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BADALA\Downloads\Data Final\Final Data\"/>
    </mc:Choice>
  </mc:AlternateContent>
  <bookViews>
    <workbookView xWindow="0" yWindow="0" windowWidth="7230" windowHeight="7035" tabRatio="956" firstSheet="2" activeTab="12"/>
  </bookViews>
  <sheets>
    <sheet name="AE" sheetId="70" state="hidden" r:id="rId1"/>
    <sheet name="Regrouping" sheetId="71" state="hidden" r:id="rId2"/>
    <sheet name="SAP " sheetId="61" r:id="rId3"/>
    <sheet name="Trial" sheetId="58" r:id="rId4"/>
    <sheet name="2SFP" sheetId="31" state="hidden" r:id="rId5"/>
    <sheet name="3SOCI" sheetId="23" r:id="rId6"/>
    <sheet name="5SOCE" sheetId="34" state="hidden" r:id="rId7"/>
    <sheet name="4CF" sheetId="15" state="hidden" r:id="rId8"/>
    <sheet name="6N_PPE" sheetId="26" state="hidden" r:id="rId9"/>
    <sheet name="7N_3-12" sheetId="24" state="hidden" r:id="rId10"/>
    <sheet name="8N_13" sheetId="48" state="hidden" r:id="rId11"/>
    <sheet name="9N_14-21" sheetId="49" state="hidden" r:id="rId12"/>
    <sheet name="10N_22-33" sheetId="60" r:id="rId13"/>
    <sheet name="Note 32" sheetId="72" state="hidden" r:id="rId14"/>
    <sheet name="10FV_34" sheetId="65" state="hidden" r:id="rId15"/>
    <sheet name="11FRM_35" sheetId="66" state="hidden" r:id="rId16"/>
    <sheet name="12CapMgt_36" sheetId="67" state="hidden" r:id="rId17"/>
    <sheet name="Note 37" sheetId="73" state="hidden" r:id="rId18"/>
    <sheet name="Ratio" sheetId="32" state="hidden" r:id="rId19"/>
    <sheet name="Tax" sheetId="52" r:id="rId20"/>
    <sheet name="13IFRS" sheetId="68" state="hidden" r:id="rId21"/>
    <sheet name="CFs" sheetId="54" state="hidden" r:id="rId22"/>
    <sheet name="DT" sheetId="63" state="hidden" r:id="rId23"/>
  </sheets>
  <externalReferences>
    <externalReference r:id="rId24"/>
    <externalReference r:id="rId25"/>
    <externalReference r:id="rId26"/>
    <externalReference r:id="rId27"/>
  </externalReferences>
  <definedNames>
    <definedName name="_xlnm._FilterDatabase" localSheetId="12" hidden="1">'10N_22-33'!$A$4:$F$306</definedName>
    <definedName name="_xlnm._FilterDatabase" localSheetId="21" hidden="1">CFs!$B$2:$D$26</definedName>
    <definedName name="_xlnm._FilterDatabase" localSheetId="3" hidden="1">Trial!$A$1:$D$652</definedName>
    <definedName name="_xlnm.Print_Area" localSheetId="14">'10FV_34'!$A$1:$G$71</definedName>
    <definedName name="_xlnm.Print_Area" localSheetId="12">'10N_22-33'!$A$1:$F$306</definedName>
    <definedName name="_xlnm.Print_Area" localSheetId="15">'11FRM_35'!$A$1:$J$118</definedName>
    <definedName name="_xlnm.Print_Area" localSheetId="4">'2SFP'!$B$1:$E$72</definedName>
    <definedName name="_xlnm.Print_Area" localSheetId="5">'3SOCI'!$B$1:$E$54</definedName>
    <definedName name="_xlnm.Print_Area" localSheetId="7">'4CF'!$A$1:$F$75</definedName>
    <definedName name="_xlnm.Print_Area" localSheetId="6">'5SOCE'!$B$1:$F$38</definedName>
    <definedName name="_xlnm.Print_Area" localSheetId="8">'6N_PPE'!$B$1:$L$57</definedName>
    <definedName name="_xlnm.Print_Area" localSheetId="10">'8N_13'!$B$1:$H$32</definedName>
    <definedName name="_xlnm.Print_Area" localSheetId="11">'9N_14-21'!$A$1:$D$162</definedName>
    <definedName name="_xlnm.Print_Area" localSheetId="13">'Note 32'!$A$1:$E$35</definedName>
    <definedName name="_xlnm.Print_Area" localSheetId="17">'Note 37'!$A$1:$G$114</definedName>
    <definedName name="_xlnm.Print_Area" localSheetId="18">Ratio!$B$1:$I$50</definedName>
    <definedName name="_xlnm.Print_Area" localSheetId="2">'SAP '!$A$3:$D$349</definedName>
    <definedName name="_xlnm.Print_Area" localSheetId="19">Tax!$C$2:$E$51</definedName>
    <definedName name="_xlnm.Print_Area" localSheetId="3">Trial!$A$1:$D$631</definedName>
    <definedName name="Trial_Balance">Trial!$A:$D</definedName>
  </definedNames>
  <calcPr calcId="152511"/>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O16" i="61" l="1"/>
  <c r="O13" i="61"/>
  <c r="N16" i="61"/>
  <c r="N13" i="61" l="1"/>
  <c r="C475" i="58"/>
  <c r="E37" i="60" s="1"/>
  <c r="C476" i="58"/>
  <c r="E38" i="60"/>
  <c r="C478" i="58"/>
  <c r="E39" i="60"/>
  <c r="C479" i="58"/>
  <c r="E40" i="60"/>
  <c r="C493" i="58"/>
  <c r="E41" i="60"/>
  <c r="C465" i="58"/>
  <c r="E25" i="60" s="1"/>
  <c r="C466" i="58"/>
  <c r="E26" i="60" s="1"/>
  <c r="C467" i="58"/>
  <c r="E27" i="60" s="1"/>
  <c r="C468" i="58"/>
  <c r="E28" i="60" s="1"/>
  <c r="C469" i="58"/>
  <c r="E29" i="60"/>
  <c r="C471" i="58"/>
  <c r="E30" i="60" s="1"/>
  <c r="C483" i="58"/>
  <c r="E31" i="60"/>
  <c r="C484" i="58"/>
  <c r="E32" i="60"/>
  <c r="C485" i="58"/>
  <c r="E33" i="60"/>
  <c r="C473" i="58"/>
  <c r="E34" i="60"/>
  <c r="C474" i="58"/>
  <c r="E35" i="60"/>
  <c r="C459" i="58"/>
  <c r="E13" i="60" s="1"/>
  <c r="C460" i="58"/>
  <c r="E14" i="60" s="1"/>
  <c r="C461" i="58"/>
  <c r="E15" i="60" s="1"/>
  <c r="C462" i="58"/>
  <c r="E16" i="60" s="1"/>
  <c r="C487" i="58"/>
  <c r="E17" i="60"/>
  <c r="C477" i="58"/>
  <c r="E18" i="60"/>
  <c r="C486" i="58"/>
  <c r="E19" i="60"/>
  <c r="C481" i="58"/>
  <c r="E20" i="60"/>
  <c r="C482" i="58"/>
  <c r="E21" i="60"/>
  <c r="C458" i="58"/>
  <c r="E22" i="60"/>
  <c r="C502" i="58"/>
  <c r="E23" i="60"/>
  <c r="C456" i="58"/>
  <c r="E10" i="60" s="1"/>
  <c r="C480" i="58"/>
  <c r="E11" i="60" s="1"/>
  <c r="C492" i="58"/>
  <c r="E53" i="60" s="1"/>
  <c r="C491" i="58"/>
  <c r="E54" i="60" s="1"/>
  <c r="C457" i="58"/>
  <c r="E46" i="60"/>
  <c r="C463" i="58"/>
  <c r="E47" i="60"/>
  <c r="C464" i="58"/>
  <c r="E48" i="60"/>
  <c r="C472" i="58"/>
  <c r="E49" i="60"/>
  <c r="C470" i="58"/>
  <c r="E50" i="60"/>
  <c r="C494" i="58"/>
  <c r="E51" i="60"/>
  <c r="C495" i="58"/>
  <c r="E71" i="60"/>
  <c r="C496" i="58"/>
  <c r="E72" i="60"/>
  <c r="C505" i="58"/>
  <c r="E80" i="60"/>
  <c r="C498" i="58"/>
  <c r="E86" i="60"/>
  <c r="C501" i="58"/>
  <c r="E87" i="60"/>
  <c r="C488" i="58"/>
  <c r="E88" i="60"/>
  <c r="C489" i="58"/>
  <c r="E89" i="60"/>
  <c r="C490" i="58"/>
  <c r="E90" i="60"/>
  <c r="C503" i="58"/>
  <c r="E76" i="60"/>
  <c r="C589" i="58"/>
  <c r="E77" i="60"/>
  <c r="C504" i="58"/>
  <c r="E92" i="60" s="1"/>
  <c r="E84" i="60"/>
  <c r="C605" i="58"/>
  <c r="E124" i="60"/>
  <c r="C560" i="58"/>
  <c r="E125" i="60"/>
  <c r="C566" i="58"/>
  <c r="E126" i="60"/>
  <c r="C553" i="58"/>
  <c r="E115" i="60" s="1"/>
  <c r="C547" i="58"/>
  <c r="E116" i="60" s="1"/>
  <c r="C542" i="58"/>
  <c r="E117" i="60" s="1"/>
  <c r="C541" i="58"/>
  <c r="E118" i="60" s="1"/>
  <c r="C548" i="58"/>
  <c r="E119" i="60" s="1"/>
  <c r="C552" i="58"/>
  <c r="E120" i="60" s="1"/>
  <c r="C514" i="58"/>
  <c r="E121" i="60" s="1"/>
  <c r="C512" i="58"/>
  <c r="E122" i="60" s="1"/>
  <c r="C550" i="58"/>
  <c r="E108" i="60"/>
  <c r="C538" i="58"/>
  <c r="E109" i="60"/>
  <c r="C551" i="58"/>
  <c r="E110" i="60"/>
  <c r="C540" i="58"/>
  <c r="E111" i="60"/>
  <c r="C539" i="58"/>
  <c r="E112" i="60"/>
  <c r="C579" i="58"/>
  <c r="E113" i="60"/>
  <c r="C612" i="58"/>
  <c r="E98" i="60" s="1"/>
  <c r="C611" i="58"/>
  <c r="E99" i="60" s="1"/>
  <c r="C610" i="58"/>
  <c r="E100" i="60" s="1"/>
  <c r="C608" i="58"/>
  <c r="E101" i="60" s="1"/>
  <c r="C609" i="58"/>
  <c r="E102" i="60" s="1"/>
  <c r="C606" i="58"/>
  <c r="E103" i="60" s="1"/>
  <c r="C607" i="58"/>
  <c r="E104" i="60" s="1"/>
  <c r="C576" i="58"/>
  <c r="E105" i="60" s="1"/>
  <c r="C516" i="58"/>
  <c r="E134" i="60"/>
  <c r="C517" i="58"/>
  <c r="E135" i="60"/>
  <c r="C526" i="58"/>
  <c r="E155" i="60"/>
  <c r="C527" i="58"/>
  <c r="E156" i="60"/>
  <c r="C528" i="58"/>
  <c r="E157" i="60"/>
  <c r="C531" i="58"/>
  <c r="E158" i="60"/>
  <c r="C530" i="58"/>
  <c r="E159" i="60"/>
  <c r="C523" i="58"/>
  <c r="E150" i="60" s="1"/>
  <c r="C524" i="58"/>
  <c r="E151" i="60" s="1"/>
  <c r="C525" i="58"/>
  <c r="E152" i="60" s="1"/>
  <c r="C532" i="58"/>
  <c r="E153" i="60" s="1"/>
  <c r="C535" i="58"/>
  <c r="E149" i="60"/>
  <c r="C537" i="58"/>
  <c r="E148" i="60"/>
  <c r="C518" i="58"/>
  <c r="E139" i="60"/>
  <c r="C519" i="58"/>
  <c r="E140" i="60"/>
  <c r="C520" i="58"/>
  <c r="E141" i="60"/>
  <c r="C521" i="58"/>
  <c r="E142" i="60"/>
  <c r="C536" i="58"/>
  <c r="E143" i="60"/>
  <c r="C522" i="58"/>
  <c r="E144" i="60"/>
  <c r="C559" i="58"/>
  <c r="E172" i="60" s="1"/>
  <c r="E173" i="60" s="1"/>
  <c r="C577" i="58"/>
  <c r="E171" i="60"/>
  <c r="C562" i="58"/>
  <c r="E170" i="60"/>
  <c r="C557" i="58"/>
  <c r="E169" i="60"/>
  <c r="C555" i="58"/>
  <c r="E168" i="60"/>
  <c r="C603" i="58"/>
  <c r="E204" i="60"/>
  <c r="C604" i="58"/>
  <c r="E205" i="60"/>
  <c r="E206" i="60"/>
  <c r="C583" i="58"/>
  <c r="E263" i="60" s="1"/>
  <c r="C572" i="58"/>
  <c r="E264" i="60" s="1"/>
  <c r="C564" i="58"/>
  <c r="E265" i="60" s="1"/>
  <c r="C565" i="58"/>
  <c r="E266" i="60" s="1"/>
  <c r="C573" i="58"/>
  <c r="E267" i="60" s="1"/>
  <c r="C574" i="58"/>
  <c r="E268" i="60" s="1"/>
  <c r="C580" i="58"/>
  <c r="E269" i="60" s="1"/>
  <c r="C593" i="58"/>
  <c r="E270" i="60" s="1"/>
  <c r="C582" i="58"/>
  <c r="E271" i="60" s="1"/>
  <c r="C590" i="58"/>
  <c r="E272" i="60" s="1"/>
  <c r="C578" i="58"/>
  <c r="E273" i="60" s="1"/>
  <c r="C624" i="58"/>
  <c r="E276" i="60" s="1"/>
  <c r="C509" i="58"/>
  <c r="E277" i="60" s="1"/>
  <c r="C513" i="58"/>
  <c r="E254" i="60"/>
  <c r="C544" i="58"/>
  <c r="E255" i="60"/>
  <c r="C545" i="58"/>
  <c r="E256" i="60"/>
  <c r="C511" i="58"/>
  <c r="E257" i="60"/>
  <c r="C546" i="58"/>
  <c r="E258" i="60"/>
  <c r="C554" i="58"/>
  <c r="E259" i="60"/>
  <c r="C510" i="58"/>
  <c r="E260" i="60"/>
  <c r="C543" i="58"/>
  <c r="E253" i="60" s="1"/>
  <c r="C587" i="58"/>
  <c r="E245" i="60" s="1"/>
  <c r="C500" i="58"/>
  <c r="E246" i="60" s="1"/>
  <c r="C586" i="58"/>
  <c r="E247" i="60" s="1"/>
  <c r="C596" i="58"/>
  <c r="E248" i="60" s="1"/>
  <c r="C588" i="58"/>
  <c r="E249" i="60" s="1"/>
  <c r="C499" i="58"/>
  <c r="E250" i="60" s="1"/>
  <c r="C508" i="58"/>
  <c r="E251" i="60" s="1"/>
  <c r="C569" i="58"/>
  <c r="E240" i="60"/>
  <c r="C570" i="58"/>
  <c r="E241" i="60"/>
  <c r="C568" i="58"/>
  <c r="E244" i="60" s="1"/>
  <c r="C584" i="58"/>
  <c r="E237" i="60"/>
  <c r="C585" i="58"/>
  <c r="E238" i="60"/>
  <c r="C558" i="58"/>
  <c r="E234" i="60" s="1"/>
  <c r="C591" i="58"/>
  <c r="E235" i="60" s="1"/>
  <c r="C598" i="58"/>
  <c r="E230" i="60"/>
  <c r="C599" i="58"/>
  <c r="E231" i="60"/>
  <c r="C506" i="58"/>
  <c r="E232" i="60"/>
  <c r="C595" i="58"/>
  <c r="E227" i="60" s="1"/>
  <c r="C575" i="58"/>
  <c r="E228" i="60" s="1"/>
  <c r="C561" i="58"/>
  <c r="E224" i="60"/>
  <c r="C515" i="58"/>
  <c r="E225" i="60"/>
  <c r="C602" i="58"/>
  <c r="E221" i="60" s="1"/>
  <c r="C592" i="58"/>
  <c r="E222" i="60" s="1"/>
  <c r="C567" i="58"/>
  <c r="E214" i="60"/>
  <c r="D21" i="52" s="1"/>
  <c r="C571" i="58"/>
  <c r="E215" i="60"/>
  <c r="C597" i="58"/>
  <c r="E216" i="60"/>
  <c r="C556" i="58"/>
  <c r="E217" i="60"/>
  <c r="C563" i="58"/>
  <c r="E218" i="60"/>
  <c r="C581" i="58"/>
  <c r="E219" i="60"/>
  <c r="C549" i="58"/>
  <c r="E220" i="60"/>
  <c r="C628" i="58"/>
  <c r="E290" i="60"/>
  <c r="D27" i="23" s="1"/>
  <c r="C629" i="58"/>
  <c r="E293" i="60" s="1"/>
  <c r="D35" i="23" s="1"/>
  <c r="D36" i="23" s="1"/>
  <c r="E45" i="52" s="1"/>
  <c r="D24" i="52"/>
  <c r="C627" i="58"/>
  <c r="E287" i="60"/>
  <c r="D29" i="23" s="1"/>
  <c r="D475" i="58"/>
  <c r="F37" i="60" s="1"/>
  <c r="D476" i="58"/>
  <c r="F38" i="60" s="1"/>
  <c r="D478" i="58"/>
  <c r="F39" i="60" s="1"/>
  <c r="D479" i="58"/>
  <c r="F40" i="60" s="1"/>
  <c r="D493" i="58"/>
  <c r="F41" i="60" s="1"/>
  <c r="D465" i="58"/>
  <c r="F25" i="60"/>
  <c r="D466" i="58"/>
  <c r="F26" i="60"/>
  <c r="D467" i="58"/>
  <c r="F27" i="60"/>
  <c r="D468" i="58"/>
  <c r="F28" i="60"/>
  <c r="D469" i="58"/>
  <c r="F29" i="60"/>
  <c r="D471" i="58"/>
  <c r="F30" i="60"/>
  <c r="D483" i="58"/>
  <c r="F31" i="60"/>
  <c r="D484" i="58"/>
  <c r="F32" i="60"/>
  <c r="D485" i="58"/>
  <c r="F33" i="60"/>
  <c r="D473" i="58"/>
  <c r="F34" i="60"/>
  <c r="D474" i="58"/>
  <c r="F35" i="60"/>
  <c r="D459" i="58"/>
  <c r="F13" i="60" s="1"/>
  <c r="D460" i="58"/>
  <c r="F14" i="60" s="1"/>
  <c r="D461" i="58"/>
  <c r="F15" i="60" s="1"/>
  <c r="D462" i="58"/>
  <c r="F16" i="60" s="1"/>
  <c r="D487" i="58"/>
  <c r="F17" i="60" s="1"/>
  <c r="D477" i="58"/>
  <c r="F18" i="60" s="1"/>
  <c r="D486" i="58"/>
  <c r="F19" i="60" s="1"/>
  <c r="D481" i="58"/>
  <c r="F20" i="60" s="1"/>
  <c r="D482" i="58"/>
  <c r="F21" i="60" s="1"/>
  <c r="D458" i="58"/>
  <c r="F22" i="60" s="1"/>
  <c r="D502" i="58"/>
  <c r="F23" i="60" s="1"/>
  <c r="D456" i="58"/>
  <c r="F10" i="60"/>
  <c r="D480" i="58"/>
  <c r="F11" i="60"/>
  <c r="D492" i="58"/>
  <c r="F53" i="60"/>
  <c r="D491" i="58"/>
  <c r="F54" i="60"/>
  <c r="D457" i="58"/>
  <c r="F46" i="60" s="1"/>
  <c r="D463" i="58"/>
  <c r="F47" i="60" s="1"/>
  <c r="D464" i="58"/>
  <c r="F48" i="60" s="1"/>
  <c r="D472" i="58"/>
  <c r="F49" i="60" s="1"/>
  <c r="D470" i="58"/>
  <c r="F50" i="60" s="1"/>
  <c r="D494" i="58"/>
  <c r="F51" i="60" s="1"/>
  <c r="D495" i="58"/>
  <c r="F71" i="60" s="1"/>
  <c r="D496" i="58"/>
  <c r="F72" i="60" s="1"/>
  <c r="D497" i="58"/>
  <c r="F73" i="60"/>
  <c r="D505" i="58"/>
  <c r="F80" i="60" s="1"/>
  <c r="D498" i="58"/>
  <c r="F86" i="60" s="1"/>
  <c r="D501" i="58"/>
  <c r="F87" i="60" s="1"/>
  <c r="D488" i="58"/>
  <c r="F88" i="60"/>
  <c r="D489" i="58"/>
  <c r="F89" i="60" s="1"/>
  <c r="D490" i="58"/>
  <c r="F90" i="60" s="1"/>
  <c r="D504" i="58"/>
  <c r="F92" i="60" s="1"/>
  <c r="D624" i="58"/>
  <c r="F82" i="60" s="1"/>
  <c r="D509" i="58"/>
  <c r="F83" i="60"/>
  <c r="D605" i="58"/>
  <c r="F124" i="60" s="1"/>
  <c r="D560" i="58"/>
  <c r="F125" i="60"/>
  <c r="D566" i="58"/>
  <c r="F126" i="60" s="1"/>
  <c r="D553" i="58"/>
  <c r="F115" i="60"/>
  <c r="D547" i="58"/>
  <c r="F116" i="60" s="1"/>
  <c r="D542" i="58"/>
  <c r="F117" i="60" s="1"/>
  <c r="D541" i="58"/>
  <c r="F118" i="60" s="1"/>
  <c r="D548" i="58"/>
  <c r="F119" i="60"/>
  <c r="D552" i="58"/>
  <c r="F120" i="60" s="1"/>
  <c r="D514" i="58"/>
  <c r="F121" i="60" s="1"/>
  <c r="D512" i="58"/>
  <c r="F122" i="60" s="1"/>
  <c r="D550" i="58"/>
  <c r="F108" i="60" s="1"/>
  <c r="D538" i="58"/>
  <c r="F109" i="60"/>
  <c r="D551" i="58"/>
  <c r="F110" i="60" s="1"/>
  <c r="D540" i="58"/>
  <c r="F111" i="60"/>
  <c r="D539" i="58"/>
  <c r="F112" i="60" s="1"/>
  <c r="D579" i="58"/>
  <c r="F113" i="60"/>
  <c r="D612" i="58"/>
  <c r="F98" i="60" s="1"/>
  <c r="D611" i="58"/>
  <c r="F99" i="60"/>
  <c r="D610" i="58"/>
  <c r="F100" i="60" s="1"/>
  <c r="D608" i="58"/>
  <c r="F101" i="60" s="1"/>
  <c r="D609" i="58"/>
  <c r="F102" i="60" s="1"/>
  <c r="D606" i="58"/>
  <c r="F103" i="60"/>
  <c r="D607" i="58"/>
  <c r="F104" i="60" s="1"/>
  <c r="D576" i="58"/>
  <c r="F105" i="60" s="1"/>
  <c r="D516" i="58"/>
  <c r="F134" i="60" s="1"/>
  <c r="D517" i="58"/>
  <c r="F135" i="60"/>
  <c r="D526" i="58"/>
  <c r="F155" i="60"/>
  <c r="D527" i="58"/>
  <c r="F156" i="60" s="1"/>
  <c r="D528" i="58"/>
  <c r="F157" i="60"/>
  <c r="D531" i="58"/>
  <c r="F158" i="60" s="1"/>
  <c r="D530" i="58"/>
  <c r="F159" i="60"/>
  <c r="D523" i="58"/>
  <c r="F150" i="60" s="1"/>
  <c r="D524" i="58"/>
  <c r="F151" i="60"/>
  <c r="D525" i="58"/>
  <c r="F152" i="60" s="1"/>
  <c r="D532" i="58"/>
  <c r="F153" i="60" s="1"/>
  <c r="D535" i="58"/>
  <c r="F149" i="60"/>
  <c r="D537" i="58"/>
  <c r="F148" i="60" s="1"/>
  <c r="D518" i="58"/>
  <c r="F139" i="60"/>
  <c r="D519" i="58"/>
  <c r="F140" i="60" s="1"/>
  <c r="D520" i="58"/>
  <c r="F141" i="60"/>
  <c r="D521" i="58"/>
  <c r="F142" i="60" s="1"/>
  <c r="D536" i="58"/>
  <c r="F143" i="60"/>
  <c r="D522" i="58"/>
  <c r="F144" i="60" s="1"/>
  <c r="D559" i="58"/>
  <c r="F172" i="60" s="1"/>
  <c r="F173" i="60" s="1"/>
  <c r="D577" i="58"/>
  <c r="F171" i="60" s="1"/>
  <c r="D562" i="58"/>
  <c r="F170" i="60"/>
  <c r="D557" i="58"/>
  <c r="F169" i="60" s="1"/>
  <c r="D555" i="58"/>
  <c r="F168" i="60"/>
  <c r="D621" i="58"/>
  <c r="F193" i="60"/>
  <c r="F196" i="60" s="1"/>
  <c r="D613" i="58"/>
  <c r="F177" i="60" s="1"/>
  <c r="D614" i="58"/>
  <c r="F178" i="60"/>
  <c r="D615" i="58"/>
  <c r="F179" i="60" s="1"/>
  <c r="D616" i="58"/>
  <c r="F180" i="60" s="1"/>
  <c r="D617" i="58"/>
  <c r="F181" i="60" s="1"/>
  <c r="D618" i="58"/>
  <c r="F182" i="60"/>
  <c r="D619" i="58"/>
  <c r="F183" i="60" s="1"/>
  <c r="D620" i="58"/>
  <c r="F184" i="60" s="1"/>
  <c r="D622" i="58"/>
  <c r="F185" i="60" s="1"/>
  <c r="D623" i="58"/>
  <c r="F186" i="60"/>
  <c r="D603" i="58"/>
  <c r="F204" i="60"/>
  <c r="D604" i="58"/>
  <c r="F205" i="60"/>
  <c r="F206" i="60"/>
  <c r="D583" i="58"/>
  <c r="F263" i="60"/>
  <c r="D572" i="58"/>
  <c r="F264" i="60"/>
  <c r="D564" i="58"/>
  <c r="F265" i="60"/>
  <c r="D565" i="58"/>
  <c r="F266" i="60"/>
  <c r="D573" i="58"/>
  <c r="F267" i="60"/>
  <c r="D574" i="58"/>
  <c r="F268" i="60"/>
  <c r="D580" i="58"/>
  <c r="F269" i="60"/>
  <c r="D593" i="58"/>
  <c r="F270" i="60"/>
  <c r="D582" i="58"/>
  <c r="F271" i="60"/>
  <c r="D590" i="58"/>
  <c r="F272" i="60"/>
  <c r="D578" i="58"/>
  <c r="F273" i="60"/>
  <c r="D503" i="58"/>
  <c r="F274" i="60"/>
  <c r="D589" i="58"/>
  <c r="F275" i="60"/>
  <c r="D513" i="58"/>
  <c r="F254" i="60" s="1"/>
  <c r="D544" i="58"/>
  <c r="F255" i="60" s="1"/>
  <c r="D545" i="58"/>
  <c r="F256" i="60" s="1"/>
  <c r="D511" i="58"/>
  <c r="F257" i="60" s="1"/>
  <c r="D546" i="58"/>
  <c r="F258" i="60" s="1"/>
  <c r="D554" i="58"/>
  <c r="F259" i="60" s="1"/>
  <c r="D510" i="58"/>
  <c r="F260" i="60" s="1"/>
  <c r="D543" i="58"/>
  <c r="F253" i="60"/>
  <c r="D587" i="58"/>
  <c r="F245" i="60"/>
  <c r="D500" i="58"/>
  <c r="F246" i="60"/>
  <c r="D586" i="58"/>
  <c r="F247" i="60"/>
  <c r="D596" i="58"/>
  <c r="F248" i="60"/>
  <c r="D588" i="58"/>
  <c r="F249" i="60"/>
  <c r="D499" i="58"/>
  <c r="F250" i="60"/>
  <c r="D508" i="58"/>
  <c r="F251" i="60"/>
  <c r="D569" i="58"/>
  <c r="F240" i="60" s="1"/>
  <c r="D570" i="58"/>
  <c r="F241" i="60" s="1"/>
  <c r="D568" i="58"/>
  <c r="F244" i="60"/>
  <c r="D584" i="58"/>
  <c r="F237" i="60" s="1"/>
  <c r="D585" i="58"/>
  <c r="F238" i="60" s="1"/>
  <c r="D558" i="58"/>
  <c r="F234" i="60"/>
  <c r="D591" i="58"/>
  <c r="F235" i="60"/>
  <c r="D598" i="58"/>
  <c r="F230" i="60" s="1"/>
  <c r="D599" i="58"/>
  <c r="F231" i="60" s="1"/>
  <c r="D506" i="58"/>
  <c r="F232" i="60" s="1"/>
  <c r="D595" i="58"/>
  <c r="F227" i="60"/>
  <c r="D575" i="58"/>
  <c r="F228" i="60"/>
  <c r="D561" i="58"/>
  <c r="F224" i="60" s="1"/>
  <c r="D515" i="58"/>
  <c r="F225" i="60" s="1"/>
  <c r="D602" i="58"/>
  <c r="F221" i="60"/>
  <c r="D592" i="58"/>
  <c r="F222" i="60"/>
  <c r="D567" i="58"/>
  <c r="F214" i="60" s="1"/>
  <c r="D571" i="58"/>
  <c r="F215" i="60" s="1"/>
  <c r="D597" i="58"/>
  <c r="F216" i="60" s="1"/>
  <c r="D556" i="58"/>
  <c r="F217" i="60" s="1"/>
  <c r="D563" i="58"/>
  <c r="F218" i="60" s="1"/>
  <c r="D581" i="58"/>
  <c r="F219" i="60" s="1"/>
  <c r="D549" i="58"/>
  <c r="F220" i="60" s="1"/>
  <c r="D627" i="58"/>
  <c r="F287" i="60"/>
  <c r="D626" i="58"/>
  <c r="F288" i="60"/>
  <c r="F223" i="60" l="1"/>
  <c r="F239" i="60"/>
  <c r="F243" i="60"/>
  <c r="F242" i="60" s="1"/>
  <c r="E207" i="60"/>
  <c r="D16" i="23" s="1"/>
  <c r="F136" i="60"/>
  <c r="E12" i="23" s="1"/>
  <c r="E136" i="60"/>
  <c r="D12" i="23" s="1"/>
  <c r="E91" i="60"/>
  <c r="E85" i="60" s="1"/>
  <c r="E93" i="60" s="1"/>
  <c r="D7" i="23" s="1"/>
  <c r="E147" i="60"/>
  <c r="F207" i="60"/>
  <c r="E16" i="23" s="1"/>
  <c r="F55" i="60"/>
  <c r="F56" i="60" s="1"/>
  <c r="F24" i="60"/>
  <c r="F226" i="60"/>
  <c r="F52" i="60"/>
  <c r="E107" i="60"/>
  <c r="F279" i="60"/>
  <c r="E52" i="60"/>
  <c r="E29" i="23"/>
  <c r="F236" i="60"/>
  <c r="F252" i="60"/>
  <c r="F174" i="60"/>
  <c r="E14" i="23" s="1"/>
  <c r="F160" i="60"/>
  <c r="F114" i="60"/>
  <c r="E229" i="60"/>
  <c r="E236" i="60"/>
  <c r="E243" i="60"/>
  <c r="E242" i="60" s="1"/>
  <c r="E12" i="60"/>
  <c r="E42" i="60"/>
  <c r="E160" i="60"/>
  <c r="E161" i="60" s="1"/>
  <c r="D13" i="23" s="1"/>
  <c r="F229" i="60"/>
  <c r="F84" i="60"/>
  <c r="E226" i="60"/>
  <c r="E233" i="60"/>
  <c r="E154" i="60"/>
  <c r="F189" i="60"/>
  <c r="F197" i="60" s="1"/>
  <c r="E15" i="23" s="1"/>
  <c r="F85" i="60"/>
  <c r="F233" i="60"/>
  <c r="F123" i="60"/>
  <c r="F261" i="60"/>
  <c r="F147" i="60"/>
  <c r="F107" i="60"/>
  <c r="F36" i="60"/>
  <c r="D15" i="52"/>
  <c r="E27" i="52" s="1"/>
  <c r="E239" i="60"/>
  <c r="E174" i="60"/>
  <c r="D14" i="23" s="1"/>
  <c r="F14" i="23" s="1"/>
  <c r="D17" i="52"/>
  <c r="D34" i="52" s="1"/>
  <c r="E40" i="52" s="1"/>
  <c r="E114" i="60"/>
  <c r="E55" i="60"/>
  <c r="E24" i="60"/>
  <c r="E223" i="60"/>
  <c r="E252" i="60"/>
  <c r="E279" i="60"/>
  <c r="E123" i="60"/>
  <c r="E36" i="60"/>
  <c r="F154" i="60"/>
  <c r="F161" i="60" s="1"/>
  <c r="E13" i="23" s="1"/>
  <c r="F12" i="60"/>
  <c r="F42" i="60"/>
  <c r="E127" i="60"/>
  <c r="F127" i="60"/>
  <c r="E261" i="60"/>
  <c r="E133" i="60"/>
  <c r="D88" i="60"/>
  <c r="C623" i="58"/>
  <c r="E186" i="60"/>
  <c r="G4" i="61"/>
  <c r="H4" i="61"/>
  <c r="C631" i="58"/>
  <c r="C630" i="58"/>
  <c r="C626" i="58"/>
  <c r="C625" i="58"/>
  <c r="C622" i="58"/>
  <c r="C621" i="58"/>
  <c r="C620" i="58"/>
  <c r="C619" i="58"/>
  <c r="C618" i="58"/>
  <c r="C617" i="58"/>
  <c r="C616" i="58"/>
  <c r="C615" i="58"/>
  <c r="C614" i="58"/>
  <c r="C613" i="58"/>
  <c r="C601" i="58"/>
  <c r="C600" i="58"/>
  <c r="C594" i="58"/>
  <c r="C534" i="58"/>
  <c r="C533" i="58"/>
  <c r="C529" i="58"/>
  <c r="C507" i="58"/>
  <c r="C497" i="58"/>
  <c r="C455" i="58"/>
  <c r="C454" i="58"/>
  <c r="C453" i="58"/>
  <c r="C452" i="58"/>
  <c r="C451" i="58"/>
  <c r="C450" i="58"/>
  <c r="C449" i="58"/>
  <c r="C448" i="58"/>
  <c r="C447" i="58"/>
  <c r="C446" i="58"/>
  <c r="C445" i="58"/>
  <c r="C443" i="58"/>
  <c r="C442" i="58"/>
  <c r="C441" i="58"/>
  <c r="C440" i="58"/>
  <c r="C439" i="58"/>
  <c r="C438" i="58"/>
  <c r="C437" i="58"/>
  <c r="C436" i="58"/>
  <c r="C435" i="58"/>
  <c r="C434" i="58"/>
  <c r="C433" i="58"/>
  <c r="C432" i="58"/>
  <c r="C431" i="58"/>
  <c r="C430" i="58"/>
  <c r="C429" i="58"/>
  <c r="C428" i="58"/>
  <c r="C427" i="58"/>
  <c r="C426" i="58"/>
  <c r="C425" i="58"/>
  <c r="C424" i="58"/>
  <c r="C423" i="58"/>
  <c r="C422" i="58"/>
  <c r="C421" i="58"/>
  <c r="C420" i="58"/>
  <c r="C419" i="58"/>
  <c r="C418" i="58"/>
  <c r="C417" i="58"/>
  <c r="C416" i="58"/>
  <c r="C415" i="58"/>
  <c r="C414" i="58"/>
  <c r="C413" i="58"/>
  <c r="C412" i="58"/>
  <c r="C411" i="58"/>
  <c r="C410" i="58"/>
  <c r="C409" i="58"/>
  <c r="C408" i="58"/>
  <c r="C407" i="58"/>
  <c r="C406" i="58"/>
  <c r="C405" i="58"/>
  <c r="C404" i="58"/>
  <c r="C403" i="58"/>
  <c r="C402" i="58"/>
  <c r="C401" i="58"/>
  <c r="C399" i="58"/>
  <c r="C398" i="58"/>
  <c r="C397" i="58"/>
  <c r="C396" i="58"/>
  <c r="C395" i="58"/>
  <c r="C394" i="58"/>
  <c r="C393" i="58"/>
  <c r="C392" i="58"/>
  <c r="C391" i="58"/>
  <c r="C390" i="58"/>
  <c r="C389" i="58"/>
  <c r="C388" i="58"/>
  <c r="C387" i="58"/>
  <c r="C386" i="58"/>
  <c r="C385" i="58"/>
  <c r="C384" i="58"/>
  <c r="C383" i="58"/>
  <c r="C382" i="58"/>
  <c r="C381" i="58"/>
  <c r="C379" i="58"/>
  <c r="C378" i="58"/>
  <c r="C377" i="58"/>
  <c r="C376" i="58"/>
  <c r="C375" i="58"/>
  <c r="C374" i="58"/>
  <c r="C373" i="58"/>
  <c r="C372" i="58"/>
  <c r="C371" i="58"/>
  <c r="C370" i="58"/>
  <c r="C368" i="58"/>
  <c r="C367" i="58"/>
  <c r="C366" i="58"/>
  <c r="C365" i="58"/>
  <c r="C364" i="58"/>
  <c r="C363" i="58"/>
  <c r="C362" i="58"/>
  <c r="C361" i="58"/>
  <c r="C360" i="58"/>
  <c r="C359" i="58"/>
  <c r="C358" i="58"/>
  <c r="C357" i="58"/>
  <c r="C356" i="58"/>
  <c r="C355" i="58"/>
  <c r="C354" i="58"/>
  <c r="C353" i="58"/>
  <c r="C352" i="58"/>
  <c r="C351" i="58"/>
  <c r="C350" i="58"/>
  <c r="C349" i="58"/>
  <c r="C348" i="58"/>
  <c r="C347" i="58"/>
  <c r="C346" i="58"/>
  <c r="C345" i="58"/>
  <c r="C344" i="58"/>
  <c r="C343" i="58"/>
  <c r="C342" i="58"/>
  <c r="C341" i="58"/>
  <c r="C340" i="58"/>
  <c r="C339" i="58"/>
  <c r="C338" i="58"/>
  <c r="C337" i="58"/>
  <c r="C336" i="58"/>
  <c r="C335" i="58"/>
  <c r="C334" i="58"/>
  <c r="C333" i="58"/>
  <c r="C332" i="58"/>
  <c r="C331" i="58"/>
  <c r="C330" i="58"/>
  <c r="C329" i="58"/>
  <c r="C328" i="58"/>
  <c r="C327" i="58"/>
  <c r="C326" i="58"/>
  <c r="C325" i="58"/>
  <c r="C324" i="58"/>
  <c r="C323" i="58"/>
  <c r="C322" i="58"/>
  <c r="C321" i="58"/>
  <c r="C320" i="58"/>
  <c r="C319" i="58"/>
  <c r="C318" i="58"/>
  <c r="C317" i="58"/>
  <c r="C316" i="58"/>
  <c r="C315" i="58"/>
  <c r="C314" i="58"/>
  <c r="C313" i="58"/>
  <c r="C312" i="58"/>
  <c r="C311" i="58"/>
  <c r="C310" i="58"/>
  <c r="C309" i="58"/>
  <c r="C308" i="58"/>
  <c r="C307" i="58"/>
  <c r="C306" i="58"/>
  <c r="C305" i="58"/>
  <c r="C304" i="58"/>
  <c r="C303" i="58"/>
  <c r="C302" i="58"/>
  <c r="C301" i="58"/>
  <c r="C300" i="58"/>
  <c r="C299" i="58"/>
  <c r="C298" i="58"/>
  <c r="C297" i="58"/>
  <c r="C296" i="58"/>
  <c r="C295" i="58"/>
  <c r="C294" i="58"/>
  <c r="C293" i="58"/>
  <c r="C292" i="58"/>
  <c r="C291" i="58"/>
  <c r="C290" i="58"/>
  <c r="C289" i="58"/>
  <c r="C288" i="58"/>
  <c r="C287" i="58"/>
  <c r="C286" i="58"/>
  <c r="C285" i="58"/>
  <c r="C284" i="58"/>
  <c r="C283" i="58"/>
  <c r="C282" i="58"/>
  <c r="C281" i="58"/>
  <c r="C280" i="58"/>
  <c r="C279" i="58"/>
  <c r="C278" i="58"/>
  <c r="C277" i="58"/>
  <c r="C276" i="58"/>
  <c r="C275" i="58"/>
  <c r="C274" i="58"/>
  <c r="C273" i="58"/>
  <c r="C272" i="58"/>
  <c r="C271" i="58"/>
  <c r="C270" i="58"/>
  <c r="C269" i="58"/>
  <c r="C268" i="58"/>
  <c r="C267" i="58"/>
  <c r="C266" i="58"/>
  <c r="C265" i="58"/>
  <c r="C264" i="58"/>
  <c r="C263" i="58"/>
  <c r="C262" i="58"/>
  <c r="C261" i="58"/>
  <c r="C260" i="58"/>
  <c r="C259" i="58"/>
  <c r="C258" i="58"/>
  <c r="C257" i="58"/>
  <c r="C256" i="58"/>
  <c r="C255" i="58"/>
  <c r="C254" i="58"/>
  <c r="C253" i="58"/>
  <c r="C252" i="58"/>
  <c r="C251" i="58"/>
  <c r="C250" i="58"/>
  <c r="C249" i="58"/>
  <c r="C248" i="58"/>
  <c r="C247" i="58"/>
  <c r="C246" i="58"/>
  <c r="C245" i="58"/>
  <c r="C244" i="58"/>
  <c r="C243" i="58"/>
  <c r="C242" i="58"/>
  <c r="C241" i="58"/>
  <c r="C240" i="58"/>
  <c r="C239" i="58"/>
  <c r="C238" i="58"/>
  <c r="C237" i="58"/>
  <c r="C236" i="58"/>
  <c r="C235" i="58"/>
  <c r="C234" i="58"/>
  <c r="C233" i="58"/>
  <c r="C232" i="58"/>
  <c r="C231" i="58"/>
  <c r="C230" i="58"/>
  <c r="C229" i="58"/>
  <c r="C228" i="58"/>
  <c r="C227" i="58"/>
  <c r="C226" i="58"/>
  <c r="C225" i="58"/>
  <c r="C224" i="58"/>
  <c r="C223" i="58"/>
  <c r="C222" i="58"/>
  <c r="C221" i="58"/>
  <c r="C220" i="58"/>
  <c r="C219" i="58"/>
  <c r="C218" i="58"/>
  <c r="C217" i="58"/>
  <c r="C216" i="58"/>
  <c r="C215" i="58"/>
  <c r="C214" i="58"/>
  <c r="C213" i="58"/>
  <c r="C212" i="58"/>
  <c r="C211" i="58"/>
  <c r="C210" i="58"/>
  <c r="C209" i="58"/>
  <c r="C208" i="58"/>
  <c r="C207" i="58"/>
  <c r="C206" i="58"/>
  <c r="C205" i="58"/>
  <c r="C204" i="58"/>
  <c r="C203" i="58"/>
  <c r="C202" i="58"/>
  <c r="C201" i="58"/>
  <c r="C200" i="58"/>
  <c r="C199" i="58"/>
  <c r="C198" i="58"/>
  <c r="C197" i="58"/>
  <c r="C196" i="58"/>
  <c r="C195" i="58"/>
  <c r="C194" i="58"/>
  <c r="C193" i="58"/>
  <c r="C192" i="58"/>
  <c r="C191" i="58"/>
  <c r="C190" i="58"/>
  <c r="C189" i="58"/>
  <c r="C188" i="58"/>
  <c r="C187" i="58"/>
  <c r="C186" i="58"/>
  <c r="C185" i="58"/>
  <c r="C184" i="58"/>
  <c r="C183" i="58"/>
  <c r="C182" i="58"/>
  <c r="C181" i="58"/>
  <c r="C180" i="58"/>
  <c r="C179" i="58"/>
  <c r="C178" i="58"/>
  <c r="C177" i="58"/>
  <c r="C176" i="58"/>
  <c r="C175" i="58"/>
  <c r="C174" i="58"/>
  <c r="C173" i="58"/>
  <c r="C172" i="58"/>
  <c r="C171" i="58"/>
  <c r="C170" i="58"/>
  <c r="C169" i="58"/>
  <c r="C168" i="58"/>
  <c r="C167" i="58"/>
  <c r="C166" i="58"/>
  <c r="C165" i="58"/>
  <c r="C164" i="58"/>
  <c r="C163" i="58"/>
  <c r="C162" i="58"/>
  <c r="C161" i="58"/>
  <c r="C160" i="58"/>
  <c r="C159" i="58"/>
  <c r="C158" i="58"/>
  <c r="C157" i="58"/>
  <c r="C156" i="58"/>
  <c r="C155" i="58"/>
  <c r="C154" i="58"/>
  <c r="C153" i="58"/>
  <c r="C152" i="58"/>
  <c r="C151" i="58"/>
  <c r="C150" i="58"/>
  <c r="C149" i="58"/>
  <c r="C148" i="58"/>
  <c r="C147" i="58"/>
  <c r="C146" i="58"/>
  <c r="C145" i="58"/>
  <c r="C144" i="58"/>
  <c r="C143" i="58"/>
  <c r="C142" i="58"/>
  <c r="C141" i="58"/>
  <c r="C140" i="58"/>
  <c r="C139" i="58"/>
  <c r="C138" i="58"/>
  <c r="C137" i="58"/>
  <c r="C136" i="58"/>
  <c r="C135" i="58"/>
  <c r="C134" i="58"/>
  <c r="C133" i="58"/>
  <c r="C132" i="58"/>
  <c r="C131" i="58"/>
  <c r="C130" i="58"/>
  <c r="C129" i="58"/>
  <c r="C128" i="58"/>
  <c r="C127" i="58"/>
  <c r="C126" i="58"/>
  <c r="C125" i="58"/>
  <c r="C124" i="58"/>
  <c r="C123" i="58"/>
  <c r="C122" i="58"/>
  <c r="C121" i="58"/>
  <c r="C120" i="58"/>
  <c r="C119" i="58"/>
  <c r="C118" i="58"/>
  <c r="C117" i="58"/>
  <c r="C116" i="58"/>
  <c r="C115" i="58"/>
  <c r="C114" i="58"/>
  <c r="C113" i="58"/>
  <c r="C112" i="58"/>
  <c r="C111" i="58"/>
  <c r="C110" i="58"/>
  <c r="C109" i="58"/>
  <c r="C108" i="58"/>
  <c r="C107" i="58"/>
  <c r="C106" i="58"/>
  <c r="C105" i="58"/>
  <c r="C104" i="58"/>
  <c r="C103" i="58"/>
  <c r="C102" i="58"/>
  <c r="C101" i="58"/>
  <c r="C100" i="58"/>
  <c r="C99" i="58"/>
  <c r="C98" i="58"/>
  <c r="C97" i="58"/>
  <c r="C96" i="58"/>
  <c r="C95" i="58"/>
  <c r="C94" i="58"/>
  <c r="C93" i="58"/>
  <c r="C92" i="58"/>
  <c r="C91" i="58"/>
  <c r="C90" i="58"/>
  <c r="C89" i="58"/>
  <c r="C88" i="58"/>
  <c r="C87" i="58"/>
  <c r="C86" i="58"/>
  <c r="C85" i="58"/>
  <c r="C84" i="58"/>
  <c r="C83" i="58"/>
  <c r="C82" i="58"/>
  <c r="C81" i="58"/>
  <c r="C80" i="58"/>
  <c r="C79" i="58"/>
  <c r="C78" i="58"/>
  <c r="C77" i="58"/>
  <c r="C76" i="58"/>
  <c r="C75" i="58"/>
  <c r="C74" i="58"/>
  <c r="C73" i="58"/>
  <c r="C72" i="58"/>
  <c r="C71" i="58"/>
  <c r="C70" i="58"/>
  <c r="C69" i="58"/>
  <c r="C68" i="58"/>
  <c r="C67" i="58"/>
  <c r="C66" i="58"/>
  <c r="C65" i="58"/>
  <c r="C64" i="58"/>
  <c r="C63" i="58"/>
  <c r="C62" i="58"/>
  <c r="C61" i="58"/>
  <c r="C60" i="58"/>
  <c r="C59" i="58"/>
  <c r="C58" i="58"/>
  <c r="C57" i="58"/>
  <c r="C56" i="58"/>
  <c r="C55" i="58"/>
  <c r="C54" i="58"/>
  <c r="C53" i="58"/>
  <c r="C52" i="58"/>
  <c r="C51" i="58"/>
  <c r="C50" i="58"/>
  <c r="C49" i="58"/>
  <c r="C48" i="58"/>
  <c r="C47" i="58"/>
  <c r="C46" i="58"/>
  <c r="C45" i="58"/>
  <c r="C44" i="58"/>
  <c r="C43" i="58"/>
  <c r="C42" i="58"/>
  <c r="C41" i="58"/>
  <c r="C40" i="58"/>
  <c r="C39" i="58"/>
  <c r="C38" i="58"/>
  <c r="C37" i="58"/>
  <c r="C35" i="58"/>
  <c r="C34" i="58"/>
  <c r="C33" i="58"/>
  <c r="C32" i="58"/>
  <c r="C31" i="58"/>
  <c r="C30" i="58"/>
  <c r="C29" i="58"/>
  <c r="C28" i="58"/>
  <c r="C27" i="58"/>
  <c r="C26" i="58"/>
  <c r="C25" i="58"/>
  <c r="C24" i="58"/>
  <c r="C23" i="58"/>
  <c r="C22" i="58"/>
  <c r="C21" i="58"/>
  <c r="C20" i="58"/>
  <c r="C19" i="58"/>
  <c r="C18" i="58"/>
  <c r="C17" i="58"/>
  <c r="C16" i="58"/>
  <c r="C15" i="58"/>
  <c r="C14" i="58"/>
  <c r="C13" i="58"/>
  <c r="C12" i="58"/>
  <c r="C11" i="58"/>
  <c r="C10" i="58"/>
  <c r="C9" i="58"/>
  <c r="C8" i="58"/>
  <c r="C7" i="58"/>
  <c r="C6" i="58"/>
  <c r="C5" i="58"/>
  <c r="C4" i="58"/>
  <c r="C3" i="58"/>
  <c r="C2" i="58"/>
  <c r="D381" i="61"/>
  <c r="F38" i="32"/>
  <c r="D25" i="34"/>
  <c r="E68" i="15"/>
  <c r="D30" i="34" s="1"/>
  <c r="E44" i="73"/>
  <c r="J53" i="73"/>
  <c r="I53" i="73"/>
  <c r="J42" i="73"/>
  <c r="I39" i="73"/>
  <c r="M16" i="73"/>
  <c r="F27" i="73"/>
  <c r="F24" i="73"/>
  <c r="F26" i="73"/>
  <c r="E26" i="73" s="1"/>
  <c r="L24" i="73"/>
  <c r="K26" i="73"/>
  <c r="J24" i="73"/>
  <c r="I24" i="73"/>
  <c r="J29" i="73"/>
  <c r="I27" i="73"/>
  <c r="G11" i="73"/>
  <c r="J21" i="73"/>
  <c r="J9" i="73"/>
  <c r="C26" i="26"/>
  <c r="F21" i="26"/>
  <c r="L6" i="26"/>
  <c r="F12" i="26"/>
  <c r="I18" i="26"/>
  <c r="I14" i="26"/>
  <c r="I12" i="26"/>
  <c r="H16" i="26"/>
  <c r="H14" i="26"/>
  <c r="H12" i="26"/>
  <c r="H10" i="26"/>
  <c r="H8" i="26"/>
  <c r="F6" i="26"/>
  <c r="E6" i="26"/>
  <c r="D14" i="26"/>
  <c r="F14" i="26"/>
  <c r="D6" i="26"/>
  <c r="C16" i="26"/>
  <c r="F16" i="26" s="1"/>
  <c r="C8" i="26"/>
  <c r="C18" i="26"/>
  <c r="F18" i="26" s="1"/>
  <c r="K18" i="26" s="1"/>
  <c r="C14" i="26"/>
  <c r="C20" i="26" s="1"/>
  <c r="E10" i="34"/>
  <c r="E15" i="34"/>
  <c r="C10" i="34"/>
  <c r="C15" i="34" s="1"/>
  <c r="F5" i="34"/>
  <c r="E8" i="26"/>
  <c r="E20" i="26" s="1"/>
  <c r="D8" i="26"/>
  <c r="E97" i="73"/>
  <c r="E96" i="73"/>
  <c r="H95" i="73"/>
  <c r="H97" i="73" s="1"/>
  <c r="E95" i="73"/>
  <c r="H90" i="73"/>
  <c r="G90" i="73"/>
  <c r="F90" i="73"/>
  <c r="E89" i="73"/>
  <c r="E88" i="73"/>
  <c r="E87" i="73"/>
  <c r="D85" i="73"/>
  <c r="F82" i="73"/>
  <c r="E82" i="73" s="1"/>
  <c r="H83" i="73"/>
  <c r="G83" i="73"/>
  <c r="G85" i="73" s="1"/>
  <c r="G92" i="73" s="1"/>
  <c r="G98" i="73" s="1"/>
  <c r="F81" i="73"/>
  <c r="F79" i="73"/>
  <c r="E79" i="73" s="1"/>
  <c r="F78" i="73"/>
  <c r="E78" i="73"/>
  <c r="F77" i="73"/>
  <c r="F76" i="73"/>
  <c r="E76" i="73" s="1"/>
  <c r="F75" i="73"/>
  <c r="E75" i="73"/>
  <c r="E74" i="73"/>
  <c r="F73" i="73"/>
  <c r="E73" i="73"/>
  <c r="F72" i="73"/>
  <c r="F83" i="73" s="1"/>
  <c r="F85" i="73" s="1"/>
  <c r="F92" i="73" s="1"/>
  <c r="F98" i="73" s="1"/>
  <c r="F71" i="73"/>
  <c r="G68" i="73"/>
  <c r="F67" i="73"/>
  <c r="F68" i="73" s="1"/>
  <c r="H65" i="73"/>
  <c r="H68" i="73" s="1"/>
  <c r="E65" i="73"/>
  <c r="E68" i="73" s="1"/>
  <c r="G53" i="73"/>
  <c r="G46" i="73"/>
  <c r="F44" i="73"/>
  <c r="F46" i="73" s="1"/>
  <c r="G37" i="73"/>
  <c r="E35" i="73"/>
  <c r="G29" i="73"/>
  <c r="E28" i="73"/>
  <c r="E27" i="73"/>
  <c r="M20" i="73" s="1"/>
  <c r="E25" i="73"/>
  <c r="M18" i="73" s="1"/>
  <c r="E22" i="73"/>
  <c r="M15" i="73"/>
  <c r="G19" i="73"/>
  <c r="G31" i="73" s="1"/>
  <c r="F18" i="73"/>
  <c r="E18" i="73" s="1"/>
  <c r="E17" i="73"/>
  <c r="E16" i="73"/>
  <c r="E15" i="73"/>
  <c r="E13" i="73"/>
  <c r="F12" i="73"/>
  <c r="E12" i="73" s="1"/>
  <c r="F11" i="73"/>
  <c r="E11" i="73" s="1"/>
  <c r="E19" i="73" s="1"/>
  <c r="G55" i="73"/>
  <c r="G57" i="73" s="1"/>
  <c r="H85" i="73"/>
  <c r="H92" i="73" s="1"/>
  <c r="E90" i="73"/>
  <c r="E24" i="73"/>
  <c r="E71" i="73"/>
  <c r="M17" i="73"/>
  <c r="F31" i="66"/>
  <c r="F32" i="66"/>
  <c r="D31" i="66"/>
  <c r="D32" i="66" s="1"/>
  <c r="C31" i="66"/>
  <c r="C32" i="66"/>
  <c r="B31" i="66"/>
  <c r="B32" i="66" s="1"/>
  <c r="E26" i="66"/>
  <c r="E31" i="66"/>
  <c r="E32" i="66" s="1"/>
  <c r="B2" i="72"/>
  <c r="B1" i="72"/>
  <c r="D46" i="49"/>
  <c r="D89" i="49" s="1"/>
  <c r="C46" i="49"/>
  <c r="C89" i="49" s="1"/>
  <c r="D32" i="15"/>
  <c r="C46" i="15"/>
  <c r="E108" i="66"/>
  <c r="E109" i="66" s="1"/>
  <c r="E105" i="66"/>
  <c r="E106" i="66" s="1"/>
  <c r="D108" i="66"/>
  <c r="D109" i="66" s="1"/>
  <c r="D105" i="66"/>
  <c r="D106" i="66" s="1"/>
  <c r="C67" i="66"/>
  <c r="A67" i="66"/>
  <c r="A66" i="66"/>
  <c r="A65" i="66"/>
  <c r="A64" i="66"/>
  <c r="E54" i="66"/>
  <c r="A62" i="65"/>
  <c r="A65" i="65"/>
  <c r="A64" i="65"/>
  <c r="A63" i="65"/>
  <c r="A61" i="65"/>
  <c r="A60" i="65"/>
  <c r="A59" i="65"/>
  <c r="A58" i="65"/>
  <c r="A54" i="65"/>
  <c r="A53" i="65"/>
  <c r="A52" i="65"/>
  <c r="A51" i="65"/>
  <c r="D50" i="65"/>
  <c r="E50" i="65" s="1"/>
  <c r="A50" i="65"/>
  <c r="B46" i="65"/>
  <c r="C46" i="65"/>
  <c r="A46" i="65"/>
  <c r="A48" i="65"/>
  <c r="A47" i="65"/>
  <c r="G71" i="72"/>
  <c r="G70" i="72"/>
  <c r="F69" i="72"/>
  <c r="G69" i="72" s="1"/>
  <c r="D69" i="72"/>
  <c r="G68" i="72"/>
  <c r="D68" i="72"/>
  <c r="G67" i="72"/>
  <c r="G66" i="72"/>
  <c r="G72" i="72" s="1"/>
  <c r="F64" i="72"/>
  <c r="G64" i="72" s="1"/>
  <c r="D64" i="72"/>
  <c r="E26" i="72"/>
  <c r="E27" i="72" s="1"/>
  <c r="C100" i="49"/>
  <c r="D64" i="49"/>
  <c r="C99" i="49"/>
  <c r="C50" i="49"/>
  <c r="D50" i="49"/>
  <c r="E50" i="49"/>
  <c r="E112" i="49"/>
  <c r="E118" i="49"/>
  <c r="E123" i="49"/>
  <c r="E129" i="49"/>
  <c r="B16" i="63"/>
  <c r="B15" i="63"/>
  <c r="E66" i="24"/>
  <c r="E65" i="24"/>
  <c r="E64" i="24"/>
  <c r="E67" i="24" s="1"/>
  <c r="G26" i="26"/>
  <c r="H26" i="26"/>
  <c r="J26" i="26" s="1"/>
  <c r="K26" i="26" s="1"/>
  <c r="L26" i="26"/>
  <c r="F26" i="26"/>
  <c r="F13" i="71"/>
  <c r="D19" i="34"/>
  <c r="F45" i="71"/>
  <c r="F42" i="71"/>
  <c r="F140" i="24"/>
  <c r="F141" i="24" s="1"/>
  <c r="E24" i="31" s="1"/>
  <c r="C28" i="15" s="1"/>
  <c r="D10" i="26"/>
  <c r="F10" i="26" s="1"/>
  <c r="K10" i="26" s="1"/>
  <c r="D9" i="34"/>
  <c r="F9" i="34" s="1"/>
  <c r="G10" i="26"/>
  <c r="G24" i="26"/>
  <c r="G12" i="26"/>
  <c r="L12" i="26" s="1"/>
  <c r="G18" i="26"/>
  <c r="G14" i="26"/>
  <c r="E143" i="70"/>
  <c r="F177" i="70"/>
  <c r="E176" i="70" s="1"/>
  <c r="E170" i="70"/>
  <c r="E173" i="70"/>
  <c r="F174" i="70" s="1"/>
  <c r="C157" i="49" s="1"/>
  <c r="F129" i="70"/>
  <c r="F124" i="70"/>
  <c r="J12" i="26"/>
  <c r="K12" i="26" s="1"/>
  <c r="J10" i="26"/>
  <c r="L10" i="26"/>
  <c r="D24" i="26"/>
  <c r="E140" i="24"/>
  <c r="E141" i="24" s="1"/>
  <c r="D24" i="31" s="1"/>
  <c r="G16" i="26"/>
  <c r="G8" i="26"/>
  <c r="J8" i="26"/>
  <c r="D8" i="34"/>
  <c r="F8" i="34" s="1"/>
  <c r="E94" i="70"/>
  <c r="F95" i="70"/>
  <c r="E90" i="70"/>
  <c r="F91" i="70" s="1"/>
  <c r="E194" i="60"/>
  <c r="H25" i="26"/>
  <c r="F39" i="71"/>
  <c r="D7" i="34"/>
  <c r="C385" i="61"/>
  <c r="C93" i="49"/>
  <c r="D27" i="65" s="1"/>
  <c r="B64" i="65" s="1"/>
  <c r="C64" i="65" s="1"/>
  <c r="D6" i="34"/>
  <c r="F6" i="34" s="1"/>
  <c r="F10" i="34" s="1"/>
  <c r="I55" i="31"/>
  <c r="I53" i="31"/>
  <c r="I46" i="31"/>
  <c r="I45" i="31"/>
  <c r="I37" i="31"/>
  <c r="I36" i="31"/>
  <c r="I30" i="31"/>
  <c r="I29" i="31"/>
  <c r="I28" i="31"/>
  <c r="I26" i="31"/>
  <c r="I17" i="31"/>
  <c r="I16" i="31"/>
  <c r="F10" i="71"/>
  <c r="I25" i="70"/>
  <c r="I24" i="70"/>
  <c r="F6" i="71"/>
  <c r="I26" i="70"/>
  <c r="I28" i="70" s="1"/>
  <c r="I30" i="70" s="1"/>
  <c r="I32" i="70" s="1"/>
  <c r="I34" i="70" s="1"/>
  <c r="F30" i="70"/>
  <c r="D262" i="60"/>
  <c r="C384" i="61"/>
  <c r="E262" i="60" s="1"/>
  <c r="E126" i="24"/>
  <c r="C390" i="61"/>
  <c r="C389" i="61"/>
  <c r="G25" i="26"/>
  <c r="J25" i="26"/>
  <c r="C388" i="61"/>
  <c r="C387" i="61"/>
  <c r="D42" i="49"/>
  <c r="C25" i="26"/>
  <c r="L25" i="26" s="1"/>
  <c r="D93" i="49"/>
  <c r="G27" i="65" s="1"/>
  <c r="C383" i="61"/>
  <c r="E45" i="24" s="1"/>
  <c r="C382" i="61"/>
  <c r="E127" i="24"/>
  <c r="C386" i="61"/>
  <c r="I18" i="70"/>
  <c r="I16" i="70"/>
  <c r="C42" i="49"/>
  <c r="C47" i="49"/>
  <c r="D47" i="49"/>
  <c r="G23" i="65"/>
  <c r="D60" i="65" s="1"/>
  <c r="E60" i="65" s="1"/>
  <c r="D67" i="66"/>
  <c r="E67" i="66" s="1"/>
  <c r="C66" i="66"/>
  <c r="E66" i="66"/>
  <c r="D64" i="65"/>
  <c r="E64" i="65" s="1"/>
  <c r="D23" i="65"/>
  <c r="B60" i="65"/>
  <c r="C60" i="65"/>
  <c r="D380" i="61"/>
  <c r="D379" i="61"/>
  <c r="D378" i="61"/>
  <c r="D3" i="61" s="1"/>
  <c r="C381" i="61"/>
  <c r="C380" i="61"/>
  <c r="C380" i="58"/>
  <c r="C632" i="58" s="1"/>
  <c r="C379" i="61"/>
  <c r="C378" i="61"/>
  <c r="C3" i="61"/>
  <c r="C633" i="58"/>
  <c r="D631" i="58"/>
  <c r="D630" i="58"/>
  <c r="D629" i="58"/>
  <c r="D628" i="58"/>
  <c r="D625" i="58"/>
  <c r="D601" i="58"/>
  <c r="D600" i="58"/>
  <c r="D594" i="58"/>
  <c r="D534" i="58"/>
  <c r="D533" i="58"/>
  <c r="D529" i="58"/>
  <c r="D507" i="58"/>
  <c r="D455" i="58"/>
  <c r="D454" i="58"/>
  <c r="D453" i="58"/>
  <c r="D452" i="58"/>
  <c r="D451" i="58"/>
  <c r="D450" i="58"/>
  <c r="D80" i="49" s="1"/>
  <c r="D449" i="58"/>
  <c r="D78" i="49" s="1"/>
  <c r="D448" i="58"/>
  <c r="D447" i="58"/>
  <c r="D446" i="58"/>
  <c r="D148" i="49" s="1"/>
  <c r="D445" i="58"/>
  <c r="D443" i="58"/>
  <c r="D442" i="58"/>
  <c r="D441" i="58"/>
  <c r="D91" i="49" s="1"/>
  <c r="D440" i="58"/>
  <c r="D90" i="49" s="1"/>
  <c r="D439" i="58"/>
  <c r="D438" i="58"/>
  <c r="D437" i="58"/>
  <c r="D436" i="58"/>
  <c r="D149" i="49" s="1"/>
  <c r="D435" i="58"/>
  <c r="D434" i="58"/>
  <c r="D433" i="58"/>
  <c r="D432" i="58"/>
  <c r="D431" i="58"/>
  <c r="D430" i="58"/>
  <c r="D429" i="58"/>
  <c r="D428" i="58"/>
  <c r="D427" i="58"/>
  <c r="D426" i="58"/>
  <c r="D425" i="58"/>
  <c r="D424" i="58"/>
  <c r="D423" i="58"/>
  <c r="D422" i="58"/>
  <c r="D421" i="58"/>
  <c r="D420" i="58"/>
  <c r="D419" i="58"/>
  <c r="D418" i="58"/>
  <c r="D417" i="58"/>
  <c r="D416" i="58"/>
  <c r="D415" i="58"/>
  <c r="D414" i="58"/>
  <c r="D413" i="58"/>
  <c r="D412" i="58"/>
  <c r="D411" i="58"/>
  <c r="D410" i="58"/>
  <c r="D409" i="58"/>
  <c r="D79" i="49" s="1"/>
  <c r="D408" i="58"/>
  <c r="D407" i="58"/>
  <c r="D406" i="58"/>
  <c r="D405" i="58"/>
  <c r="D12" i="49"/>
  <c r="D404" i="58"/>
  <c r="D10" i="49"/>
  <c r="D403" i="58"/>
  <c r="D8" i="49"/>
  <c r="D402" i="58"/>
  <c r="D401" i="58"/>
  <c r="D399" i="58"/>
  <c r="D98" i="49" s="1"/>
  <c r="D398" i="58"/>
  <c r="D397" i="58"/>
  <c r="D396" i="58"/>
  <c r="D395" i="58"/>
  <c r="D65" i="49" s="1"/>
  <c r="D394" i="58"/>
  <c r="D393" i="58"/>
  <c r="D392" i="58"/>
  <c r="D391" i="58"/>
  <c r="D57" i="49" s="1"/>
  <c r="D390" i="58"/>
  <c r="D56" i="49" s="1"/>
  <c r="D389" i="58"/>
  <c r="D388" i="58"/>
  <c r="D387" i="58"/>
  <c r="D386" i="58"/>
  <c r="D29" i="49" s="1"/>
  <c r="D385" i="58"/>
  <c r="D384" i="58"/>
  <c r="D383" i="58"/>
  <c r="D13" i="49"/>
  <c r="D382" i="58"/>
  <c r="D381" i="58"/>
  <c r="D9" i="49"/>
  <c r="D380" i="58"/>
  <c r="D379" i="58"/>
  <c r="D378" i="58"/>
  <c r="D377" i="58"/>
  <c r="D376" i="58"/>
  <c r="D375" i="58"/>
  <c r="D374" i="58"/>
  <c r="D373" i="58"/>
  <c r="F107" i="24" s="1"/>
  <c r="D372" i="58"/>
  <c r="F128" i="24" s="1"/>
  <c r="D371" i="58"/>
  <c r="D370" i="58"/>
  <c r="D368" i="58"/>
  <c r="F122" i="24" s="1"/>
  <c r="D367" i="58"/>
  <c r="F109" i="24" s="1"/>
  <c r="D366" i="58"/>
  <c r="D365" i="58"/>
  <c r="D364" i="58"/>
  <c r="F118" i="24" s="1"/>
  <c r="D363" i="58"/>
  <c r="F117" i="24" s="1"/>
  <c r="D362" i="58"/>
  <c r="D361" i="58"/>
  <c r="D360" i="58"/>
  <c r="D359" i="58"/>
  <c r="D358" i="58"/>
  <c r="D357" i="58"/>
  <c r="D356" i="58"/>
  <c r="D355" i="58"/>
  <c r="D354" i="58"/>
  <c r="D353" i="58"/>
  <c r="D352" i="58"/>
  <c r="D351" i="58"/>
  <c r="D350" i="58"/>
  <c r="D349" i="58"/>
  <c r="D348" i="58"/>
  <c r="D347" i="58"/>
  <c r="D346" i="58"/>
  <c r="D345" i="58"/>
  <c r="D344" i="58"/>
  <c r="D343" i="58"/>
  <c r="D342" i="58"/>
  <c r="D341" i="58"/>
  <c r="D340" i="58"/>
  <c r="D339" i="58"/>
  <c r="D338" i="58"/>
  <c r="D337" i="58"/>
  <c r="D336" i="58"/>
  <c r="D335" i="58"/>
  <c r="D334" i="58"/>
  <c r="D333" i="58"/>
  <c r="D332" i="58"/>
  <c r="D331" i="58"/>
  <c r="D330" i="58"/>
  <c r="D329" i="58"/>
  <c r="D328" i="58"/>
  <c r="D327" i="58"/>
  <c r="D326" i="58"/>
  <c r="D325" i="58"/>
  <c r="D324" i="58"/>
  <c r="D323" i="58"/>
  <c r="D322" i="58"/>
  <c r="D321" i="58"/>
  <c r="D320" i="58"/>
  <c r="D319" i="58"/>
  <c r="D318" i="58"/>
  <c r="D317" i="58"/>
  <c r="D316" i="58"/>
  <c r="D315" i="58"/>
  <c r="D314" i="58"/>
  <c r="D313" i="58"/>
  <c r="D312" i="58"/>
  <c r="D311" i="58"/>
  <c r="D310" i="58"/>
  <c r="D309" i="58"/>
  <c r="D308" i="58"/>
  <c r="D307" i="58"/>
  <c r="D306" i="58"/>
  <c r="D305" i="58"/>
  <c r="D304" i="58"/>
  <c r="D303" i="58"/>
  <c r="D302" i="58"/>
  <c r="D301" i="58"/>
  <c r="D300" i="58"/>
  <c r="D299" i="58"/>
  <c r="D298" i="58"/>
  <c r="D297" i="58"/>
  <c r="D296" i="58"/>
  <c r="D295" i="58"/>
  <c r="D294" i="58"/>
  <c r="D293" i="58"/>
  <c r="D292" i="58"/>
  <c r="D291" i="58"/>
  <c r="D290" i="58"/>
  <c r="D289" i="58"/>
  <c r="D288" i="58"/>
  <c r="D287" i="58"/>
  <c r="D286" i="58"/>
  <c r="D285" i="58"/>
  <c r="D284" i="58"/>
  <c r="D283" i="58"/>
  <c r="D282" i="58"/>
  <c r="D281" i="58"/>
  <c r="D280" i="58"/>
  <c r="D279" i="58"/>
  <c r="D278" i="58"/>
  <c r="D277" i="58"/>
  <c r="D276" i="58"/>
  <c r="D275" i="58"/>
  <c r="D274" i="58"/>
  <c r="D273" i="58"/>
  <c r="D272" i="58"/>
  <c r="D271" i="58"/>
  <c r="D270" i="58"/>
  <c r="D269" i="58"/>
  <c r="D268" i="58"/>
  <c r="D267" i="58"/>
  <c r="D266" i="58"/>
  <c r="D265" i="58"/>
  <c r="D264" i="58"/>
  <c r="D263" i="58"/>
  <c r="D262" i="58"/>
  <c r="D261" i="58"/>
  <c r="D260" i="58"/>
  <c r="D259" i="58"/>
  <c r="D258" i="58"/>
  <c r="D257" i="58"/>
  <c r="D256" i="58"/>
  <c r="D255" i="58"/>
  <c r="D254" i="58"/>
  <c r="D253" i="58"/>
  <c r="D252" i="58"/>
  <c r="D251" i="58"/>
  <c r="D250" i="58"/>
  <c r="D249" i="58"/>
  <c r="D248" i="58"/>
  <c r="D247" i="58"/>
  <c r="D246" i="58"/>
  <c r="D245" i="58"/>
  <c r="D244" i="58"/>
  <c r="D243" i="58"/>
  <c r="D242" i="58"/>
  <c r="D241" i="58"/>
  <c r="D240" i="58"/>
  <c r="D239" i="58"/>
  <c r="D238" i="58"/>
  <c r="D237" i="58"/>
  <c r="D236" i="58"/>
  <c r="D235" i="58"/>
  <c r="D234" i="58"/>
  <c r="D233" i="58"/>
  <c r="D232" i="58"/>
  <c r="D231" i="58"/>
  <c r="D230" i="58"/>
  <c r="D229" i="58"/>
  <c r="D228" i="58"/>
  <c r="D227" i="58"/>
  <c r="D226" i="58"/>
  <c r="D225" i="58"/>
  <c r="D224" i="58"/>
  <c r="D223" i="58"/>
  <c r="D222" i="58"/>
  <c r="D221" i="58"/>
  <c r="D220" i="58"/>
  <c r="D219" i="58"/>
  <c r="D218" i="58"/>
  <c r="D217" i="58"/>
  <c r="D216" i="58"/>
  <c r="D215" i="58"/>
  <c r="D214" i="58"/>
  <c r="D213" i="58"/>
  <c r="D212" i="58"/>
  <c r="D211" i="58"/>
  <c r="D210" i="58"/>
  <c r="D209" i="58"/>
  <c r="D208" i="58"/>
  <c r="D207" i="58"/>
  <c r="D206" i="58"/>
  <c r="D205" i="58"/>
  <c r="D204" i="58"/>
  <c r="D203" i="58"/>
  <c r="D202" i="58"/>
  <c r="D201" i="58"/>
  <c r="D200" i="58"/>
  <c r="D199" i="58"/>
  <c r="D198" i="58"/>
  <c r="D197" i="58"/>
  <c r="D196" i="58"/>
  <c r="D195" i="58"/>
  <c r="D194" i="58"/>
  <c r="D193" i="58"/>
  <c r="D192" i="58"/>
  <c r="D191" i="58"/>
  <c r="D190" i="58"/>
  <c r="D189" i="58"/>
  <c r="D188" i="58"/>
  <c r="D187" i="58"/>
  <c r="D186" i="58"/>
  <c r="D185" i="58"/>
  <c r="D184" i="58"/>
  <c r="D183" i="58"/>
  <c r="D182" i="58"/>
  <c r="D181" i="58"/>
  <c r="D180" i="58"/>
  <c r="D179" i="58"/>
  <c r="D178" i="58"/>
  <c r="D177" i="58"/>
  <c r="D176" i="58"/>
  <c r="D175" i="58"/>
  <c r="D174" i="58"/>
  <c r="D173" i="58"/>
  <c r="D172" i="58"/>
  <c r="D171" i="58"/>
  <c r="D170" i="58"/>
  <c r="D169" i="58"/>
  <c r="D168" i="58"/>
  <c r="D167" i="58"/>
  <c r="D166" i="58"/>
  <c r="D165" i="58"/>
  <c r="D164" i="58"/>
  <c r="D163" i="58"/>
  <c r="D162" i="58"/>
  <c r="D161" i="58"/>
  <c r="D160" i="58"/>
  <c r="D159" i="58"/>
  <c r="D158" i="58"/>
  <c r="D157" i="58"/>
  <c r="D156" i="58"/>
  <c r="D155" i="58"/>
  <c r="D154" i="58"/>
  <c r="D153" i="58"/>
  <c r="D152" i="58"/>
  <c r="D151" i="58"/>
  <c r="D150" i="58"/>
  <c r="D149" i="58"/>
  <c r="D148" i="58"/>
  <c r="D147" i="58"/>
  <c r="D146" i="58"/>
  <c r="D145" i="58"/>
  <c r="D144" i="58"/>
  <c r="D143" i="58"/>
  <c r="D142" i="58"/>
  <c r="D141" i="58"/>
  <c r="D140" i="58"/>
  <c r="D139" i="58"/>
  <c r="D138" i="58"/>
  <c r="D137" i="58"/>
  <c r="D136" i="58"/>
  <c r="D135" i="58"/>
  <c r="D134" i="58"/>
  <c r="D133" i="58"/>
  <c r="D132" i="58"/>
  <c r="D131" i="58"/>
  <c r="D130" i="58"/>
  <c r="D129" i="58"/>
  <c r="D128" i="58"/>
  <c r="D127" i="58"/>
  <c r="D126" i="58"/>
  <c r="D125" i="58"/>
  <c r="D124" i="58"/>
  <c r="D123" i="58"/>
  <c r="D122" i="58"/>
  <c r="D121" i="58"/>
  <c r="D120" i="58"/>
  <c r="D119" i="58"/>
  <c r="D118" i="58"/>
  <c r="D117" i="58"/>
  <c r="D116" i="58"/>
  <c r="D115" i="58"/>
  <c r="D114" i="58"/>
  <c r="D113" i="58"/>
  <c r="D112" i="58"/>
  <c r="D111" i="58"/>
  <c r="D110" i="58"/>
  <c r="D109" i="58"/>
  <c r="D108" i="58"/>
  <c r="D107" i="58"/>
  <c r="D106" i="58"/>
  <c r="D105" i="58"/>
  <c r="D104" i="58"/>
  <c r="D103" i="58"/>
  <c r="D102" i="58"/>
  <c r="D101" i="58"/>
  <c r="D100" i="58"/>
  <c r="D99" i="58"/>
  <c r="D98" i="58"/>
  <c r="D97" i="58"/>
  <c r="D96" i="58"/>
  <c r="D95" i="58"/>
  <c r="D94" i="58"/>
  <c r="D93" i="58"/>
  <c r="D92" i="58"/>
  <c r="D91" i="58"/>
  <c r="F96" i="24" s="1"/>
  <c r="D90" i="58"/>
  <c r="D89" i="58"/>
  <c r="D88" i="58"/>
  <c r="D87" i="58"/>
  <c r="F95" i="24" s="1"/>
  <c r="D86" i="58"/>
  <c r="D85" i="58"/>
  <c r="D84" i="58"/>
  <c r="F94" i="24" s="1"/>
  <c r="D83" i="58"/>
  <c r="F93" i="24" s="1"/>
  <c r="D82" i="58"/>
  <c r="D81" i="58"/>
  <c r="D80" i="58"/>
  <c r="D79" i="58"/>
  <c r="F92" i="24" s="1"/>
  <c r="D78" i="58"/>
  <c r="D77" i="58"/>
  <c r="D76" i="58"/>
  <c r="D75" i="58"/>
  <c r="F91" i="24" s="1"/>
  <c r="D74" i="58"/>
  <c r="D73" i="58"/>
  <c r="D72" i="58"/>
  <c r="F90" i="24" s="1"/>
  <c r="F99" i="24" s="1"/>
  <c r="F100" i="24" s="1"/>
  <c r="D71" i="58"/>
  <c r="D70" i="58"/>
  <c r="D69" i="58"/>
  <c r="D68" i="58"/>
  <c r="D67" i="58"/>
  <c r="F88" i="24" s="1"/>
  <c r="D66" i="58"/>
  <c r="D65" i="58"/>
  <c r="D64" i="58"/>
  <c r="F84" i="24" s="1"/>
  <c r="D63" i="58"/>
  <c r="F76" i="24" s="1"/>
  <c r="D62" i="58"/>
  <c r="D61" i="58"/>
  <c r="D60" i="58"/>
  <c r="F72" i="24" s="1"/>
  <c r="D59" i="58"/>
  <c r="F59" i="24" s="1"/>
  <c r="D58" i="58"/>
  <c r="D57" i="58"/>
  <c r="D56" i="58"/>
  <c r="D55" i="58"/>
  <c r="D54" i="58"/>
  <c r="D53" i="58"/>
  <c r="D52" i="58"/>
  <c r="D51" i="58"/>
  <c r="F53" i="24" s="1"/>
  <c r="D50" i="58"/>
  <c r="D49" i="58"/>
  <c r="D48" i="58"/>
  <c r="F15" i="24" s="1"/>
  <c r="D47" i="58"/>
  <c r="F46" i="24" s="1"/>
  <c r="D46" i="58"/>
  <c r="D45" i="58"/>
  <c r="D44" i="58"/>
  <c r="F42" i="24" s="1"/>
  <c r="D43" i="58"/>
  <c r="F41" i="24" s="1"/>
  <c r="D42" i="58"/>
  <c r="D41" i="58"/>
  <c r="D40" i="58"/>
  <c r="F16" i="24" s="1"/>
  <c r="D39" i="58"/>
  <c r="D38" i="58"/>
  <c r="D37" i="58"/>
  <c r="D35" i="58"/>
  <c r="F37" i="24" s="1"/>
  <c r="D34" i="58"/>
  <c r="D33" i="58"/>
  <c r="D32" i="58"/>
  <c r="D31" i="58"/>
  <c r="D30" i="58"/>
  <c r="D29" i="58"/>
  <c r="D28" i="58"/>
  <c r="D27" i="58"/>
  <c r="D26" i="58"/>
  <c r="D25" i="58"/>
  <c r="D24" i="58"/>
  <c r="D23" i="58"/>
  <c r="D22" i="58"/>
  <c r="D21" i="58"/>
  <c r="D20" i="58"/>
  <c r="D19" i="58"/>
  <c r="D18" i="58"/>
  <c r="D17" i="58"/>
  <c r="D16" i="58"/>
  <c r="D15" i="58"/>
  <c r="D14" i="58"/>
  <c r="D13" i="58"/>
  <c r="D12" i="58"/>
  <c r="D11" i="58"/>
  <c r="D10" i="58"/>
  <c r="D9" i="58"/>
  <c r="D8" i="58"/>
  <c r="D7" i="58"/>
  <c r="D6" i="58"/>
  <c r="D5" i="58"/>
  <c r="D4" i="58"/>
  <c r="D3" i="58"/>
  <c r="D2" i="58"/>
  <c r="D632" i="58" s="1"/>
  <c r="E16" i="72"/>
  <c r="E17" i="72" s="1"/>
  <c r="D25" i="49"/>
  <c r="D26" i="49" s="1"/>
  <c r="D27" i="49"/>
  <c r="D263" i="60"/>
  <c r="D254" i="60"/>
  <c r="D157" i="60"/>
  <c r="D259" i="60"/>
  <c r="D122" i="60"/>
  <c r="D249" i="60"/>
  <c r="D270" i="60"/>
  <c r="D275" i="60"/>
  <c r="D274" i="60"/>
  <c r="D92" i="60"/>
  <c r="D246" i="60"/>
  <c r="D83" i="60"/>
  <c r="D84" i="60" s="1"/>
  <c r="D82" i="60"/>
  <c r="D251" i="60"/>
  <c r="D23" i="60"/>
  <c r="D230" i="60"/>
  <c r="D241" i="60"/>
  <c r="D171" i="60"/>
  <c r="D265" i="60"/>
  <c r="D234" i="60"/>
  <c r="D224" i="60"/>
  <c r="D172" i="60"/>
  <c r="D111" i="60"/>
  <c r="D116" i="60"/>
  <c r="D104" i="60"/>
  <c r="D90" i="60"/>
  <c r="D293" i="60"/>
  <c r="D289" i="60"/>
  <c r="D288" i="60"/>
  <c r="D276" i="60"/>
  <c r="D186" i="60"/>
  <c r="D193" i="60"/>
  <c r="D185" i="60"/>
  <c r="D184" i="60"/>
  <c r="D183" i="60"/>
  <c r="D182" i="60"/>
  <c r="D181" i="60"/>
  <c r="D180" i="60"/>
  <c r="D179" i="60"/>
  <c r="D177" i="60"/>
  <c r="D178" i="60"/>
  <c r="D227" i="60"/>
  <c r="D248" i="60"/>
  <c r="D222" i="60"/>
  <c r="D205" i="60"/>
  <c r="D235" i="60"/>
  <c r="D272" i="60"/>
  <c r="D77" i="60"/>
  <c r="D238" i="60"/>
  <c r="D237" i="60"/>
  <c r="D271" i="60"/>
  <c r="D269" i="60"/>
  <c r="D105" i="60"/>
  <c r="D268" i="60"/>
  <c r="D267" i="60"/>
  <c r="D264" i="60"/>
  <c r="D215" i="60"/>
  <c r="D240" i="60"/>
  <c r="D214" i="60"/>
  <c r="D126" i="60"/>
  <c r="D218" i="60"/>
  <c r="D266" i="60"/>
  <c r="D169" i="60"/>
  <c r="D110" i="60"/>
  <c r="D108" i="60"/>
  <c r="D119" i="60"/>
  <c r="D258" i="60"/>
  <c r="D256" i="60"/>
  <c r="D125" i="60"/>
  <c r="D245" i="60"/>
  <c r="D247" i="60"/>
  <c r="D221" i="60"/>
  <c r="D231" i="60"/>
  <c r="D135" i="60"/>
  <c r="D134" i="60"/>
  <c r="D225" i="60"/>
  <c r="D124" i="60"/>
  <c r="D113" i="60"/>
  <c r="D148" i="60"/>
  <c r="D143" i="60"/>
  <c r="D153" i="60"/>
  <c r="D159" i="60"/>
  <c r="D158" i="60"/>
  <c r="D156" i="60"/>
  <c r="D155" i="60"/>
  <c r="D152" i="60"/>
  <c r="D151" i="60"/>
  <c r="D150" i="60"/>
  <c r="D144" i="60"/>
  <c r="D142" i="60"/>
  <c r="D141" i="60"/>
  <c r="D109" i="60"/>
  <c r="D139" i="60"/>
  <c r="D11" i="60"/>
  <c r="D10" i="60"/>
  <c r="D273" i="60"/>
  <c r="D244" i="60"/>
  <c r="D170" i="60"/>
  <c r="D219" i="60"/>
  <c r="D115" i="60"/>
  <c r="D120" i="60"/>
  <c r="D220" i="60"/>
  <c r="D117" i="60"/>
  <c r="D118" i="60"/>
  <c r="D255" i="60"/>
  <c r="D253" i="60"/>
  <c r="D98" i="60"/>
  <c r="D99" i="60"/>
  <c r="D100" i="60"/>
  <c r="D102" i="60"/>
  <c r="D101" i="60"/>
  <c r="D121" i="60"/>
  <c r="D277" i="60"/>
  <c r="D81" i="60"/>
  <c r="D232" i="60"/>
  <c r="D80" i="60"/>
  <c r="D76" i="60"/>
  <c r="D91" i="60" s="1"/>
  <c r="D87" i="60"/>
  <c r="D250" i="60"/>
  <c r="D86" i="60"/>
  <c r="D73" i="60"/>
  <c r="D72" i="60"/>
  <c r="D71" i="60"/>
  <c r="D41" i="60"/>
  <c r="D53" i="60"/>
  <c r="D54" i="60"/>
  <c r="D51" i="60"/>
  <c r="D50" i="60"/>
  <c r="D49" i="60"/>
  <c r="D48" i="60"/>
  <c r="D47" i="60"/>
  <c r="D22" i="60"/>
  <c r="D46" i="60"/>
  <c r="D40" i="60"/>
  <c r="D39" i="60"/>
  <c r="D38" i="60"/>
  <c r="D37" i="60"/>
  <c r="D35" i="60"/>
  <c r="D34" i="60"/>
  <c r="D33" i="60"/>
  <c r="D32" i="60"/>
  <c r="D31" i="60"/>
  <c r="D30" i="60"/>
  <c r="D29" i="60"/>
  <c r="D28" i="60"/>
  <c r="D27" i="60"/>
  <c r="D26" i="60"/>
  <c r="D25" i="60"/>
  <c r="D21" i="60"/>
  <c r="D20" i="60"/>
  <c r="D19" i="60"/>
  <c r="D18" i="60"/>
  <c r="D17" i="60"/>
  <c r="D16" i="60"/>
  <c r="D15" i="60"/>
  <c r="D14" i="60"/>
  <c r="D13" i="60"/>
  <c r="A40" i="63"/>
  <c r="A39" i="63"/>
  <c r="A37" i="63"/>
  <c r="A36" i="63"/>
  <c r="A35" i="63"/>
  <c r="A31" i="63"/>
  <c r="A30" i="63"/>
  <c r="A29" i="63"/>
  <c r="E9" i="63"/>
  <c r="I8" i="63"/>
  <c r="I7" i="63"/>
  <c r="I9" i="63" s="1"/>
  <c r="M45" i="66"/>
  <c r="M46" i="66"/>
  <c r="M47" i="66"/>
  <c r="O48" i="66" s="1"/>
  <c r="M48" i="66"/>
  <c r="N48" i="66" s="1"/>
  <c r="M49" i="66"/>
  <c r="M50" i="66" s="1"/>
  <c r="M51" i="66" s="1"/>
  <c r="N51" i="66" s="1"/>
  <c r="E22" i="63"/>
  <c r="N49" i="66"/>
  <c r="E10" i="26"/>
  <c r="N50" i="66"/>
  <c r="F8" i="26"/>
  <c r="M52" i="66"/>
  <c r="N52" i="66" s="1"/>
  <c r="D20" i="26"/>
  <c r="C35" i="15" s="1"/>
  <c r="C8" i="15"/>
  <c r="C62" i="49"/>
  <c r="C64" i="49"/>
  <c r="B8" i="63"/>
  <c r="G8" i="63" s="1"/>
  <c r="D4" i="23"/>
  <c r="K8" i="26"/>
  <c r="D29" i="26"/>
  <c r="F29" i="26" s="1"/>
  <c r="K29" i="26" s="1"/>
  <c r="D9" i="31" s="1"/>
  <c r="H20" i="26"/>
  <c r="E73" i="60"/>
  <c r="E81" i="60"/>
  <c r="E177" i="60"/>
  <c r="E178" i="60"/>
  <c r="E179" i="60"/>
  <c r="E180" i="60"/>
  <c r="E181" i="60"/>
  <c r="E182" i="60"/>
  <c r="E183" i="60"/>
  <c r="E184" i="60"/>
  <c r="E185" i="60"/>
  <c r="E193" i="60"/>
  <c r="E288" i="60"/>
  <c r="D18" i="34"/>
  <c r="F18" i="34"/>
  <c r="C29" i="49"/>
  <c r="D47" i="66"/>
  <c r="D24" i="49"/>
  <c r="D132" i="49"/>
  <c r="C65" i="49"/>
  <c r="C80" i="49"/>
  <c r="C102" i="49"/>
  <c r="D99" i="49"/>
  <c r="D103" i="49" s="1"/>
  <c r="D102" i="49"/>
  <c r="C54" i="49"/>
  <c r="C55" i="49"/>
  <c r="C56" i="49"/>
  <c r="C61" i="49" s="1"/>
  <c r="C57" i="49"/>
  <c r="C58" i="49"/>
  <c r="C59" i="49"/>
  <c r="D54" i="49"/>
  <c r="D55" i="49"/>
  <c r="D58" i="49"/>
  <c r="D59" i="49"/>
  <c r="D61" i="49" s="1"/>
  <c r="D66" i="49" s="1"/>
  <c r="E43" i="31" s="1"/>
  <c r="I42" i="31"/>
  <c r="F52" i="24"/>
  <c r="F54" i="24"/>
  <c r="F55" i="24"/>
  <c r="F56" i="24"/>
  <c r="F57" i="24"/>
  <c r="F60" i="24"/>
  <c r="E52" i="24"/>
  <c r="E53" i="24"/>
  <c r="E54" i="24"/>
  <c r="E55" i="24"/>
  <c r="E56" i="24"/>
  <c r="E57" i="24"/>
  <c r="E60" i="24"/>
  <c r="E59" i="24"/>
  <c r="F73" i="24"/>
  <c r="F74" i="24"/>
  <c r="E72" i="24"/>
  <c r="E74" i="24"/>
  <c r="E75" i="24" s="1"/>
  <c r="E79" i="24" s="1"/>
  <c r="E73" i="24"/>
  <c r="F106" i="24"/>
  <c r="G18" i="65"/>
  <c r="D54" i="65"/>
  <c r="E54" i="65" s="1"/>
  <c r="E106" i="24"/>
  <c r="D16" i="65" s="1"/>
  <c r="B52" i="65" s="1"/>
  <c r="C52" i="65" s="1"/>
  <c r="E107" i="24"/>
  <c r="E110" i="24" s="1"/>
  <c r="D22" i="31" s="1"/>
  <c r="D18" i="65"/>
  <c r="B54" i="65" s="1"/>
  <c r="C54" i="65" s="1"/>
  <c r="E109" i="24"/>
  <c r="F108" i="24"/>
  <c r="G17" i="65" s="1"/>
  <c r="D51" i="65" s="1"/>
  <c r="E51" i="65"/>
  <c r="F115" i="24"/>
  <c r="F116" i="24"/>
  <c r="F119" i="24"/>
  <c r="F120" i="24"/>
  <c r="F124" i="24"/>
  <c r="F125" i="24"/>
  <c r="E108" i="24"/>
  <c r="E115" i="24"/>
  <c r="E116" i="24"/>
  <c r="E117" i="24"/>
  <c r="E118" i="24"/>
  <c r="E119" i="24"/>
  <c r="E120" i="24"/>
  <c r="E122" i="24"/>
  <c r="E124" i="24"/>
  <c r="E125" i="24"/>
  <c r="E128" i="24"/>
  <c r="F23" i="24"/>
  <c r="F17" i="24"/>
  <c r="G13" i="65"/>
  <c r="E17" i="24"/>
  <c r="B48" i="65"/>
  <c r="E15" i="24"/>
  <c r="B47" i="65" s="1"/>
  <c r="F38" i="24"/>
  <c r="F39" i="24"/>
  <c r="F40" i="24"/>
  <c r="F48" i="24" s="1"/>
  <c r="E14" i="31" s="1"/>
  <c r="F43" i="24"/>
  <c r="F44" i="24"/>
  <c r="E37" i="24"/>
  <c r="E38" i="24"/>
  <c r="E39" i="24"/>
  <c r="E40" i="24"/>
  <c r="E16" i="24"/>
  <c r="D12" i="65"/>
  <c r="B50" i="65" s="1"/>
  <c r="C50" i="65" s="1"/>
  <c r="E41" i="24"/>
  <c r="E42" i="24"/>
  <c r="E43" i="24"/>
  <c r="E44" i="24"/>
  <c r="E46" i="24"/>
  <c r="C74" i="49"/>
  <c r="C75" i="49"/>
  <c r="C76" i="49"/>
  <c r="C78" i="49"/>
  <c r="C79" i="49"/>
  <c r="C52" i="66"/>
  <c r="E52" i="66" s="1"/>
  <c r="C92" i="49"/>
  <c r="C81" i="49"/>
  <c r="C90" i="49"/>
  <c r="C94" i="49" s="1"/>
  <c r="C91" i="49"/>
  <c r="D74" i="49"/>
  <c r="D75" i="49"/>
  <c r="D85" i="49" s="1"/>
  <c r="D76" i="49"/>
  <c r="D92" i="49"/>
  <c r="D81" i="49"/>
  <c r="C134" i="49"/>
  <c r="C135" i="49"/>
  <c r="C137" i="49"/>
  <c r="C139" i="49"/>
  <c r="C140" i="49"/>
  <c r="C141" i="49"/>
  <c r="C142" i="49"/>
  <c r="C143" i="49"/>
  <c r="C144" i="49"/>
  <c r="C145" i="49"/>
  <c r="C146" i="49"/>
  <c r="C147" i="49"/>
  <c r="C148" i="49"/>
  <c r="C149" i="49"/>
  <c r="C150" i="49"/>
  <c r="C151" i="49"/>
  <c r="C152" i="49"/>
  <c r="C153" i="49"/>
  <c r="C154" i="49"/>
  <c r="C158" i="49"/>
  <c r="C159" i="49"/>
  <c r="D134" i="49"/>
  <c r="D135" i="49"/>
  <c r="D137" i="49"/>
  <c r="D138" i="49"/>
  <c r="D155" i="49" s="1"/>
  <c r="D139" i="49"/>
  <c r="D140" i="49"/>
  <c r="D141" i="49"/>
  <c r="D142" i="49"/>
  <c r="D143" i="49"/>
  <c r="D144" i="49"/>
  <c r="D145" i="49"/>
  <c r="D146" i="49"/>
  <c r="D147" i="49"/>
  <c r="D150" i="49"/>
  <c r="D151" i="49"/>
  <c r="D152" i="49"/>
  <c r="D153" i="49"/>
  <c r="D158" i="49"/>
  <c r="F8" i="24"/>
  <c r="F11" i="24" s="1"/>
  <c r="F89" i="24"/>
  <c r="F97" i="24"/>
  <c r="F98" i="24"/>
  <c r="E8" i="24"/>
  <c r="E11" i="24"/>
  <c r="D11" i="31"/>
  <c r="D22" i="54"/>
  <c r="D23" i="54"/>
  <c r="C8" i="49"/>
  <c r="C10" i="49"/>
  <c r="C12" i="49"/>
  <c r="C9" i="49"/>
  <c r="C13" i="49"/>
  <c r="E11" i="48"/>
  <c r="E12" i="48" s="1"/>
  <c r="C36" i="15"/>
  <c r="L29" i="26"/>
  <c r="E9" i="31" s="1"/>
  <c r="E61" i="66"/>
  <c r="F6" i="60"/>
  <c r="G12" i="48"/>
  <c r="G61" i="24"/>
  <c r="J6" i="26"/>
  <c r="J14" i="26"/>
  <c r="J16" i="26"/>
  <c r="K16" i="26" s="1"/>
  <c r="J18" i="26"/>
  <c r="F24" i="26"/>
  <c r="J24" i="26"/>
  <c r="K24" i="26" s="1"/>
  <c r="G49" i="32"/>
  <c r="G44" i="32"/>
  <c r="G38" i="32"/>
  <c r="F44" i="32"/>
  <c r="F48" i="32"/>
  <c r="F49" i="32"/>
  <c r="F46" i="32"/>
  <c r="F45" i="32"/>
  <c r="F40" i="32"/>
  <c r="F39" i="32"/>
  <c r="B36" i="34"/>
  <c r="B35" i="34"/>
  <c r="B33" i="34"/>
  <c r="B32" i="34"/>
  <c r="B31" i="34"/>
  <c r="B27" i="34"/>
  <c r="B26" i="34"/>
  <c r="B25" i="34"/>
  <c r="E64" i="15"/>
  <c r="C40" i="23"/>
  <c r="B40" i="23"/>
  <c r="I50" i="66"/>
  <c r="I51" i="66"/>
  <c r="F42" i="15"/>
  <c r="E98" i="66"/>
  <c r="E91" i="66"/>
  <c r="E78" i="66"/>
  <c r="E77" i="66"/>
  <c r="E76" i="66"/>
  <c r="E72" i="66"/>
  <c r="E73" i="66"/>
  <c r="E74" i="66"/>
  <c r="E79" i="66" s="1"/>
  <c r="E75" i="66"/>
  <c r="D79" i="66"/>
  <c r="B19" i="65"/>
  <c r="C19" i="65"/>
  <c r="G55" i="65"/>
  <c r="F55" i="65"/>
  <c r="I29" i="65"/>
  <c r="H29" i="65"/>
  <c r="I19" i="65"/>
  <c r="H19" i="65"/>
  <c r="F19" i="65"/>
  <c r="E19" i="65"/>
  <c r="C79" i="66"/>
  <c r="F66" i="65"/>
  <c r="J19" i="65"/>
  <c r="G66" i="65"/>
  <c r="J29" i="65"/>
  <c r="H22" i="48"/>
  <c r="G22" i="48"/>
  <c r="F22" i="48"/>
  <c r="E22" i="48"/>
  <c r="C22" i="48"/>
  <c r="D22" i="48"/>
  <c r="F16" i="34"/>
  <c r="F14" i="34"/>
  <c r="F13" i="34"/>
  <c r="D15" i="67"/>
  <c r="F11" i="34"/>
  <c r="F26" i="15"/>
  <c r="F15" i="15"/>
  <c r="E161" i="49"/>
  <c r="E85" i="49"/>
  <c r="E66" i="49"/>
  <c r="E14" i="49"/>
  <c r="G29" i="48"/>
  <c r="H29" i="48"/>
  <c r="H32" i="48" s="1"/>
  <c r="G110" i="24"/>
  <c r="G129" i="24"/>
  <c r="G99" i="24"/>
  <c r="G77" i="24"/>
  <c r="G79" i="24"/>
  <c r="G11" i="24"/>
  <c r="G19" i="24"/>
  <c r="G24" i="24"/>
  <c r="G48" i="24"/>
  <c r="E103" i="49"/>
  <c r="F23" i="31"/>
  <c r="F25" i="31" s="1"/>
  <c r="F33" i="31"/>
  <c r="F52" i="31"/>
  <c r="F54" i="31" s="1"/>
  <c r="F56" i="31" s="1"/>
  <c r="F44" i="31"/>
  <c r="F15" i="31"/>
  <c r="E6" i="60"/>
  <c r="E66" i="60" s="1"/>
  <c r="E97" i="60" s="1"/>
  <c r="E130" i="60" s="1"/>
  <c r="E138" i="60" s="1"/>
  <c r="E165" i="60" s="1"/>
  <c r="E211" i="60" s="1"/>
  <c r="E201" i="60" s="1"/>
  <c r="E176" i="60" s="1"/>
  <c r="E192" i="60" s="1"/>
  <c r="E284" i="60" s="1"/>
  <c r="B1" i="15"/>
  <c r="L8" i="26"/>
  <c r="F49" i="15"/>
  <c r="L16" i="26"/>
  <c r="F11" i="48"/>
  <c r="F12" i="48" s="1"/>
  <c r="C11" i="54"/>
  <c r="L24" i="26"/>
  <c r="E8" i="31"/>
  <c r="I8" i="31" s="1"/>
  <c r="C6" i="60"/>
  <c r="D66" i="60" s="1"/>
  <c r="D97" i="60" s="1"/>
  <c r="D130" i="60" s="1"/>
  <c r="D138" i="60" s="1"/>
  <c r="D165" i="60" s="1"/>
  <c r="D211" i="60" s="1"/>
  <c r="D201" i="60" s="1"/>
  <c r="D176" i="60" s="1"/>
  <c r="D192" i="60" s="1"/>
  <c r="D284" i="60" s="1"/>
  <c r="F3" i="60"/>
  <c r="C1" i="60"/>
  <c r="R12" i="54"/>
  <c r="S12" i="54" s="1"/>
  <c r="D59" i="15"/>
  <c r="D61" i="15"/>
  <c r="E52" i="15" s="1"/>
  <c r="Q38" i="52"/>
  <c r="B64" i="15"/>
  <c r="B65" i="15"/>
  <c r="B66" i="15"/>
  <c r="B70" i="15"/>
  <c r="B71" i="15"/>
  <c r="B72" i="15"/>
  <c r="E72" i="15"/>
  <c r="D35" i="34"/>
  <c r="B74" i="15"/>
  <c r="B75" i="15"/>
  <c r="B53" i="23"/>
  <c r="D44" i="23"/>
  <c r="F3" i="34"/>
  <c r="L3" i="26"/>
  <c r="B1" i="26"/>
  <c r="B1" i="34"/>
  <c r="D4" i="49"/>
  <c r="D22" i="49"/>
  <c r="D40" i="49" s="1"/>
  <c r="D52" i="49" s="1"/>
  <c r="C4" i="49"/>
  <c r="C22" i="49" s="1"/>
  <c r="C40" i="49" s="1"/>
  <c r="C52" i="49"/>
  <c r="B4" i="49"/>
  <c r="B22" i="49" s="1"/>
  <c r="B40" i="49" s="1"/>
  <c r="B52" i="49" s="1"/>
  <c r="D3" i="49"/>
  <c r="B1" i="49"/>
  <c r="B4" i="48"/>
  <c r="F3" i="48"/>
  <c r="F4" i="48"/>
  <c r="E19" i="48"/>
  <c r="E26" i="48" s="1"/>
  <c r="E4" i="48"/>
  <c r="C19" i="48" s="1"/>
  <c r="C26" i="48" s="1"/>
  <c r="B1" i="48"/>
  <c r="E29" i="48"/>
  <c r="E32" i="48" s="1"/>
  <c r="C29" i="48"/>
  <c r="C32" i="48" s="1"/>
  <c r="B1" i="24"/>
  <c r="B1" i="23"/>
  <c r="F3" i="24"/>
  <c r="F4" i="24"/>
  <c r="F13" i="24"/>
  <c r="F21" i="24" s="1"/>
  <c r="F35" i="24" s="1"/>
  <c r="F50" i="24" s="1"/>
  <c r="F69" i="24" s="1"/>
  <c r="F81" i="24" s="1"/>
  <c r="F102" i="24" s="1"/>
  <c r="F112" i="24" s="1"/>
  <c r="F138" i="24" s="1"/>
  <c r="E4" i="24"/>
  <c r="E13" i="24" s="1"/>
  <c r="E21" i="24" s="1"/>
  <c r="E35" i="24" s="1"/>
  <c r="E50" i="24" s="1"/>
  <c r="E69" i="24" s="1"/>
  <c r="E81" i="24" s="1"/>
  <c r="E102" i="24" s="1"/>
  <c r="E112" i="24" s="1"/>
  <c r="E138" i="24" s="1"/>
  <c r="D4" i="24"/>
  <c r="D13" i="24"/>
  <c r="D21" i="24" s="1"/>
  <c r="D35" i="24" s="1"/>
  <c r="D50" i="24" s="1"/>
  <c r="D69" i="24" s="1"/>
  <c r="D81" i="24" s="1"/>
  <c r="D102" i="24" s="1"/>
  <c r="D112" i="24" s="1"/>
  <c r="D138" i="24" s="1"/>
  <c r="C4" i="23"/>
  <c r="B41" i="23"/>
  <c r="D52" i="23"/>
  <c r="D48" i="23"/>
  <c r="B54" i="23"/>
  <c r="B52" i="23"/>
  <c r="B51" i="23"/>
  <c r="B50" i="23"/>
  <c r="B46" i="23"/>
  <c r="B45" i="23"/>
  <c r="B44" i="23"/>
  <c r="E3" i="23"/>
  <c r="L14" i="26"/>
  <c r="L20" i="26" s="1"/>
  <c r="E7" i="31" s="1"/>
  <c r="I7" i="31" s="1"/>
  <c r="I20" i="26"/>
  <c r="G20" i="26"/>
  <c r="L18" i="26"/>
  <c r="B4" i="23"/>
  <c r="H154" i="49"/>
  <c r="E165" i="49"/>
  <c r="E62" i="66"/>
  <c r="C21" i="34"/>
  <c r="F11" i="15"/>
  <c r="D71" i="49"/>
  <c r="D87" i="49" s="1"/>
  <c r="D96" i="49" s="1"/>
  <c r="D105" i="49" s="1"/>
  <c r="C71" i="49"/>
  <c r="C87" i="49" s="1"/>
  <c r="C96" i="49" s="1"/>
  <c r="C105" i="49" s="1"/>
  <c r="C14" i="15"/>
  <c r="C48" i="15" s="1"/>
  <c r="D94" i="49"/>
  <c r="E49" i="31" s="1"/>
  <c r="E50" i="73" s="1"/>
  <c r="F16" i="15"/>
  <c r="F31" i="15" s="1"/>
  <c r="F33" i="15" s="1"/>
  <c r="G28" i="65"/>
  <c r="D65" i="65" s="1"/>
  <c r="E65" i="65" s="1"/>
  <c r="C64" i="66"/>
  <c r="E64" i="66" s="1"/>
  <c r="G26" i="65"/>
  <c r="D63" i="65" s="1"/>
  <c r="E63" i="65"/>
  <c r="G22" i="65"/>
  <c r="D59" i="65" s="1"/>
  <c r="E59" i="65" s="1"/>
  <c r="D49" i="31"/>
  <c r="G32" i="48"/>
  <c r="E11" i="31"/>
  <c r="G10" i="65"/>
  <c r="D46" i="65" s="1"/>
  <c r="E47" i="66"/>
  <c r="D60" i="66"/>
  <c r="G47" i="66"/>
  <c r="C65" i="66"/>
  <c r="E65" i="66"/>
  <c r="I9" i="31"/>
  <c r="F24" i="24"/>
  <c r="E13" i="31" s="1"/>
  <c r="I13" i="31" s="1"/>
  <c r="E29" i="24"/>
  <c r="D13" i="72"/>
  <c r="D34" i="72" s="1"/>
  <c r="C11" i="49"/>
  <c r="C7" i="49"/>
  <c r="C14" i="49" s="1"/>
  <c r="C15" i="49" s="1"/>
  <c r="C132" i="49"/>
  <c r="C27" i="49"/>
  <c r="C48" i="66" s="1"/>
  <c r="C25" i="49"/>
  <c r="C24" i="49"/>
  <c r="C26" i="49" s="1"/>
  <c r="D77" i="49"/>
  <c r="G25" i="65" s="1"/>
  <c r="C133" i="49"/>
  <c r="C77" i="49"/>
  <c r="D25" i="65" s="1"/>
  <c r="D41" i="31"/>
  <c r="E41" i="31"/>
  <c r="E43" i="73"/>
  <c r="D26" i="65"/>
  <c r="E50" i="31"/>
  <c r="I50" i="31" s="1"/>
  <c r="I47" i="31"/>
  <c r="D22" i="65"/>
  <c r="B59" i="65" s="1"/>
  <c r="C59" i="65" s="1"/>
  <c r="F129" i="24"/>
  <c r="E76" i="24"/>
  <c r="E58" i="24"/>
  <c r="E19" i="24"/>
  <c r="D12" i="31" s="1"/>
  <c r="D11" i="65"/>
  <c r="F27" i="31"/>
  <c r="K6" i="26"/>
  <c r="E278" i="60"/>
  <c r="C47" i="15"/>
  <c r="C20" i="54" s="1"/>
  <c r="D20" i="54" s="1"/>
  <c r="C15" i="67"/>
  <c r="F81" i="60"/>
  <c r="F293" i="60"/>
  <c r="E35" i="23" s="1"/>
  <c r="E37" i="23" s="1"/>
  <c r="F289" i="60"/>
  <c r="F290" i="60"/>
  <c r="E13" i="72" s="1"/>
  <c r="E34" i="72" s="1"/>
  <c r="F77" i="60"/>
  <c r="F76" i="60"/>
  <c r="C9" i="54"/>
  <c r="D9" i="54"/>
  <c r="C15" i="15"/>
  <c r="C40" i="15" s="1"/>
  <c r="C22" i="54"/>
  <c r="C37" i="15"/>
  <c r="E15" i="49"/>
  <c r="E21" i="49"/>
  <c r="D48" i="65"/>
  <c r="E48" i="65"/>
  <c r="D13" i="65"/>
  <c r="F20" i="26"/>
  <c r="F31" i="26"/>
  <c r="K14" i="26"/>
  <c r="E97" i="24"/>
  <c r="E93" i="24"/>
  <c r="E91" i="24"/>
  <c r="E89" i="24"/>
  <c r="E94" i="24"/>
  <c r="E90" i="24"/>
  <c r="E84" i="24"/>
  <c r="C56" i="15" s="1"/>
  <c r="E96" i="24"/>
  <c r="E95" i="24"/>
  <c r="E92" i="24"/>
  <c r="E88" i="24"/>
  <c r="D28" i="65"/>
  <c r="C53" i="66" s="1"/>
  <c r="G11" i="65"/>
  <c r="D24" i="65"/>
  <c r="C45" i="15"/>
  <c r="C24" i="54"/>
  <c r="C48" i="65"/>
  <c r="D11" i="54"/>
  <c r="C138" i="49"/>
  <c r="C155" i="49" s="1"/>
  <c r="C161" i="49" s="1"/>
  <c r="D51" i="31" s="1"/>
  <c r="G16" i="65"/>
  <c r="D52" i="65"/>
  <c r="E52" i="65" s="1"/>
  <c r="F110" i="24"/>
  <c r="E22" i="31" s="1"/>
  <c r="F29" i="48"/>
  <c r="F32" i="48" s="1"/>
  <c r="E31" i="31"/>
  <c r="I31" i="31"/>
  <c r="E48" i="24"/>
  <c r="D14" i="31" s="1"/>
  <c r="D17" i="65"/>
  <c r="B51" i="65" s="1"/>
  <c r="C51" i="65" s="1"/>
  <c r="E98" i="24"/>
  <c r="F133" i="60"/>
  <c r="C66" i="49"/>
  <c r="D43" i="31" s="1"/>
  <c r="E48" i="31"/>
  <c r="E49" i="73" s="1"/>
  <c r="E31" i="24"/>
  <c r="I11" i="31"/>
  <c r="C22" i="15"/>
  <c r="C29" i="15"/>
  <c r="E61" i="24"/>
  <c r="D18" i="31" s="1"/>
  <c r="C63" i="66"/>
  <c r="D62" i="65"/>
  <c r="E62" i="65" s="1"/>
  <c r="D68" i="66"/>
  <c r="E60" i="66"/>
  <c r="B63" i="65"/>
  <c r="C63" i="65"/>
  <c r="C51" i="66"/>
  <c r="E51" i="66"/>
  <c r="E53" i="66"/>
  <c r="C47" i="65"/>
  <c r="E23" i="31"/>
  <c r="I2" i="31"/>
  <c r="C17" i="54"/>
  <c r="B11" i="63"/>
  <c r="C18" i="63" s="1"/>
  <c r="E18" i="63" s="1"/>
  <c r="E19" i="63" s="1"/>
  <c r="E21" i="63" s="1"/>
  <c r="E23" i="63" s="1"/>
  <c r="E99" i="24"/>
  <c r="E100" i="24" s="1"/>
  <c r="D21" i="31" s="1"/>
  <c r="D26" i="72"/>
  <c r="D27" i="72"/>
  <c r="F12" i="23"/>
  <c r="D37" i="23"/>
  <c r="C68" i="66"/>
  <c r="E63" i="66"/>
  <c r="E23" i="23"/>
  <c r="D23" i="23"/>
  <c r="F22" i="23"/>
  <c r="B7" i="63"/>
  <c r="C9" i="63" s="1"/>
  <c r="D16" i="72"/>
  <c r="D17" i="72" s="1"/>
  <c r="E23" i="24"/>
  <c r="E24" i="24"/>
  <c r="D13" i="31" s="1"/>
  <c r="C15" i="54"/>
  <c r="H2" i="31"/>
  <c r="F50" i="73"/>
  <c r="F49" i="73"/>
  <c r="E56" i="60" l="1"/>
  <c r="F13" i="23"/>
  <c r="F43" i="60"/>
  <c r="F44" i="60" s="1"/>
  <c r="E64" i="60"/>
  <c r="E95" i="60" s="1"/>
  <c r="E131" i="60" s="1"/>
  <c r="E145" i="60" s="1"/>
  <c r="E166" i="60" s="1"/>
  <c r="E187" i="60" s="1"/>
  <c r="E202" i="60" s="1"/>
  <c r="E212" i="60" s="1"/>
  <c r="E285" i="60" s="1"/>
  <c r="E297" i="60" s="1"/>
  <c r="E196" i="60"/>
  <c r="C14" i="54"/>
  <c r="D14" i="54" s="1"/>
  <c r="C64" i="60"/>
  <c r="C95" i="60" s="1"/>
  <c r="C131" i="60" s="1"/>
  <c r="C145" i="60" s="1"/>
  <c r="C166" i="60" s="1"/>
  <c r="C187" i="60" s="1"/>
  <c r="C202" i="60" s="1"/>
  <c r="C212" i="60" s="1"/>
  <c r="C285" i="60" s="1"/>
  <c r="C297" i="60" s="1"/>
  <c r="E189" i="60"/>
  <c r="E197" i="60" s="1"/>
  <c r="C13" i="15" s="1"/>
  <c r="D15" i="15" s="1"/>
  <c r="F93" i="60"/>
  <c r="E7" i="23" s="1"/>
  <c r="F7" i="23" s="1"/>
  <c r="C19" i="63"/>
  <c r="C21" i="63" s="1"/>
  <c r="C24" i="63" s="1"/>
  <c r="C25" i="63" s="1"/>
  <c r="E43" i="60"/>
  <c r="F280" i="60"/>
  <c r="E17" i="23" s="1"/>
  <c r="F291" i="60"/>
  <c r="F128" i="60"/>
  <c r="E11" i="23" s="1"/>
  <c r="G7" i="63"/>
  <c r="G9" i="63" s="1"/>
  <c r="E68" i="66"/>
  <c r="G18" i="15"/>
  <c r="E46" i="65"/>
  <c r="F53" i="15"/>
  <c r="C51" i="15"/>
  <c r="C3" i="54" s="1"/>
  <c r="C24" i="15"/>
  <c r="I14" i="31"/>
  <c r="D14" i="65"/>
  <c r="D20" i="31"/>
  <c r="D25" i="31" s="1"/>
  <c r="C23" i="63"/>
  <c r="C30" i="63" s="1"/>
  <c r="C32" i="63" s="1"/>
  <c r="D15" i="65"/>
  <c r="B53" i="65" s="1"/>
  <c r="C53" i="65" s="1"/>
  <c r="D21" i="65"/>
  <c r="C28" i="49"/>
  <c r="C21" i="49"/>
  <c r="C171" i="49" s="1"/>
  <c r="D35" i="31"/>
  <c r="D42" i="15"/>
  <c r="C19" i="15"/>
  <c r="I22" i="31"/>
  <c r="B62" i="65"/>
  <c r="C62" i="65" s="1"/>
  <c r="C50" i="66"/>
  <c r="E50" i="66" s="1"/>
  <c r="G15" i="65"/>
  <c r="D53" i="65" s="1"/>
  <c r="E53" i="65" s="1"/>
  <c r="E21" i="31"/>
  <c r="I21" i="31" s="1"/>
  <c r="E45" i="73"/>
  <c r="I43" i="31"/>
  <c r="I23" i="31"/>
  <c r="C57" i="15"/>
  <c r="C59" i="15" s="1"/>
  <c r="C61" i="15" s="1"/>
  <c r="C52" i="15" s="1"/>
  <c r="D53" i="15" s="1"/>
  <c r="B61" i="65"/>
  <c r="C61" i="65" s="1"/>
  <c r="C49" i="66"/>
  <c r="E12" i="72"/>
  <c r="E14" i="72" s="1"/>
  <c r="E23" i="72" s="1"/>
  <c r="E35" i="72" s="1"/>
  <c r="K20" i="26"/>
  <c r="K27" i="26" s="1"/>
  <c r="J10" i="32"/>
  <c r="F58" i="24"/>
  <c r="F61" i="24" s="1"/>
  <c r="E18" i="31" s="1"/>
  <c r="P48" i="66"/>
  <c r="O49" i="66"/>
  <c r="F50" i="15"/>
  <c r="J20" i="26"/>
  <c r="F66" i="60"/>
  <c r="F97" i="60" s="1"/>
  <c r="F130" i="60" s="1"/>
  <c r="F138" i="60" s="1"/>
  <c r="F165" i="60" s="1"/>
  <c r="F211" i="60" s="1"/>
  <c r="F201" i="60" s="1"/>
  <c r="F176" i="60" s="1"/>
  <c r="F192" i="60" s="1"/>
  <c r="F284" i="60" s="1"/>
  <c r="F64" i="60"/>
  <c r="F95" i="60" s="1"/>
  <c r="F131" i="60" s="1"/>
  <c r="F145" i="60" s="1"/>
  <c r="F166" i="60" s="1"/>
  <c r="F187" i="60" s="1"/>
  <c r="F202" i="60" s="1"/>
  <c r="F212" i="60" s="1"/>
  <c r="F285" i="60" s="1"/>
  <c r="F297" i="60" s="1"/>
  <c r="D28" i="49"/>
  <c r="D31" i="49" s="1"/>
  <c r="E40" i="31" s="1"/>
  <c r="D47" i="65"/>
  <c r="E47" i="65" s="1"/>
  <c r="C23" i="15"/>
  <c r="F19" i="24"/>
  <c r="E12" i="31" s="1"/>
  <c r="I12" i="31" s="1"/>
  <c r="C27" i="15"/>
  <c r="I48" i="31"/>
  <c r="E51" i="73"/>
  <c r="F51" i="73" s="1"/>
  <c r="F75" i="24"/>
  <c r="F79" i="24" s="1"/>
  <c r="C21" i="15"/>
  <c r="B65" i="65"/>
  <c r="C65" i="65" s="1"/>
  <c r="G21" i="65"/>
  <c r="G24" i="65"/>
  <c r="D61" i="65" s="1"/>
  <c r="E61" i="65" s="1"/>
  <c r="B71" i="49"/>
  <c r="B87" i="49" s="1"/>
  <c r="B96" i="49" s="1"/>
  <c r="B105" i="49" s="1"/>
  <c r="D29" i="48"/>
  <c r="D32" i="48" s="1"/>
  <c r="D31" i="31" s="1"/>
  <c r="D165" i="49"/>
  <c r="D133" i="49"/>
  <c r="D161" i="49" s="1"/>
  <c r="E51" i="31" s="1"/>
  <c r="C85" i="49"/>
  <c r="D48" i="31" s="1"/>
  <c r="E129" i="24"/>
  <c r="D23" i="31" s="1"/>
  <c r="C20" i="15" s="1"/>
  <c r="E83" i="73"/>
  <c r="E85" i="73" s="1"/>
  <c r="E92" i="73" s="1"/>
  <c r="E98" i="73" s="1"/>
  <c r="D7" i="49"/>
  <c r="D11" i="49"/>
  <c r="H98" i="73"/>
  <c r="M19" i="73"/>
  <c r="E29" i="73"/>
  <c r="E31" i="73" s="1"/>
  <c r="D10" i="34"/>
  <c r="E128" i="60"/>
  <c r="D11" i="23" s="1"/>
  <c r="F25" i="26"/>
  <c r="K25" i="26" s="1"/>
  <c r="D8" i="31" s="1"/>
  <c r="D20" i="34"/>
  <c r="F20" i="34" s="1"/>
  <c r="F19" i="73"/>
  <c r="F29" i="73"/>
  <c r="E72" i="73"/>
  <c r="E280" i="60"/>
  <c r="D17" i="23" s="1"/>
  <c r="F72" i="72"/>
  <c r="F58" i="60" l="1"/>
  <c r="E19" i="23"/>
  <c r="E58" i="60"/>
  <c r="E44" i="60"/>
  <c r="E6" i="23"/>
  <c r="E8" i="23" s="1"/>
  <c r="F61" i="60"/>
  <c r="F53" i="73"/>
  <c r="I51" i="31"/>
  <c r="E52" i="73"/>
  <c r="F52" i="73" s="1"/>
  <c r="C26" i="15"/>
  <c r="E52" i="31"/>
  <c r="I52" i="31" s="1"/>
  <c r="G29" i="65"/>
  <c r="D58" i="65"/>
  <c r="D14" i="49"/>
  <c r="D15" i="49" s="1"/>
  <c r="E15" i="31"/>
  <c r="F73" i="72"/>
  <c r="D66" i="72"/>
  <c r="D72" i="72" s="1"/>
  <c r="C25" i="15"/>
  <c r="I18" i="31"/>
  <c r="G17" i="15"/>
  <c r="C17" i="15"/>
  <c r="C56" i="66"/>
  <c r="E49" i="66"/>
  <c r="E53" i="73"/>
  <c r="B49" i="65"/>
  <c r="D19" i="65"/>
  <c r="F31" i="73"/>
  <c r="D19" i="23"/>
  <c r="F11" i="23"/>
  <c r="G14" i="65"/>
  <c r="E20" i="31"/>
  <c r="E25" i="31" s="1"/>
  <c r="E44" i="31"/>
  <c r="I40" i="31"/>
  <c r="E42" i="73"/>
  <c r="E46" i="73" s="1"/>
  <c r="P49" i="66"/>
  <c r="O50" i="66"/>
  <c r="D7" i="31"/>
  <c r="D15" i="31" s="1"/>
  <c r="D27" i="31" s="1"/>
  <c r="K31" i="26"/>
  <c r="C31" i="49"/>
  <c r="D40" i="31" s="1"/>
  <c r="D48" i="66"/>
  <c r="E183" i="70"/>
  <c r="F184" i="70" s="1"/>
  <c r="E30" i="24"/>
  <c r="E32" i="24" s="1"/>
  <c r="E33" i="63"/>
  <c r="D29" i="65"/>
  <c r="B58" i="65"/>
  <c r="E21" i="23" l="1"/>
  <c r="E25" i="23" s="1"/>
  <c r="E31" i="72" s="1"/>
  <c r="E32" i="72" s="1"/>
  <c r="E33" i="72" s="1"/>
  <c r="D6" i="23"/>
  <c r="E61" i="60"/>
  <c r="I25" i="31"/>
  <c r="D49" i="65"/>
  <c r="G19" i="65"/>
  <c r="D56" i="66"/>
  <c r="E48" i="66"/>
  <c r="E56" i="66" s="1"/>
  <c r="P50" i="66"/>
  <c r="O51" i="66"/>
  <c r="E58" i="65"/>
  <c r="E66" i="65" s="1"/>
  <c r="D66" i="65"/>
  <c r="I20" i="31"/>
  <c r="C18" i="15"/>
  <c r="C49" i="65"/>
  <c r="C55" i="65" s="1"/>
  <c r="B55" i="65"/>
  <c r="E27" i="31"/>
  <c r="I15" i="31"/>
  <c r="C58" i="65"/>
  <c r="C66" i="65" s="1"/>
  <c r="B66" i="65"/>
  <c r="J15" i="32"/>
  <c r="G15" i="32" s="1"/>
  <c r="C44" i="15"/>
  <c r="D44" i="31"/>
  <c r="I44" i="31"/>
  <c r="E54" i="31"/>
  <c r="I54" i="31" s="1"/>
  <c r="G19" i="23"/>
  <c r="E35" i="31"/>
  <c r="D21" i="49"/>
  <c r="D171" i="49" s="1"/>
  <c r="D8" i="23" l="1"/>
  <c r="F6" i="23"/>
  <c r="J29" i="32"/>
  <c r="P51" i="66"/>
  <c r="O52" i="66"/>
  <c r="P52" i="66" s="1"/>
  <c r="I35" i="31"/>
  <c r="E39" i="73"/>
  <c r="C30" i="15"/>
  <c r="D30" i="15" s="1"/>
  <c r="I27" i="31"/>
  <c r="C12" i="54"/>
  <c r="D49" i="15"/>
  <c r="E49" i="65"/>
  <c r="E55" i="65" s="1"/>
  <c r="D55" i="65"/>
  <c r="D58" i="23" l="1"/>
  <c r="C5" i="54"/>
  <c r="D5" i="54" s="1"/>
  <c r="D25" i="54" s="1"/>
  <c r="G8" i="23"/>
  <c r="D21" i="23"/>
  <c r="D25" i="23" s="1"/>
  <c r="F39" i="73"/>
  <c r="F55" i="73" s="1"/>
  <c r="E55" i="73"/>
  <c r="D7" i="52" l="1"/>
  <c r="E42" i="52" s="1"/>
  <c r="E46" i="52" s="1"/>
  <c r="D31" i="72"/>
  <c r="J27" i="32"/>
  <c r="G27" i="32" s="1"/>
  <c r="C6" i="15"/>
  <c r="C25" i="54"/>
  <c r="C26" i="54" s="1"/>
  <c r="C34" i="72" l="1"/>
  <c r="D32" i="72"/>
  <c r="E44" i="52"/>
  <c r="E51" i="52"/>
  <c r="E289" i="60" l="1"/>
  <c r="D28" i="23"/>
  <c r="C32" i="72"/>
  <c r="D73" i="72"/>
  <c r="C98" i="49" l="1"/>
  <c r="G28" i="23"/>
  <c r="E28" i="23" s="1"/>
  <c r="E30" i="23" s="1"/>
  <c r="E32" i="23" s="1"/>
  <c r="D30" i="23"/>
  <c r="D32" i="23" s="1"/>
  <c r="E291" i="60"/>
  <c r="D12" i="72"/>
  <c r="D14" i="72" s="1"/>
  <c r="D23" i="72" s="1"/>
  <c r="D35" i="72" s="1"/>
  <c r="D38" i="23" l="1"/>
  <c r="D17" i="34" s="1"/>
  <c r="F17" i="34" s="1"/>
  <c r="E299" i="60"/>
  <c r="G32" i="23"/>
  <c r="J31" i="32"/>
  <c r="D33" i="72"/>
  <c r="C33" i="72" s="1"/>
  <c r="C35" i="72"/>
  <c r="F299" i="60"/>
  <c r="F302" i="60" s="1"/>
  <c r="E39" i="23" s="1"/>
  <c r="E38" i="23"/>
  <c r="D12" i="34" s="1"/>
  <c r="C165" i="49"/>
  <c r="C103" i="49"/>
  <c r="D50" i="31" s="1"/>
  <c r="F12" i="34" l="1"/>
  <c r="F15" i="34" s="1"/>
  <c r="D15" i="34"/>
  <c r="C7" i="15"/>
  <c r="D52" i="31"/>
  <c r="E302" i="60"/>
  <c r="D39" i="23" s="1"/>
  <c r="E305" i="60"/>
  <c r="E306" i="60" s="1"/>
  <c r="J7" i="32" l="1"/>
  <c r="G7" i="32" s="1"/>
  <c r="J8" i="32"/>
  <c r="G8" i="32" s="1"/>
  <c r="J12" i="32"/>
  <c r="G12" i="32" s="1"/>
  <c r="D54" i="31"/>
  <c r="C18" i="54"/>
  <c r="D18" i="54" s="1"/>
  <c r="D11" i="15"/>
  <c r="D16" i="15" s="1"/>
  <c r="D31" i="15" s="1"/>
  <c r="D33" i="15" s="1"/>
  <c r="D50" i="15" s="1"/>
  <c r="E32" i="31"/>
  <c r="D21" i="34"/>
  <c r="F21" i="34" l="1"/>
  <c r="D32" i="31"/>
  <c r="D33" i="31" s="1"/>
  <c r="E22" i="34"/>
  <c r="E33" i="31"/>
  <c r="I32" i="31"/>
  <c r="E36" i="73"/>
  <c r="J21" i="32" l="1"/>
  <c r="G21" i="32" s="1"/>
  <c r="J24" i="32"/>
  <c r="G24" i="32" s="1"/>
  <c r="D57" i="23"/>
  <c r="D56" i="31"/>
  <c r="J22" i="32"/>
  <c r="J17" i="32"/>
  <c r="G17" i="32" s="1"/>
  <c r="I33" i="31"/>
  <c r="E56" i="31"/>
  <c r="F36" i="73"/>
  <c r="F37" i="73" s="1"/>
  <c r="F57" i="73" s="1"/>
  <c r="E37" i="73"/>
  <c r="E57" i="73" s="1"/>
  <c r="I56" i="31" l="1"/>
  <c r="H3" i="61"/>
  <c r="I1" i="31"/>
  <c r="G3" i="61"/>
  <c r="H1" i="31"/>
</calcChain>
</file>

<file path=xl/sharedStrings.xml><?xml version="1.0" encoding="utf-8"?>
<sst xmlns="http://schemas.openxmlformats.org/spreadsheetml/2006/main" count="2530" uniqueCount="2059">
  <si>
    <t>BHUTAN TELECOM LIMITED</t>
  </si>
  <si>
    <t>Total</t>
  </si>
  <si>
    <t>Depreciation during the year</t>
  </si>
  <si>
    <t>Interest Received</t>
  </si>
  <si>
    <t>THIMPHU, BHUTAN</t>
  </si>
  <si>
    <t>1. LIQUIDITY</t>
  </si>
  <si>
    <t>Quick Assets/Quick Liabilities</t>
  </si>
  <si>
    <t>2. SOLVENCY:</t>
  </si>
  <si>
    <t>Long term Debt/Total Fixed Asset-Net</t>
  </si>
  <si>
    <t>Debt/(Capital Fund+Reserve &amp; Surplus)</t>
  </si>
  <si>
    <t>3. PROFITABILITY:</t>
  </si>
  <si>
    <t>a) PBT/Capital Employed</t>
  </si>
  <si>
    <t>b) PAT/Capital Employed</t>
  </si>
  <si>
    <t>Capital Employed=Equity Capital + Loan Fund</t>
  </si>
  <si>
    <t>Profit After Tax/Total Equity</t>
  </si>
  <si>
    <t>Total Equity= Capital + Reserve &amp; Surplus</t>
  </si>
  <si>
    <t>PBT/Operating Income</t>
  </si>
  <si>
    <t>Total Employee Expenses/Operating Income</t>
  </si>
  <si>
    <t>PAT/Total no. of Employees</t>
  </si>
  <si>
    <t>PARTICULARS</t>
  </si>
  <si>
    <t>Land</t>
  </si>
  <si>
    <t>Building</t>
  </si>
  <si>
    <t>Particulars</t>
  </si>
  <si>
    <t>Capital work-in-progress</t>
  </si>
  <si>
    <t>Inventories</t>
  </si>
  <si>
    <t>1,500,000 (Previous Year 1,500,000) Equity Shares of Nu. 1,000 each</t>
  </si>
  <si>
    <t>854,082 (previous Year 854,082) Equity Shares of Nu.1,000 each</t>
  </si>
  <si>
    <t>BOB Current Account</t>
  </si>
  <si>
    <t>BDBL Revenue Account</t>
  </si>
  <si>
    <t>NA</t>
  </si>
  <si>
    <t>5 yrs</t>
  </si>
  <si>
    <t>COMPUTATION OF TAX</t>
  </si>
  <si>
    <t>Amount(Nu.)</t>
  </si>
  <si>
    <t>ADD BACK:</t>
  </si>
  <si>
    <t>Total Add back:</t>
  </si>
  <si>
    <t xml:space="preserve">Total Allowed </t>
  </si>
  <si>
    <t>TAX @ 30 %</t>
  </si>
  <si>
    <t>LESS:</t>
  </si>
  <si>
    <t>Net Payable</t>
  </si>
  <si>
    <t>Total Equity</t>
  </si>
  <si>
    <t xml:space="preserve">Name of Shareholder </t>
  </si>
  <si>
    <t>No. of Shares held</t>
  </si>
  <si>
    <t xml:space="preserve">% of total holding </t>
  </si>
  <si>
    <t>Druk Holdings &amp; Investment Limited</t>
  </si>
  <si>
    <t>Equity Shares</t>
  </si>
  <si>
    <t>No. of Shares</t>
  </si>
  <si>
    <t>Shares outstanding at the beginning of the year</t>
  </si>
  <si>
    <t>Shares bought back during the  year</t>
  </si>
  <si>
    <t>Shares outstanding at the end of the year</t>
  </si>
  <si>
    <t>Earnings Per Share</t>
  </si>
  <si>
    <t>B. Quick Ratio:</t>
  </si>
  <si>
    <t>C. Accounts Receivable Period</t>
  </si>
  <si>
    <t>D. Working Capital to Sales</t>
  </si>
  <si>
    <t>A. Term Debt to Total Fixed Assets</t>
  </si>
  <si>
    <t>B. Debt Equity Ratio:</t>
  </si>
  <si>
    <t>A. Return on Capital Employed:</t>
  </si>
  <si>
    <t>B. Return on Equity:</t>
  </si>
  <si>
    <t>C. Return on Sales</t>
  </si>
  <si>
    <t>D. Employee Cost to Gross Income</t>
  </si>
  <si>
    <t>E. Profit per Employee:</t>
  </si>
  <si>
    <t>A. Current Ratio</t>
  </si>
  <si>
    <t>Income Tax Paid</t>
  </si>
  <si>
    <t>Cash Generated from operating activities</t>
  </si>
  <si>
    <t>Net profit before tax</t>
  </si>
  <si>
    <t>iii Reconciliation of number of shares</t>
  </si>
  <si>
    <t>Cash on hand</t>
  </si>
  <si>
    <t>Fixed deposits placed for a period less than 3 months</t>
  </si>
  <si>
    <t>Bank Balances in Regions &amp; Exchanges</t>
  </si>
  <si>
    <t>Amount in Nu.</t>
  </si>
  <si>
    <t>Adjustment for</t>
  </si>
  <si>
    <t>Partner</t>
  </si>
  <si>
    <t>Chairman</t>
  </si>
  <si>
    <t>Group Investment Reserve</t>
  </si>
  <si>
    <t>Equity share Capital</t>
  </si>
  <si>
    <t>Retained Earnings</t>
  </si>
  <si>
    <t xml:space="preserve">                Equity Shares</t>
  </si>
  <si>
    <t>Vehicles</t>
  </si>
  <si>
    <t>Gross Block</t>
  </si>
  <si>
    <t>Accumulated Depreciation</t>
  </si>
  <si>
    <t>Net Block</t>
  </si>
  <si>
    <t>Total (A)</t>
  </si>
  <si>
    <t>Acturial (gains)/losses on defined benefit plans</t>
  </si>
  <si>
    <t>Add/Less: Foreign Exchange Loss/(Gain)</t>
  </si>
  <si>
    <t xml:space="preserve">(Increase)/Decrease in Inventories </t>
  </si>
  <si>
    <t>Add/Less: Gain on sale of Property Plant and Equipments</t>
  </si>
  <si>
    <t>1. Land</t>
  </si>
  <si>
    <t>2. Building</t>
  </si>
  <si>
    <t>50 yrs</t>
  </si>
  <si>
    <t>15 yrs</t>
  </si>
  <si>
    <t>a. Tower</t>
  </si>
  <si>
    <t>30 yrs</t>
  </si>
  <si>
    <t>b. Rest</t>
  </si>
  <si>
    <t>10 yrs</t>
  </si>
  <si>
    <t>5. Furniture</t>
  </si>
  <si>
    <t>7. Vehicle</t>
  </si>
  <si>
    <t>7 yrs</t>
  </si>
  <si>
    <t>Useful life</t>
  </si>
  <si>
    <t>BOB Disbursement Account</t>
  </si>
  <si>
    <t xml:space="preserve"> </t>
  </si>
  <si>
    <t>Tax 30% on OCI</t>
  </si>
  <si>
    <t>As at 31st December 2015</t>
  </si>
  <si>
    <t>I. ASSETS :</t>
  </si>
  <si>
    <t>II. EQUITY AND LIABILITIES :</t>
  </si>
  <si>
    <t>Chief Executive Officer</t>
  </si>
  <si>
    <t>The above accompanying notes are an integral part of the financial statements</t>
  </si>
  <si>
    <t>Note no.</t>
  </si>
  <si>
    <t>Unsecured, Considered good</t>
  </si>
  <si>
    <t>(Advances recoverable in cash and/or in kind or for value to be received)</t>
  </si>
  <si>
    <t>Authorised :</t>
  </si>
  <si>
    <t xml:space="preserve"> i. Terms / Rights attached to Equity Shares</t>
  </si>
  <si>
    <t>Shares issued during the year</t>
  </si>
  <si>
    <t>(a) Shareholders Fund</t>
  </si>
  <si>
    <t>Addition</t>
  </si>
  <si>
    <t>Adjustment</t>
  </si>
  <si>
    <t>Closing Cash &amp; Bank Balances</t>
  </si>
  <si>
    <t>Opening Cash &amp; Bank Balances</t>
  </si>
  <si>
    <t>BNB Disbursement Bank Account</t>
  </si>
  <si>
    <t>BNB Depository Works Account</t>
  </si>
  <si>
    <t>BNB Foreign Currency Account</t>
  </si>
  <si>
    <t>BNB Insurance Account</t>
  </si>
  <si>
    <t>BNB GIR Current Account</t>
  </si>
  <si>
    <t>(As certified by the manaement)</t>
  </si>
  <si>
    <t>Total issued, subscribed and fully paid-up</t>
  </si>
  <si>
    <t>Investment in Equity Shares, Unquoted</t>
  </si>
  <si>
    <t>(923084 number of equity shares of face value of Nu 100)</t>
  </si>
  <si>
    <t>Total Tax</t>
  </si>
  <si>
    <t>SL No</t>
  </si>
  <si>
    <t/>
  </si>
  <si>
    <t>BNB Main Revenue Account</t>
  </si>
  <si>
    <t>Cash Flow Statement</t>
  </si>
  <si>
    <t>Assumption</t>
  </si>
  <si>
    <t>1. Total revenue for 2nd half of the year is equal to total budgeted revenue for 2016 minus total revenue achieved till June 2016</t>
  </si>
  <si>
    <t>2. Shortem Deposit of Nu: 125 million will realised with next 6 months</t>
  </si>
  <si>
    <t>CASH INFLOW</t>
  </si>
  <si>
    <t>3. Total Grant from BICMA amounting to Nu: 88.63 million, Nu:66.47 million will receive in next 6 months</t>
  </si>
  <si>
    <t>I) Operating Activities</t>
  </si>
  <si>
    <t>4. Overdraf Loan from BOB will be utilise in next half of the financial year</t>
  </si>
  <si>
    <t>Revenue</t>
  </si>
  <si>
    <t xml:space="preserve">5. Opex supplementary budget of Nu: 15 million included </t>
  </si>
  <si>
    <t>II) Investing Activities</t>
  </si>
  <si>
    <t>6. Interest on bond has been included in Redumption of Fund for BOB loan rather than reflecting under Opex</t>
  </si>
  <si>
    <t>Investment in Short Term Deposit</t>
  </si>
  <si>
    <t>7. Additional tax during Tax Assessment to be paid in next 6 months</t>
  </si>
  <si>
    <t>III) Financing Activities</t>
  </si>
  <si>
    <t>8. Refund of GIR Fund to be done next 6 months</t>
  </si>
  <si>
    <t>Grant from BICMA</t>
  </si>
  <si>
    <t>CASH OUTFLOW</t>
  </si>
  <si>
    <t>Corporate Income Tax</t>
  </si>
  <si>
    <t>Payment to PPE</t>
  </si>
  <si>
    <t xml:space="preserve">Closing Cash </t>
  </si>
  <si>
    <t>Operations expenses</t>
  </si>
  <si>
    <t>Receivable from DGPC</t>
  </si>
  <si>
    <t>Interest on Short Term Deposit</t>
  </si>
  <si>
    <t xml:space="preserve">Interest on Bond </t>
  </si>
  <si>
    <t>BHUTAN TELECOM LTD(BAC00313).</t>
  </si>
  <si>
    <t>1101202010</t>
  </si>
  <si>
    <t>1101202011</t>
  </si>
  <si>
    <t>1101202012</t>
  </si>
  <si>
    <t>Account Code</t>
  </si>
  <si>
    <t>Account Description</t>
  </si>
  <si>
    <t>Accound Description</t>
  </si>
  <si>
    <t>Loans - Current</t>
  </si>
  <si>
    <t>Income accrued and Due</t>
  </si>
  <si>
    <t>Advance Income Tax</t>
  </si>
  <si>
    <t>Sundry Debtors - Domestic - Non Current</t>
  </si>
  <si>
    <t>Sundry Debtors - International - Non Current</t>
  </si>
  <si>
    <t>Loan to Others - Non Current</t>
  </si>
  <si>
    <t>Other Receivables - Non Current</t>
  </si>
  <si>
    <t>Investment in Fixed Deposit - Long term</t>
  </si>
  <si>
    <t>Advance to Suppliers - Non Current</t>
  </si>
  <si>
    <t>Advance to Others - Non Current</t>
  </si>
  <si>
    <t>Loans to DHI Intra Company- Non Current</t>
  </si>
  <si>
    <t>Advance to Staff, Office Expenses - Non Current</t>
  </si>
  <si>
    <t>DHI Intra Company Revenue</t>
  </si>
  <si>
    <t>Deferred Tax Income</t>
  </si>
  <si>
    <t>Gain on Sale of Fixed Assets</t>
  </si>
  <si>
    <t>Income from Sale of Yellow Page</t>
  </si>
  <si>
    <t>Revaluation of Material - Gain</t>
  </si>
  <si>
    <t>R&amp;M Power - AMC</t>
  </si>
  <si>
    <t>R&amp;M Generator Set - AMC</t>
  </si>
  <si>
    <t>R&amp;M Software Application - Services</t>
  </si>
  <si>
    <t>R&amp;M Cables and Accessories - AMC</t>
  </si>
  <si>
    <t>Education Allowance</t>
  </si>
  <si>
    <t>Scholarship Programme Expenses</t>
  </si>
  <si>
    <t>Gratuity</t>
  </si>
  <si>
    <t>Travel - Deposit Work</t>
  </si>
  <si>
    <t>Insurance on Telecom Equipment</t>
  </si>
  <si>
    <t>Revaluation of Material - Loss</t>
  </si>
  <si>
    <t>Bad and Doubtful Debts</t>
  </si>
  <si>
    <t>Loss/Scrapping/Retirement of Asset</t>
  </si>
  <si>
    <t>Loss on Sale of Fixed Asset</t>
  </si>
  <si>
    <t>Audit Fees</t>
  </si>
  <si>
    <t>Depreciation - Leasehold Building</t>
  </si>
  <si>
    <t>Depreciation - Capital Grants</t>
  </si>
  <si>
    <t>Impairment Loss of PP&amp;E</t>
  </si>
  <si>
    <t>Impairment Loss of Intangibles</t>
  </si>
  <si>
    <t>Prior Period Tax Expense</t>
  </si>
  <si>
    <t>Deferred Tax Expense</t>
  </si>
  <si>
    <t>BNB Mobile Disbursment Account</t>
  </si>
  <si>
    <t>Deferred Tax Liability</t>
  </si>
  <si>
    <t>Sundry Creditor - Domestic - NC</t>
  </si>
  <si>
    <t>Sundry Creditor - DHI Intra Company - NC</t>
  </si>
  <si>
    <t>Sundry Creditor - International - NC</t>
  </si>
  <si>
    <t>Reference</t>
  </si>
  <si>
    <t>current assets/current liabilities</t>
  </si>
  <si>
    <t>sum(current asset-inventory)/current liabilities</t>
  </si>
  <si>
    <t>Long term borrowings/sum(ppe+intangible asset+cwip)</t>
  </si>
  <si>
    <t>PBT/sum(total shareholder fund+long term borrowing)</t>
  </si>
  <si>
    <t>PAT/sum(total shareholder fund+long term borrowing)</t>
  </si>
  <si>
    <t>PAT/total shareholder fund</t>
  </si>
  <si>
    <t>Add/Less: Net Addition in Provision (Current &amp; Non-Current)</t>
  </si>
  <si>
    <t>Provision for bad and doubtful debt</t>
  </si>
  <si>
    <t>Depreciation as per BAS</t>
  </si>
  <si>
    <t>Profit After tax</t>
  </si>
  <si>
    <t>Earning per employee</t>
  </si>
  <si>
    <t>Profit after tax/no of employee</t>
  </si>
  <si>
    <t>3% TDS booked as expense</t>
  </si>
  <si>
    <t>a</t>
  </si>
  <si>
    <t>b</t>
  </si>
  <si>
    <t>c</t>
  </si>
  <si>
    <t>Interest Paid</t>
  </si>
  <si>
    <t>Fines &amp; Penalty</t>
  </si>
  <si>
    <t>b) Other liabilities</t>
  </si>
  <si>
    <t>Donation</t>
  </si>
  <si>
    <t>Net Difference</t>
  </si>
  <si>
    <t>TDS on Others</t>
  </si>
  <si>
    <t>BHUTAN TELECOM LTD</t>
  </si>
  <si>
    <t>THIMPHU</t>
  </si>
  <si>
    <t>Deferred Tax Liability-NC</t>
  </si>
  <si>
    <t>Changes in equity for 2017</t>
  </si>
  <si>
    <t>Hospitality</t>
  </si>
  <si>
    <t>Other current assets</t>
  </si>
  <si>
    <t>Income from Cloud Service</t>
  </si>
  <si>
    <t>Income from ERP Service</t>
  </si>
  <si>
    <t>a) Term Loan-BOB</t>
  </si>
  <si>
    <t>Income from Data Center</t>
  </si>
  <si>
    <t>Financial Loans</t>
  </si>
  <si>
    <t>Balance at 31st December 2017</t>
  </si>
  <si>
    <t>ROE</t>
  </si>
  <si>
    <t>Revenue Per employee</t>
  </si>
  <si>
    <t>Redemption Fund for BOB Bond</t>
  </si>
  <si>
    <t>Net profit before tax and after adjustment of provisions</t>
  </si>
  <si>
    <t>Intangible assets</t>
  </si>
  <si>
    <t>Other non-current asset</t>
  </si>
  <si>
    <t>Cash on hand in regions &amp; exchanges</t>
  </si>
  <si>
    <t>Cash at banks</t>
  </si>
  <si>
    <t>Other current asset</t>
  </si>
  <si>
    <t>Equity share capital</t>
  </si>
  <si>
    <t>Issued, subscibed and paid up :</t>
  </si>
  <si>
    <t xml:space="preserve"> ii. Shares held by the holding company</t>
  </si>
  <si>
    <t>Retained earnings &amp; reserves</t>
  </si>
  <si>
    <t>Long term provision</t>
  </si>
  <si>
    <t>Short term borrowings</t>
  </si>
  <si>
    <t>Short term provision</t>
  </si>
  <si>
    <t>Total Deferred government grants</t>
  </si>
  <si>
    <t>Sundry creditors</t>
  </si>
  <si>
    <t>Other payables</t>
  </si>
  <si>
    <t>(Increase)/Decrease in trade receivables</t>
  </si>
  <si>
    <t>(Increase)/Decrease in other current asset</t>
  </si>
  <si>
    <t>(Increase)/Decrease in other receivables</t>
  </si>
  <si>
    <t>(Increase)/Decrease in deferred tax asset</t>
  </si>
  <si>
    <t>(Increase)/Decrease in investment</t>
  </si>
  <si>
    <t>(Increase)/Decrease in other non-current asset</t>
  </si>
  <si>
    <t>Increase/(Decrease) in other trade payables</t>
  </si>
  <si>
    <t>Increase/(Decrease) in other current liabilitis</t>
  </si>
  <si>
    <t>Other current liabilities</t>
  </si>
  <si>
    <t>Payment for property plant and equipments</t>
  </si>
  <si>
    <t>Payment for intangible assets</t>
  </si>
  <si>
    <t>Payment for capital work in progress</t>
  </si>
  <si>
    <t>Investment in fixed deposits</t>
  </si>
  <si>
    <t>Margin //money provided</t>
  </si>
  <si>
    <t>Cash Flow from operating activities</t>
  </si>
  <si>
    <t>Net profit from operating activities before working capital changes</t>
  </si>
  <si>
    <t>Net cash flow from operating activities</t>
  </si>
  <si>
    <t>Cash flow from investing activities</t>
  </si>
  <si>
    <t>Net cash used in investing activities</t>
  </si>
  <si>
    <t>Cash flow from financing activities</t>
  </si>
  <si>
    <t>Receipt of capital grant from BICMA</t>
  </si>
  <si>
    <t>Payment of dividend</t>
  </si>
  <si>
    <t>Interest paid on bond</t>
  </si>
  <si>
    <t>Net cash used in financing activities</t>
  </si>
  <si>
    <t>Increase/(Decrease) in cash &amp; cash equivalents</t>
  </si>
  <si>
    <t>Reconciliation of cash and cash equivalent with statement of financial position</t>
  </si>
  <si>
    <t xml:space="preserve">Cash and cash equivalents </t>
  </si>
  <si>
    <t>Cash and cash equivalents as per statement of financial position</t>
  </si>
  <si>
    <t>This is the statement of cash flow referred to in our report of even date.</t>
  </si>
  <si>
    <t>IFRS 2015</t>
  </si>
  <si>
    <t>Employee Creditor</t>
  </si>
  <si>
    <t>IFRS2015</t>
  </si>
  <si>
    <t>Previous year (A)</t>
  </si>
  <si>
    <t>Previous year</t>
  </si>
  <si>
    <t xml:space="preserve">a. Permanent structure </t>
  </si>
  <si>
    <t>b. Semi-permanent
    structure</t>
  </si>
  <si>
    <t>c. Temporary structure</t>
  </si>
  <si>
    <t>3. Tele-equipment</t>
  </si>
  <si>
    <t>4. Power systems &amp; cable</t>
  </si>
  <si>
    <t>a. Air conditioner</t>
  </si>
  <si>
    <t>6. Office equipment</t>
  </si>
  <si>
    <t>8. Software application</t>
  </si>
  <si>
    <t>Accrued Income Non Current Asset</t>
  </si>
  <si>
    <t>Deferred Tax Asset-Non Current</t>
  </si>
  <si>
    <t>Cash Account - General</t>
  </si>
  <si>
    <t>0000080098051 - CHQ BNB GIR - MB</t>
  </si>
  <si>
    <t>0000080098051 - CHQ BNB GIR - OB</t>
  </si>
  <si>
    <t>0000019474003 - CHQ BT Dis - MB</t>
  </si>
  <si>
    <t>0000019474003 - CHQ BT Dis - IB</t>
  </si>
  <si>
    <t>0000019474003 - CHQ BT Dis - OB</t>
  </si>
  <si>
    <t>0000019557006 - CHQ Depository - MB</t>
  </si>
  <si>
    <t>0000019557006 - CHQ Depository - OB</t>
  </si>
  <si>
    <t>20700220263090014 - CHQ BoB Rev - MB</t>
  </si>
  <si>
    <t>0000020336005 - CHQ Foreign - MB</t>
  </si>
  <si>
    <t>000127110013 - CHQ BDBL Rev - MB</t>
  </si>
  <si>
    <t>5000019474014 - CHQ Insurance - MB</t>
  </si>
  <si>
    <t>100914942- CHQ BoB Dis - MB</t>
  </si>
  <si>
    <t>77712025465001 - Thimphu Tbank Rev - MB</t>
  </si>
  <si>
    <t>77712025465001 - Thimphu Tbank Rev - IB</t>
  </si>
  <si>
    <t>Sundry Debtors - Domestic - Current</t>
  </si>
  <si>
    <t>Sundry Debtors - International - Current</t>
  </si>
  <si>
    <t>Inventory - Vehicle Spares</t>
  </si>
  <si>
    <t>Inventory - Office Equipment Spares</t>
  </si>
  <si>
    <t>Inventory - Equipment Spares</t>
  </si>
  <si>
    <t>Inventory - General Item</t>
  </si>
  <si>
    <t>Inventory - Consumables</t>
  </si>
  <si>
    <t>Inventory - Printing and Stationaries</t>
  </si>
  <si>
    <t>Inventory - Capital Goods</t>
  </si>
  <si>
    <t>Inventory - Trading Goods</t>
  </si>
  <si>
    <t>Investment in the form of Share-TTPL</t>
  </si>
  <si>
    <t>Bond Redemption Reserve</t>
  </si>
  <si>
    <t>Prepaid Expense - Non Current</t>
  </si>
  <si>
    <t>Capital Work-in-Progress</t>
  </si>
  <si>
    <t>Freehold Land</t>
  </si>
  <si>
    <t>Provision for Depreciation - Building</t>
  </si>
  <si>
    <t>Tele Equipments</t>
  </si>
  <si>
    <t>Provision for Depreciation - Tele Equipments</t>
  </si>
  <si>
    <t>Office Equipments</t>
  </si>
  <si>
    <t>Furniture and Fixtures</t>
  </si>
  <si>
    <t>Provision for Depreciation - Office Equipment</t>
  </si>
  <si>
    <t>Provision for Depreciation - Furniture</t>
  </si>
  <si>
    <t>Power System</t>
  </si>
  <si>
    <t>Cables and Accessories</t>
  </si>
  <si>
    <t>Provision for Depreciation - Power System</t>
  </si>
  <si>
    <t>Provision for Depreciation - Cable and Accessories</t>
  </si>
  <si>
    <t>Provision for Depreciation - Vehicle</t>
  </si>
  <si>
    <t>Capital Tools and Measuring Equipment</t>
  </si>
  <si>
    <t>Provision for Depreciation - Tools and Spare Parts</t>
  </si>
  <si>
    <t>Software Applications</t>
  </si>
  <si>
    <t>Provision for Depreciation - Software Application</t>
  </si>
  <si>
    <t>Term Loan Current Liabilities</t>
  </si>
  <si>
    <t>As at December 31, 2015</t>
  </si>
  <si>
    <t>FVPL</t>
  </si>
  <si>
    <t>FVOCI</t>
  </si>
  <si>
    <t xml:space="preserve">Amortised cost </t>
  </si>
  <si>
    <t>Financial assets</t>
  </si>
  <si>
    <t>Total financial assets</t>
  </si>
  <si>
    <t xml:space="preserve">Financial liabilities </t>
  </si>
  <si>
    <t>Loan from Danida</t>
  </si>
  <si>
    <t>Total financial liabilities</t>
  </si>
  <si>
    <t>(i) Fair value hierarchy</t>
  </si>
  <si>
    <t>This section explains the judgements and estimates made in determining the fair values of the financial instruments that are (a) recognised and measured at fair value and (b) measured at amortised cost and for which fair values are disclosed in the financial statements. To provide an indication about the reliability of the inputs used in determining fair value, the Company has classified its financial instruments into the three levels prescribed under the accounting standard. An explanation of each level follows underneath the table.</t>
  </si>
  <si>
    <t>During the year, there has been no movement between fair value levels from previous year.</t>
  </si>
  <si>
    <t>(ii) Valuation technique used to determine fair value</t>
  </si>
  <si>
    <t>Specific valuation techniques used to value financial instruments include:</t>
  </si>
  <si>
    <t>(i) discounted cash flow analysis</t>
  </si>
  <si>
    <t>(iii) Fair value of financial assets and liabilities measured at amortised cost</t>
  </si>
  <si>
    <t>December 31, 2015</t>
  </si>
  <si>
    <t>Carrying amount</t>
  </si>
  <si>
    <t>Fair value</t>
  </si>
  <si>
    <t>Financial liabilities</t>
  </si>
  <si>
    <t>The carrying amounts of sundry debtor, cash and bank balances, trade receivables, interest accrued, security deposit, other receivables, trade payables and other payables are considered to be the same as their fair values, due to their short-term nature.</t>
  </si>
  <si>
    <t>The fair values for financial instruments were calculated based on cash flows discounted using current borrowing rate. They are classified as level 3 fair values in the fair value hierarchy due to the inclusion of unobservable inputs including  counterparty credit risk.</t>
  </si>
  <si>
    <t>Significant estimates</t>
  </si>
  <si>
    <t>The fair value of financial instruments that are not traded in an active market is determined using valuation techniques. The Company uses its judgement to select a variety of methods and make assumptions that are mainly based on market conditions existing at the end of each reporting period. For details of the key assumptions used and the impact of changes to these assumptions see (ii) above.</t>
  </si>
  <si>
    <t>As at December 31, 2017</t>
  </si>
  <si>
    <t>Financial instruments by category</t>
  </si>
  <si>
    <t>December 31, 2017</t>
  </si>
  <si>
    <t>Term loan-C</t>
  </si>
  <si>
    <t>The company’s activities expose it to market risk, liquidity risk and credit risk.</t>
  </si>
  <si>
    <t>This note explains the sources of risk which the entity is exposed to and how the entity manages the risk and the impact of it in the financial statements.</t>
  </si>
  <si>
    <t xml:space="preserve">Risk </t>
  </si>
  <si>
    <t>Exposure arising from</t>
  </si>
  <si>
    <t>Measurement</t>
  </si>
  <si>
    <t xml:space="preserve">Management
</t>
  </si>
  <si>
    <t>Credit risk</t>
  </si>
  <si>
    <t>Cash and cash equivalents, trade receivables, financial assets measured at amortised cost.</t>
  </si>
  <si>
    <t xml:space="preserve">Aging analysis </t>
  </si>
  <si>
    <t>Diversification of bank deposits, customer base and credit limits</t>
  </si>
  <si>
    <t>Liquidity risk</t>
  </si>
  <si>
    <t>Trade payables and other financial liabilities</t>
  </si>
  <si>
    <t>Rolling cash flow forecasts</t>
  </si>
  <si>
    <t>Availability of  committed credit lines and borrowing facilities</t>
  </si>
  <si>
    <t>Market risk – foreign exchange</t>
  </si>
  <si>
    <t>Recognised financial assets and liabilities not denominated in  Ngultrum(Nu.)</t>
  </si>
  <si>
    <t>Cash flow forecasting Sensitivity analysis</t>
  </si>
  <si>
    <t>Diversification of liability</t>
  </si>
  <si>
    <t>Market risk – interest rate</t>
  </si>
  <si>
    <t>Long-term borrowings at variable rates</t>
  </si>
  <si>
    <t>Sensitivity analysis</t>
  </si>
  <si>
    <t>Portfolio of loan contains fixed interest loans from financial institutions</t>
  </si>
  <si>
    <t>(A) Credit risk</t>
  </si>
  <si>
    <t>(i) Credit risk management</t>
  </si>
  <si>
    <t>Credit risk from balances with banks and financial institutions is managed by the Company’s finance department. Currently the Company has investment in fixed deposit which are made only with approved counterparties in accordance with the Company’s policy.</t>
  </si>
  <si>
    <t>(B) liquidity risk</t>
  </si>
  <si>
    <t>(i) Maturities of financial liabilities</t>
  </si>
  <si>
    <t>a) all non-derivative financial liabilities, and</t>
  </si>
  <si>
    <t>The amounts disclosed in the table are the contractual undiscounted cash flows. Balances due within 12 months equal their carrying balances as the impact of discounting is not significant.</t>
  </si>
  <si>
    <t>Contractual maturities of financial liabilities:</t>
  </si>
  <si>
    <t>Less than 1 year</t>
  </si>
  <si>
    <t>More than 1 years</t>
  </si>
  <si>
    <t>Non-derivatives</t>
  </si>
  <si>
    <t>Total non-derivative liabilities</t>
  </si>
  <si>
    <t>(C) Market risk</t>
  </si>
  <si>
    <r>
      <t>(i) Foreign currency risk</t>
    </r>
    <r>
      <rPr>
        <b/>
        <sz val="5"/>
        <rFont val="Georgia"/>
        <family val="1"/>
      </rPr>
      <t/>
    </r>
  </si>
  <si>
    <t>Foreign Currency risk is the risk that the fair value or future cash flows of a financial instrument will fluctuate because of changes in foreign exchange rates.</t>
  </si>
  <si>
    <t>The company does not operate internationally, however, expose to the foreign currency risk due to receivable/payable denominated in foreign currency for the various transactions such as interconnect agreement with foreign operators, and providing network services to the foreign operator's customers, etc.  Foreign currency risk, is closely monitored by the Management to decide on the requirement of hedging.  The position of foreign currency exposure to the Company as at the end of the year expressed in Nu. are as follows:</t>
  </si>
  <si>
    <t>(Values in Nu.)</t>
  </si>
  <si>
    <t>USD</t>
  </si>
  <si>
    <t>Net exposure to foreign currency risk</t>
  </si>
  <si>
    <t>Euro</t>
  </si>
  <si>
    <t>Sensitivity</t>
  </si>
  <si>
    <t>The sensitivity of profit or loss to changes in the exchange rates arises mainly from foreign currency denominated financial instruments.</t>
  </si>
  <si>
    <t>Impact on profit before tax</t>
  </si>
  <si>
    <t>USD sensitivity</t>
  </si>
  <si>
    <t>EURO sensitivity</t>
  </si>
  <si>
    <t>* Holding all other variables constant</t>
  </si>
  <si>
    <t xml:space="preserve">As value of Nu. is constantly equal to the INR, company is not exposed to any foreign currency risk relating to amount receivables/payable in INR.  </t>
  </si>
  <si>
    <t>(ii) Interest rate risk</t>
  </si>
  <si>
    <t xml:space="preserve">Interest rate risk is the risk that the fair value or future cash flows of a financial instrument will fluctuate because of changes in market interest rates. The Company’s exposure to the risk of changes in market interest rates relates primarily to the Company’s long-term debt obligations with floating interest rates. As company does not have any variable rate borrowing outstanding or investment, company is not exposed to significant interest rate risk. </t>
  </si>
  <si>
    <t>(iii) Price risk</t>
  </si>
  <si>
    <t xml:space="preserve">The risk that the fair value or future cash flows of a financial instrument will fluctuate because of changes in market prices (other than those arising from interest rate risk or currency risk), whether those changes are caused by factors specific to the individual financial instrument or its issuer or by factors affecting all similar financial instruments traded in the market. As the company does not have any investment in listed securities which are exposed to price risk, company is not exposed to significant price risk. </t>
  </si>
  <si>
    <t xml:space="preserve"> December 31, 2017</t>
  </si>
  <si>
    <t>(a) Risk management</t>
  </si>
  <si>
    <t>The company’s objectives when managing capital are to</t>
  </si>
  <si>
    <t xml:space="preserve">The Company is formed as an wholly owned subsidiary of Druk Holding &amp; Investments Limited (DHI). Company manages the share capital issued and subscribed along with shareholder's fund appearing in the financial statement as capital of the company. </t>
  </si>
  <si>
    <t>(b) Dividends</t>
  </si>
  <si>
    <t>Final dividend for the year</t>
  </si>
  <si>
    <t>i. safeguard their ability to continue as a going concern, so that they can continue to provide returns for shareholders and benefits for other stakeholders, and</t>
  </si>
  <si>
    <t>ii. maintain an optimal capital structure to reduce the cost of capital.</t>
  </si>
  <si>
    <t>A. Exemptions and exceptions availed</t>
  </si>
  <si>
    <t>A.1.1 Estimates</t>
  </si>
  <si>
    <t>1. Revenue recognition for Deposit Contracts</t>
  </si>
  <si>
    <t>2. Revenue recognition from revenue sharing agreements</t>
  </si>
  <si>
    <t>3. Interest income on fixed deposits</t>
  </si>
  <si>
    <t>4. Fair valuation of security deposits</t>
  </si>
  <si>
    <t>5. Cash Discount</t>
  </si>
  <si>
    <t xml:space="preserve">Under the previous GAAP, all the discount allowed for sale of mobile handset, b-secure equipments, bulk sms etc to the customer has been shown as Disount Allowed seperately under operating expense, however since it a cash discount allowed for the purchase of items, same has been set off against the revenue which are booked on gross basis.  </t>
  </si>
  <si>
    <t>Term loan</t>
  </si>
  <si>
    <t>0000019557006 - CHQ Depository - IB</t>
  </si>
  <si>
    <t>5000019474014 - CHQ Insurance - IB</t>
  </si>
  <si>
    <t>77712025465001 - Thimphu Tbank Rev - OB</t>
  </si>
  <si>
    <t>Accu. Impairment Loss - Land</t>
  </si>
  <si>
    <t>Leasehold Land</t>
  </si>
  <si>
    <t>Accu. Impairment Loss - Building &amp; Civil Structure</t>
  </si>
  <si>
    <t>Leasehold Building</t>
  </si>
  <si>
    <t>Provision for Depreciation - Leasehold Building</t>
  </si>
  <si>
    <t>Accu. Impairment Loss on Leasehold Building</t>
  </si>
  <si>
    <t>Accu. Impairment Tele Equipments</t>
  </si>
  <si>
    <t>Accu. Impairment Loss - Furniture &amp; Office Eqment</t>
  </si>
  <si>
    <t>Accu. Impairment Loss on Cables and Power System</t>
  </si>
  <si>
    <t>Accu. Impairment Loss on Vehicles</t>
  </si>
  <si>
    <t>Accu. Impairment Loss on Tools and Spare Parts</t>
  </si>
  <si>
    <t>Accu. Impairment Loss on Softwares</t>
  </si>
  <si>
    <t>Capital Work-in-Progress - Inventory</t>
  </si>
  <si>
    <t>Inventory - Disposables</t>
  </si>
  <si>
    <t>Inventory - Civil Materials</t>
  </si>
  <si>
    <t>Sundry Debtors - DHI Intra Company - Current</t>
  </si>
  <si>
    <t>Cash Account - Sales</t>
  </si>
  <si>
    <t>Cash Account - Imprest</t>
  </si>
  <si>
    <t>20700220263090014 - CHQ BoB Rev - IB</t>
  </si>
  <si>
    <t>20700220263090014 - CHQ BoB Rev - OB</t>
  </si>
  <si>
    <t>0000020336005 - CHQ Foreign - IB</t>
  </si>
  <si>
    <t>0000020336005 - CHQ Foreign - OB</t>
  </si>
  <si>
    <t>0000034734008 - CHQ BM Dis - MB</t>
  </si>
  <si>
    <t>0000034734008 - CHQ BM Dis - IB</t>
  </si>
  <si>
    <t>0000034734008 - CHQ BM Dis - OB</t>
  </si>
  <si>
    <t>000127110013 - CHQ BDBL Rev - IB</t>
  </si>
  <si>
    <t>000127110013 - CHQ BDBL Rev - OB</t>
  </si>
  <si>
    <t>5000019474014 - CHQ Insurance - OB</t>
  </si>
  <si>
    <t>Term loan (long term borrowings)</t>
  </si>
  <si>
    <t>2(a)</t>
  </si>
  <si>
    <t>2(b)</t>
  </si>
  <si>
    <t>2(c)</t>
  </si>
  <si>
    <t>(a) Non-current assets</t>
  </si>
  <si>
    <t>Total non-current assets</t>
  </si>
  <si>
    <t>(b) Current assets</t>
  </si>
  <si>
    <t>Total current sssets</t>
  </si>
  <si>
    <t>TOTAL ASSETS</t>
  </si>
  <si>
    <t>Total shareholders fund</t>
  </si>
  <si>
    <t>Total non-current liabilities</t>
  </si>
  <si>
    <t>Total current liabilities</t>
  </si>
  <si>
    <t>TOTAL EQUITY &amp; LIABILITIES</t>
  </si>
  <si>
    <t>Chartered accountants</t>
  </si>
  <si>
    <t>for and on behalf of board of directors</t>
  </si>
  <si>
    <t>Profit before tax</t>
  </si>
  <si>
    <t>Profit after tax for the year</t>
  </si>
  <si>
    <t>IV. Other comprehensive income</t>
  </si>
  <si>
    <t>Total comprehensive income for the year</t>
  </si>
  <si>
    <t>Summary of significant accounting policies</t>
  </si>
  <si>
    <t>Total tax expense</t>
  </si>
  <si>
    <t>Note "4" : Investments:</t>
  </si>
  <si>
    <t>Note "5" : Deferred tax asset(net):</t>
  </si>
  <si>
    <t>Note "6" : Other non-current asset:</t>
  </si>
  <si>
    <t>Note "7": Inventories :</t>
  </si>
  <si>
    <t>Note "8": Trade receivables :</t>
  </si>
  <si>
    <t>Note "9": Cash and bank balances :</t>
  </si>
  <si>
    <t>Note "10": Other receivables:</t>
  </si>
  <si>
    <t>Note "11": Other current assets :</t>
  </si>
  <si>
    <t>Note "17" : Long term provision :</t>
  </si>
  <si>
    <t>Note "21" : Other current liabilities:</t>
  </si>
  <si>
    <t>Profit available for equity shareholders</t>
  </si>
  <si>
    <t>Weighted number of equity shares
 outstanding</t>
  </si>
  <si>
    <t>Nominal value of equity shares</t>
  </si>
  <si>
    <t>Basic &amp; dilutted earnings per share</t>
  </si>
  <si>
    <t>Note: "34" Fair value measurements:</t>
  </si>
  <si>
    <t>Note: "35" Financial risk management:</t>
  </si>
  <si>
    <t>Corporate bond</t>
  </si>
  <si>
    <t>Trade payables</t>
  </si>
  <si>
    <t xml:space="preserve"> Expense accrued</t>
  </si>
  <si>
    <t xml:space="preserve"> Stale cheques</t>
  </si>
  <si>
    <t xml:space="preserve"> Security deposits</t>
  </si>
  <si>
    <t>Note: "36" Capital management</t>
  </si>
  <si>
    <t>Provision for leave encashment</t>
  </si>
  <si>
    <t>Profit as per the profit &amp; loss account(PBT)</t>
  </si>
  <si>
    <t>Staff training- current year</t>
  </si>
  <si>
    <t>Fines &amp; penalties</t>
  </si>
  <si>
    <t>Allowable deduction(movement in TD)</t>
  </si>
  <si>
    <t>Depreciation as per income tax act</t>
  </si>
  <si>
    <t>Staff training</t>
  </si>
  <si>
    <t>Less: Staff training 1/3 of 2017</t>
  </si>
  <si>
    <t>Adjusted profit</t>
  </si>
  <si>
    <t>Advance Tax(copy of the receipt attached)</t>
  </si>
  <si>
    <t>365/Accounts receivable turnover</t>
  </si>
  <si>
    <t>Staff training -current year</t>
  </si>
  <si>
    <t>Less: Staff training 1/3 for 2017</t>
  </si>
  <si>
    <t>Less: Staff training 1/3 for 2016</t>
  </si>
  <si>
    <t>Total timing difference</t>
  </si>
  <si>
    <t>Deferred tax @ 30%</t>
  </si>
  <si>
    <t>Opening balance (deferred tax liability)</t>
  </si>
  <si>
    <t>Net deferred tax (Liability)/Asset</t>
  </si>
  <si>
    <t>Deferred tax asset/(liability)</t>
  </si>
  <si>
    <t>Impairment of Trade Receivable</t>
  </si>
  <si>
    <t>Advance from Postpaid Customer</t>
  </si>
  <si>
    <t>Deferred tax assets (net)</t>
  </si>
  <si>
    <t>Property, plant and equipment</t>
  </si>
  <si>
    <t>Note "2 (a)" : Property, Plant &amp; Equipments :</t>
  </si>
  <si>
    <t>Note "2 (c)" : Capital work in progress :</t>
  </si>
  <si>
    <t>Note "2 (b)" : Intangibile assets :</t>
  </si>
  <si>
    <t>The useful lives applied are as follows:</t>
  </si>
  <si>
    <t>Asset type</t>
  </si>
  <si>
    <t>Note "3" : Investment in associate:</t>
  </si>
  <si>
    <t>Deferred tax asset-non current</t>
  </si>
  <si>
    <t>Total cash and bank balancees</t>
  </si>
  <si>
    <t>III. Add/(Less): Tax expenses :</t>
  </si>
  <si>
    <t>Deferred income tax</t>
  </si>
  <si>
    <t>Current tax</t>
  </si>
  <si>
    <t>Other comprehensive income,net of tax</t>
  </si>
  <si>
    <t>long term borrowings/total shareholder funds</t>
  </si>
  <si>
    <t>1.26 million</t>
  </si>
  <si>
    <t>365/(average collection/average accounts receivable)</t>
  </si>
  <si>
    <t>Average Current Assets-Average Current Liabilities/Net sales</t>
  </si>
  <si>
    <t>38.11 Days</t>
  </si>
  <si>
    <t>Apart from cash and cash equivalent, company's majority of the financial assets are in the form of trade receivables only. Customer credit risk is managed by each business unit subject to the Company's established policy, procedures and control relating to customer credit risk management. As significant portion of the company's sale is in cash (all prepaid services), total trade receivables outstanding at the reporting date are also not significant in comparison of the company's total revenue. These trade receivables are non-interest bearing and are generally on credit term of 30-60 days. The Company regularly monitors its outstanding customer receivables.
Company categorised its trade receivables mainly into two categories, due from international customers and from domestic customers. In case of international debtors, there is no history of default and delay risk. Further, as per the arrangement and company's policy in case of majority of the international customers, receivables balances are settled on regular interval. Therefore, considering the forward looking approach management believes that the credit risk in case of international customers is not significant and no loss allowance is required to be provided.
In case of domestic trade receivables, company have history of delay in recovery as well as default in recovery. However, as per the company policy, in case of delay in recovery, company billed and recover delay charges for the delay period.  Accordingly, company is not exposed to delay risk. For default risk, company based on history, past trends and forwarding looking approach provides for loss allowance following expected credit loss method.</t>
  </si>
  <si>
    <t>Income from Online Applications</t>
  </si>
  <si>
    <t>201000487101 - Tendu Rev - MB</t>
  </si>
  <si>
    <t>Commission income from online mobile apps</t>
  </si>
  <si>
    <t>GR/IR Clearing Account</t>
  </si>
  <si>
    <t>BST Clearing Account</t>
  </si>
  <si>
    <t>External Services Clearing Account</t>
  </si>
  <si>
    <t>Material Settlement Clearing Account</t>
  </si>
  <si>
    <t>Capital Advance Clearing Account</t>
  </si>
  <si>
    <t>01.01.2018</t>
  </si>
  <si>
    <t>Balance at 1st January 2017</t>
  </si>
  <si>
    <t>Changes in equity for 2018</t>
  </si>
  <si>
    <t>Balance at 31st December 2018</t>
  </si>
  <si>
    <t>201000487101 - Tendu Rev - IB</t>
  </si>
  <si>
    <t>201000487101 - Tendu Rev - OB</t>
  </si>
  <si>
    <t>Less: Staff training 1/3 of 2018</t>
  </si>
  <si>
    <t>Repayment of BOB loan</t>
  </si>
  <si>
    <t>Dividend</t>
  </si>
  <si>
    <t>0.92:1</t>
  </si>
  <si>
    <t>0.69:1</t>
  </si>
  <si>
    <t>13.44%</t>
  </si>
  <si>
    <t>0.15:1</t>
  </si>
  <si>
    <t>24.96%</t>
  </si>
  <si>
    <t>19.62%</t>
  </si>
  <si>
    <t>40.22%</t>
  </si>
  <si>
    <t>As at December 31, 2018</t>
  </si>
  <si>
    <t>December 31, 2018</t>
  </si>
  <si>
    <t xml:space="preserve"> December 31, 2018</t>
  </si>
  <si>
    <t>Packing and Forwarding Clearing Account</t>
  </si>
  <si>
    <t>Custom Duty Clearing Account</t>
  </si>
  <si>
    <t>Sales Clearing Account</t>
  </si>
  <si>
    <t>Project Expense Clearing Account</t>
  </si>
  <si>
    <t>Financial Institution Loan</t>
  </si>
  <si>
    <t>As at 31st December,  2017</t>
  </si>
  <si>
    <t>Sale of property plant and equipments (actual cash received)</t>
  </si>
  <si>
    <t>0100071941001- Kanglung Rev - MB</t>
  </si>
  <si>
    <t>0100071941001- Kanglung Rev - IB</t>
  </si>
  <si>
    <t>0100071941001- Kanglung Rev - OB</t>
  </si>
  <si>
    <t>Insurance Clearing Account</t>
  </si>
  <si>
    <t>Handling Charges Clearing Account</t>
  </si>
  <si>
    <t>Income tax relating to component for other comprehensive income</t>
  </si>
  <si>
    <t>This is the statement of comprehensive income referred to in our report of even date</t>
  </si>
  <si>
    <t>This is the statement of financial position referred to in our report of even date</t>
  </si>
  <si>
    <t>Other bank balances</t>
  </si>
  <si>
    <t>Balances with banks in current accounts</t>
  </si>
  <si>
    <t>Interest on BOB loan</t>
  </si>
  <si>
    <t>As of Sept, 18</t>
  </si>
  <si>
    <t>Telephone Service</t>
  </si>
  <si>
    <t>Miscellaneous Income - Fixed Line</t>
  </si>
  <si>
    <t>Mobile -  Sim Cards</t>
  </si>
  <si>
    <t>Mobile - Prepaid Recharge Cards</t>
  </si>
  <si>
    <t>Mobile - Postpaid Services</t>
  </si>
  <si>
    <t>Eload - Mobile</t>
  </si>
  <si>
    <t>Income from IN and VAS</t>
  </si>
  <si>
    <t>Miscellaneous Income - Mobile</t>
  </si>
  <si>
    <t>Sale of Mobile Data Card</t>
  </si>
  <si>
    <t>Broadband - Postpaid</t>
  </si>
  <si>
    <t>Broadband - Prepaid</t>
  </si>
  <si>
    <t>Internet Leaseline</t>
  </si>
  <si>
    <t>Income from Domain Name Registration</t>
  </si>
  <si>
    <t>Income from IPLC - National</t>
  </si>
  <si>
    <t>Miscellaneous Income - Druknet</t>
  </si>
  <si>
    <t>Sale of Internet Modem</t>
  </si>
  <si>
    <t>Broadband - Recharge Card</t>
  </si>
  <si>
    <t>Eload - Broadband</t>
  </si>
  <si>
    <t>Contact Center Revenue</t>
  </si>
  <si>
    <t>Income from Interconnect</t>
  </si>
  <si>
    <t>International ISD</t>
  </si>
  <si>
    <t>Income from International Roaming</t>
  </si>
  <si>
    <t>Income from IPLC - International</t>
  </si>
  <si>
    <t>Income from Domain Name - International</t>
  </si>
  <si>
    <t>Income from Leaseline - International</t>
  </si>
  <si>
    <t>Income from House Rent</t>
  </si>
  <si>
    <t>Income from Hire Charges</t>
  </si>
  <si>
    <t>Income from BT Guide</t>
  </si>
  <si>
    <t>Income from BSecure</t>
  </si>
  <si>
    <t>Income from One Stop Shop (BT Shop)</t>
  </si>
  <si>
    <t>Income from Thuraya Services</t>
  </si>
  <si>
    <t>Income from sale of CPE and Equipments</t>
  </si>
  <si>
    <t>Fines</t>
  </si>
  <si>
    <t>Net Income from Depository Works</t>
  </si>
  <si>
    <t>Physical Verification on Inventory - Gain</t>
  </si>
  <si>
    <t>Rounding Difference - Gain</t>
  </si>
  <si>
    <t>Income from MFS (Paku)</t>
  </si>
  <si>
    <t>Miscellaneous Income</t>
  </si>
  <si>
    <t>Interest from Fixed Deposits</t>
  </si>
  <si>
    <t>Gain on Forex Fluctuation</t>
  </si>
  <si>
    <t>Consumption of Vehicle Spares</t>
  </si>
  <si>
    <t>Consumption of Office Equipment Spares</t>
  </si>
  <si>
    <t>Consumption of Equipment Spares</t>
  </si>
  <si>
    <t>Consumption of General Item</t>
  </si>
  <si>
    <t>Consumables</t>
  </si>
  <si>
    <t>Consumption of Printing and Stationaries</t>
  </si>
  <si>
    <t>Consumption of Trading Goods</t>
  </si>
  <si>
    <t>COGS of Trading Goods</t>
  </si>
  <si>
    <t>Basic Pay</t>
  </si>
  <si>
    <t>Wages</t>
  </si>
  <si>
    <t>Allowances</t>
  </si>
  <si>
    <t>Bonus</t>
  </si>
  <si>
    <t>Medical Expenses</t>
  </si>
  <si>
    <t>Uniform and Livery Expenses</t>
  </si>
  <si>
    <t>Staff Welfare Expenses</t>
  </si>
  <si>
    <t>Training - In Country</t>
  </si>
  <si>
    <t>Training - Ex Country</t>
  </si>
  <si>
    <t>Meeting and Seminar</t>
  </si>
  <si>
    <t>Transfer Grant Expenses</t>
  </si>
  <si>
    <t>BT Day &amp; Development Program Expense</t>
  </si>
  <si>
    <t>Pilgrimage Expenses</t>
  </si>
  <si>
    <t>Leave Encashment</t>
  </si>
  <si>
    <t>Provident Fund Contribution</t>
  </si>
  <si>
    <t>R&amp;M Power - Service</t>
  </si>
  <si>
    <t>Generator Running Expenses</t>
  </si>
  <si>
    <t>R&amp;M Generator Set - Service</t>
  </si>
  <si>
    <t>R&amp;M Plant and Machinery - Service</t>
  </si>
  <si>
    <t>R&amp;M Plant and Machinery - AMC</t>
  </si>
  <si>
    <t>R&amp;M Building - Service</t>
  </si>
  <si>
    <t>R&amp;M Office Equipment - Service</t>
  </si>
  <si>
    <t>R&amp;M Office Equipment - AMC</t>
  </si>
  <si>
    <t>R&amp;M Cables and Accessories - Services</t>
  </si>
  <si>
    <t>R&amp;M Software Application - AMC</t>
  </si>
  <si>
    <t>Vehicle Running Expense - POL</t>
  </si>
  <si>
    <t>R&amp;M Vehicles - Services</t>
  </si>
  <si>
    <t>Deposit Work Expense</t>
  </si>
  <si>
    <t>Business Promotion</t>
  </si>
  <si>
    <t>Discount Allowed</t>
  </si>
  <si>
    <t>Directors Fees</t>
  </si>
  <si>
    <t>Brand &amp; Management Fees</t>
  </si>
  <si>
    <t>Fees and Subscriptions - National</t>
  </si>
  <si>
    <t>Printing and Stationary</t>
  </si>
  <si>
    <t>Advertisement</t>
  </si>
  <si>
    <t>Communication (Fax, Mail, Post)</t>
  </si>
  <si>
    <t>Office Maintenance</t>
  </si>
  <si>
    <t>Water and Sewerage</t>
  </si>
  <si>
    <t>Rent</t>
  </si>
  <si>
    <t>Travel - Foreign</t>
  </si>
  <si>
    <t>Travel - Local</t>
  </si>
  <si>
    <t>Travel - Maintenance &amp; Project</t>
  </si>
  <si>
    <t>Rates and Taxes</t>
  </si>
  <si>
    <t>Registration and Filing Fees/Survey</t>
  </si>
  <si>
    <t>General Insurance</t>
  </si>
  <si>
    <t>Expense on Interconnect Settlement</t>
  </si>
  <si>
    <t>Commission</t>
  </si>
  <si>
    <t>Revenue Sharing - National</t>
  </si>
  <si>
    <t>Electricity</t>
  </si>
  <si>
    <t>Entertainment</t>
  </si>
  <si>
    <t>Carriage Outward &amp; Inward</t>
  </si>
  <si>
    <t>Books, Magazines and Newspapers</t>
  </si>
  <si>
    <t>Corporate Social Responsibility</t>
  </si>
  <si>
    <t>Price Difference of Material - Loss</t>
  </si>
  <si>
    <t>Physical Verification of Inventory - Loss</t>
  </si>
  <si>
    <t>Loss/Scrapping/Retirement of Inventory</t>
  </si>
  <si>
    <t>Rounding Difference - Loss</t>
  </si>
  <si>
    <t>Misc. Expenses</t>
  </si>
  <si>
    <t>Professional Charges</t>
  </si>
  <si>
    <t>Audit Expenses</t>
  </si>
  <si>
    <t>Interest on Loans</t>
  </si>
  <si>
    <t>Bank Charges</t>
  </si>
  <si>
    <t>Fees and Subscriptions - International</t>
  </si>
  <si>
    <t>Satellite Utilization Charges</t>
  </si>
  <si>
    <t>Service fee for IPLC</t>
  </si>
  <si>
    <t>International Traffic Settlement, Voice</t>
  </si>
  <si>
    <t>Internet Port Charges, IP Transit</t>
  </si>
  <si>
    <t>International Roaming</t>
  </si>
  <si>
    <t>GMPCS Services</t>
  </si>
  <si>
    <t>Loss on Forex Fluctuation</t>
  </si>
  <si>
    <t>Depreciation - Building</t>
  </si>
  <si>
    <t>Depreciation - Tele Equipment</t>
  </si>
  <si>
    <t>Depreciation - Office Equipment</t>
  </si>
  <si>
    <t>Depreciation - Furniture and Fixtures</t>
  </si>
  <si>
    <t>Depreciation - Power System</t>
  </si>
  <si>
    <t>Depreciation - Cable and Accessories</t>
  </si>
  <si>
    <t>Depreciation - Vehicle</t>
  </si>
  <si>
    <t>Depreciation - Tools and Spare Parts</t>
  </si>
  <si>
    <t>Amortization of Software</t>
  </si>
  <si>
    <t>100914942- CHQ BoB Dis - IB</t>
  </si>
  <si>
    <t>100914942- CHQ BoB Dis - OB</t>
  </si>
  <si>
    <t>0000019474029-CHQ BNB REV-MB</t>
  </si>
  <si>
    <t>0000019474056-BNB MFS-MB</t>
  </si>
  <si>
    <t>0000019474056-BNB MFS-IB</t>
  </si>
  <si>
    <t>201242839-CHQ BOB-MFS-MB</t>
  </si>
  <si>
    <t>201242839-CHQ BOB-MFS-IB</t>
  </si>
  <si>
    <t>0000019474054 - BNB-MPAY-MB</t>
  </si>
  <si>
    <t>0000019474054 - BNB-MPAY-IB</t>
  </si>
  <si>
    <t>2010115395 - BOB-CHARO-MB</t>
  </si>
  <si>
    <t>0003760172006 - Trashigang Rev - MB</t>
  </si>
  <si>
    <t>0003760172006 - Trashigang Rev - IB</t>
  </si>
  <si>
    <t>0006019474005 - Mongar Rev - MB</t>
  </si>
  <si>
    <t>0006019474005 - Mongar Rev - IB</t>
  </si>
  <si>
    <t>0002270057015 - Samdrup Jongkhar Rev - MB</t>
  </si>
  <si>
    <t>0002270057015 - Samdrup Jongkhar Rev - IB</t>
  </si>
  <si>
    <t>20402179000290016 - Pema Gatshel Rev - MB</t>
  </si>
  <si>
    <t>20401975000640019 - Lhuntse Rev - MB</t>
  </si>
  <si>
    <t>20401975000640019 - Lhuntse Rev - IB</t>
  </si>
  <si>
    <t>002227070019 - Wamrong Rev - MB</t>
  </si>
  <si>
    <t>002227070019 - Wamrong Rev - IB</t>
  </si>
  <si>
    <t>20402985000550010 - Nganglam Rev - MB</t>
  </si>
  <si>
    <t>20402985000550010 - Nganglam Rev - IB</t>
  </si>
  <si>
    <t>20402899000950012- Trashiyangtse Rev - MB</t>
  </si>
  <si>
    <t>20402899000950012 - Trashiyangtse Rev - IB</t>
  </si>
  <si>
    <t>002227150011-Khaling Rev - MB</t>
  </si>
  <si>
    <t>000927150001 - Kanglung Rev - MB</t>
  </si>
  <si>
    <t>000927150001 - Kanglung Rev - IB</t>
  </si>
  <si>
    <t>200692298 - Deothang - MB</t>
  </si>
  <si>
    <t>200692298 - Deothang - IB</t>
  </si>
  <si>
    <t>200736600 - Doksum - MB</t>
  </si>
  <si>
    <t>200746212 - Rangjung - MB</t>
  </si>
  <si>
    <t>200746212 - Rangjung - IB</t>
  </si>
  <si>
    <t>200781520 - Gyelpozhing - MB</t>
  </si>
  <si>
    <t>200781520 - Gyelpozhing - IB</t>
  </si>
  <si>
    <t>201237318 - Samdrup Jongkhar Rev - MB</t>
  </si>
  <si>
    <t>201237318 - Samdrup Jongkhar Rev - IB</t>
  </si>
  <si>
    <t>201240547 - Samdrup Jongkhar Dis - MB</t>
  </si>
  <si>
    <t>201240547 - Samdrup Jongkhar Dis - OB</t>
  </si>
  <si>
    <t>0001005964008 - Phuntsholing Rev - MB</t>
  </si>
  <si>
    <t>0001005964008  - Phuntsholing Rev - IB</t>
  </si>
  <si>
    <t>20401771000940017- Gedu Rev - MB</t>
  </si>
  <si>
    <t>20401771000940017 - Gedu Rev - IB</t>
  </si>
  <si>
    <t>000150001900014- Rinchentse Rev - MB</t>
  </si>
  <si>
    <t>2040054000410015 - Tshimasham Rev - MB</t>
  </si>
  <si>
    <t>2040054000410015 - Tshimasham Rev - IB</t>
  </si>
  <si>
    <t>0009760048017  - Gomtu Rev - MB</t>
  </si>
  <si>
    <t>0009760048017  - Gomtu Rev - IB</t>
  </si>
  <si>
    <t>20700642500860017 - Samtse Rev - MB</t>
  </si>
  <si>
    <t>20700642500860017 - Samtse Rev - IB</t>
  </si>
  <si>
    <t>20700642610380000 - Sipsoo Rev - MB</t>
  </si>
  <si>
    <t>20700642610380000 - Sipsoo Rev - IB</t>
  </si>
  <si>
    <t>002827110003 - Lhamoizingkha Rev - MB</t>
  </si>
  <si>
    <t>002827110003 - Lhamoizingkha Rev - IB</t>
  </si>
  <si>
    <t>0001005964016 - Phuntsholing Dis - MB</t>
  </si>
  <si>
    <t>0001005964016 - Phuntsholing Dis - IB</t>
  </si>
  <si>
    <t>0001005964016 - Phuntsholing Dis - OB</t>
  </si>
  <si>
    <t>20702697043750018 - Samdrupcholing Rev - MB</t>
  </si>
  <si>
    <t>20702697043750018 - Samdrupcholing Rev - IB</t>
  </si>
  <si>
    <t>002727140003- Jomotshangkha Rev - MB</t>
  </si>
  <si>
    <t>002727140003 - Jomotshangkha Rev - IB</t>
  </si>
  <si>
    <t>0004002496014 - Gelephu Rev - MB</t>
  </si>
  <si>
    <t>0004002496014 - Gelephu Rev - IB</t>
  </si>
  <si>
    <t>20400848000290019 - Damphu Rev - MB</t>
  </si>
  <si>
    <t>20400848000290019 - Damphu Rev - IB</t>
  </si>
  <si>
    <t>20402493000500011 - Dagana Rev - MB</t>
  </si>
  <si>
    <t>20402493000500011 - Dagana Rev - IB</t>
  </si>
  <si>
    <t>20402391004180022 - Sarpang Rev - MB</t>
  </si>
  <si>
    <t>20402391004180022 - Sarpang Rev - IB</t>
  </si>
  <si>
    <t>20401873019150016 - Zhemgang Rev - MB</t>
  </si>
  <si>
    <t>20401873019150016 - Zhemgang Rev - IB</t>
  </si>
  <si>
    <t>20401567011860014 - Trongsa Rev - MB</t>
  </si>
  <si>
    <t>20401567011860014 - Trongsa Rev - IB</t>
  </si>
  <si>
    <t>0004700084020 - Tingtibi Rev - MB</t>
  </si>
  <si>
    <t>0004700084020 - Tingtibi Rev - IB</t>
  </si>
  <si>
    <t>20401259073920015 - Bumthang Rev - MB</t>
  </si>
  <si>
    <t>20401259073920015 - Bumthang Rev - IB</t>
  </si>
  <si>
    <t>002527110001 - Panbang Rev - MB</t>
  </si>
  <si>
    <t>002527110001 - Panbang Rev - IB</t>
  </si>
  <si>
    <t>0004002520017 - Gelephu Dis - MB</t>
  </si>
  <si>
    <t>0004002520017 - Gelephu Dis - IB</t>
  </si>
  <si>
    <t>0004002520017 - Gelephu Dis - OB</t>
  </si>
  <si>
    <t>0000019473007 - Thimphu Rev - MB</t>
  </si>
  <si>
    <t>0000019473007 - Thimphu Rev - IB</t>
  </si>
  <si>
    <t>0000019474050 - Thimphu BNB Bwallet Rev - MB</t>
  </si>
  <si>
    <t>0000019474050 - Thimphu BNB Bwallet Rev - IB</t>
  </si>
  <si>
    <t>20770220677700011 - Thimphu BoB Bwallet Rev - MB</t>
  </si>
  <si>
    <t>20702200677700011- Thimphu BoB Bwallet Rev - IB</t>
  </si>
  <si>
    <t>2070220677700011 - Thimphu BoB Bwallet Rev - OB</t>
  </si>
  <si>
    <t>0000064465019 - Thimphu BNB Online Rev - MB</t>
  </si>
  <si>
    <t>0000064465019 - Thimphu BNB Online Rev - IB</t>
  </si>
  <si>
    <t>20700220670610012 - Thimphu BoB Online Rev - MB</t>
  </si>
  <si>
    <t>20700220670610012 - Thimphu BoB Online Rev - IB</t>
  </si>
  <si>
    <t>20700220670610012 - Thimphu BoB Online Rev - OB</t>
  </si>
  <si>
    <t>0005601652015 - Paro Rev - MB</t>
  </si>
  <si>
    <t>0005601652015 - Paro Rev - IB</t>
  </si>
  <si>
    <t>0007729062010 - Punakha Rev - MB</t>
  </si>
  <si>
    <t>0007729062010 - Punakha Rev - IB</t>
  </si>
  <si>
    <t>0007720098008 - Wangdue Rev - MB</t>
  </si>
  <si>
    <t>0007720098008 - Wangdue Rev - IB</t>
  </si>
  <si>
    <t>20401669009120014 - Haa Rev - MB</t>
  </si>
  <si>
    <t>20401669009120014 - Haa Rev - IB</t>
  </si>
  <si>
    <t>20703086001290010 - Gasa Rev - MB</t>
  </si>
  <si>
    <t>20703086001290010 - Gasa Rev - IB</t>
  </si>
  <si>
    <t>0000042330019 - Thimphu Dis - MB</t>
  </si>
  <si>
    <t>0000042330019 - Thimphu Dis - IB</t>
  </si>
  <si>
    <t>0000042330019 - Thimphu Dis - OB</t>
  </si>
  <si>
    <t>000127140179-Thimphu-BDBL BWallet Rev - MB</t>
  </si>
  <si>
    <t>000127140179-Thimphu-BDBL BWallet Rev - IB</t>
  </si>
  <si>
    <t>000127140179-Thimphu-BDBL BWallet Rev - OB</t>
  </si>
  <si>
    <t>0100017435001-Dagapela Rev - MB</t>
  </si>
  <si>
    <t>0100017435001-Dagapela Rev - IB</t>
  </si>
  <si>
    <t>20700220791560032-MBOB Rev - MB</t>
  </si>
  <si>
    <t>20700220791560032-MBOB Rev - IB</t>
  </si>
  <si>
    <t>200626734 - BOB OSS Rev - MB</t>
  </si>
  <si>
    <t>200626734 - BOB OSS Rev - IB</t>
  </si>
  <si>
    <t>0000019474053 - BNB Khasadrapchu Rev - MB</t>
  </si>
  <si>
    <t>0000019474053 - BNB Khasadrapchu Rev - IB</t>
  </si>
  <si>
    <t>Security Deposit - Others</t>
  </si>
  <si>
    <t>Advance to Suppliers - Current</t>
  </si>
  <si>
    <t>Advance to Others - Current</t>
  </si>
  <si>
    <t>Income accrued but not Due</t>
  </si>
  <si>
    <t>Other Receivables - Current</t>
  </si>
  <si>
    <t>Advance to Staff, Travel Expense</t>
  </si>
  <si>
    <t>Advance to Staff, Personal Expenses- Current</t>
  </si>
  <si>
    <t>Advance to Staff, Office Expenses - Current</t>
  </si>
  <si>
    <t>Advance to Staff, Imprest</t>
  </si>
  <si>
    <t>Prepaid Expense - Current</t>
  </si>
  <si>
    <t>Tax Deducted at Source - Asset</t>
  </si>
  <si>
    <t>Security Deposit Other - Non Current</t>
  </si>
  <si>
    <t>Grant from RGoB - Current</t>
  </si>
  <si>
    <t>Grant from Govt of India - Current</t>
  </si>
  <si>
    <t>Grant from JICA - Current</t>
  </si>
  <si>
    <t>Sundry Creditors - Domestic</t>
  </si>
  <si>
    <t>Sundry Creditors - DHI Intra Company</t>
  </si>
  <si>
    <t>Sundry Creditors - International</t>
  </si>
  <si>
    <t>Tax Deducted at Source - Liability</t>
  </si>
  <si>
    <t>Tax on Telecom Service Payable (ST)</t>
  </si>
  <si>
    <t>Stale Cheques</t>
  </si>
  <si>
    <t>Advances from Customer</t>
  </si>
  <si>
    <t>Advances from Customer - Deposit Work</t>
  </si>
  <si>
    <t>Salary Payable Account</t>
  </si>
  <si>
    <t>Other Deductions</t>
  </si>
  <si>
    <t>Sundry Creditors - Employees</t>
  </si>
  <si>
    <t>Security Deposits - Customer</t>
  </si>
  <si>
    <t>Security Deposits - Vendor</t>
  </si>
  <si>
    <t>Provision for Leave Encashment</t>
  </si>
  <si>
    <t>Grant from RGoB - Non Current</t>
  </si>
  <si>
    <t>Grant from Govt of India - Non Current</t>
  </si>
  <si>
    <t>Grant from JICA - Non Current</t>
  </si>
  <si>
    <t>Term Loan</t>
  </si>
  <si>
    <t>Corporate Bond</t>
  </si>
  <si>
    <t>Provision for Insurance of Assets - Non Current</t>
  </si>
  <si>
    <t>Provision for Leave Encashment - Non Current</t>
  </si>
  <si>
    <t>Issued, Subscribed and Paid Up</t>
  </si>
  <si>
    <t>Retained Earning</t>
  </si>
  <si>
    <t>Dividend for the Year</t>
  </si>
  <si>
    <t>Freight Clearing Account</t>
  </si>
  <si>
    <t>Miscellaneous Clearing Account</t>
  </si>
  <si>
    <t>0000019474056-BNB MFS-OB</t>
  </si>
  <si>
    <t>201242839-CHQ BOB-MFS-OB</t>
  </si>
  <si>
    <t>201240547 - Samdrup Jongkhar Dis - IB</t>
  </si>
  <si>
    <t>201237318 - Samdrup Jongkhar Rev - OB</t>
  </si>
  <si>
    <t>Leave Travel Concession</t>
  </si>
  <si>
    <t>0000019474029-CHQ BNB REV-IB</t>
  </si>
  <si>
    <t>2010115395 - BOB-CHARO-IB</t>
  </si>
  <si>
    <t>200736600 - Doksum - IB</t>
  </si>
  <si>
    <t>20400848000290019 - Damphu Rev - OB</t>
  </si>
  <si>
    <t>Opening Cash as of 31.12.17</t>
  </si>
  <si>
    <t>0000019474029-CHQ BNB REV-OB</t>
  </si>
  <si>
    <t>20402179000290019 - Pema Gatshel Rev - IB</t>
  </si>
  <si>
    <t>20402179000290019 - Pema Gatshel Rev - OB</t>
  </si>
  <si>
    <t>20402899000950012 - Trashiyangtse Rev - OB</t>
  </si>
  <si>
    <t>200781520 - Gyelpozhing - OB</t>
  </si>
  <si>
    <t>0000019473007 - Thimphu Rev - OB</t>
  </si>
  <si>
    <t>0005601652015 - Paro Rev - OB</t>
  </si>
  <si>
    <t>0007729062010 - Punakha Rev - OB</t>
  </si>
  <si>
    <t>0007720098008 - Wangdue Rev - OB</t>
  </si>
  <si>
    <t>20401669009120014 - Haa Rev - OB</t>
  </si>
  <si>
    <t>20703086001290010 - Gasa Rev - OB</t>
  </si>
  <si>
    <t>0000019474053 - BNB Khasadrapchu Rev - OB</t>
  </si>
  <si>
    <t>0000019474054 - BNB-MPAY-OB</t>
  </si>
  <si>
    <t>2010115395 - BOB-CHARO-OB</t>
  </si>
  <si>
    <t>0003760172006 - Trashigang Rev - OB</t>
  </si>
  <si>
    <t>0006019474005 - Mongar Rev - OB</t>
  </si>
  <si>
    <t>0002270057015 - Samdrup Jongkhar Rev - OB</t>
  </si>
  <si>
    <t>20401975000640019 - Lhuntse Rev - OB</t>
  </si>
  <si>
    <t>002227070019 - Wamrong Rev - OB</t>
  </si>
  <si>
    <t>20402985000550010 - Nganglam Rev - OB</t>
  </si>
  <si>
    <t>0003760172017 - Trashigang Dis - MB</t>
  </si>
  <si>
    <t>0003760172017 - Trashigang Dis - IB</t>
  </si>
  <si>
    <t>0003760172017 - Trashigang Dis - OB</t>
  </si>
  <si>
    <t>0002270058018 - Samdrup Jongkhar Dis - MB</t>
  </si>
  <si>
    <t>0002270058018 - Samdrup Jongkhar Dis - IB</t>
  </si>
  <si>
    <t>0002270058018 - Samdrup Jongkhar Dis - OB</t>
  </si>
  <si>
    <t>0006702336007 - Mongar Dis - MB</t>
  </si>
  <si>
    <t>0006702336007 - Mongar Dis - IB</t>
  </si>
  <si>
    <t>0006702336007 - Mongar Dis - OB</t>
  </si>
  <si>
    <t>20402899000950023 - Trashiyangtse Dis - MB</t>
  </si>
  <si>
    <t>20402899000950023 - Trashiyangtse Dis - IB</t>
  </si>
  <si>
    <t>20402899000950023 - Trashiyangtse Dis - OB</t>
  </si>
  <si>
    <t>20702985028750010 - Nanglam Dis - MB</t>
  </si>
  <si>
    <t>20702985028750010 - Nanglam Dis - IB</t>
  </si>
  <si>
    <t>20702985028750010 - Nanglam Dis - OB</t>
  </si>
  <si>
    <t>000927150001 - Kanglung Rev - OB</t>
  </si>
  <si>
    <t>10141176 - Kanglung Dis - MB</t>
  </si>
  <si>
    <t>10141176 - Kanglung Dis - IB</t>
  </si>
  <si>
    <t>10141176 - Kanglung Dis - OB</t>
  </si>
  <si>
    <t>200692298 - Deothang - OB</t>
  </si>
  <si>
    <t>200736600 - Doksum - OB</t>
  </si>
  <si>
    <t>002227150011-Khaling RV-MB</t>
  </si>
  <si>
    <t>002227150011-Khaling RV-IB</t>
  </si>
  <si>
    <t>002227150011-Khaling RV-OB</t>
  </si>
  <si>
    <t>0001005964008- Phuntsholing Rev - OB</t>
  </si>
  <si>
    <t>20401771000940017- Gedu Rev - OB</t>
  </si>
  <si>
    <t>000150001900014 - Rinchentse Rev - IB</t>
  </si>
  <si>
    <t>000150001900014 - Rinchentse Rev - OB</t>
  </si>
  <si>
    <t>2040054000410015 - Tshimasham Rev - OB</t>
  </si>
  <si>
    <t>0009760048017  - Gomtu Rev - OB</t>
  </si>
  <si>
    <t>20700642500860017 - Samtse Rev - OB</t>
  </si>
  <si>
    <t>20700642610380000 - Sipsoo Rev - OB</t>
  </si>
  <si>
    <t>002827110003 - Lhamoizingkha Rev - OB</t>
  </si>
  <si>
    <t>20401771071860000 - Gedu Dis - MB</t>
  </si>
  <si>
    <t>20401771071860000 - Gedu Dis - IB</t>
  </si>
  <si>
    <t>20401771071860000 - Gedu Dis - OB</t>
  </si>
  <si>
    <t>20700642500860000 - Samtse Dis - MB</t>
  </si>
  <si>
    <t>20700642500860000 - Samtse Dis - IB</t>
  </si>
  <si>
    <t>20700642500860000 - Samtse Dis - OB</t>
  </si>
  <si>
    <t>20700540025070000 - Tshimasham Dis - MB</t>
  </si>
  <si>
    <t>20700540025070000 - Tshimasham Dis - IB</t>
  </si>
  <si>
    <t>20700540025070000 - Tshimasham Dis - OB</t>
  </si>
  <si>
    <t>0001500190003 - Rinchentse Dis - MB</t>
  </si>
  <si>
    <t>0001500190003 - Rinchentse Dis - IB</t>
  </si>
  <si>
    <t>0001500190003 - Rinchentse Dis - OB</t>
  </si>
  <si>
    <t>00000009760047014 - Gomtu Dis - MB</t>
  </si>
  <si>
    <t>00000009760047014 - Gomtu Dis - IB</t>
  </si>
  <si>
    <t>00000009760047014 - Gomtu Dis - OB</t>
  </si>
  <si>
    <t>0000027120001 - Lhamoizingkha Dis - MB</t>
  </si>
  <si>
    <t>0000027120001 - Lhamoizingkha Dis - IB</t>
  </si>
  <si>
    <t>0000027120001 - Lhamoizingkha Dis - OB</t>
  </si>
  <si>
    <t>20702697043750018 - Samdrupcholing Rev - OB</t>
  </si>
  <si>
    <t>002727140003 - Jomotshangkha Rev - OB</t>
  </si>
  <si>
    <t>002710140222 - Jomotshangkha Dis - MB</t>
  </si>
  <si>
    <t>002710140222 - Jomotshangkha Dis - IB</t>
  </si>
  <si>
    <t>002710140222 - Jomotshangkha Dis - OB</t>
  </si>
  <si>
    <t>0004002496014 - Gelephu Rev - OB</t>
  </si>
  <si>
    <t>20402493000500011 - Dagana Rev - OB</t>
  </si>
  <si>
    <t>20402391004180022 - Sarpang Rev - OB</t>
  </si>
  <si>
    <t>20401873019150016 - Zhemgang Rev - OB</t>
  </si>
  <si>
    <t>20401567011860014 - Trongsa Rev - OB</t>
  </si>
  <si>
    <t>0004700084020 - Tingtibi Rev - OB</t>
  </si>
  <si>
    <t>20401259073920015 - Bumthang Rev - OB</t>
  </si>
  <si>
    <t>002527110001 - Panbang Rev - OB</t>
  </si>
  <si>
    <t>20400848046100016 - Damphu Dis - MB</t>
  </si>
  <si>
    <t>20400848046100016 - Damphu Dis - IB</t>
  </si>
  <si>
    <t>20400848046100016 - Damphu Dis - OB</t>
  </si>
  <si>
    <t>20402493000500000 - Dagana Dis - MB</t>
  </si>
  <si>
    <t>20402493000500000 - Dagana Dis - IB</t>
  </si>
  <si>
    <t>20402493000500000 - Dagana Dis - OB</t>
  </si>
  <si>
    <t>20401873028460018 - Zhemgang Dis - MB</t>
  </si>
  <si>
    <t>20401873028460018 - Zhemgang Dis - IB</t>
  </si>
  <si>
    <t>20401873028460018 - Zhemgang Dis - OB</t>
  </si>
  <si>
    <t>20401567011870018 - Trongsa Dis - MB</t>
  </si>
  <si>
    <t>20401567011870018 - Trongsa Dis - IB</t>
  </si>
  <si>
    <t>20401567011870018 - Trongsa Dis - OB</t>
  </si>
  <si>
    <t>0008740183014 - Bumthang Dis - MB</t>
  </si>
  <si>
    <t>0008740183014 - Bumthang Dis - IB</t>
  </si>
  <si>
    <t>0008740183014 - Bumthang Dis - OB</t>
  </si>
  <si>
    <t>0000019474050 - Thimphu BNB Bwallet - OB</t>
  </si>
  <si>
    <t>0000064465019 - Thimphu BNB Online - OB</t>
  </si>
  <si>
    <t>20700220569090014 - Thimphu POS - MB</t>
  </si>
  <si>
    <t>20700220569090014 - Thimphu POS - IB</t>
  </si>
  <si>
    <t>20700220569090014 - Thimphu POS - OB</t>
  </si>
  <si>
    <t>0005600121013 - Paro Dis - MB</t>
  </si>
  <si>
    <t>0005600121013 - Paro Dis - IB</t>
  </si>
  <si>
    <t>0005600121013 - Paro Dis - OB</t>
  </si>
  <si>
    <t>0007729061007 - Punakha Dis - MB</t>
  </si>
  <si>
    <t>0007729061007 - Punakha Dis - IB</t>
  </si>
  <si>
    <t>0007729061007 - Punakha Dis - OB</t>
  </si>
  <si>
    <t>0007720099000 - Wangdue Dis - MB</t>
  </si>
  <si>
    <t>0007720099000 - Wangdue Dis - IB</t>
  </si>
  <si>
    <t>0007720099000 - Wangdue Dis - OB</t>
  </si>
  <si>
    <t>0005300042000 - Haa Dis - MB</t>
  </si>
  <si>
    <t>0005300042000 - Haa Dis - IB</t>
  </si>
  <si>
    <t>0005300042000 - Haa Dis - OB</t>
  </si>
  <si>
    <t>0100017435001-Dagapela-OB</t>
  </si>
  <si>
    <t>000927150001-Kanglung-MB</t>
  </si>
  <si>
    <t>000927150001-Kanglung-IB</t>
  </si>
  <si>
    <t>000927150001-Kanglung-OB</t>
  </si>
  <si>
    <t>200626734 - BOB OSS Rev - OB</t>
  </si>
  <si>
    <t>Investment in the form of FD - Cash Equivalent</t>
  </si>
  <si>
    <t>Investment in Fixed Deposit - Short term</t>
  </si>
  <si>
    <t>General Reserve</t>
  </si>
  <si>
    <t>Provision GL - Current. Use when new GL needed</t>
  </si>
  <si>
    <t>Security Deposit - Non Current</t>
  </si>
  <si>
    <t>Income Tax Payable</t>
  </si>
  <si>
    <t>Advances from Customer - DHI Intra Company</t>
  </si>
  <si>
    <t>Provident Fund Deduction</t>
  </si>
  <si>
    <t>Group Insurance Scheme</t>
  </si>
  <si>
    <t>Health Contribution</t>
  </si>
  <si>
    <t>Salary Tax</t>
  </si>
  <si>
    <t>Salary Savings Scheme</t>
  </si>
  <si>
    <t>Staff Welfare Loan Deduction</t>
  </si>
  <si>
    <t>Installment Deductions</t>
  </si>
  <si>
    <t>Earnest Money Deposit</t>
  </si>
  <si>
    <t>Liability for Unearned Income</t>
  </si>
  <si>
    <t>Bank Overdraft Facility</t>
  </si>
  <si>
    <t>Staff Welfare Contribution</t>
  </si>
  <si>
    <t>House Rent Deduction - BTL Quarters</t>
  </si>
  <si>
    <t>Expense Accrued</t>
  </si>
  <si>
    <t>Provision for Audit Fees</t>
  </si>
  <si>
    <t>House Rent Deduction - Government Quarters</t>
  </si>
  <si>
    <t>Alimony Deduction</t>
  </si>
  <si>
    <t>Other Payables</t>
  </si>
  <si>
    <t>Financial Institution Loans</t>
  </si>
  <si>
    <t>Liability for Deposit Work</t>
  </si>
  <si>
    <t>Income from IN &amp; VAS-INTERNATIONAL</t>
  </si>
  <si>
    <t>Income from Depository Works</t>
  </si>
  <si>
    <t>Income from Sale of Tender Documents</t>
  </si>
  <si>
    <t>Price Difference of Material - Gain</t>
  </si>
  <si>
    <t>Discount Received</t>
  </si>
  <si>
    <t>Study Expenses</t>
  </si>
  <si>
    <t>R&amp;M Furniture &amp; Fixture - Service</t>
  </si>
  <si>
    <t>Custom Clearing Charges</t>
  </si>
  <si>
    <t>Hire Charges</t>
  </si>
  <si>
    <t>GTS Settlement</t>
  </si>
  <si>
    <t>Corporate Income Tax Paid</t>
  </si>
  <si>
    <t>Tax expense on items of Actuarial Employment Benef</t>
  </si>
  <si>
    <t>Tax expense on items of OCI</t>
  </si>
  <si>
    <t>Prepaid expense - non current</t>
  </si>
  <si>
    <t>Sundry debtors - domestic current</t>
  </si>
  <si>
    <t>Sundry debtors - International current</t>
  </si>
  <si>
    <t>Cash and cash equivanlents</t>
  </si>
  <si>
    <t>Note "14" : Deferred government grants non-current:</t>
  </si>
  <si>
    <t>Note "15": Long term borrowings:</t>
  </si>
  <si>
    <t>Note "20" : Short term provision:</t>
  </si>
  <si>
    <t>Provision for Insurance of Assets</t>
  </si>
  <si>
    <t>Rebate Expense</t>
  </si>
  <si>
    <t>002227150011-Khaling Rev - IB</t>
  </si>
  <si>
    <t>(Increase)/Decrease in investment in associate</t>
  </si>
  <si>
    <t>Actuarial G/L  Post Employment Benefit Obligations</t>
  </si>
  <si>
    <t>201800006795 - BDBL-EPAY-IB</t>
  </si>
  <si>
    <t>20700220791560032-MBOB Rev - OB</t>
  </si>
  <si>
    <t>Grant from Others - Non Current</t>
  </si>
  <si>
    <t>As at 31st December, 2017</t>
  </si>
  <si>
    <t>Statement of Financial Position for the year ended 31st December, 2018</t>
  </si>
  <si>
    <t>As at 31st December, 2018</t>
  </si>
  <si>
    <t>As on 31st December, 2018</t>
  </si>
  <si>
    <t>Statement of Cash Flow for the year ended 31st December, 2018</t>
  </si>
  <si>
    <t>Statement of Changes in Equity for the year ended 31st December, 2018</t>
  </si>
  <si>
    <t>Notes forming part of the Financial Statements for the year ended 31st December, 2018</t>
  </si>
  <si>
    <t>31.12.2018</t>
  </si>
  <si>
    <t>201800006795 - BDBL-EPAY-MB</t>
  </si>
  <si>
    <t>201800006795 - BDBL-EPAY-OB</t>
  </si>
  <si>
    <t>Provision for Gratuity-Current</t>
  </si>
  <si>
    <t>Add/Less: Gain or Loss on scrapping/retirement of Assets</t>
  </si>
  <si>
    <t>INCOME YEAR as of 31st December, 2018</t>
  </si>
  <si>
    <t xml:space="preserve">Bonus </t>
  </si>
  <si>
    <t>Ratio Analysis for the year ended 31st December, 2018</t>
  </si>
  <si>
    <t>TDS for 2018</t>
  </si>
  <si>
    <t>Calculation of Deferred Tax For 2018</t>
  </si>
  <si>
    <t>Less: Staff training 1/3 for 2018</t>
  </si>
  <si>
    <t>Depreciation as per IT</t>
  </si>
  <si>
    <t>Credit risk is the risk that counterparty will not meet its obligations under a financial instrument or customer contract, leading to a financial loss. The Company is exposed to credit risk from its operating activities (primarily trade receivables) and from its financing activities, including deposits with banks and financial institutions and other financial instruments.
Credit risk arises from cash and cash equivalents, investments carried at amortised cost and deposits with banks and financial institutions, as well as credit exposures to wholesale customers including outstanding receivables.</t>
  </si>
  <si>
    <t>The tables below analyse the company’s financial liabilities into relevant maturity groupings based on their contractual maturities for:</t>
  </si>
  <si>
    <t>Bond</t>
  </si>
  <si>
    <t>interest rate</t>
  </si>
  <si>
    <t>interest p.a</t>
  </si>
  <si>
    <t>Total interest</t>
  </si>
  <si>
    <t xml:space="preserve">Total liability </t>
  </si>
  <si>
    <t>repayment 2015</t>
  </si>
  <si>
    <t>repayment 2016</t>
  </si>
  <si>
    <t>1 year</t>
  </si>
  <si>
    <t>repayment 2018</t>
  </si>
  <si>
    <t>repayment 2017</t>
  </si>
  <si>
    <t>More than year</t>
  </si>
  <si>
    <t>repayment 2019</t>
  </si>
  <si>
    <t xml:space="preserve">The accounting policies set out in "significant accounting policies" have been applied in preparing the financial statements for the year ended 31 December, 2018 and the comparative information presented in these financial statements for the year ended 31 December, 2017. </t>
  </si>
  <si>
    <t>These are the Company’s financial statements prepared in accordance with complete BFRSs.</t>
  </si>
  <si>
    <t>Set out below are the applicable BFRS 1 optional exemptions and mandatory exceptions applied in the transition from previous GAAP to BFRS.</t>
  </si>
  <si>
    <t>A.1 BFRS mandatory exceptions</t>
  </si>
  <si>
    <t>An entity's estimates in accordance with BFRS at the date of transition to BFRS shall be consistent with estimates made for the same date in accordance with previous GAAP (after adjustments to reflect any difference in accounting policies), unless there is objective evidence that those estimates were in error.</t>
  </si>
  <si>
    <t xml:space="preserve">BFRS estimates as at 1 January 2015 are consistent with the estimates as at the same date made in conformity with previous GAAP. </t>
  </si>
  <si>
    <t>Adjustments made due to BFRS Phase III implementation</t>
  </si>
  <si>
    <t>Company execute various nature of contracts which are classified as deposit contracts. Under such contracts, company is required to provide goods and services to the customer and procure material from its vendor independently. In other words, company execute the contracts independently and caries risk and rewards from the contracts. Under previous standards, revenue from such contracts were recognised on net basis (net profit/loss from the contract). 
Under BFRS, revenue from such contracts is required to be recognised on gross basis with corresponding expense as the company is acting as principal under the contract and not as an agent. Accordingly, necessary adjustment has been made under BFRS.</t>
  </si>
  <si>
    <t xml:space="preserve">Company execute certain contracts where company provides IVR platforms, etc., to the third parties. Under such contracts, company agreed to share total revenue received  by the company with third party in agreed ratio. Under previous standards such revenue was recognised by the company on gross basis with corresponding expense for the amount to be shared with the third party. However, under BFRS revenue from such contracts should be recognised by the company on net basis as a portion of the total revenue received by the company under the contract is received by the company on behalf of third party. Therefore, to that extent revenue should not be recognised by the company.  </t>
  </si>
  <si>
    <t xml:space="preserve">Company has investment in fixed deposits. Interest on majority of the fixed deposits hold by the company is earned on simple interest rate basis and received at the time of maturity (no compounding of the interest is recognised). Under previous GAAP company was recognising interest income on the fixed deposit on the basis of contractual rate. Under BFRS, such fixed deposits should be classified as financial assets measured at amortised cost and interest income should be recognised on effective interest basis. </t>
  </si>
  <si>
    <t xml:space="preserve">Under the previous GAAP, interest free lease security deposits assets (that are refundable in cash on completion of the contract term) are recorded at their transaction value. Under BFRS, all financial assets are required to be recognised at fair value at initial recognition and subsequently at amortised cost. Accordingly, The company has fair valued these security deposits under BFRS. Difference between the fair value and transaction value of the security deposit has been recognised as prepaid rent. 
Under the previous GAAP, security deposits liability (that are refundable in cash on completion of the contract term) are recorded at their transaction value. Under BFRS, these financial liabilities are required to be recognised at fair value at initial recognition and subsequently at amortised cost. Accordingly, The company has fair valued these security deposits under BFRS. Difference between the fair value and transaction value of the security deposit has been recognised as advance rent. </t>
  </si>
  <si>
    <t>Note: 37 Transition to BFRS</t>
  </si>
  <si>
    <t>No. of Employee as on 31.12.18</t>
  </si>
  <si>
    <t>For GSA &amp; Associates.</t>
  </si>
  <si>
    <t>Tanuj Chugh</t>
  </si>
  <si>
    <t>Income:</t>
  </si>
  <si>
    <t>Other income</t>
  </si>
  <si>
    <t>Income from operations</t>
  </si>
  <si>
    <t>Service revenue</t>
  </si>
  <si>
    <t>Sale of products</t>
  </si>
  <si>
    <t>Others</t>
  </si>
  <si>
    <t>Expense</t>
  </si>
  <si>
    <t>Network operating expenses</t>
  </si>
  <si>
    <t>Employee benefit</t>
  </si>
  <si>
    <t>Sales &amp; marketing expenses</t>
  </si>
  <si>
    <t>Other expenses</t>
  </si>
  <si>
    <t>Cost of trading goods</t>
  </si>
  <si>
    <t>Finance cost</t>
  </si>
  <si>
    <t>Depreciation</t>
  </si>
  <si>
    <t>Amortization of intangible asset</t>
  </si>
  <si>
    <t>Depreciation and amortization</t>
  </si>
  <si>
    <t>Profit from operating activities before depreciation &amp; amortization</t>
  </si>
  <si>
    <t>Previous tax</t>
  </si>
  <si>
    <t>-Landline</t>
  </si>
  <si>
    <t>-Mobile</t>
  </si>
  <si>
    <t>-Internet</t>
  </si>
  <si>
    <t>-Others</t>
  </si>
  <si>
    <t>-Telecom products</t>
  </si>
  <si>
    <t>-Accessories</t>
  </si>
  <si>
    <t>Repair &amp; maintenance</t>
  </si>
  <si>
    <t>Internet bandwith &amp; leasedlne charges</t>
  </si>
  <si>
    <t>Power &amp; fuel</t>
  </si>
  <si>
    <t>Other</t>
  </si>
  <si>
    <t>Salaries &amp; bonus</t>
  </si>
  <si>
    <t>Staff  welfare expenses</t>
  </si>
  <si>
    <t>Travel local</t>
  </si>
  <si>
    <t>Charity &amp; donation</t>
  </si>
  <si>
    <t>Professional fees</t>
  </si>
  <si>
    <t>Loss on sale or retirement of asset</t>
  </si>
  <si>
    <t>Physical verification of inventory loss</t>
  </si>
  <si>
    <t>Insurance</t>
  </si>
  <si>
    <t>Printing and stationary</t>
  </si>
  <si>
    <t>Repair &amp; maintenance other</t>
  </si>
  <si>
    <t>Audit expenses</t>
  </si>
  <si>
    <t>Others expenses</t>
  </si>
  <si>
    <t>Entry No</t>
  </si>
  <si>
    <t>SAP Trial 2018</t>
  </si>
  <si>
    <t>Adj entry</t>
  </si>
  <si>
    <t>Reclass entry</t>
  </si>
  <si>
    <t>For 2018</t>
  </si>
  <si>
    <t>For 2017</t>
  </si>
  <si>
    <t>SAP Trial 2017</t>
  </si>
  <si>
    <t>Balance Sheet</t>
  </si>
  <si>
    <t>CFS</t>
  </si>
  <si>
    <t>Entry No.</t>
  </si>
  <si>
    <t>GL Code</t>
  </si>
  <si>
    <t>Dr.</t>
  </si>
  <si>
    <t>Cr.</t>
  </si>
  <si>
    <t>To Tax on Telecom Service Payable (ST)</t>
  </si>
  <si>
    <t>(Service tax paid on services given to employees is booked as expenses)</t>
  </si>
  <si>
    <t>To Rural 3G Project</t>
  </si>
  <si>
    <t>Rural 3G Project</t>
  </si>
  <si>
    <t>To Depreciation</t>
  </si>
  <si>
    <t>(Excess depr. Charged to FAR is reversed)</t>
  </si>
  <si>
    <t>Contract Asset</t>
  </si>
  <si>
    <t>To COGS of Trading Goods</t>
  </si>
  <si>
    <t>To Consumables</t>
  </si>
  <si>
    <t>(inventories used in providing new connections has been deferred)</t>
  </si>
  <si>
    <t>To Contract Asset</t>
  </si>
  <si>
    <t>Contract Asset(Current)</t>
  </si>
  <si>
    <t>(Amortization of 1st Year, Amortization will be done in 5 Yrs.)</t>
  </si>
  <si>
    <t>Contract Asset(Non- Current)</t>
  </si>
  <si>
    <t>Disclosure: COGS includes Amortization of Contract Asset of Nu. 427,576)</t>
  </si>
  <si>
    <t>Contract Asset(Non-Current)</t>
  </si>
  <si>
    <t>(Reclassification Entry)</t>
  </si>
  <si>
    <t>Provision for Old Inventories</t>
  </si>
  <si>
    <t>To Inventory - Equipment Spares</t>
  </si>
  <si>
    <t>To Inventory - Capital Goods</t>
  </si>
  <si>
    <t>To Inventory - Trading Goods</t>
  </si>
  <si>
    <t>Drop-Wire</t>
  </si>
  <si>
    <t>(Provision is created for old inventories)</t>
  </si>
  <si>
    <t>SIM's</t>
  </si>
  <si>
    <t>Network Exp</t>
  </si>
  <si>
    <t>To show Income from Trading Activity</t>
  </si>
  <si>
    <t>Total COGS</t>
  </si>
  <si>
    <t>To Liability for Unearned Income</t>
  </si>
  <si>
    <t>Remaining COGS</t>
  </si>
  <si>
    <t>(Stock lying is Distributors as on 31/12/2012 has been reversed and booked as Unearned Income)</t>
  </si>
  <si>
    <t>Trading income</t>
  </si>
  <si>
    <t>Income From Tradin Activity(From COGS)</t>
  </si>
  <si>
    <t>SIM, Vouchers</t>
  </si>
  <si>
    <t>Net Trading Income</t>
  </si>
  <si>
    <t>(Trf. Sale SIMs, Vouchers  to Network Operating Expenses Re-classification Entry)</t>
  </si>
  <si>
    <t>To Commission</t>
  </si>
  <si>
    <t>(Commission paid to Dealers and Distributors adjusted with revenue as per IFRS 15)</t>
  </si>
  <si>
    <t>Year</t>
  </si>
  <si>
    <t>Stayle cheque - liability</t>
  </si>
  <si>
    <t>Misc income</t>
  </si>
  <si>
    <t>Accrued interest - current</t>
  </si>
  <si>
    <t>RE</t>
  </si>
  <si>
    <t>Bonus expense</t>
  </si>
  <si>
    <t>Provision for bonus</t>
  </si>
  <si>
    <t>Provision for Leave encashment - NC</t>
  </si>
  <si>
    <t>Provision for leave encashment -Current</t>
  </si>
  <si>
    <t>P&amp;L - Income</t>
  </si>
  <si>
    <t xml:space="preserve">Software </t>
  </si>
  <si>
    <t>Interest expense</t>
  </si>
  <si>
    <t>Interest income</t>
  </si>
  <si>
    <t>Adjustment Entries</t>
  </si>
  <si>
    <t>Regrouping Entries</t>
  </si>
  <si>
    <t>(Interest component shall be reclass from leave encashment exp. to interest exp.</t>
  </si>
  <si>
    <t>Leave encashment expense</t>
  </si>
  <si>
    <t>(Interest component shall be reclass from Gratuity exp. to interest exp.</t>
  </si>
  <si>
    <t>Gratuity expense</t>
  </si>
  <si>
    <t xml:space="preserve">Advance to supplier </t>
  </si>
  <si>
    <t>(Being amount retained by company shall be shown as payable to company)</t>
  </si>
  <si>
    <t>(Being advance given to supplier netting off with the trade payable liability)</t>
  </si>
  <si>
    <t>Advance to supplier</t>
  </si>
  <si>
    <t>Balance with Govt Authority</t>
  </si>
  <si>
    <t>(Being advance given to RRCO shall reclass as Balance with Govt Authority).</t>
  </si>
  <si>
    <t>Trade payable - Regional Revenue &amp; Custom Office</t>
  </si>
  <si>
    <t>Asset</t>
  </si>
  <si>
    <t>Indirect Expense</t>
  </si>
  <si>
    <t>Trial Balance</t>
  </si>
  <si>
    <t>(For Expense out the bonus related to 2016 from opening RE of 2017)</t>
  </si>
  <si>
    <t>(For Expense out the bonus related to 2017 paid in 2018)</t>
  </si>
  <si>
    <t>New code - liab.</t>
  </si>
  <si>
    <t>(For reversing of the bonus related to 2017 expensed out in 2018)</t>
  </si>
  <si>
    <t>(For Current year bonus provision made)</t>
  </si>
  <si>
    <t>(for adjustment doing in 2018 related to 2017, hence pass in 2017)</t>
  </si>
  <si>
    <t>Leave encashment -  /Current - non current reclass pending</t>
  </si>
  <si>
    <t>(for reversing the additional provision made in 2017 for leave encashment current)</t>
  </si>
  <si>
    <t>(For reversing the adjustment made in 2018 related to 2017)</t>
  </si>
  <si>
    <t>Impact not to be taken in excel</t>
  </si>
  <si>
    <t>(for reversing the additional provision made in 2018 for leave encashment current)</t>
  </si>
  <si>
    <t>(For capitalisation of interest in software )</t>
  </si>
  <si>
    <t>(For written off stayle cheque which is showing in liability)</t>
  </si>
  <si>
    <t>(Interest on FD booked on copounding interest basis)</t>
  </si>
  <si>
    <t>new code - exp.</t>
  </si>
  <si>
    <t>Interest exp.  - other</t>
  </si>
  <si>
    <t>Trade payable - Pragati Electrocom(P) Ltd 200020</t>
  </si>
  <si>
    <t>Trade payable - HCS technology ltd 200033</t>
  </si>
  <si>
    <t>Trade payable - Rinzin jamtsho 101209</t>
  </si>
  <si>
    <t>Trade payable - Tayana Software Solution Pvt Ltd 200016</t>
  </si>
  <si>
    <t>Security Deposit - Others (20105)</t>
  </si>
  <si>
    <t>Advance to suppliers (20105)</t>
  </si>
  <si>
    <t>new code - Assets</t>
  </si>
  <si>
    <t>Description</t>
  </si>
  <si>
    <t>Adjuested balance as on 01st January, 2017</t>
  </si>
  <si>
    <t>Less:- Bonus pertaining to year 2016</t>
  </si>
  <si>
    <t>Provision for Bonus</t>
  </si>
  <si>
    <t>Libiality</t>
  </si>
  <si>
    <t>RE (not to be taken in excel)</t>
  </si>
  <si>
    <t>Leave Encashment to year 2016</t>
  </si>
  <si>
    <t>LE Expense</t>
  </si>
  <si>
    <t>Intangible asset</t>
  </si>
  <si>
    <t>To license fees payable</t>
  </si>
  <si>
    <t>To Accumulated Depreciation</t>
  </si>
  <si>
    <t>Non current Asset(Prepaid)</t>
  </si>
  <si>
    <t>Current asset(Prepaid)</t>
  </si>
  <si>
    <t>Lisence Fees</t>
  </si>
  <si>
    <t>Lisence fees payable</t>
  </si>
  <si>
    <t>Lisence Fees payable</t>
  </si>
  <si>
    <t>Non current - Other</t>
  </si>
  <si>
    <t>Lisence Fees (Acc Dep)</t>
  </si>
  <si>
    <t>Amortization expense</t>
  </si>
  <si>
    <t>To Fees &amp; subscriptional national</t>
  </si>
  <si>
    <t>Amortization of lisence fees</t>
  </si>
  <si>
    <t>Amor expense</t>
  </si>
  <si>
    <t>Amortization of Lisence</t>
  </si>
  <si>
    <t>To fees &amp; sub national</t>
  </si>
  <si>
    <t>In 2018</t>
  </si>
  <si>
    <t>DGPC</t>
  </si>
  <si>
    <t>To Rebate Expense</t>
  </si>
  <si>
    <t>Embezzlement of fund</t>
  </si>
  <si>
    <t>Misc Expense</t>
  </si>
  <si>
    <t>To  bank (wamrong Rev (IB))</t>
  </si>
  <si>
    <t>Stale cheques</t>
  </si>
  <si>
    <t>Bank(BT disbursement )</t>
  </si>
  <si>
    <t>To spices Changlam Squa</t>
  </si>
  <si>
    <t>To Thinley Zagmo</t>
  </si>
  <si>
    <t>To Ugyen trading house</t>
  </si>
  <si>
    <t>Brand &amp; management Fees</t>
  </si>
  <si>
    <t>In 2017</t>
  </si>
  <si>
    <t>To Provision for brand &amp; management fees</t>
  </si>
  <si>
    <t>To  Brand management fee expense</t>
  </si>
  <si>
    <t>Brand management fee expense</t>
  </si>
  <si>
    <t xml:space="preserve">Provision for brand management fees </t>
  </si>
  <si>
    <t>Retained Earnings (not to be adjusted)</t>
  </si>
  <si>
    <t xml:space="preserve">Retained Earnings </t>
  </si>
  <si>
    <t>Rebate expenses</t>
  </si>
  <si>
    <t>To DGPC</t>
  </si>
  <si>
    <t>21a</t>
  </si>
  <si>
    <t>Less:- Brand management fees</t>
  </si>
  <si>
    <t>Entry For Deffered Government grant:-</t>
  </si>
  <si>
    <t>Grant for RGOB (GSM) (MBL)</t>
  </si>
  <si>
    <t>Depreciation for capital grant</t>
  </si>
  <si>
    <t>(Being govt grant amortised by lessser amount now corrected)</t>
  </si>
  <si>
    <t>Entry for Post paid customers:-</t>
  </si>
  <si>
    <t>Advance from post paid customers</t>
  </si>
  <si>
    <t>(Being revenue recognised for services provided till Dec'18)</t>
  </si>
  <si>
    <t>Entry for FAR(opening &amp; closing net block is same).</t>
  </si>
  <si>
    <t>Retained earnings</t>
  </si>
  <si>
    <t>Accumulated depreciation</t>
  </si>
  <si>
    <t>Furniture</t>
  </si>
  <si>
    <t>Office equipment</t>
  </si>
  <si>
    <t>Powers &amp; Cable</t>
  </si>
  <si>
    <t>Software</t>
  </si>
  <si>
    <t>Tele &amp; Tools</t>
  </si>
  <si>
    <t>Vehicle</t>
  </si>
  <si>
    <t>(Assets which are fully depreciated accounted in Books as Nu 1 According to the policy of the management)</t>
  </si>
  <si>
    <t>Not to be added in excel adjustment</t>
  </si>
  <si>
    <t>Entry for FAR(Unplanned depreciation).</t>
  </si>
  <si>
    <t>(Excess depreciation claimed this year ,adjusted through retained earnings)</t>
  </si>
  <si>
    <t>Entry for Land (Held for sale).</t>
  </si>
  <si>
    <t>Assets held for sale(current)</t>
  </si>
  <si>
    <t>(Being land classify from FAR to held for sale)</t>
  </si>
  <si>
    <t>Liability for shareholder</t>
  </si>
  <si>
    <t>(Being liability for tranfer of land booked according to ASI 17)</t>
  </si>
  <si>
    <t xml:space="preserve">Discount received </t>
  </si>
  <si>
    <t>Equipment</t>
  </si>
  <si>
    <t>Towers</t>
  </si>
  <si>
    <t>Antenna</t>
  </si>
  <si>
    <t>DCPDC</t>
  </si>
  <si>
    <t xml:space="preserve">(Being discount received for 3G 4G project from erricson has been adjusted) </t>
  </si>
  <si>
    <t>Retained earnings (not to be adjusted in excel)</t>
  </si>
  <si>
    <t>Less:- Depreciation charge</t>
  </si>
  <si>
    <t>Non current asset held for sale</t>
  </si>
  <si>
    <t>Current asset</t>
  </si>
  <si>
    <t>Current Liability</t>
  </si>
  <si>
    <t>Debtors</t>
  </si>
  <si>
    <t>(Being wrong entry posted in advance now corrected)</t>
  </si>
  <si>
    <t>Leave encashment provision adjusted from opening</t>
  </si>
  <si>
    <t>Interest-Others</t>
  </si>
  <si>
    <t>Current Asset</t>
  </si>
  <si>
    <t>Financial Assets</t>
  </si>
  <si>
    <t xml:space="preserve"> - Investment in associate</t>
  </si>
  <si>
    <t xml:space="preserve"> - Investments</t>
  </si>
  <si>
    <t>Land*</t>
  </si>
  <si>
    <t>Buildings #</t>
  </si>
  <si>
    <t>Tele. Equipments #</t>
  </si>
  <si>
    <t>Office equipments #</t>
  </si>
  <si>
    <t>Power system &amp; cables #</t>
  </si>
  <si>
    <t>Furniture &amp; fixtures #</t>
  </si>
  <si>
    <t>Vehicles #</t>
  </si>
  <si>
    <t>Software applications #</t>
  </si>
  <si>
    <t>Lisence #</t>
  </si>
  <si>
    <t>8. License</t>
  </si>
  <si>
    <t>15 yrs (based on agreement)</t>
  </si>
  <si>
    <t>Accrued income on investments</t>
  </si>
  <si>
    <t>Investment for redemption of bond*</t>
  </si>
  <si>
    <t>* Bonds are to be matured in the year 2020</t>
  </si>
  <si>
    <t>Conract Asset*</t>
  </si>
  <si>
    <t>* For disclosures related to contract assets refer note 11</t>
  </si>
  <si>
    <t>Inventory - Others</t>
  </si>
  <si>
    <t>Total Inventories*</t>
  </si>
  <si>
    <t>* Inventories mentioned above are net of provisions. Details mentioned below:-</t>
  </si>
  <si>
    <t>Provision created for :-</t>
  </si>
  <si>
    <t>Inventory - Traded Goods</t>
  </si>
  <si>
    <t>Impairment of trade receivables*</t>
  </si>
  <si>
    <t>Balances lying with Bank &amp; Current account</t>
  </si>
  <si>
    <t xml:space="preserve"> - Trade receivables</t>
  </si>
  <si>
    <t xml:space="preserve"> - Cash and bank balances</t>
  </si>
  <si>
    <t xml:space="preserve"> - Other receivables</t>
  </si>
  <si>
    <t>Advance to Suppliers</t>
  </si>
  <si>
    <t>Advance to Others</t>
  </si>
  <si>
    <t>Advance to Staff, Office Expenses</t>
  </si>
  <si>
    <t>Prepaid Expense</t>
  </si>
  <si>
    <t>Indirect taxes</t>
  </si>
  <si>
    <t>Contract Asset*</t>
  </si>
  <si>
    <t>* Judgement used for creation of contract assets are as follows:-</t>
  </si>
  <si>
    <t>(a) Expected life of the connection considered to be 5 years</t>
  </si>
  <si>
    <t>(b) Expenses considered as part of contract cost are cost of new sim and cost of drop wire</t>
  </si>
  <si>
    <t>(c) Amortization of contract cost is done of straight line basis in a period of 5 years</t>
  </si>
  <si>
    <t>(e) Impairment of contract cost in 2018 is Nu. Nil</t>
  </si>
  <si>
    <t xml:space="preserve">(d) Amortization of contract cost in 2018 of Nu. 427,576.32
</t>
  </si>
  <si>
    <t>Note "12": Non current asset held for sale</t>
  </si>
  <si>
    <t>Asset held for disposal*</t>
  </si>
  <si>
    <t>Note "13" : Share capital :</t>
  </si>
  <si>
    <t>The Company has only one class of equity shares having a par value of Nu.1000/- per share. Each holder of equity shares is entitled to one vote per share. Each holder of these ordinary shares are entitiled to receive dividends as and when declared by the company. Of the above 854,082 (previous year 854,082) shares are held by the Druk Holding &amp; Investment Limited,being the Holding Company.</t>
  </si>
  <si>
    <t xml:space="preserve">  (b) Deferred government grants</t>
  </si>
  <si>
    <t>(c) Non-current liabilities</t>
  </si>
  <si>
    <t>Total liabilities (b+c+d)</t>
  </si>
  <si>
    <t>(d) Current liabilities</t>
  </si>
  <si>
    <t>Leave encashment</t>
  </si>
  <si>
    <t>Provision for doubtful debt</t>
  </si>
  <si>
    <t>DTA</t>
  </si>
  <si>
    <t>SOCI</t>
  </si>
  <si>
    <t>(Being DTA created for 2018)</t>
  </si>
  <si>
    <t>DTA - BS</t>
  </si>
  <si>
    <t>SOCI - PL</t>
  </si>
  <si>
    <t>Grant from RGoB</t>
  </si>
  <si>
    <t>Grant from JICA</t>
  </si>
  <si>
    <t>Grant from RGoB*</t>
  </si>
  <si>
    <t>Grant from JICA**</t>
  </si>
  <si>
    <t>Grant from Govt of India*</t>
  </si>
  <si>
    <t>* Monetory grant received against investment in property plant and equipment in rural areas. The same is treated as deferred income and is recognised in the statement of comprehensive income on a systematic or rational basis over the useful life of the assets.</t>
  </si>
  <si>
    <t>** Non-monetory grant received in the form of property plant and equipment where the grant and the corresponding PPE have been accounted on the fair value on the date of receipt. Subsequently, The same is treated as deferred income and is recognised in the statement of comprehensive income on a systematic or rational basis over the useful life of the assets.</t>
  </si>
  <si>
    <t># Amortisation of govt. grant during the year is Nu. 23,323,850</t>
  </si>
  <si>
    <t>Less : Current maturity of long term loan</t>
  </si>
  <si>
    <t>a) Term Loan-BOB*</t>
  </si>
  <si>
    <t>Current maturity of long term loan (refer note 15)</t>
  </si>
  <si>
    <t xml:space="preserve">*  Term loan BOB - Secured by hypothecation of Property# to BOB by way of first charge as security 
</t>
  </si>
  <si>
    <t># Property includes - Vehicles, PPE and tools</t>
  </si>
  <si>
    <t>For details related to charges for fixed asssets (refer note 15)</t>
  </si>
  <si>
    <t>Certain assets are not been fully controlled by company and the same are jointly control with Ms. Bhutan Power Corporation, a fellow subsidiary</t>
  </si>
  <si>
    <t xml:space="preserve">     BOB (NPPF)  - Secured by hypothecation of Property plant &amp; equipment of worth Nu. 100 million</t>
  </si>
  <si>
    <t xml:space="preserve">** 7.50% Secured, non-cumulative non-convertible redeemable bonds of 1000 each redeemable at par in full on 15th July 2020. Corporate Bond is secured by hypotheciation of Fixed Assets/ Plant &amp; Machinery of the company.
     </t>
  </si>
  <si>
    <t>Note "16" : Other non current liabilities</t>
  </si>
  <si>
    <t xml:space="preserve"> - Long term borrowings</t>
  </si>
  <si>
    <t xml:space="preserve"> - Other non current liabilities</t>
  </si>
  <si>
    <t>Reserve created Insurance of Assets</t>
  </si>
  <si>
    <t>Less :  Current obligation (refer note 20)</t>
  </si>
  <si>
    <t>Provision for Leave Encashment (refer note 17)</t>
  </si>
  <si>
    <t>Provision for Gratuity (refer note 17)</t>
  </si>
  <si>
    <t>Note "18" : Trade and other payables:</t>
  </si>
  <si>
    <t xml:space="preserve"> - Trade and other payables</t>
  </si>
  <si>
    <t xml:space="preserve"> - Other current liabilities</t>
  </si>
  <si>
    <t>Sundry Creditors - related party</t>
  </si>
  <si>
    <t>Payable to employees</t>
  </si>
  <si>
    <t>Note "19" : Other current Financial liabilities</t>
  </si>
  <si>
    <t>Tax deducted at source (TDS)</t>
  </si>
  <si>
    <t>Payable to Government  Authority</t>
  </si>
  <si>
    <t>Contract liability*</t>
  </si>
  <si>
    <t>Liability towards shareholder (refer note 12)</t>
  </si>
  <si>
    <t>*The services are being provided on the basis of usage by the subscribers. Unprovided services will be availed by the subscribers in the next year.</t>
  </si>
  <si>
    <t>Breakup for revenue</t>
  </si>
  <si>
    <t xml:space="preserve">Domestic </t>
  </si>
  <si>
    <t>Export</t>
  </si>
  <si>
    <t>Travel</t>
  </si>
  <si>
    <t xml:space="preserve">Tax Expense related to Prior Period </t>
  </si>
  <si>
    <t>Profit or loss section</t>
  </si>
  <si>
    <t>Current income tax:</t>
  </si>
  <si>
    <t>Current income tax charge for the year</t>
  </si>
  <si>
    <t>Adjustments in respect of current income tax of previous years</t>
  </si>
  <si>
    <t>Deferred tax:</t>
  </si>
  <si>
    <t>Deferred tax for the year</t>
  </si>
  <si>
    <t>Income tax expense reported in the Statement of Profit and Loss</t>
  </si>
  <si>
    <t>OCI section</t>
  </si>
  <si>
    <t xml:space="preserve">Tax related to items that will not be reclassified to Profit &amp; Loss </t>
  </si>
  <si>
    <t>Income tax charged to OCI</t>
  </si>
  <si>
    <t xml:space="preserve">Accounting profit before income tax </t>
  </si>
  <si>
    <t>%</t>
  </si>
  <si>
    <t>Effect of non-deductible expenses, exempt income and others</t>
  </si>
  <si>
    <t>Effect of prior year re-assessments</t>
  </si>
  <si>
    <t xml:space="preserve">Income tax expense reported in the Statement of Profit and Loss </t>
  </si>
  <si>
    <t>The major components of income tax expense for the years ended 31 Dec 2018 and 31 Dec 2017 are:</t>
  </si>
  <si>
    <t>Reconciliation between average effective tax rate and applicable tax rate for the year ended 31 Dec 2018 and 31 Dec 2017:</t>
  </si>
  <si>
    <t xml:space="preserve">At Bhutan’s statutory income tax rate of 30% (31 Dec 2018: 30%) </t>
  </si>
  <si>
    <t>M. No. 529619</t>
  </si>
  <si>
    <t>Add : Comprehensive income for the year</t>
  </si>
  <si>
    <t>Less : Dividend</t>
  </si>
  <si>
    <t>Less : Free hold land transferred to DHI</t>
  </si>
  <si>
    <t>Less : Dividend for the year</t>
  </si>
  <si>
    <t xml:space="preserve">Less : Liability for free hold land transferred to DHI (refer note 12) </t>
  </si>
  <si>
    <t xml:space="preserve">AS AT </t>
  </si>
  <si>
    <t>Reconciliation of deferred tax assets (net):</t>
  </si>
  <si>
    <t>`</t>
  </si>
  <si>
    <t>` Lakhs</t>
  </si>
  <si>
    <t>Opening balance as of 1 April</t>
  </si>
  <si>
    <t>Tax income/(expense) during the period recognised in retained earnings</t>
  </si>
  <si>
    <t>Tax income/(expense) during the period recognised in profit or loss</t>
  </si>
  <si>
    <t>Tax income/(expense) during the period recognised in OCI</t>
  </si>
  <si>
    <t>Discontinued operation</t>
  </si>
  <si>
    <t>Deferred taxes acquired in business combinations</t>
  </si>
  <si>
    <t>Closing balance as at 31 March</t>
  </si>
  <si>
    <t xml:space="preserve">Opening balance as of 1 Jan </t>
  </si>
  <si>
    <t xml:space="preserve"> Trade receivables</t>
  </si>
  <si>
    <t xml:space="preserve"> Cash and cash equivalent</t>
  </si>
  <si>
    <t xml:space="preserve"> Security deposit</t>
  </si>
  <si>
    <t xml:space="preserve"> Income accrued but not Due</t>
  </si>
  <si>
    <t xml:space="preserve"> Other Receivables</t>
  </si>
  <si>
    <t>Investment for redemption of bond</t>
  </si>
  <si>
    <t>License fee payable</t>
  </si>
  <si>
    <t>Other payable</t>
  </si>
  <si>
    <t>Term loan - BOB</t>
  </si>
  <si>
    <t>Investment in associates</t>
  </si>
  <si>
    <t>Security deposits</t>
  </si>
  <si>
    <t>Trade receivable</t>
  </si>
  <si>
    <t>Change in currency</t>
  </si>
  <si>
    <t>exchange rate</t>
  </si>
  <si>
    <t>Appreciation in Nu.</t>
  </si>
  <si>
    <t>Deprecition in Nu.</t>
  </si>
  <si>
    <t>(Average current asset-current liabilities)/(operating income)</t>
  </si>
  <si>
    <t>Employee cost/sum(operating income)</t>
  </si>
  <si>
    <t>PBT/sum(operating income)</t>
  </si>
  <si>
    <t>1.40 million</t>
  </si>
  <si>
    <t>42.32 Days</t>
  </si>
  <si>
    <t>Increase/(Decrease) in other financial current liabilitis</t>
  </si>
  <si>
    <t>Increase/(Decrease) in Other non current financial liability</t>
  </si>
  <si>
    <t>Increase/(Decrease) in assets held for sale</t>
  </si>
  <si>
    <t>Increase/(Decrease) in Other deferred govt grant</t>
  </si>
  <si>
    <t>Less:- Current maturity (refer note 19)</t>
  </si>
  <si>
    <t>Current maturity for license payable</t>
  </si>
  <si>
    <t># Refer note no. - 37 of the Financials</t>
  </si>
  <si>
    <t>Disclosure for para 79 of BAS 16 "Property Plant and Equipment" - Refer note 42</t>
  </si>
  <si>
    <r>
      <t>*</t>
    </r>
    <r>
      <rPr>
        <i/>
        <sz val="12"/>
        <color theme="1"/>
        <rFont val="Book Antiqua"/>
        <family val="1"/>
      </rPr>
      <t xml:space="preserve"> In the meeting of the Board of Directors of the company held on __ January 2018, the Board has decided to transfer the ownership of lands to its Holding Company i.e. Druk holding &amp; investment limited (DHI) in accordance with the DHI land policy 2016 and also the letter received from DHI with refrence number DHI/DOI/PIU/Lands/2017/654 dated 8th November 2017. The transfer is to be done at book value and no consideration will be received frrom the holding company. </t>
    </r>
  </si>
  <si>
    <t>Tax income/(expense) during the period recognised in SOCI</t>
  </si>
  <si>
    <t>* For basis of impairment refer note 35</t>
  </si>
  <si>
    <r>
      <rPr>
        <b/>
        <i/>
        <sz val="11"/>
        <color theme="1"/>
        <rFont val="Book Antiqua"/>
        <family val="1"/>
      </rPr>
      <t xml:space="preserve">Level 1: </t>
    </r>
    <r>
      <rPr>
        <i/>
        <sz val="11"/>
        <color theme="1"/>
        <rFont val="Book Antiqua"/>
        <family val="1"/>
      </rPr>
      <t>Level 1 hierarchy includes financial instruments measured using quoted prices.</t>
    </r>
  </si>
  <si>
    <r>
      <rPr>
        <b/>
        <i/>
        <sz val="11"/>
        <color theme="1"/>
        <rFont val="Book Antiqua"/>
        <family val="1"/>
      </rPr>
      <t>Level 2:</t>
    </r>
    <r>
      <rPr>
        <i/>
        <sz val="11"/>
        <color theme="1"/>
        <rFont val="Book Antiqua"/>
        <family val="1"/>
      </rPr>
      <t xml:space="preserve"> The fair value of financial instruments that are not traded in an active market (for example, traded bonds, over-the-counter derivatives) is determined using valuation techniques which maximise the use of observable market data and rely as little as possible on entity-specific estimates. If all significant inputs required to fair value an instrument are observable, the instrument is included in level 2.</t>
    </r>
  </si>
  <si>
    <r>
      <rPr>
        <b/>
        <i/>
        <sz val="11"/>
        <color theme="1"/>
        <rFont val="Book Antiqua"/>
        <family val="1"/>
      </rPr>
      <t xml:space="preserve">Level 3: </t>
    </r>
    <r>
      <rPr>
        <i/>
        <sz val="11"/>
        <color theme="1"/>
        <rFont val="Book Antiqua"/>
        <family val="1"/>
      </rPr>
      <t xml:space="preserve">If one or more of the significant inputs is not based on observable market data, the instrument is included in level 3. </t>
    </r>
  </si>
  <si>
    <r>
      <t xml:space="preserve">Liquidity risk is the risk that an entity will encounter difficulty in meeting obligations associated with financial liabilities that are settled by delivering cash or another financial asset. 
Prudent liquidity risk management implies maintaining sufficient cash and marketable securities and the availability of funding through an adequate amount of committed credit facilities to meet obligations when due and to close out market positions. The company is exposed to significant liquidity risk apart from general financial liabilities such as trade payables, etc., during the financial year 2015, company has also borrowed 300 million through bond for a tenure of 5 years which is payable after 5 years. Further, as per the terms and conditions of the bond, company is required to create a bond redemption reserve every year to repay the bond at maturity. In 2017, company also borrow 45 million term loan for a tenure of 5 year to finance the LTE project 2017. </t>
    </r>
    <r>
      <rPr>
        <i/>
        <sz val="11"/>
        <color theme="1"/>
        <rFont val="Book Antiqua"/>
        <family val="1"/>
      </rPr>
      <t xml:space="preserve">Company also borrows 50 million term loan for a terms of 5 years from NPPF to address the routine operational fund. </t>
    </r>
    <r>
      <rPr>
        <i/>
        <sz val="11"/>
        <rFont val="Book Antiqua"/>
        <family val="1"/>
      </rPr>
      <t>Management monitors rolling forecasts of the Company's liquidity position and cash and cash equivalents on the basis of expected cash flows. This is generally performed in accordance with practice and limits set by the Company.</t>
    </r>
  </si>
  <si>
    <t>Deferred tax liability (net)</t>
  </si>
  <si>
    <t>Impairment of Trade Receivables 2018</t>
  </si>
  <si>
    <t>Phase - I</t>
  </si>
  <si>
    <t>Phase - II</t>
  </si>
  <si>
    <t>Phase - III</t>
  </si>
  <si>
    <t>0-3 Months</t>
  </si>
  <si>
    <t>3-6 Months</t>
  </si>
  <si>
    <t>6-9 Months</t>
  </si>
  <si>
    <t>9-12 Months</t>
  </si>
  <si>
    <t>More Than a YEAR</t>
  </si>
  <si>
    <t>Impairment percentage</t>
  </si>
  <si>
    <t>Domestic SD</t>
  </si>
  <si>
    <t>Other Debtors</t>
  </si>
  <si>
    <t>International</t>
  </si>
  <si>
    <t>Bulk SMS</t>
  </si>
  <si>
    <t>Impairment value</t>
  </si>
  <si>
    <t>Writeoff</t>
  </si>
  <si>
    <t>Provision for Doubtful Debts</t>
  </si>
  <si>
    <t>As at 31-12-2017
(Restated)</t>
  </si>
  <si>
    <t>A</t>
  </si>
  <si>
    <t>A, B</t>
  </si>
  <si>
    <t>B</t>
  </si>
  <si>
    <t>Trade receivables</t>
  </si>
  <si>
    <t>C</t>
  </si>
  <si>
    <t>Cash and bank balances</t>
  </si>
  <si>
    <t>Other receivables</t>
  </si>
  <si>
    <t>D</t>
  </si>
  <si>
    <t>Deferred government grants</t>
  </si>
  <si>
    <t>(b) Non-current liabilities</t>
  </si>
  <si>
    <t>Long term borrowings</t>
  </si>
  <si>
    <t>Deferre tax liability (net)</t>
  </si>
  <si>
    <t>Other non current liabilities</t>
  </si>
  <si>
    <t>(c) Current liabilities</t>
  </si>
  <si>
    <t>Trade and other payables</t>
  </si>
  <si>
    <t>Total liabilities (b+c)</t>
  </si>
  <si>
    <t>Notes</t>
  </si>
  <si>
    <t>As at 31-12-2018</t>
  </si>
  <si>
    <t>For the Year 31-December-2017</t>
  </si>
  <si>
    <t>Restated</t>
  </si>
  <si>
    <t xml:space="preserve">Adjustment </t>
  </si>
  <si>
    <t>As at 31-12-2017</t>
  </si>
  <si>
    <t>Remarks</t>
  </si>
  <si>
    <t>Transfer to other operating expense</t>
  </si>
  <si>
    <t>Gain on forex fluctuations</t>
  </si>
  <si>
    <t>Amt of 119906010 Reclassify from General admin</t>
  </si>
  <si>
    <t>Transfer From Stores &amp; spares</t>
  </si>
  <si>
    <t>F</t>
  </si>
  <si>
    <t>Adjustment of bonus expense &amp; leave Encashment</t>
  </si>
  <si>
    <t>Administartive &amp; general expenses</t>
  </si>
  <si>
    <t>E</t>
  </si>
  <si>
    <t>Stores &amp; Spares</t>
  </si>
  <si>
    <t>G</t>
  </si>
  <si>
    <t xml:space="preserve">amt of 8024683 reclassify to network operating ,amt of 6909943 transfer to other Expenses </t>
  </si>
  <si>
    <t>Repair &amp; Maintenance</t>
  </si>
  <si>
    <t>H</t>
  </si>
  <si>
    <t>Amt of 173641112 transfer to network operating cost &amp; amt of 8800476 transfer to other expenses</t>
  </si>
  <si>
    <t>International Payments</t>
  </si>
  <si>
    <t>I</t>
  </si>
  <si>
    <t>Transfer to Network operating</t>
  </si>
  <si>
    <t>Amt of 37324189 reclassify from Admin.exp</t>
  </si>
  <si>
    <t>Loss on forex fluctuations</t>
  </si>
  <si>
    <t>Transfer to other income</t>
  </si>
  <si>
    <t>Amt of 140194233 reclassify from Admin.exp</t>
  </si>
  <si>
    <t>A)</t>
  </si>
  <si>
    <t xml:space="preserve"> Assest whose life has expired but accumulated depreciation was short accounted for due to SAP transition problem. Same has been adjusted in 2017 with a correspconding impact on retained earnings. Impact Nu. 378 million</t>
  </si>
  <si>
    <t>B)</t>
  </si>
  <si>
    <t>License purchsed by the Company in 2008 was not capitalised and was accounted for as prepaid expense. Same has now been expensed out with a gross block of Nu. 777 million and accumulated amortization of Nu. 518 million as on 01st January, 2017. Amortization expense booked in year 2017 is Nu. 51.8 million. Unpaid portion has been accounted as license fee payable liability of Nu. 194.25 million as non-current and Nu. 38.85 million as current.</t>
  </si>
  <si>
    <t xml:space="preserve">C) </t>
  </si>
  <si>
    <t>Advance received from postpaid customers against which invoice had already been raised in year 2017. Hence, advance from customer and debtor balance has been adjusted.</t>
  </si>
  <si>
    <t>D)</t>
  </si>
  <si>
    <t>Income accrued but not due has been reclassified from other current  asset to other receivable</t>
  </si>
  <si>
    <t>E)</t>
  </si>
  <si>
    <t>General &amp; administrative expenses has been reclassified into Selling &amp; marketing Expenses of Nu.166 million,Network operating Cost of Nu.11.9 million &amp; the rest amount ie. Nu. 140 million as other Expenses</t>
  </si>
  <si>
    <t>F)</t>
  </si>
  <si>
    <t>Provision has been created for paying bonus of 2018 &amp; bonus expenses of 2016 which is paid in 2017 has been adjusted from retained earnings</t>
  </si>
  <si>
    <t>G)</t>
  </si>
  <si>
    <t>Stores &amp; spares has been reclassified into cost of  trading  goods of Nu. 8 million. Other Expenses Nu. 6.91 million and the rest amount ie Nu. 8 milliom reclassified  as Network Operatiing Cost</t>
  </si>
  <si>
    <t>H)</t>
  </si>
  <si>
    <t>Repairs &amp; maintenance cost has been reclassified into network Operating cost &amp; other operating expense</t>
  </si>
  <si>
    <t>I.)</t>
  </si>
  <si>
    <t>International payments has been reclassified as Network operating Cost</t>
  </si>
  <si>
    <t>L</t>
  </si>
  <si>
    <t>M</t>
  </si>
  <si>
    <t>K</t>
  </si>
  <si>
    <t>J</t>
  </si>
  <si>
    <t>G,E,H,I</t>
  </si>
  <si>
    <t>G,E,H</t>
  </si>
  <si>
    <t>J)</t>
  </si>
  <si>
    <t>Gain  and Loss On Forex Fluctuations has been reclassified into Other Income</t>
  </si>
  <si>
    <t>K.)</t>
  </si>
  <si>
    <t>Other Income of Nu.15 million has been reclassified into Revenue from Operations</t>
  </si>
  <si>
    <t>L)</t>
  </si>
  <si>
    <t>M)</t>
  </si>
  <si>
    <t>Short term borrowings has been reclassified into other Current liabilities</t>
  </si>
  <si>
    <t>N)</t>
  </si>
  <si>
    <t>N</t>
  </si>
  <si>
    <t>C,M,N</t>
  </si>
  <si>
    <t>Closing balance as at 31 December,18</t>
  </si>
  <si>
    <t>Long term loan - BOB-A</t>
  </si>
  <si>
    <t>Total (A+B)</t>
  </si>
  <si>
    <t>Deferred government grants#</t>
  </si>
  <si>
    <r>
      <t>b) Corporate Bond - Bank of Bhutan**-</t>
    </r>
    <r>
      <rPr>
        <b/>
        <i/>
        <sz val="11"/>
        <rFont val="Book Antiqua"/>
        <family val="1"/>
      </rPr>
      <t>B</t>
    </r>
  </si>
  <si>
    <t>Investment in the form of Share-TTPL*</t>
  </si>
  <si>
    <t>*The land has been transferred to parent company at book value without consideration and the same has been adjusted from the Group investment reserve of the company. The transaction is not carried at fair value as the company was holding the investment on behalf of its parent company i.e Druk Holding Investment Limited.</t>
  </si>
  <si>
    <t>*In the meeting of the Board of Directors of the company held on __ January 2018, the Board has decided to transfer the ownership of lands to its Holding Company i.e. Druk holding &amp; investment limited (DHI) in accordance with the DHI land policy 2016 and also the letter received from DHI with refrence number DHI/DOI/PIU/Lands/2017/654 dated 8th November 2017. The transfer is to be done at book value and no consideration will be received frrom the holding company. 
Non cash asset transfer has been accounted in the books of the company in compliance with the requirements of Accountng Standard Iterpretation - 17 " Distributions of Non Cash Assets to owners", issued by Accounting and Auditing Standards Board of Bhutan. ASI 17 requires to recongnise a liability in the books to distribute non cash asset as a dividend to its shareholder at fair value of the assets to be distributed with a corresponding liability for dividend payable.
Measurement of Land:- Due to the large volume of the land and the distinct location of many of the lands, it was impracticable for the company to determine th fair value of the lands and hence, the transaction has been accounted at carrying value of the lands.</t>
  </si>
  <si>
    <t>(Firm Reg. No. 000257N)</t>
  </si>
  <si>
    <t xml:space="preserve">Place: </t>
  </si>
  <si>
    <t xml:space="preserve">Date: </t>
  </si>
  <si>
    <t xml:space="preserve">     Financial Assets</t>
  </si>
  <si>
    <t xml:space="preserve">      Financial liabilities</t>
  </si>
  <si>
    <t xml:space="preserve">       Financial liabilities</t>
  </si>
  <si>
    <t>Provision for Leave Encashment*</t>
  </si>
  <si>
    <t>Provision for Gratuity*</t>
  </si>
  <si>
    <t>* For details refer note 39</t>
  </si>
  <si>
    <t>Income Tax Payable (net of advance tax of Nu. 222,673,354)</t>
  </si>
  <si>
    <t>Gratuity*</t>
  </si>
  <si>
    <t>Others*</t>
  </si>
  <si>
    <t>*For disclosure of post employeement benefits refer note 39</t>
  </si>
  <si>
    <t>Depreciation*</t>
  </si>
  <si>
    <t>Amortization*</t>
  </si>
  <si>
    <t>* Depreciation expense has been netted off with amortisation of govt grant Nu.</t>
  </si>
  <si>
    <t>Interest on Loans*</t>
  </si>
  <si>
    <t>* Interest capitalised shall be Nu 1 Million</t>
  </si>
  <si>
    <t>Provision for Expected credit loss (refer note 35)</t>
  </si>
  <si>
    <t>Defered govt grant classiification change from non current &amp; current  and presented separately</t>
  </si>
  <si>
    <t>There is reclassification between trade payable and other current liability</t>
  </si>
  <si>
    <t>As at 31st December,2018</t>
  </si>
  <si>
    <t>As at 31st December,2017</t>
  </si>
  <si>
    <r>
      <rPr>
        <b/>
        <i/>
        <sz val="12"/>
        <color theme="1"/>
        <rFont val="Book Antiqua"/>
        <family val="1"/>
      </rPr>
      <t xml:space="preserve">Financial assets </t>
    </r>
    <r>
      <rPr>
        <i/>
        <sz val="12"/>
        <color theme="1"/>
        <rFont val="Book Antiqua"/>
        <family val="1"/>
      </rPr>
      <t xml:space="preserve">
</t>
    </r>
  </si>
  <si>
    <t>(refer note 32 for tax exp. Reconciliation)</t>
  </si>
  <si>
    <t>Note : 32  INCOME TAX</t>
  </si>
  <si>
    <t>hbn</t>
  </si>
  <si>
    <t>Note "22":</t>
  </si>
  <si>
    <t>Revenue from operations:</t>
  </si>
  <si>
    <t>Note "23":</t>
  </si>
  <si>
    <t>Other income:</t>
  </si>
  <si>
    <t>Note "24":</t>
  </si>
  <si>
    <t>Note "25":</t>
  </si>
  <si>
    <t>Cost of trading goods:</t>
  </si>
  <si>
    <t>Network operating expense:</t>
  </si>
  <si>
    <t>Employee benefit:</t>
  </si>
  <si>
    <t>Note "26":</t>
  </si>
  <si>
    <t>Sales &amp; marketing expenses:</t>
  </si>
  <si>
    <t>Note "27":</t>
  </si>
  <si>
    <t>Depreciation &amp; amortization:</t>
  </si>
  <si>
    <t>Note "28":</t>
  </si>
  <si>
    <t>Finance cost:</t>
  </si>
  <si>
    <t>Note "29":</t>
  </si>
  <si>
    <t>Other expenses:</t>
  </si>
  <si>
    <t>Note "30":</t>
  </si>
  <si>
    <t>Tax expense:</t>
  </si>
  <si>
    <t>Earning per Share:</t>
  </si>
  <si>
    <t>Note "33":</t>
  </si>
  <si>
    <t>Note "31":</t>
  </si>
  <si>
    <t>Note: "37" The following reconciliations provides the effect of re-statement in year ending 31st December 2017</t>
  </si>
  <si>
    <t>(A)</t>
  </si>
  <si>
    <t>Reconcilliation of financial Position as at 31st December,2017</t>
  </si>
  <si>
    <t>Reconcilliation of Statement of Comprehensive Income as at 31st December,2017</t>
  </si>
  <si>
    <t xml:space="preserve"> Telephone Service</t>
  </si>
  <si>
    <t xml:space="preserve"> Miscellaneous Income - Fixed Line</t>
  </si>
  <si>
    <t xml:space="preserve"> Mobile -  Sim Cards</t>
  </si>
  <si>
    <t xml:space="preserve"> Mobile - Prepaid Recharge Cards</t>
  </si>
  <si>
    <t xml:space="preserve"> Mobile - Postpaid Services</t>
  </si>
  <si>
    <t xml:space="preserve"> Eload - Mobile</t>
  </si>
  <si>
    <t xml:space="preserve"> Income from IN and VAS</t>
  </si>
  <si>
    <t xml:space="preserve"> Miscellaneous Income - Mobile</t>
  </si>
  <si>
    <t xml:space="preserve"> Sale of Mobile Data Card</t>
  </si>
  <si>
    <t xml:space="preserve"> Income from Online Applications</t>
  </si>
  <si>
    <t xml:space="preserve"> Broadband - Postpaid</t>
  </si>
  <si>
    <t xml:space="preserve"> Broadband - Prepaid</t>
  </si>
  <si>
    <t xml:space="preserve"> Internet Leaseline</t>
  </si>
  <si>
    <t xml:space="preserve"> Income from Domain Name Registration</t>
  </si>
  <si>
    <t xml:space="preserve"> Income from IPLC - National</t>
  </si>
  <si>
    <t xml:space="preserve"> Miscellaneous Income - Druknet</t>
  </si>
  <si>
    <t xml:space="preserve"> Sale of Internet Modem</t>
  </si>
  <si>
    <t xml:space="preserve"> Broadband - Recharge Card</t>
  </si>
  <si>
    <t xml:space="preserve"> Eload - Broadband</t>
  </si>
  <si>
    <t xml:space="preserve"> Contact Center Revenue</t>
  </si>
  <si>
    <t xml:space="preserve"> Income from Interconnect</t>
  </si>
  <si>
    <t xml:space="preserve"> Income from Data Center</t>
  </si>
  <si>
    <t xml:space="preserve"> Income from ERP Service</t>
  </si>
  <si>
    <t xml:space="preserve"> Commission income from online mobile apps</t>
  </si>
  <si>
    <t xml:space="preserve"> International ISD</t>
  </si>
  <si>
    <t xml:space="preserve"> Income from International Roaming</t>
  </si>
  <si>
    <t xml:space="preserve"> Income from IPLC - International</t>
  </si>
  <si>
    <t xml:space="preserve"> Income from Domain Name - International</t>
  </si>
  <si>
    <t xml:space="preserve"> Income from Leaseline - International</t>
  </si>
  <si>
    <t xml:space="preserve"> Income from House Rent</t>
  </si>
  <si>
    <t xml:space="preserve"> Income from Hire Charges</t>
  </si>
  <si>
    <t xml:space="preserve"> Income from BSecure</t>
  </si>
  <si>
    <t xml:space="preserve"> Income from One Stop Shop (BT Shop)</t>
  </si>
  <si>
    <t xml:space="preserve"> Income from Thuraya Services</t>
  </si>
  <si>
    <t xml:space="preserve"> Income from sale of CPE and Equipments</t>
  </si>
  <si>
    <t xml:space="preserve"> Fines</t>
  </si>
  <si>
    <t xml:space="preserve"> Net Income from Depository Works</t>
  </si>
  <si>
    <t xml:space="preserve"> Revaluation of Material - Gain</t>
  </si>
  <si>
    <t xml:space="preserve"> Rounding Difference - Gain</t>
  </si>
  <si>
    <t xml:space="preserve"> Income from MFS (Paku)</t>
  </si>
  <si>
    <t xml:space="preserve"> Miscellaneous Income</t>
  </si>
  <si>
    <t xml:space="preserve"> Interest from Fixed Deposits</t>
  </si>
  <si>
    <t xml:space="preserve"> Gain on Forex Fluctuation</t>
  </si>
  <si>
    <t xml:space="preserve"> Consumption of Vehicle Spares</t>
  </si>
  <si>
    <t xml:space="preserve"> Consumption of Office Equipment Spares</t>
  </si>
  <si>
    <t xml:space="preserve"> Consumption of Equipment Spares</t>
  </si>
  <si>
    <t xml:space="preserve"> Consumption of General Item</t>
  </si>
  <si>
    <t xml:space="preserve"> Consumables</t>
  </si>
  <si>
    <t xml:space="preserve"> Consumption of Printing and Stationaries</t>
  </si>
  <si>
    <t xml:space="preserve"> Consumption of Trading Goods</t>
  </si>
  <si>
    <t xml:space="preserve"> COGS of Trading Goods</t>
  </si>
  <si>
    <t xml:space="preserve"> Basic Pay</t>
  </si>
  <si>
    <t xml:space="preserve"> Wages</t>
  </si>
  <si>
    <t xml:space="preserve"> Allowances</t>
  </si>
  <si>
    <t xml:space="preserve"> Uniform and Livery Expenses</t>
  </si>
  <si>
    <t xml:space="preserve"> Staff Welfare Expenses</t>
  </si>
  <si>
    <t xml:space="preserve"> Training - In Country</t>
  </si>
  <si>
    <t xml:space="preserve"> Training - Ex Country</t>
  </si>
  <si>
    <t xml:space="preserve"> Meeting and Seminar</t>
  </si>
  <si>
    <t xml:space="preserve"> Transfer Grant Expenses</t>
  </si>
  <si>
    <t xml:space="preserve"> BT Day &amp; Development Program Expense</t>
  </si>
  <si>
    <t xml:space="preserve"> Leave Encashment</t>
  </si>
  <si>
    <t xml:space="preserve"> Provident Fund Contribution</t>
  </si>
  <si>
    <t xml:space="preserve"> R&amp;M Power - Service</t>
  </si>
  <si>
    <t xml:space="preserve"> Generator Running Expenses</t>
  </si>
  <si>
    <t xml:space="preserve"> R&amp;M Generator Set - Service</t>
  </si>
  <si>
    <t xml:space="preserve"> R&amp;M Plant and Machinery - Service</t>
  </si>
  <si>
    <t xml:space="preserve"> R&amp;M Plant and Machinery - AMC</t>
  </si>
  <si>
    <t xml:space="preserve"> R&amp;M Building - Service</t>
  </si>
  <si>
    <t xml:space="preserve"> R&amp;M Office Equipment - Service</t>
  </si>
  <si>
    <t xml:space="preserve"> R&amp;M Cables and Accessories - Services</t>
  </si>
  <si>
    <t xml:space="preserve"> Vehicle Running Expense - POL</t>
  </si>
  <si>
    <t xml:space="preserve"> R&amp;M Vehicles - Services</t>
  </si>
  <si>
    <t xml:space="preserve"> Deposit Work Expense</t>
  </si>
  <si>
    <t xml:space="preserve"> Business Promotion</t>
  </si>
  <si>
    <t xml:space="preserve"> Discount Allowed</t>
  </si>
  <si>
    <t xml:space="preserve"> Directors Fees</t>
  </si>
  <si>
    <t xml:space="preserve"> Fees and Subscriptions - National</t>
  </si>
  <si>
    <t xml:space="preserve"> Advertisement</t>
  </si>
  <si>
    <t xml:space="preserve"> Communication (Fax, Mail, Post)</t>
  </si>
  <si>
    <t xml:space="preserve"> Office Maintenance</t>
  </si>
  <si>
    <t xml:space="preserve"> Water and Sewerage</t>
  </si>
  <si>
    <t xml:space="preserve"> Rent</t>
  </si>
  <si>
    <t xml:space="preserve"> Travel - Foreign</t>
  </si>
  <si>
    <t xml:space="preserve"> Travel - Local</t>
  </si>
  <si>
    <t xml:space="preserve"> Travel - Maintenance &amp; Project</t>
  </si>
  <si>
    <t xml:space="preserve"> Rates and Taxes</t>
  </si>
  <si>
    <t xml:space="preserve"> Registration and Filing Fees/Survey</t>
  </si>
  <si>
    <t xml:space="preserve"> General Insurance</t>
  </si>
  <si>
    <t xml:space="preserve"> Expense on Interconnect Settlement</t>
  </si>
  <si>
    <t xml:space="preserve"> Commission</t>
  </si>
  <si>
    <t xml:space="preserve"> Revenue Sharing - National</t>
  </si>
  <si>
    <t xml:space="preserve"> Electricity</t>
  </si>
  <si>
    <t xml:space="preserve"> Entertainment</t>
  </si>
  <si>
    <t xml:space="preserve"> Carriage Outward &amp; Inward</t>
  </si>
  <si>
    <t xml:space="preserve"> Corporate Social Responsibility</t>
  </si>
  <si>
    <t xml:space="preserve"> Donation</t>
  </si>
  <si>
    <t xml:space="preserve"> Revaluation of Material - Loss</t>
  </si>
  <si>
    <t xml:space="preserve"> Rounding Difference - Loss</t>
  </si>
  <si>
    <t xml:space="preserve"> Misc. Expenses</t>
  </si>
  <si>
    <t xml:space="preserve"> Audit Expenses</t>
  </si>
  <si>
    <t xml:space="preserve"> Interest on Loans</t>
  </si>
  <si>
    <t xml:space="preserve"> Bank Charges</t>
  </si>
  <si>
    <t xml:space="preserve"> Fees and Subscriptions - International</t>
  </si>
  <si>
    <t xml:space="preserve"> Satellite Utilization Charges</t>
  </si>
  <si>
    <t xml:space="preserve"> Service fee for IPLC</t>
  </si>
  <si>
    <t xml:space="preserve"> International Traffic Settlement, Voice</t>
  </si>
  <si>
    <t xml:space="preserve"> Internet Port Charges, IP Transit</t>
  </si>
  <si>
    <t xml:space="preserve"> International Roaming</t>
  </si>
  <si>
    <t xml:space="preserve"> GMPCS Services</t>
  </si>
  <si>
    <t xml:space="preserve"> Loss on Forex Fluctuation</t>
  </si>
  <si>
    <t xml:space="preserve"> Depreciation - Building</t>
  </si>
  <si>
    <t xml:space="preserve"> Depreciation - Tele Equipment</t>
  </si>
  <si>
    <t xml:space="preserve"> Depreciation - Office Equipment</t>
  </si>
  <si>
    <t xml:space="preserve"> Depreciation - Furniture and Fixtures</t>
  </si>
  <si>
    <t xml:space="preserve"> Depreciation - Power System</t>
  </si>
  <si>
    <t xml:space="preserve"> Depreciation - Cable and Accessories</t>
  </si>
  <si>
    <t xml:space="preserve"> Depreciation - Vehicle</t>
  </si>
  <si>
    <t xml:space="preserve"> Depreciation - Tools and Spare Parts</t>
  </si>
  <si>
    <t xml:space="preserve"> Amortization of Software</t>
  </si>
  <si>
    <t xml:space="preserve"> Cash Account - Sales</t>
  </si>
  <si>
    <t xml:space="preserve"> 0000080098051 - CHQ BNB GIR - MB</t>
  </si>
  <si>
    <t xml:space="preserve"> 0000080098051 - CHQ BNB GIR - OB</t>
  </si>
  <si>
    <t xml:space="preserve"> 0000019474003 - CHQ BT Dis - MB</t>
  </si>
  <si>
    <t xml:space="preserve"> 0000019474003 - CHQ BT Dis - IB</t>
  </si>
  <si>
    <t xml:space="preserve"> 0000019474003 - CHQ BT Dis - OB</t>
  </si>
  <si>
    <t xml:space="preserve"> 0000019557006 - CHQ Depository - MB</t>
  </si>
  <si>
    <t xml:space="preserve"> 0000019557006 - CHQ Depository - IB</t>
  </si>
  <si>
    <t xml:space="preserve"> 0000019557006 - CHQ Depository - OB</t>
  </si>
  <si>
    <t xml:space="preserve"> 20700220263090014 - CHQ BoB Rev - MB</t>
  </si>
  <si>
    <t xml:space="preserve"> 20700220263090014 - CHQ BoB Rev - IB</t>
  </si>
  <si>
    <t xml:space="preserve"> 20700220263090014 - CHQ BoB Rev - OB</t>
  </si>
  <si>
    <t xml:space="preserve"> 0000020336005 - CHQ Foreign - MB</t>
  </si>
  <si>
    <t xml:space="preserve"> 0000020336005 - CHQ Foreign - IB</t>
  </si>
  <si>
    <t xml:space="preserve"> 000127110013 - CHQ BDBL Rev - MB</t>
  </si>
  <si>
    <t xml:space="preserve"> 000127110013 - CHQ BDBL Rev - IB</t>
  </si>
  <si>
    <t xml:space="preserve"> 000127110013 - CHQ BDBL Rev - OB</t>
  </si>
  <si>
    <t xml:space="preserve"> 5000019474014 - CHQ Insurance - MB</t>
  </si>
  <si>
    <t xml:space="preserve"> 100914942- CHQ BoB Dis - MB</t>
  </si>
  <si>
    <t xml:space="preserve"> 100914942- CHQ BoB Dis - IB</t>
  </si>
  <si>
    <t xml:space="preserve"> 100914942- CHQ BoB Dis - OB</t>
  </si>
  <si>
    <t xml:space="preserve"> 0000019474029-CHQ BNB REV-MB</t>
  </si>
  <si>
    <t xml:space="preserve"> 0000019474029-CHQ BNB REV-IB</t>
  </si>
  <si>
    <t xml:space="preserve"> 0000019474056-BNB MFS-MB</t>
  </si>
  <si>
    <t xml:space="preserve"> 0000019474056-BNB MFS-IB</t>
  </si>
  <si>
    <t xml:space="preserve"> 0000019474056-BNB MFS-OB</t>
  </si>
  <si>
    <t xml:space="preserve"> 201242839-CHQ BOB-MFS-MB</t>
  </si>
  <si>
    <t xml:space="preserve"> 201242839-CHQ BOB-MFS-IB</t>
  </si>
  <si>
    <t xml:space="preserve"> 201242839-CHQ BOB-MFS-OB</t>
  </si>
  <si>
    <t xml:space="preserve"> 0000019474054 - BNB-MPAY-MB</t>
  </si>
  <si>
    <t xml:space="preserve"> 0000019474054 - BNB-MPAY-IB</t>
  </si>
  <si>
    <t xml:space="preserve"> 2010115395 - BOB-CHARO-MB</t>
  </si>
  <si>
    <t xml:space="preserve"> 2010115395 - BOB-CHARO-IB</t>
  </si>
  <si>
    <t xml:space="preserve"> 201800006795 - BDBL-EPAY-MB</t>
  </si>
  <si>
    <t xml:space="preserve"> 201800006795 - BDBL-EPAY-IB</t>
  </si>
  <si>
    <t xml:space="preserve"> 0003760172006 - Trashigang Rev - MB</t>
  </si>
  <si>
    <t xml:space="preserve"> 0003760172006 - Trashigang Rev - IB</t>
  </si>
  <si>
    <t xml:space="preserve"> 0006019474005 - Mongar Rev - MB</t>
  </si>
  <si>
    <t xml:space="preserve"> 0006019474005 - Mongar Rev - IB</t>
  </si>
  <si>
    <t xml:space="preserve"> 0002270057015 - Samdrup Jongkhar Rev - MB</t>
  </si>
  <si>
    <t xml:space="preserve"> 0002270057015 - Samdrup Jongkhar Rev - IB</t>
  </si>
  <si>
    <t xml:space="preserve"> 20402179000290016 - Pema Gatshel Rev - MB</t>
  </si>
  <si>
    <t xml:space="preserve"> 20402179000290019 - Pema Gatshel Rev - IB</t>
  </si>
  <si>
    <t xml:space="preserve"> 20401975000640019 - Lhuntse Rev - MB</t>
  </si>
  <si>
    <t xml:space="preserve"> 20401975000640019 - Lhuntse Rev - IB</t>
  </si>
  <si>
    <t xml:space="preserve"> 002227070019 - Wamrong Rev - MB</t>
  </si>
  <si>
    <t xml:space="preserve"> 002227070019 - Wamrong Rev - IB</t>
  </si>
  <si>
    <t xml:space="preserve"> 20402985000550010 - Nganglam Rev - MB</t>
  </si>
  <si>
    <t xml:space="preserve"> 20402985000550010 - Nganglam Rev - IB</t>
  </si>
  <si>
    <t xml:space="preserve"> 20402899000950012- Trashiyangtse Rev - MB</t>
  </si>
  <si>
    <t xml:space="preserve"> 20402899000950012 - Trashiyangtse Rev - IB</t>
  </si>
  <si>
    <t xml:space="preserve"> 0002270058018 - Samdrup Jongkhar Dis - MB donotuse</t>
  </si>
  <si>
    <t xml:space="preserve"> 0002270058018 - Samdrup Jongkhar Dis - IB donotuse</t>
  </si>
  <si>
    <t xml:space="preserve"> 0002270058018 - Samdrup Jongkhar Dis - OB donotuse</t>
  </si>
  <si>
    <t xml:space="preserve"> 002227150011-Khaling Rev - MB</t>
  </si>
  <si>
    <t xml:space="preserve"> 002227150011-Khaling Rev - IB</t>
  </si>
  <si>
    <t xml:space="preserve"> 000927150001 - Kanglung Rev - MB</t>
  </si>
  <si>
    <t xml:space="preserve"> 000927150001 - Kanglung Rev - IB</t>
  </si>
  <si>
    <t xml:space="preserve"> 200692298 - Deothang - MB</t>
  </si>
  <si>
    <t xml:space="preserve"> 200692298 - Deothang - IB</t>
  </si>
  <si>
    <t xml:space="preserve"> 200736600 - Doksum - MB</t>
  </si>
  <si>
    <t xml:space="preserve"> 200736600 - Doksum - IB</t>
  </si>
  <si>
    <t xml:space="preserve"> 200746212 - Rangjung - MB</t>
  </si>
  <si>
    <t xml:space="preserve"> 200746212 - Rangjung - IB</t>
  </si>
  <si>
    <t xml:space="preserve"> 200781520 - Gyelpozhing - MB</t>
  </si>
  <si>
    <t xml:space="preserve"> 200781520 - Gyelpozhing - IB</t>
  </si>
  <si>
    <t xml:space="preserve"> 0100071941001- Kanglung Rev - MB</t>
  </si>
  <si>
    <t xml:space="preserve"> 0100071941001- Kanglung Rev - IB</t>
  </si>
  <si>
    <t xml:space="preserve"> 201237318 - Samdrup Jongkhar Rev - MB</t>
  </si>
  <si>
    <t xml:space="preserve"> 201237318 - Samdrup Jongkhar Rev - IB</t>
  </si>
  <si>
    <t xml:space="preserve"> 201240547 - Samdrup Jongkhar Dis - MB</t>
  </si>
  <si>
    <t xml:space="preserve"> 201240547 - Samdrup Jongkhar Dis - IB</t>
  </si>
  <si>
    <t xml:space="preserve"> 201240547 - Samdrup Jongkhar Dis - OB</t>
  </si>
  <si>
    <t xml:space="preserve"> 0001005964008 - Phuntsholing Rev - MB</t>
  </si>
  <si>
    <t xml:space="preserve"> 0001005964008  - Phuntsholing Rev - IB</t>
  </si>
  <si>
    <t xml:space="preserve"> 20401771000940017- Gedu Rev - MB</t>
  </si>
  <si>
    <t xml:space="preserve"> 20401771000940017 - Gedu Rev - IB</t>
  </si>
  <si>
    <t xml:space="preserve"> 000150001900014- Rinchentse Rev - MB</t>
  </si>
  <si>
    <t xml:space="preserve"> 000150001900014 - Rinchentse Rev - IB</t>
  </si>
  <si>
    <t xml:space="preserve"> 2040054000410015 - Tshimasham Rev - MB</t>
  </si>
  <si>
    <t xml:space="preserve"> 2040054000410015 - Tshimasham Rev - IB</t>
  </si>
  <si>
    <t xml:space="preserve"> 0009760048017  - Gomtu Rev - MB</t>
  </si>
  <si>
    <t xml:space="preserve"> 0009760048017  - Gomtu Rev - IB</t>
  </si>
  <si>
    <t xml:space="preserve"> 20700642500860017 - Samtse Rev - MB</t>
  </si>
  <si>
    <t xml:space="preserve"> 20700642500860017 - Samtse Rev - IB</t>
  </si>
  <si>
    <t xml:space="preserve"> 20700642610380000 - Sipsoo Rev - MB</t>
  </si>
  <si>
    <t xml:space="preserve"> 20700642610380000 - Sipsoo Rev - IB</t>
  </si>
  <si>
    <t xml:space="preserve"> 002827110003 - Lhamoizingkha Rev - MB</t>
  </si>
  <si>
    <t xml:space="preserve"> 002827110003 - Lhamoizingkha Rev - IB</t>
  </si>
  <si>
    <t xml:space="preserve"> 0001005964016 - Phuntsholing Dis - MB</t>
  </si>
  <si>
    <t xml:space="preserve"> 0001005964016 - Phuntsholing Dis - IB</t>
  </si>
  <si>
    <t xml:space="preserve"> 0001005964016 - Phuntsholing Dis - OB</t>
  </si>
  <si>
    <t xml:space="preserve"> 20702697043750018 - Samdrupcholing Rev - MB</t>
  </si>
  <si>
    <t xml:space="preserve"> 20702697043750018 - Samdrupcholing Rev - IB</t>
  </si>
  <si>
    <t xml:space="preserve"> 002727140003- Jomotshangkha Rev - MB</t>
  </si>
  <si>
    <t xml:space="preserve"> 002727140003 - Jomotshangkha Rev - IB</t>
  </si>
  <si>
    <t xml:space="preserve"> 201000487101 - Tendu Rev - MB</t>
  </si>
  <si>
    <t xml:space="preserve"> 201000487101 - Tendu Rev - IB</t>
  </si>
  <si>
    <t xml:space="preserve"> 0004002496014 - Gelephu Rev - MB</t>
  </si>
  <si>
    <t xml:space="preserve"> 0004002496014 - Gelephu Rev - IB</t>
  </si>
  <si>
    <t xml:space="preserve"> 0004002496014 - Gelephu Rev - OB</t>
  </si>
  <si>
    <t xml:space="preserve"> 20400848000290019 - Damphu Rev - MB</t>
  </si>
  <si>
    <t xml:space="preserve"> 20400848000290019 - Damphu Rev - IB</t>
  </si>
  <si>
    <t xml:space="preserve"> 20402493000500011 - Dagana Rev - MB</t>
  </si>
  <si>
    <t xml:space="preserve"> 20402493000500011 - Dagana Rev - IB</t>
  </si>
  <si>
    <t xml:space="preserve"> 20402391004180022 - Sarpang Rev - MB</t>
  </si>
  <si>
    <t xml:space="preserve"> 20402391004180022 - Sarpang Rev - IB</t>
  </si>
  <si>
    <t xml:space="preserve"> 20401873019150016 - Zhemgang Rev - MB</t>
  </si>
  <si>
    <t xml:space="preserve"> 20401873019150016 - Zhemgang Rev - IB</t>
  </si>
  <si>
    <t xml:space="preserve"> 20401567011860014 - Trongsa Rev - MB</t>
  </si>
  <si>
    <t xml:space="preserve"> 20401567011860014 - Trongsa Rev - IB</t>
  </si>
  <si>
    <t xml:space="preserve"> 0004700084020 - Tingtibi Rev - MB</t>
  </si>
  <si>
    <t xml:space="preserve"> 0004700084020 - Tingtibi Rev - IB</t>
  </si>
  <si>
    <t xml:space="preserve"> 0004700084020 - Tingtibi Rev - OB</t>
  </si>
  <si>
    <t xml:space="preserve"> 20401259073920015 - Bumthang Rev - MB</t>
  </si>
  <si>
    <t xml:space="preserve"> 20401259073920015 - Bumthang Rev - IB</t>
  </si>
  <si>
    <t xml:space="preserve"> 002527110001 - Panbang Rev - MB</t>
  </si>
  <si>
    <t xml:space="preserve"> 002527110001 - Panbang Rev - IB</t>
  </si>
  <si>
    <t xml:space="preserve"> 0004002520017 - Gelephu Dis - MB</t>
  </si>
  <si>
    <t xml:space="preserve"> 0004002520017 - Gelephu Dis - IB</t>
  </si>
  <si>
    <t xml:space="preserve"> 0004002520017 - Gelephu Dis - OB</t>
  </si>
  <si>
    <t xml:space="preserve"> 0000019473007 - Thimphu Rev - MB</t>
  </si>
  <si>
    <t xml:space="preserve"> 0000019473007 - Thimphu Rev - IB</t>
  </si>
  <si>
    <t xml:space="preserve"> 0000019473007 - Thimphu Rev - OB</t>
  </si>
  <si>
    <t xml:space="preserve"> 0000019474050 - Thimphu BNB Bwallet Rev - MB</t>
  </si>
  <si>
    <t xml:space="preserve"> 0000019474050 - Thimphu BNB Bwallet Rev - IB</t>
  </si>
  <si>
    <t xml:space="preserve"> 0000019474050 - Thimphu BNB Bwallet Rev - OB</t>
  </si>
  <si>
    <t xml:space="preserve"> 20770220677700011 - Thimphu BoB Bwallet Rev - MB</t>
  </si>
  <si>
    <t xml:space="preserve"> 20702200677700011- Thimphu BoB Bwallet Rev - IB</t>
  </si>
  <si>
    <t xml:space="preserve"> 2070220677700011 - Thimphu BoB Bwallet Rev - OB</t>
  </si>
  <si>
    <t xml:space="preserve"> 0000064465019 - Thimphu BNB Online Rev - MB</t>
  </si>
  <si>
    <t xml:space="preserve"> 20700220670610012 - Thimphu BoB Online Rev - MB</t>
  </si>
  <si>
    <t xml:space="preserve"> 20700220670610012 - Thimphu BoB Online Rev - IB</t>
  </si>
  <si>
    <t xml:space="preserve"> 20700220670610012 - Thimphu BoB Online Rev - OB</t>
  </si>
  <si>
    <t xml:space="preserve"> 0005601652015 - Paro Rev - MB</t>
  </si>
  <si>
    <t xml:space="preserve"> 0005601652015 - Paro Rev - IB</t>
  </si>
  <si>
    <t xml:space="preserve"> 0007729062010 - Punakha Rev - MB</t>
  </si>
  <si>
    <t xml:space="preserve"> 0007729062010 - Punakha Rev - IB</t>
  </si>
  <si>
    <t xml:space="preserve"> 0007720098008 - Wangdue Rev - MB</t>
  </si>
  <si>
    <t xml:space="preserve"> 0007720098008 - Wangdue Rev - IB</t>
  </si>
  <si>
    <t xml:space="preserve"> 20401669009120014 - Haa Rev - MB</t>
  </si>
  <si>
    <t xml:space="preserve"> 20401669009120014 - Haa Rev - IB</t>
  </si>
  <si>
    <t xml:space="preserve"> 20703086001290010 - Gasa Rev - MB</t>
  </si>
  <si>
    <t xml:space="preserve"> 20703086001290010 - Gasa Rev - IB</t>
  </si>
  <si>
    <t xml:space="preserve"> 0000042330019 - Thimphu Dis - MB</t>
  </si>
  <si>
    <t xml:space="preserve"> 0000042330019 - Thimphu Dis - IB</t>
  </si>
  <si>
    <t xml:space="preserve"> 0000042330019 - Thimphu Dis - OB</t>
  </si>
  <si>
    <t xml:space="preserve"> 000127140179-Thimphu-BDBL BWallet Rev - MB</t>
  </si>
  <si>
    <t xml:space="preserve"> 000127140179-Thimphu-BDBL BWallet Rev - IB</t>
  </si>
  <si>
    <t xml:space="preserve"> 000127140179-Thimphu-BDBL BWallet Rev - OB</t>
  </si>
  <si>
    <t xml:space="preserve"> 0100017435001-Dagapela Rev - MB</t>
  </si>
  <si>
    <t xml:space="preserve"> 0100017435001-Dagapela Rev - IB</t>
  </si>
  <si>
    <t xml:space="preserve"> 0100017435001-Dagapela Rev - OB</t>
  </si>
  <si>
    <t xml:space="preserve"> 20700220791560032-MBOB Rev - MB</t>
  </si>
  <si>
    <t xml:space="preserve"> 20700220791560032-MBOB Rev - IB</t>
  </si>
  <si>
    <t xml:space="preserve"> 20700220791560032-MBOB Rev - OB</t>
  </si>
  <si>
    <t xml:space="preserve"> 77712025465001 - Thimphu Tbank Rev - MB</t>
  </si>
  <si>
    <t xml:space="preserve"> 77712025465001 - Thimphu Tbank Rev - IB</t>
  </si>
  <si>
    <t xml:space="preserve"> 200626734 - BOB OSS Rev - MB</t>
  </si>
  <si>
    <t xml:space="preserve"> 200626734 - BOB OSS Rev - IB</t>
  </si>
  <si>
    <t xml:space="preserve"> 0000019474053 - BNB Khasadrapchu Rev - MB</t>
  </si>
  <si>
    <t xml:space="preserve"> 0000019474053 - BNB Khasadrapchu Rev - IB</t>
  </si>
  <si>
    <t xml:space="preserve"> 0000019474053 - BNB Khasadrapchu Rev - OB</t>
  </si>
  <si>
    <t xml:space="preserve"> Sundry Debtors - Domestic - Current</t>
  </si>
  <si>
    <t xml:space="preserve"> Sundry Debtors - DHI Intra Company - Current</t>
  </si>
  <si>
    <t xml:space="preserve"> Impairment of Trade Receivable</t>
  </si>
  <si>
    <t xml:space="preserve"> Sundry Debtors - International - Current</t>
  </si>
  <si>
    <t xml:space="preserve"> Security Deposit - Others</t>
  </si>
  <si>
    <t xml:space="preserve"> Advance to Suppliers - Current</t>
  </si>
  <si>
    <t xml:space="preserve"> Advance to Others - Current</t>
  </si>
  <si>
    <t xml:space="preserve"> Other Receivables - Current</t>
  </si>
  <si>
    <t xml:space="preserve"> Advance to Staff, Travel Expense</t>
  </si>
  <si>
    <t xml:space="preserve"> Advance to Staff, Personal Expenses- Current</t>
  </si>
  <si>
    <t xml:space="preserve"> Advance to Staff, Office Expenses - Current</t>
  </si>
  <si>
    <t xml:space="preserve"> Advance to Staff, Imprest</t>
  </si>
  <si>
    <t xml:space="preserve"> Prepaid Expense - Current</t>
  </si>
  <si>
    <t xml:space="preserve"> Contract Asset for Trading goods - Current</t>
  </si>
  <si>
    <t xml:space="preserve"> Tax Deducted at Source - Asset</t>
  </si>
  <si>
    <t xml:space="preserve"> Inventory - Vehicle Spares</t>
  </si>
  <si>
    <t xml:space="preserve"> Inventory - Office Equipment Spares</t>
  </si>
  <si>
    <t xml:space="preserve"> Inventory - Equipment Spares</t>
  </si>
  <si>
    <t xml:space="preserve"> Inventory - General Item</t>
  </si>
  <si>
    <t xml:space="preserve"> Inventory - Consumables</t>
  </si>
  <si>
    <t xml:space="preserve"> Inventory - Printing and Stationaries</t>
  </si>
  <si>
    <t xml:space="preserve"> Inventory - Capital Goods</t>
  </si>
  <si>
    <t xml:space="preserve"> Inventory - Trading Goods</t>
  </si>
  <si>
    <t xml:space="preserve"> Accrued Income Non Current Asset</t>
  </si>
  <si>
    <t xml:space="preserve"> Investment in the form of Share-TTPL</t>
  </si>
  <si>
    <t xml:space="preserve"> Bond Redemption Reserve</t>
  </si>
  <si>
    <t xml:space="preserve"> Prepaid Expense - Non Current</t>
  </si>
  <si>
    <t xml:space="preserve"> Contract Asset Trading Goods - Non Current</t>
  </si>
  <si>
    <t xml:space="preserve"> Deferred Tax Asset-Non Current</t>
  </si>
  <si>
    <t xml:space="preserve"> Capital Work-in-Progress</t>
  </si>
  <si>
    <t xml:space="preserve"> Freehold Land</t>
  </si>
  <si>
    <t xml:space="preserve"> Building</t>
  </si>
  <si>
    <t xml:space="preserve"> Provision for Depreciation - Building</t>
  </si>
  <si>
    <t xml:space="preserve"> Tele Equipments</t>
  </si>
  <si>
    <t xml:space="preserve"> Provision for Depreciation - Tele Equipments</t>
  </si>
  <si>
    <t xml:space="preserve"> Office Equipments</t>
  </si>
  <si>
    <t xml:space="preserve"> Furniture and Fixtures</t>
  </si>
  <si>
    <t xml:space="preserve"> Provision for Depreciation - Office Equipment</t>
  </si>
  <si>
    <t xml:space="preserve"> Provision for Depreciation - Furniture</t>
  </si>
  <si>
    <t xml:space="preserve"> Power System</t>
  </si>
  <si>
    <t xml:space="preserve"> Cables and Accessories</t>
  </si>
  <si>
    <t xml:space="preserve"> Provision for Depreciation - Power System</t>
  </si>
  <si>
    <t xml:space="preserve"> Provision for Depreciation - Cable and Accessories</t>
  </si>
  <si>
    <t xml:space="preserve"> Vehicles</t>
  </si>
  <si>
    <t xml:space="preserve"> Provision for Depreciation - Vehicle</t>
  </si>
  <si>
    <t xml:space="preserve"> Capital Tools and Measuring Equipment</t>
  </si>
  <si>
    <t xml:space="preserve"> Provision for Depreciation - Tools and Spare Parts</t>
  </si>
  <si>
    <t xml:space="preserve"> Software Applications</t>
  </si>
  <si>
    <t xml:space="preserve"> Provision for Depreciation - Software Application</t>
  </si>
  <si>
    <t xml:space="preserve"> Grant from RGoB - Current</t>
  </si>
  <si>
    <t xml:space="preserve"> Grant from Govt of India - Current</t>
  </si>
  <si>
    <t xml:space="preserve"> Grant from JICA - Current</t>
  </si>
  <si>
    <t xml:space="preserve"> Sundry Creditors - Domestic</t>
  </si>
  <si>
    <t xml:space="preserve"> Sundry Creditors - DHI Intra Company</t>
  </si>
  <si>
    <t xml:space="preserve"> Sundry Creditors - International</t>
  </si>
  <si>
    <t xml:space="preserve"> Expense Accrued</t>
  </si>
  <si>
    <t xml:space="preserve"> Tax Deducted at Source - Liability</t>
  </si>
  <si>
    <t xml:space="preserve"> Tax on Telecom Service Payable (ST)</t>
  </si>
  <si>
    <t xml:space="preserve"> Stale Cheques</t>
  </si>
  <si>
    <t xml:space="preserve"> Term Loan Current Liabilities</t>
  </si>
  <si>
    <t xml:space="preserve"> Advances from Customer</t>
  </si>
  <si>
    <t xml:space="preserve"> Advances from Customer - Deposit Work</t>
  </si>
  <si>
    <t xml:space="preserve"> Advance from Postpaid Customer</t>
  </si>
  <si>
    <t xml:space="preserve"> Salary Payable Account</t>
  </si>
  <si>
    <t xml:space="preserve"> Salary Tax</t>
  </si>
  <si>
    <t xml:space="preserve"> Provision for Audit Fees</t>
  </si>
  <si>
    <t xml:space="preserve"> Other Deductions</t>
  </si>
  <si>
    <t xml:space="preserve"> Sundry Creditors - Employees</t>
  </si>
  <si>
    <t xml:space="preserve"> Alimony Deduction</t>
  </si>
  <si>
    <t xml:space="preserve"> Security Deposits - Customer</t>
  </si>
  <si>
    <t xml:space="preserve"> Security Deposits - Vendor</t>
  </si>
  <si>
    <t xml:space="preserve"> Liability for Unearned Income</t>
  </si>
  <si>
    <t xml:space="preserve"> Liability for shareholder-asset for sale</t>
  </si>
  <si>
    <t xml:space="preserve"> Provision for Leave Encashment</t>
  </si>
  <si>
    <t xml:space="preserve"> Provision for Gratuity-Current</t>
  </si>
  <si>
    <t xml:space="preserve"> Income Tax Payable</t>
  </si>
  <si>
    <t xml:space="preserve"> Provision for Bonus</t>
  </si>
  <si>
    <t xml:space="preserve"> Grant from RGoB - Non Current</t>
  </si>
  <si>
    <t xml:space="preserve"> Grant from JICA - Non Current</t>
  </si>
  <si>
    <t xml:space="preserve"> Term Loan</t>
  </si>
  <si>
    <t xml:space="preserve"> Corporate Bond</t>
  </si>
  <si>
    <t xml:space="preserve"> Provision for Insurance of Assets - Non Current</t>
  </si>
  <si>
    <t xml:space="preserve"> Provision for Leave Encashment - Non Current</t>
  </si>
  <si>
    <t xml:space="preserve"> Issued, Subscribed and Paid Up</t>
  </si>
  <si>
    <t xml:space="preserve"> Retained Earning</t>
  </si>
  <si>
    <t xml:space="preserve"> Group Investment Reserve</t>
  </si>
  <si>
    <t>Statement of Comprehensive Income for the year ended 31st January, 2019</t>
  </si>
  <si>
    <t>As at 31st January, 2018</t>
  </si>
  <si>
    <t>As at 31st January,  2018</t>
  </si>
  <si>
    <t>As at 31st January, 2019</t>
  </si>
  <si>
    <t>Notes forming part of the Financial Statements for the year ended 31st January, 2019</t>
  </si>
  <si>
    <t>Less: Staff training 1/3 of 2019</t>
  </si>
  <si>
    <t>Prepaid</t>
  </si>
  <si>
    <t>Postpaid</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</si>
</sst>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_(* \(#,##0.00\);_(* &quot;-&quot;??_);_(@_)"/>
    <numFmt numFmtId="164" formatCode="_ * #,##0.00_ ;_ * \-#,##0.00_ ;_ * &quot;-&quot;??_ ;_ @_ "/>
    <numFmt numFmtId="165" formatCode="_-* #,##0.00_-;\-* #,##0.00_-;_-* &quot;-&quot;??_-;_-@_-"/>
    <numFmt numFmtId="166" formatCode="_(* #,##0_);_(* \(#,##0\);_(* &quot;-&quot;??_);_(@_)"/>
    <numFmt numFmtId="167" formatCode="_ * #,##0_ ;_ * \-#,##0_ ;_ * &quot;-&quot;??_ ;_ @_ "/>
    <numFmt numFmtId="168" formatCode="_(* #,##0.00_);_(* \(#,##0.00\);_(* \-??_);_(@_)"/>
    <numFmt numFmtId="169" formatCode="#,##0.00\ ;&quot; (&quot;#,##0.00\);&quot; -&quot;#\ ;@\ "/>
    <numFmt numFmtId="170" formatCode="0.000"/>
    <numFmt numFmtId="171" formatCode="_-* #,##0_-;\-* #,##0_-;_-* &quot;-&quot;??_-;_-@_-"/>
    <numFmt numFmtId="172" formatCode="_(* #,##0.0_);_(* \(#,##0.0\);_(* &quot;-&quot;??_);_(@_)"/>
    <numFmt numFmtId="173" formatCode="_(* #,##0.00_);_(* \(#,##0.00\);_(* &quot;-&quot;_);_(@_)"/>
    <numFmt numFmtId="174" formatCode="_ * #,##0.00_ ;_ * \-#,##0.00_ ;_ * &quot;&quot;??_ ;_ @_ "/>
  </numFmts>
  <fonts count="9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2"/>
      <color theme="1"/>
      <name val="Times New Roman"/>
      <family val="1"/>
    </font>
    <font>
      <b/>
      <sz val="12"/>
      <color theme="1"/>
      <name val="Times New Roman"/>
      <family val="1"/>
    </font>
    <font>
      <sz val="12"/>
      <name val="Times New Roman"/>
      <family val="1"/>
    </font>
    <font>
      <b/>
      <sz val="12"/>
      <name val="Times New Roman"/>
      <family val="1"/>
    </font>
    <font>
      <sz val="12"/>
      <color rgb="FF00B050"/>
      <name val="Times New Roman"/>
      <family val="1"/>
    </font>
    <font>
      <b/>
      <u/>
      <sz val="12"/>
      <name val="Times New Roman"/>
      <family val="1"/>
    </font>
    <font>
      <sz val="12"/>
      <color theme="0"/>
      <name val="Times New Roman"/>
      <family val="1"/>
    </font>
    <font>
      <sz val="12"/>
      <color rgb="FFFF0000"/>
      <name val="Times New Roman"/>
      <family val="1"/>
    </font>
    <font>
      <sz val="18"/>
      <color theme="3"/>
      <name val="Cambria"/>
      <family val="2"/>
      <scheme val="major"/>
    </font>
    <font>
      <sz val="11"/>
      <color rgb="FF000000"/>
      <name val="Calibri"/>
      <family val="2"/>
    </font>
    <font>
      <sz val="10"/>
      <name val="SimSun"/>
      <family val="2"/>
    </font>
    <font>
      <sz val="10"/>
      <name val="Arial"/>
      <family val="2"/>
    </font>
    <font>
      <b/>
      <sz val="12"/>
      <color theme="1"/>
      <name val="Book Antiqua"/>
      <family val="1"/>
    </font>
    <font>
      <sz val="10"/>
      <color theme="1"/>
      <name val="Book Antiqua"/>
      <family val="1"/>
    </font>
    <font>
      <b/>
      <sz val="10"/>
      <color theme="1"/>
      <name val="Book Antiqua"/>
      <family val="1"/>
    </font>
    <font>
      <b/>
      <i/>
      <sz val="10"/>
      <color theme="1"/>
      <name val="Book Antiqua"/>
      <family val="1"/>
    </font>
    <font>
      <sz val="10"/>
      <color rgb="FFFF0000"/>
      <name val="Book Antiqua"/>
      <family val="1"/>
    </font>
    <font>
      <sz val="12"/>
      <color theme="1"/>
      <name val="Times New Roman"/>
      <family val="1"/>
    </font>
    <font>
      <sz val="10"/>
      <name val="Georgia"/>
      <family val="1"/>
    </font>
    <font>
      <sz val="10"/>
      <color rgb="FFFF0000"/>
      <name val="Georgia"/>
      <family val="1"/>
    </font>
    <font>
      <b/>
      <sz val="5"/>
      <name val="Georgia"/>
      <family val="1"/>
    </font>
    <font>
      <sz val="11"/>
      <color theme="1"/>
      <name val="Times New Roman"/>
      <family val="2"/>
    </font>
    <font>
      <b/>
      <sz val="12"/>
      <color theme="0"/>
      <name val="Times New Roman"/>
      <family val="1"/>
    </font>
    <font>
      <b/>
      <sz val="12"/>
      <color rgb="FFFF0000"/>
      <name val="Times New Roman"/>
      <family val="1"/>
    </font>
    <font>
      <i/>
      <sz val="12"/>
      <name val="Times New Roman"/>
      <family val="1"/>
    </font>
    <font>
      <b/>
      <i/>
      <sz val="12"/>
      <name val="Times New Roman"/>
      <family val="1"/>
    </font>
    <font>
      <b/>
      <sz val="10"/>
      <color rgb="FFFF0000"/>
      <name val="Book Antiqua"/>
      <family val="1"/>
    </font>
    <font>
      <b/>
      <i/>
      <sz val="10"/>
      <color rgb="FFFF0000"/>
      <name val="Book Antiqua"/>
      <family val="1"/>
    </font>
    <font>
      <sz val="10"/>
      <name val="Book Antiqua"/>
      <family val="1"/>
    </font>
    <font>
      <i/>
      <sz val="12"/>
      <color rgb="FFFF0000"/>
      <name val="Times New Roman"/>
      <family val="1"/>
    </font>
    <font>
      <sz val="11"/>
      <color indexed="8"/>
      <name val="Times New Roman"/>
      <family val="1"/>
    </font>
    <font>
      <b/>
      <sz val="11"/>
      <color indexed="8"/>
      <name val="Times New Roman"/>
      <family val="1"/>
    </font>
    <font>
      <b/>
      <sz val="10"/>
      <color theme="1"/>
      <name val="Calibri"/>
      <family val="2"/>
      <scheme val="minor"/>
    </font>
    <font>
      <b/>
      <sz val="10"/>
      <color theme="8" tint="-0.499984740745262"/>
      <name val="Calibri"/>
      <family val="2"/>
      <scheme val="minor"/>
    </font>
    <font>
      <sz val="10"/>
      <color theme="1"/>
      <name val="Calibri"/>
      <family val="2"/>
      <scheme val="minor"/>
    </font>
    <font>
      <i/>
      <sz val="12"/>
      <color theme="1"/>
      <name val="Times New Roman"/>
      <family val="1"/>
    </font>
    <font>
      <i/>
      <sz val="12"/>
      <color rgb="FF002060"/>
      <name val="Times New Roman"/>
      <family val="1"/>
    </font>
    <font>
      <b/>
      <i/>
      <sz val="12"/>
      <name val="Book Antiqua"/>
      <family val="1"/>
    </font>
    <font>
      <b/>
      <i/>
      <u/>
      <sz val="12"/>
      <name val="Book Antiqua"/>
      <family val="1"/>
    </font>
    <font>
      <i/>
      <sz val="12"/>
      <name val="Book Antiqua"/>
      <family val="1"/>
    </font>
    <font>
      <i/>
      <sz val="11"/>
      <name val="Book Antiqua"/>
      <family val="1"/>
    </font>
    <font>
      <b/>
      <i/>
      <sz val="11"/>
      <name val="Book Antiqua"/>
      <family val="1"/>
    </font>
    <font>
      <sz val="12"/>
      <name val="Book Antiqua"/>
      <family val="1"/>
    </font>
    <font>
      <b/>
      <u/>
      <sz val="12"/>
      <name val="Book Antiqua"/>
      <family val="1"/>
    </font>
    <font>
      <b/>
      <sz val="12"/>
      <name val="Book Antiqua"/>
      <family val="1"/>
    </font>
    <font>
      <sz val="12"/>
      <color theme="1"/>
      <name val="Book Antiqua"/>
      <family val="1"/>
    </font>
    <font>
      <i/>
      <sz val="12"/>
      <color rgb="FF00B050"/>
      <name val="Book Antiqua"/>
      <family val="1"/>
    </font>
    <font>
      <i/>
      <sz val="12"/>
      <color theme="0"/>
      <name val="Book Antiqua"/>
      <family val="1"/>
    </font>
    <font>
      <sz val="12"/>
      <color theme="0"/>
      <name val="Book Antiqua"/>
      <family val="1"/>
    </font>
    <font>
      <b/>
      <i/>
      <sz val="12"/>
      <color theme="0"/>
      <name val="Book Antiqua"/>
      <family val="1"/>
    </font>
    <font>
      <i/>
      <sz val="12"/>
      <color theme="1"/>
      <name val="Book Antiqua"/>
      <family val="1"/>
    </font>
    <font>
      <b/>
      <i/>
      <sz val="12"/>
      <color theme="1"/>
      <name val="Book Antiqua"/>
      <family val="1"/>
    </font>
    <font>
      <sz val="11"/>
      <name val="Book Antiqua"/>
      <family val="1"/>
    </font>
    <font>
      <b/>
      <i/>
      <u/>
      <sz val="11"/>
      <name val="Book Antiqua"/>
      <family val="1"/>
    </font>
    <font>
      <i/>
      <sz val="11"/>
      <color theme="1"/>
      <name val="Book Antiqua"/>
      <family val="1"/>
    </font>
    <font>
      <b/>
      <sz val="11"/>
      <name val="Book Antiqua"/>
      <family val="1"/>
    </font>
    <font>
      <b/>
      <u/>
      <sz val="11"/>
      <name val="Book Antiqua"/>
      <family val="1"/>
    </font>
    <font>
      <b/>
      <i/>
      <sz val="11"/>
      <color theme="1"/>
      <name val="Book Antiqua"/>
      <family val="1"/>
    </font>
    <font>
      <b/>
      <i/>
      <sz val="11"/>
      <color theme="0"/>
      <name val="Book Antiqua"/>
      <family val="1"/>
    </font>
    <font>
      <i/>
      <sz val="11"/>
      <color theme="0"/>
      <name val="Book Antiqua"/>
      <family val="1"/>
    </font>
    <font>
      <sz val="11"/>
      <color theme="1"/>
      <name val="Book Antiqua"/>
      <family val="1"/>
    </font>
    <font>
      <b/>
      <sz val="11"/>
      <color theme="1"/>
      <name val="Book Antiqua"/>
      <family val="1"/>
    </font>
    <font>
      <b/>
      <u/>
      <sz val="12"/>
      <color theme="1"/>
      <name val="Book Antiqua"/>
      <family val="1"/>
    </font>
    <font>
      <b/>
      <i/>
      <u/>
      <sz val="12"/>
      <color theme="1"/>
      <name val="Book Antiqua"/>
      <family val="1"/>
    </font>
    <font>
      <i/>
      <sz val="11"/>
      <color theme="1"/>
      <name val="Calibri"/>
      <family val="2"/>
      <scheme val="minor"/>
    </font>
    <font>
      <i/>
      <sz val="12"/>
      <color theme="1"/>
      <name val="Calibri"/>
      <family val="2"/>
      <scheme val="minor"/>
    </font>
    <font>
      <i/>
      <sz val="11"/>
      <color rgb="FFC00000"/>
      <name val="Book Antiqua"/>
      <family val="1"/>
    </font>
    <font>
      <b/>
      <i/>
      <sz val="11"/>
      <color rgb="FFC00000"/>
      <name val="Book Antiqua"/>
      <family val="1"/>
    </font>
    <font>
      <i/>
      <sz val="11"/>
      <color rgb="FFFF0000"/>
      <name val="Book Antiqua"/>
      <family val="1"/>
    </font>
    <font>
      <b/>
      <i/>
      <sz val="11"/>
      <color rgb="FFFF0000"/>
      <name val="Book Antiqua"/>
      <family val="1"/>
    </font>
    <font>
      <b/>
      <i/>
      <sz val="12"/>
      <color rgb="FFFF0000"/>
      <name val="Times New Roman"/>
      <family val="1"/>
    </font>
    <font>
      <i/>
      <sz val="11"/>
      <color rgb="FF00B050"/>
      <name val="Book Antiqua"/>
      <family val="1"/>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22"/>
        <bgColor indexed="64"/>
      </patternFill>
    </fill>
    <fill>
      <patternFill patternType="solid">
        <fgColor rgb="FF92D05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9" tint="-0.249977111117893"/>
        <bgColor indexed="64"/>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double">
        <color auto="1"/>
      </bottom>
      <diagonal/>
    </border>
    <border>
      <left/>
      <right/>
      <top/>
      <bottom style="medium">
        <color auto="1"/>
      </bottom>
      <diagonal/>
    </border>
    <border>
      <left style="thin">
        <color auto="1"/>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style="thin">
        <color auto="1"/>
      </top>
      <bottom style="double">
        <color auto="1"/>
      </bottom>
      <diagonal/>
    </border>
    <border>
      <left style="medium">
        <color auto="1"/>
      </left>
      <right style="thin">
        <color auto="1"/>
      </right>
      <top/>
      <bottom/>
      <diagonal/>
    </border>
    <border>
      <left style="thin">
        <color auto="1"/>
      </left>
      <right style="thin">
        <color auto="1"/>
      </right>
      <top style="hair">
        <color auto="1"/>
      </top>
      <bottom style="hair">
        <color auto="1"/>
      </bottom>
      <diagonal/>
    </border>
    <border>
      <left style="thin">
        <color auto="1"/>
      </left>
      <right style="thin">
        <color auto="1"/>
      </right>
      <top style="medium">
        <color auto="1"/>
      </top>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diagonal/>
    </border>
    <border>
      <left style="hair">
        <color auto="1"/>
      </left>
      <right style="thin">
        <color auto="1"/>
      </right>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hair">
        <color auto="1"/>
      </left>
      <right/>
      <top style="thin">
        <color auto="1"/>
      </top>
      <bottom/>
      <diagonal/>
    </border>
    <border>
      <left style="hair">
        <color auto="1"/>
      </left>
      <right/>
      <top/>
      <bottom/>
      <diagonal/>
    </border>
    <border>
      <left style="hair">
        <color auto="1"/>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style="thin">
        <color auto="1"/>
      </top>
      <bottom style="double">
        <color auto="1"/>
      </bottom>
      <diagonal/>
    </border>
    <border>
      <left/>
      <right/>
      <top style="medium">
        <color auto="1"/>
      </top>
      <bottom style="medium">
        <color auto="1"/>
      </bottom>
      <diagonal/>
    </border>
    <border>
      <left/>
      <right/>
      <top style="thin">
        <color auto="1"/>
      </top>
      <bottom style="medium">
        <color auto="1"/>
      </bottom>
      <diagonal/>
    </border>
    <border>
      <left/>
      <right style="thin">
        <color auto="1"/>
      </right>
      <top style="medium">
        <color auto="1"/>
      </top>
      <bottom/>
      <diagonal/>
    </border>
  </borders>
  <cellStyleXfs count="7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xf numFmtId="9" fontId="18" fillId="0" borderId="0" applyFont="0" applyFill="0" applyBorder="0" applyAlignment="0" applyProtection="0"/>
    <xf numFmtId="164" fontId="19"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0" fontId="19" fillId="0" borderId="0"/>
    <xf numFmtId="9" fontId="1" fillId="0" borderId="0" applyFont="0" applyFill="0" applyBorder="0" applyAlignment="0" applyProtection="0"/>
    <xf numFmtId="0" fontId="19" fillId="0" borderId="0"/>
    <xf numFmtId="0" fontId="28" fillId="0" borderId="0" applyNumberFormat="0" applyFill="0" applyBorder="0" applyAlignment="0" applyProtection="0"/>
    <xf numFmtId="0" fontId="29" fillId="0" borderId="0"/>
    <xf numFmtId="168" fontId="19" fillId="0" borderId="0"/>
    <xf numFmtId="168" fontId="30" fillId="0" borderId="0" applyFill="0" applyBorder="0" applyAlignment="0" applyProtection="0"/>
    <xf numFmtId="169" fontId="30" fillId="0" borderId="0" applyFill="0" applyBorder="0" applyAlignment="0" applyProtection="0"/>
    <xf numFmtId="0" fontId="19" fillId="0" borderId="0"/>
    <xf numFmtId="0" fontId="18" fillId="0" borderId="0"/>
    <xf numFmtId="0" fontId="18" fillId="0" borderId="0"/>
    <xf numFmtId="0" fontId="18" fillId="0" borderId="0"/>
    <xf numFmtId="0" fontId="18" fillId="0" borderId="0"/>
    <xf numFmtId="0" fontId="18" fillId="0" borderId="0"/>
    <xf numFmtId="0" fontId="31" fillId="0" borderId="0"/>
    <xf numFmtId="0" fontId="18" fillId="0" borderId="0"/>
    <xf numFmtId="43" fontId="18" fillId="0" borderId="0" applyFont="0" applyFill="0" applyBorder="0" applyAlignment="0" applyProtection="0"/>
    <xf numFmtId="0" fontId="1" fillId="0" borderId="0"/>
    <xf numFmtId="43" fontId="1" fillId="0" borderId="0" applyFont="0" applyFill="0" applyBorder="0" applyAlignment="0" applyProtection="0"/>
    <xf numFmtId="0" fontId="18" fillId="0" borderId="0"/>
    <xf numFmtId="43" fontId="1" fillId="0" borderId="0" applyFont="0" applyFill="0" applyBorder="0" applyAlignment="0" applyProtection="0"/>
    <xf numFmtId="0" fontId="18" fillId="0" borderId="0"/>
    <xf numFmtId="0" fontId="41" fillId="0" borderId="0"/>
    <xf numFmtId="0" fontId="41" fillId="0" borderId="0"/>
    <xf numFmtId="164" fontId="1" fillId="0" borderId="0" applyFont="0" applyFill="0" applyBorder="0" applyAlignment="0" applyProtection="0"/>
    <xf numFmtId="9" fontId="18" fillId="0" borderId="0" applyFont="0" applyFill="0" applyBorder="0" applyAlignment="0" applyProtection="0"/>
  </cellStyleXfs>
  <cellXfs count="1879">
    <xf numFmtId="0" fontId="0" fillId="0" borderId="0" xfId="0"/>
    <xf numFmtId="0" fontId="20" fillId="0" borderId="0" xfId="0" applyFont="1"/>
    <xf numFmtId="43" fontId="22" fillId="0" borderId="0" xfId="1" applyFont="1"/>
    <xf numFmtId="0" fontId="22" fillId="0" borderId="0" xfId="0" applyFont="1" applyAlignment="1">
      <alignment vertical="top"/>
    </xf>
    <xf numFmtId="0" fontId="24" fillId="0" borderId="0" xfId="0" applyFont="1"/>
    <xf numFmtId="0" fontId="22" fillId="0" borderId="0" xfId="0" applyFont="1"/>
    <xf numFmtId="0" fontId="22" fillId="0" borderId="0" xfId="0" applyFont="1" applyBorder="1"/>
    <xf numFmtId="166" fontId="24" fillId="0" borderId="0" xfId="0" applyNumberFormat="1" applyFont="1"/>
    <xf numFmtId="166" fontId="20" fillId="0" borderId="0" xfId="1" applyNumberFormat="1" applyFont="1"/>
    <xf numFmtId="166" fontId="22" fillId="0" borderId="0" xfId="0" applyNumberFormat="1" applyFont="1" applyFill="1"/>
    <xf numFmtId="43" fontId="22" fillId="0" borderId="0" xfId="0" applyNumberFormat="1" applyFont="1"/>
    <xf numFmtId="0" fontId="20" fillId="0" borderId="0" xfId="0" applyFont="1" applyAlignment="1">
      <alignment vertical="center"/>
    </xf>
    <xf numFmtId="166" fontId="23" fillId="0" borderId="21" xfId="1" applyNumberFormat="1" applyFont="1" applyFill="1" applyBorder="1" applyAlignment="1">
      <alignment horizontal="center" vertical="top"/>
    </xf>
    <xf numFmtId="0" fontId="26" fillId="0" borderId="0" xfId="0" applyFont="1"/>
    <xf numFmtId="0" fontId="27" fillId="0" borderId="0" xfId="0" applyFont="1"/>
    <xf numFmtId="43" fontId="26" fillId="0" borderId="0" xfId="0" applyNumberFormat="1" applyFont="1" applyFill="1"/>
    <xf numFmtId="0" fontId="26" fillId="0" borderId="0" xfId="0" applyFont="1" applyFill="1"/>
    <xf numFmtId="0" fontId="22" fillId="0" borderId="0" xfId="0" applyFont="1" applyFill="1"/>
    <xf numFmtId="4" fontId="22" fillId="0" borderId="0" xfId="0" applyNumberFormat="1" applyFont="1"/>
    <xf numFmtId="0" fontId="22" fillId="33" borderId="0" xfId="43" applyFont="1" applyFill="1"/>
    <xf numFmtId="166" fontId="22" fillId="33" borderId="0" xfId="43" applyNumberFormat="1" applyFont="1" applyFill="1" applyAlignment="1">
      <alignment vertical="top"/>
    </xf>
    <xf numFmtId="0" fontId="22" fillId="33" borderId="0" xfId="43" applyFont="1" applyFill="1" applyAlignment="1">
      <alignment vertical="top"/>
    </xf>
    <xf numFmtId="0" fontId="22" fillId="0" borderId="0" xfId="43" applyFont="1" applyFill="1" applyAlignment="1">
      <alignment vertical="top"/>
    </xf>
    <xf numFmtId="166" fontId="22" fillId="33" borderId="0" xfId="1" applyNumberFormat="1" applyFont="1" applyFill="1" applyAlignment="1">
      <alignment vertical="top"/>
    </xf>
    <xf numFmtId="43" fontId="22" fillId="33" borderId="0" xfId="1" applyFont="1" applyFill="1" applyAlignment="1">
      <alignment vertical="top"/>
    </xf>
    <xf numFmtId="43" fontId="22" fillId="33" borderId="0" xfId="43" applyNumberFormat="1" applyFont="1" applyFill="1" applyAlignment="1">
      <alignment vertical="top"/>
    </xf>
    <xf numFmtId="167" fontId="22" fillId="33" borderId="0" xfId="43" applyNumberFormat="1" applyFont="1" applyFill="1" applyAlignment="1">
      <alignment vertical="top"/>
    </xf>
    <xf numFmtId="0" fontId="20" fillId="0" borderId="0" xfId="0" applyFont="1" applyAlignment="1">
      <alignment vertical="top"/>
    </xf>
    <xf numFmtId="0" fontId="27" fillId="0" borderId="0" xfId="0" applyFont="1" applyAlignment="1">
      <alignment vertical="top"/>
    </xf>
    <xf numFmtId="0" fontId="22" fillId="0" borderId="0" xfId="0" applyFont="1" applyFill="1" applyAlignment="1">
      <alignment vertical="top"/>
    </xf>
    <xf numFmtId="0" fontId="23" fillId="0" borderId="0" xfId="0" applyFont="1" applyFill="1" applyAlignment="1">
      <alignment vertical="top"/>
    </xf>
    <xf numFmtId="166" fontId="22" fillId="0" borderId="0" xfId="43" applyNumberFormat="1" applyFont="1" applyFill="1" applyAlignment="1">
      <alignment vertical="top"/>
    </xf>
    <xf numFmtId="0" fontId="20" fillId="0" borderId="0" xfId="0" applyFont="1" applyAlignment="1"/>
    <xf numFmtId="0" fontId="22" fillId="0" borderId="0" xfId="0" applyFont="1" applyFill="1" applyBorder="1"/>
    <xf numFmtId="43" fontId="22" fillId="0" borderId="0" xfId="0" applyNumberFormat="1" applyFont="1" applyFill="1"/>
    <xf numFmtId="0" fontId="23" fillId="0" borderId="0" xfId="0" applyFont="1" applyFill="1" applyBorder="1"/>
    <xf numFmtId="0" fontId="23" fillId="0" borderId="0" xfId="0" applyFont="1" applyAlignment="1"/>
    <xf numFmtId="43" fontId="22" fillId="0" borderId="0" xfId="1" applyFont="1" applyFill="1"/>
    <xf numFmtId="0" fontId="25" fillId="0" borderId="0" xfId="0" applyFont="1" applyFill="1" applyAlignment="1"/>
    <xf numFmtId="0" fontId="20" fillId="0" borderId="0" xfId="0" applyFont="1" applyFill="1"/>
    <xf numFmtId="0" fontId="22" fillId="0" borderId="0" xfId="0" applyFont="1" applyFill="1" applyBorder="1" applyAlignment="1">
      <alignment horizontal="right" vertical="center" wrapText="1"/>
    </xf>
    <xf numFmtId="3" fontId="22" fillId="0" borderId="0" xfId="0" applyNumberFormat="1" applyFont="1" applyFill="1" applyBorder="1" applyAlignment="1">
      <alignment horizontal="right" vertical="center" wrapText="1"/>
    </xf>
    <xf numFmtId="1" fontId="22" fillId="0" borderId="0" xfId="0" applyNumberFormat="1" applyFont="1" applyFill="1"/>
    <xf numFmtId="3" fontId="22" fillId="0" borderId="0" xfId="0" applyNumberFormat="1" applyFont="1" applyFill="1"/>
    <xf numFmtId="43" fontId="22" fillId="0" borderId="21" xfId="1" applyFont="1" applyFill="1" applyBorder="1" applyAlignment="1">
      <alignment vertical="top"/>
    </xf>
    <xf numFmtId="43" fontId="23" fillId="0" borderId="24" xfId="1" applyFont="1" applyFill="1" applyBorder="1"/>
    <xf numFmtId="43" fontId="22" fillId="0" borderId="0" xfId="1" applyFont="1" applyFill="1" applyAlignment="1">
      <alignment vertical="top"/>
    </xf>
    <xf numFmtId="0" fontId="32" fillId="0" borderId="0" xfId="0" applyFont="1" applyAlignment="1">
      <alignment vertical="center"/>
    </xf>
    <xf numFmtId="0" fontId="33" fillId="0" borderId="0" xfId="0" applyFont="1"/>
    <xf numFmtId="0" fontId="33" fillId="0" borderId="0" xfId="0" applyFont="1" applyAlignment="1">
      <alignment vertical="center"/>
    </xf>
    <xf numFmtId="43" fontId="33" fillId="0" borderId="0" xfId="0" applyNumberFormat="1" applyFont="1"/>
    <xf numFmtId="4" fontId="33" fillId="0" borderId="0" xfId="0" applyNumberFormat="1" applyFont="1"/>
    <xf numFmtId="4" fontId="34" fillId="0" borderId="21" xfId="0" applyNumberFormat="1" applyFont="1" applyFill="1" applyBorder="1" applyAlignment="1">
      <alignment horizontal="center" vertical="center" wrapText="1"/>
    </xf>
    <xf numFmtId="43" fontId="35" fillId="0" borderId="21" xfId="1" applyFont="1" applyFill="1" applyBorder="1" applyAlignment="1">
      <alignment horizontal="right"/>
    </xf>
    <xf numFmtId="43" fontId="36" fillId="0" borderId="21" xfId="1" applyFont="1" applyFill="1" applyBorder="1" applyAlignment="1">
      <alignment horizontal="right"/>
    </xf>
    <xf numFmtId="0" fontId="22" fillId="0" borderId="21" xfId="0" applyFont="1" applyBorder="1" applyAlignment="1">
      <alignment vertical="top"/>
    </xf>
    <xf numFmtId="43" fontId="22" fillId="0" borderId="21" xfId="44" applyFont="1" applyBorder="1" applyAlignment="1">
      <alignment horizontal="right" vertical="top"/>
    </xf>
    <xf numFmtId="43" fontId="22" fillId="0" borderId="0" xfId="44" applyFont="1" applyAlignment="1">
      <alignment vertical="top"/>
    </xf>
    <xf numFmtId="0" fontId="23" fillId="0" borderId="0" xfId="0" applyFont="1" applyFill="1" applyAlignment="1"/>
    <xf numFmtId="0" fontId="22" fillId="0" borderId="0" xfId="0" applyNumberFormat="1" applyFont="1" applyAlignment="1">
      <alignment vertical="top"/>
    </xf>
    <xf numFmtId="0" fontId="22" fillId="0" borderId="0" xfId="0" applyFont="1" applyAlignment="1">
      <alignment horizontal="right" vertical="top"/>
    </xf>
    <xf numFmtId="0" fontId="22" fillId="0" borderId="0" xfId="0" applyNumberFormat="1" applyFont="1" applyBorder="1" applyAlignment="1">
      <alignment vertical="top"/>
    </xf>
    <xf numFmtId="0" fontId="21" fillId="0" borderId="21" xfId="0" applyFont="1" applyBorder="1"/>
    <xf numFmtId="43" fontId="23" fillId="0" borderId="12" xfId="1" applyFont="1" applyFill="1" applyBorder="1" applyAlignment="1">
      <alignment vertical="top"/>
    </xf>
    <xf numFmtId="43" fontId="27" fillId="0" borderId="0" xfId="0" applyNumberFormat="1" applyFont="1"/>
    <xf numFmtId="43" fontId="27" fillId="0" borderId="0" xfId="0" applyNumberFormat="1" applyFont="1" applyFill="1"/>
    <xf numFmtId="0" fontId="27" fillId="0" borderId="0" xfId="0" applyFont="1" applyFill="1"/>
    <xf numFmtId="0" fontId="23" fillId="0" borderId="0" xfId="0" applyFont="1" applyFill="1" applyAlignment="1">
      <alignment vertical="center"/>
    </xf>
    <xf numFmtId="166" fontId="23" fillId="0" borderId="16" xfId="1" applyNumberFormat="1" applyFont="1" applyFill="1" applyBorder="1" applyAlignment="1">
      <alignment horizontal="center" vertical="top" wrapText="1"/>
    </xf>
    <xf numFmtId="43" fontId="22" fillId="0" borderId="21" xfId="1" applyFont="1" applyFill="1" applyBorder="1" applyAlignment="1">
      <alignment horizontal="center" vertical="top"/>
    </xf>
    <xf numFmtId="0" fontId="26" fillId="0" borderId="0" xfId="0" applyFont="1" applyAlignment="1">
      <alignment vertical="top"/>
    </xf>
    <xf numFmtId="0" fontId="27" fillId="0" borderId="0" xfId="0" applyFont="1" applyAlignment="1"/>
    <xf numFmtId="43" fontId="23" fillId="0" borderId="12" xfId="1" applyFont="1" applyFill="1" applyBorder="1" applyAlignment="1"/>
    <xf numFmtId="0" fontId="20" fillId="0" borderId="0" xfId="0" applyFont="1" applyBorder="1" applyAlignment="1">
      <alignment vertical="top"/>
    </xf>
    <xf numFmtId="43" fontId="20" fillId="0" borderId="0" xfId="0" applyNumberFormat="1" applyFont="1" applyBorder="1" applyAlignment="1">
      <alignment vertical="top"/>
    </xf>
    <xf numFmtId="0" fontId="20" fillId="0" borderId="0" xfId="0" applyFont="1" applyBorder="1" applyAlignment="1">
      <alignment vertical="center"/>
    </xf>
    <xf numFmtId="166" fontId="20" fillId="0" borderId="0" xfId="1" applyNumberFormat="1" applyFont="1" applyFill="1" applyBorder="1" applyAlignment="1">
      <alignment horizontal="right" vertical="top" wrapText="1"/>
    </xf>
    <xf numFmtId="43" fontId="20" fillId="0" borderId="0" xfId="1" applyNumberFormat="1" applyFont="1" applyFill="1" applyBorder="1" applyAlignment="1">
      <alignment horizontal="right" vertical="top" wrapText="1"/>
    </xf>
    <xf numFmtId="166" fontId="21" fillId="0" borderId="0" xfId="1" applyNumberFormat="1" applyFont="1" applyFill="1" applyBorder="1" applyAlignment="1">
      <alignment horizontal="right" vertical="top" wrapText="1"/>
    </xf>
    <xf numFmtId="166" fontId="21" fillId="0" borderId="0" xfId="1" applyNumberFormat="1" applyFont="1" applyFill="1" applyBorder="1" applyAlignment="1">
      <alignment horizontal="center" vertical="top" wrapText="1"/>
    </xf>
    <xf numFmtId="43" fontId="21" fillId="0" borderId="0" xfId="1" applyNumberFormat="1" applyFont="1" applyFill="1" applyBorder="1" applyAlignment="1">
      <alignment horizontal="right" vertical="top" wrapText="1"/>
    </xf>
    <xf numFmtId="166" fontId="20" fillId="0" borderId="0" xfId="1" applyNumberFormat="1" applyFont="1" applyFill="1" applyBorder="1" applyAlignment="1">
      <alignment horizontal="center" vertical="top" wrapText="1"/>
    </xf>
    <xf numFmtId="166" fontId="21" fillId="0" borderId="0" xfId="1" applyNumberFormat="1" applyFont="1" applyBorder="1" applyAlignment="1">
      <alignment horizontal="right" vertical="top" wrapText="1"/>
    </xf>
    <xf numFmtId="43" fontId="21" fillId="0" borderId="0" xfId="1" applyNumberFormat="1" applyFont="1" applyBorder="1" applyAlignment="1">
      <alignment horizontal="right" vertical="top" wrapText="1"/>
    </xf>
    <xf numFmtId="0" fontId="20" fillId="0" borderId="0" xfId="0" applyFont="1" applyAlignment="1">
      <alignment vertical="top" wrapText="1"/>
    </xf>
    <xf numFmtId="0" fontId="20" fillId="0" borderId="23" xfId="0" applyFont="1" applyBorder="1" applyAlignment="1">
      <alignment vertical="top"/>
    </xf>
    <xf numFmtId="0" fontId="37" fillId="0" borderId="0" xfId="0" applyFont="1" applyAlignment="1">
      <alignment vertical="top"/>
    </xf>
    <xf numFmtId="0" fontId="37" fillId="0" borderId="0" xfId="0" applyFont="1" applyAlignment="1"/>
    <xf numFmtId="0" fontId="20" fillId="0" borderId="23" xfId="0" applyNumberFormat="1" applyFont="1" applyBorder="1" applyAlignment="1">
      <alignment vertical="top"/>
    </xf>
    <xf numFmtId="0" fontId="22" fillId="0" borderId="21" xfId="0" applyFont="1" applyBorder="1" applyAlignment="1">
      <alignment horizontal="left"/>
    </xf>
    <xf numFmtId="0" fontId="20" fillId="0" borderId="21" xfId="0" applyFont="1" applyBorder="1" applyAlignment="1">
      <alignment horizontal="left"/>
    </xf>
    <xf numFmtId="0" fontId="22" fillId="0" borderId="21" xfId="0" applyFont="1" applyFill="1" applyBorder="1" applyAlignment="1">
      <alignment horizontal="left"/>
    </xf>
    <xf numFmtId="0" fontId="27" fillId="0" borderId="21" xfId="0" applyFont="1" applyBorder="1" applyAlignment="1">
      <alignment horizontal="left"/>
    </xf>
    <xf numFmtId="0" fontId="22" fillId="0" borderId="0" xfId="0" applyFont="1" applyAlignment="1">
      <alignment horizontal="left"/>
    </xf>
    <xf numFmtId="0" fontId="22" fillId="0" borderId="23" xfId="0" applyFont="1" applyBorder="1" applyAlignment="1">
      <alignment horizontal="left"/>
    </xf>
    <xf numFmtId="43" fontId="22" fillId="0" borderId="0" xfId="44" applyFont="1" applyAlignment="1">
      <alignment horizontal="left"/>
    </xf>
    <xf numFmtId="0" fontId="27" fillId="33" borderId="0" xfId="0" applyFont="1" applyFill="1" applyBorder="1" applyAlignment="1">
      <alignment horizontal="center" vertical="center"/>
    </xf>
    <xf numFmtId="43" fontId="22" fillId="0" borderId="0" xfId="1" applyNumberFormat="1" applyFont="1" applyFill="1"/>
    <xf numFmtId="43" fontId="22" fillId="37" borderId="0" xfId="1" applyFont="1" applyFill="1"/>
    <xf numFmtId="0" fontId="22" fillId="0" borderId="0" xfId="0" applyFont="1" applyAlignment="1">
      <alignment horizontal="center" vertical="center"/>
    </xf>
    <xf numFmtId="43" fontId="23" fillId="36" borderId="12" xfId="1" applyFont="1" applyFill="1" applyBorder="1" applyAlignment="1">
      <alignment horizontal="center"/>
    </xf>
    <xf numFmtId="43" fontId="22" fillId="36" borderId="0" xfId="1" applyFont="1" applyFill="1"/>
    <xf numFmtId="43" fontId="23" fillId="36" borderId="12" xfId="1" applyFont="1" applyFill="1" applyBorder="1"/>
    <xf numFmtId="43" fontId="23" fillId="36" borderId="24" xfId="1" applyFont="1" applyFill="1" applyBorder="1"/>
    <xf numFmtId="43" fontId="22" fillId="38" borderId="0" xfId="1" applyFont="1" applyFill="1"/>
    <xf numFmtId="43" fontId="23" fillId="38" borderId="24" xfId="1" applyFont="1" applyFill="1" applyBorder="1"/>
    <xf numFmtId="0" fontId="22" fillId="38" borderId="0" xfId="0" applyFont="1" applyFill="1"/>
    <xf numFmtId="43" fontId="23" fillId="38" borderId="0" xfId="1" applyFont="1" applyFill="1" applyBorder="1"/>
    <xf numFmtId="43" fontId="23" fillId="38" borderId="15" xfId="1" applyFont="1" applyFill="1" applyBorder="1"/>
    <xf numFmtId="43" fontId="23" fillId="0" borderId="11" xfId="1" applyFont="1" applyFill="1" applyBorder="1"/>
    <xf numFmtId="43" fontId="23" fillId="38" borderId="24" xfId="1" applyFont="1" applyFill="1" applyBorder="1" applyAlignment="1">
      <alignment vertical="top"/>
    </xf>
    <xf numFmtId="43" fontId="27" fillId="38" borderId="0" xfId="0" applyNumberFormat="1" applyFont="1" applyFill="1"/>
    <xf numFmtId="43" fontId="27" fillId="38" borderId="0" xfId="1" applyFont="1" applyFill="1"/>
    <xf numFmtId="43" fontId="23" fillId="38" borderId="12" xfId="1" applyFont="1" applyFill="1" applyBorder="1" applyAlignment="1">
      <alignment vertical="top"/>
    </xf>
    <xf numFmtId="43" fontId="23" fillId="38" borderId="12" xfId="1" applyFont="1" applyFill="1" applyBorder="1" applyAlignment="1"/>
    <xf numFmtId="0" fontId="27" fillId="38" borderId="0" xfId="0" applyFont="1" applyFill="1"/>
    <xf numFmtId="0" fontId="38" fillId="0" borderId="0" xfId="0" applyFont="1"/>
    <xf numFmtId="0" fontId="38" fillId="0" borderId="0" xfId="0" applyFont="1" applyFill="1"/>
    <xf numFmtId="0" fontId="39" fillId="0" borderId="0" xfId="0" applyFont="1" applyFill="1"/>
    <xf numFmtId="43" fontId="22" fillId="0" borderId="0" xfId="1" applyFont="1" applyAlignment="1">
      <alignment vertical="top"/>
    </xf>
    <xf numFmtId="43" fontId="22" fillId="0" borderId="16" xfId="1" applyFont="1" applyFill="1" applyBorder="1" applyAlignment="1">
      <alignment horizontal="center" vertical="center"/>
    </xf>
    <xf numFmtId="43" fontId="23" fillId="0" borderId="21" xfId="1" applyFont="1" applyFill="1" applyBorder="1" applyAlignment="1">
      <alignment horizontal="center" vertical="top"/>
    </xf>
    <xf numFmtId="167" fontId="23" fillId="0" borderId="0" xfId="46" applyNumberFormat="1" applyFont="1" applyFill="1" applyBorder="1" applyAlignment="1">
      <alignment horizontal="center" vertical="top"/>
    </xf>
    <xf numFmtId="0" fontId="22" fillId="0" borderId="23" xfId="0" applyFont="1" applyFill="1" applyBorder="1"/>
    <xf numFmtId="0" fontId="23" fillId="0" borderId="23" xfId="0" applyFont="1" applyFill="1" applyBorder="1"/>
    <xf numFmtId="0" fontId="26" fillId="0" borderId="0" xfId="0" applyNumberFormat="1" applyFont="1"/>
    <xf numFmtId="0" fontId="26" fillId="0" borderId="0" xfId="0" applyNumberFormat="1" applyFont="1" applyAlignment="1">
      <alignment vertical="top"/>
    </xf>
    <xf numFmtId="0" fontId="26" fillId="0" borderId="0" xfId="0" applyNumberFormat="1" applyFont="1" applyBorder="1" applyAlignment="1">
      <alignment vertical="top"/>
    </xf>
    <xf numFmtId="0" fontId="26" fillId="0" borderId="0" xfId="0" applyFont="1" applyBorder="1" applyAlignment="1">
      <alignment vertical="top"/>
    </xf>
    <xf numFmtId="0" fontId="26" fillId="0" borderId="27" xfId="0" applyNumberFormat="1" applyFont="1" applyBorder="1" applyAlignment="1">
      <alignment vertical="top"/>
    </xf>
    <xf numFmtId="0" fontId="26" fillId="0" borderId="0" xfId="0" applyFont="1" applyBorder="1"/>
    <xf numFmtId="0" fontId="26" fillId="0" borderId="0" xfId="0" applyFont="1" applyBorder="1" applyAlignment="1"/>
    <xf numFmtId="0" fontId="26" fillId="0" borderId="0" xfId="0" applyNumberFormat="1" applyFont="1" applyBorder="1"/>
    <xf numFmtId="0" fontId="23" fillId="34" borderId="21" xfId="0" applyFont="1" applyFill="1" applyBorder="1" applyAlignment="1">
      <alignment horizontal="right" vertical="center" wrapText="1"/>
    </xf>
    <xf numFmtId="0" fontId="23" fillId="34" borderId="21" xfId="0" applyFont="1" applyFill="1" applyBorder="1" applyAlignment="1">
      <alignment horizontal="left" vertical="center"/>
    </xf>
    <xf numFmtId="0" fontId="23" fillId="34" borderId="21" xfId="44" applyNumberFormat="1" applyFont="1" applyFill="1" applyBorder="1" applyAlignment="1">
      <alignment horizontal="center" vertical="center" wrapText="1"/>
    </xf>
    <xf numFmtId="0" fontId="22" fillId="0" borderId="0" xfId="0" applyFont="1" applyAlignment="1">
      <alignment vertical="center"/>
    </xf>
    <xf numFmtId="0" fontId="22" fillId="0" borderId="21" xfId="0" applyNumberFormat="1" applyFont="1" applyBorder="1" applyAlignment="1">
      <alignment horizontal="left" vertical="top"/>
    </xf>
    <xf numFmtId="0" fontId="20" fillId="0" borderId="0" xfId="0" applyNumberFormat="1" applyFont="1" applyAlignment="1">
      <alignment horizontal="left" vertical="top"/>
    </xf>
    <xf numFmtId="0" fontId="20" fillId="0" borderId="21" xfId="0" applyNumberFormat="1" applyFont="1" applyBorder="1" applyAlignment="1">
      <alignment horizontal="left" vertical="top"/>
    </xf>
    <xf numFmtId="0" fontId="27" fillId="0" borderId="21" xfId="0" applyNumberFormat="1" applyFont="1" applyBorder="1" applyAlignment="1">
      <alignment horizontal="left" vertical="top"/>
    </xf>
    <xf numFmtId="0" fontId="20" fillId="0" borderId="21" xfId="0" applyNumberFormat="1" applyFont="1" applyBorder="1" applyAlignment="1">
      <alignment horizontal="left"/>
    </xf>
    <xf numFmtId="0" fontId="22" fillId="0" borderId="0" xfId="0" applyNumberFormat="1" applyFont="1" applyAlignment="1">
      <alignment horizontal="left" vertical="top"/>
    </xf>
    <xf numFmtId="0" fontId="22" fillId="0" borderId="30" xfId="0" applyNumberFormat="1" applyFont="1" applyBorder="1" applyAlignment="1">
      <alignment horizontal="left" vertical="top"/>
    </xf>
    <xf numFmtId="43" fontId="37" fillId="0" borderId="0" xfId="0" applyNumberFormat="1" applyFont="1" applyAlignment="1">
      <alignment vertical="top"/>
    </xf>
    <xf numFmtId="0" fontId="20" fillId="0" borderId="0" xfId="0" applyFont="1"/>
    <xf numFmtId="43" fontId="21" fillId="0" borderId="21" xfId="0" applyNumberFormat="1" applyFont="1" applyBorder="1"/>
    <xf numFmtId="43" fontId="20" fillId="0" borderId="0" xfId="0" applyNumberFormat="1" applyFont="1"/>
    <xf numFmtId="0" fontId="23" fillId="0" borderId="21" xfId="0" applyFont="1" applyBorder="1"/>
    <xf numFmtId="0" fontId="23" fillId="0" borderId="21" xfId="0" applyFont="1" applyFill="1" applyBorder="1"/>
    <xf numFmtId="0" fontId="23" fillId="0" borderId="10" xfId="0" applyFont="1" applyFill="1" applyBorder="1"/>
    <xf numFmtId="0" fontId="20" fillId="0" borderId="22" xfId="0" applyFont="1" applyFill="1" applyBorder="1"/>
    <xf numFmtId="0" fontId="20" fillId="0" borderId="23" xfId="0" applyFont="1" applyFill="1" applyBorder="1"/>
    <xf numFmtId="0" fontId="20" fillId="0" borderId="26" xfId="0" applyFont="1" applyFill="1" applyBorder="1"/>
    <xf numFmtId="0" fontId="21" fillId="0" borderId="21" xfId="0" applyFont="1" applyFill="1" applyBorder="1"/>
    <xf numFmtId="0" fontId="20" fillId="0" borderId="23" xfId="0" applyFont="1" applyFill="1" applyBorder="1" applyAlignment="1">
      <alignment horizontal="right"/>
    </xf>
    <xf numFmtId="0" fontId="23" fillId="0" borderId="26" xfId="0" applyFont="1" applyFill="1" applyBorder="1"/>
    <xf numFmtId="0" fontId="37" fillId="0" borderId="0" xfId="0" applyFont="1" applyBorder="1" applyAlignment="1">
      <alignment vertical="top"/>
    </xf>
    <xf numFmtId="0" fontId="20" fillId="0" borderId="21" xfId="0" applyFont="1" applyFill="1" applyBorder="1"/>
    <xf numFmtId="0" fontId="22" fillId="33" borderId="0" xfId="43" applyFont="1" applyFill="1" applyBorder="1" applyAlignment="1">
      <alignment vertical="top"/>
    </xf>
    <xf numFmtId="0" fontId="43" fillId="0" borderId="0" xfId="0" applyFont="1" applyFill="1" applyAlignment="1">
      <alignment horizontal="center"/>
    </xf>
    <xf numFmtId="0" fontId="27" fillId="0" borderId="0" xfId="0" applyFont="1" applyFill="1" applyAlignment="1">
      <alignment horizontal="center"/>
    </xf>
    <xf numFmtId="10" fontId="22" fillId="0" borderId="0" xfId="50" applyNumberFormat="1" applyFont="1"/>
    <xf numFmtId="4" fontId="37" fillId="0" borderId="0" xfId="0" applyNumberFormat="1" applyFont="1" applyAlignment="1">
      <alignment vertical="top"/>
    </xf>
    <xf numFmtId="43" fontId="37" fillId="0" borderId="0" xfId="0" applyNumberFormat="1" applyFont="1" applyAlignment="1"/>
    <xf numFmtId="43" fontId="27" fillId="0" borderId="0" xfId="1" applyFont="1" applyFill="1"/>
    <xf numFmtId="0" fontId="20" fillId="0" borderId="0" xfId="0" applyFont="1" applyAlignment="1">
      <alignment horizontal="justify"/>
    </xf>
    <xf numFmtId="0" fontId="23" fillId="0" borderId="0" xfId="0" applyFont="1"/>
    <xf numFmtId="0" fontId="21" fillId="0" borderId="0" xfId="0" applyFont="1" applyAlignment="1">
      <alignment horizontal="right"/>
    </xf>
    <xf numFmtId="0" fontId="23" fillId="0" borderId="0" xfId="43" applyFont="1" applyFill="1" applyAlignment="1">
      <alignment horizontal="justify" vertical="center"/>
    </xf>
    <xf numFmtId="0" fontId="22" fillId="0" borderId="0" xfId="43" applyFont="1" applyFill="1" applyAlignment="1">
      <alignment horizontal="justify" vertical="center"/>
    </xf>
    <xf numFmtId="0" fontId="22" fillId="0" borderId="0" xfId="43" applyFont="1" applyFill="1" applyAlignment="1">
      <alignment horizontal="justify" vertical="top" wrapText="1"/>
    </xf>
    <xf numFmtId="0" fontId="22" fillId="0" borderId="0" xfId="43" applyFont="1" applyFill="1" applyAlignment="1">
      <alignment horizontal="justify" vertical="center" wrapText="1"/>
    </xf>
    <xf numFmtId="0" fontId="22" fillId="0" borderId="0" xfId="43" applyFont="1" applyFill="1" applyAlignment="1">
      <alignment horizontal="justify" vertical="top"/>
    </xf>
    <xf numFmtId="0" fontId="23" fillId="0" borderId="0" xfId="70" applyFont="1" applyFill="1" applyAlignment="1">
      <alignment horizontal="justify" vertical="top"/>
    </xf>
    <xf numFmtId="0" fontId="22" fillId="0" borderId="0" xfId="70" applyFont="1" applyFill="1" applyAlignment="1">
      <alignment horizontal="justify" vertical="top"/>
    </xf>
    <xf numFmtId="0" fontId="22" fillId="0" borderId="0" xfId="70" applyFont="1" applyFill="1" applyAlignment="1">
      <alignment horizontal="justify" vertical="top" wrapText="1"/>
    </xf>
    <xf numFmtId="0" fontId="22" fillId="0" borderId="0" xfId="70" applyFont="1" applyFill="1" applyAlignment="1">
      <alignment vertical="top"/>
    </xf>
    <xf numFmtId="0" fontId="22" fillId="0" borderId="0" xfId="70" applyFont="1" applyFill="1" applyAlignment="1">
      <alignment vertical="top" wrapText="1"/>
    </xf>
    <xf numFmtId="0" fontId="21" fillId="0" borderId="0" xfId="0" applyFont="1" applyAlignment="1">
      <alignment horizontal="justify"/>
    </xf>
    <xf numFmtId="0" fontId="20" fillId="0" borderId="0" xfId="0" applyFont="1" applyAlignment="1">
      <alignment horizontal="left" vertical="center" wrapText="1"/>
    </xf>
    <xf numFmtId="0" fontId="20" fillId="0" borderId="0" xfId="0" applyFont="1" applyAlignment="1">
      <alignment horizontal="justify" wrapText="1"/>
    </xf>
    <xf numFmtId="43" fontId="20" fillId="0" borderId="23" xfId="1" applyFont="1" applyBorder="1"/>
    <xf numFmtId="0" fontId="27" fillId="0" borderId="21" xfId="0" applyFont="1" applyFill="1" applyBorder="1" applyAlignment="1">
      <alignment horizontal="left"/>
    </xf>
    <xf numFmtId="43" fontId="22" fillId="35" borderId="21" xfId="44" applyFont="1" applyFill="1" applyBorder="1" applyAlignment="1">
      <alignment horizontal="right" vertical="top"/>
    </xf>
    <xf numFmtId="43" fontId="33" fillId="0" borderId="0" xfId="1" applyFont="1"/>
    <xf numFmtId="10" fontId="37" fillId="0" borderId="0" xfId="50" applyNumberFormat="1" applyFont="1" applyAlignment="1">
      <alignment vertical="top"/>
    </xf>
    <xf numFmtId="0" fontId="20" fillId="0" borderId="21" xfId="0" applyFont="1" applyBorder="1" applyAlignment="1">
      <alignment vertical="top"/>
    </xf>
    <xf numFmtId="0" fontId="46" fillId="0" borderId="21" xfId="0" applyFont="1" applyBorder="1" applyAlignment="1">
      <alignment horizontal="center" vertical="center" wrapText="1"/>
    </xf>
    <xf numFmtId="0" fontId="36" fillId="0" borderId="0" xfId="0" applyFont="1"/>
    <xf numFmtId="43" fontId="36" fillId="0" borderId="21" xfId="0" applyNumberFormat="1" applyFont="1" applyBorder="1" applyAlignment="1">
      <alignment horizontal="right"/>
    </xf>
    <xf numFmtId="0" fontId="36" fillId="0" borderId="21" xfId="0" applyFont="1" applyBorder="1" applyAlignment="1">
      <alignment horizontal="right"/>
    </xf>
    <xf numFmtId="43" fontId="36" fillId="0" borderId="21" xfId="1" applyFont="1" applyBorder="1" applyAlignment="1">
      <alignment horizontal="right"/>
    </xf>
    <xf numFmtId="43" fontId="47" fillId="0" borderId="21" xfId="1" applyFont="1" applyFill="1" applyBorder="1" applyAlignment="1">
      <alignment horizontal="right"/>
    </xf>
    <xf numFmtId="43" fontId="33" fillId="0" borderId="22" xfId="1" applyFont="1" applyFill="1" applyBorder="1" applyAlignment="1">
      <alignment horizontal="right"/>
    </xf>
    <xf numFmtId="43" fontId="36" fillId="0" borderId="22" xfId="1" applyFont="1" applyBorder="1" applyAlignment="1">
      <alignment horizontal="right"/>
    </xf>
    <xf numFmtId="165" fontId="37" fillId="0" borderId="0" xfId="0" applyNumberFormat="1" applyFont="1" applyAlignment="1">
      <alignment vertical="top"/>
    </xf>
    <xf numFmtId="165" fontId="33" fillId="0" borderId="0" xfId="0" applyNumberFormat="1" applyFont="1"/>
    <xf numFmtId="165" fontId="22" fillId="0" borderId="0" xfId="0" applyNumberFormat="1" applyFont="1"/>
    <xf numFmtId="0" fontId="20" fillId="0" borderId="21" xfId="0" applyNumberFormat="1" applyFont="1" applyBorder="1" applyAlignment="1">
      <alignment vertical="top"/>
    </xf>
    <xf numFmtId="43" fontId="27" fillId="33" borderId="0" xfId="0" applyNumberFormat="1" applyFont="1" applyFill="1"/>
    <xf numFmtId="0" fontId="27" fillId="33" borderId="0" xfId="0" applyFont="1" applyFill="1"/>
    <xf numFmtId="0" fontId="27" fillId="0" borderId="0" xfId="0" applyFont="1" applyFill="1" applyAlignment="1">
      <alignment horizontal="left"/>
    </xf>
    <xf numFmtId="2" fontId="27" fillId="0" borderId="0" xfId="0" applyNumberFormat="1" applyFont="1" applyFill="1"/>
    <xf numFmtId="170" fontId="27" fillId="0" borderId="0" xfId="0" applyNumberFormat="1" applyFont="1" applyFill="1"/>
    <xf numFmtId="172" fontId="27" fillId="0" borderId="0" xfId="0" applyNumberFormat="1" applyFont="1" applyFill="1"/>
    <xf numFmtId="0" fontId="23" fillId="0" borderId="23" xfId="0" applyFont="1" applyBorder="1"/>
    <xf numFmtId="0" fontId="20" fillId="0" borderId="23" xfId="0" applyFont="1" applyBorder="1"/>
    <xf numFmtId="0" fontId="22" fillId="0" borderId="23" xfId="0" applyFont="1" applyBorder="1"/>
    <xf numFmtId="43" fontId="20" fillId="0" borderId="23" xfId="0" applyNumberFormat="1" applyFont="1" applyBorder="1"/>
    <xf numFmtId="43" fontId="21" fillId="0" borderId="23" xfId="0" applyNumberFormat="1" applyFont="1" applyBorder="1"/>
    <xf numFmtId="0" fontId="22" fillId="0" borderId="26" xfId="0" applyFont="1" applyBorder="1"/>
    <xf numFmtId="0" fontId="20" fillId="0" borderId="26" xfId="0" applyFont="1" applyBorder="1"/>
    <xf numFmtId="43" fontId="21" fillId="0" borderId="26" xfId="1" applyFont="1" applyBorder="1"/>
    <xf numFmtId="0" fontId="34" fillId="0" borderId="22" xfId="0" applyFont="1" applyBorder="1"/>
    <xf numFmtId="0" fontId="33" fillId="0" borderId="23" xfId="0" applyFont="1" applyBorder="1"/>
    <xf numFmtId="43" fontId="48" fillId="0" borderId="23" xfId="1" applyFont="1" applyFill="1" applyBorder="1" applyAlignment="1">
      <alignment horizontal="right"/>
    </xf>
    <xf numFmtId="0" fontId="34" fillId="0" borderId="23" xfId="0" applyFont="1" applyBorder="1"/>
    <xf numFmtId="0" fontId="33" fillId="0" borderId="26" xfId="0" applyFont="1" applyBorder="1"/>
    <xf numFmtId="43" fontId="48" fillId="0" borderId="26" xfId="1" applyFont="1" applyFill="1" applyBorder="1" applyAlignment="1">
      <alignment horizontal="right"/>
    </xf>
    <xf numFmtId="43" fontId="48" fillId="0" borderId="22" xfId="1" applyFont="1" applyFill="1" applyBorder="1" applyAlignment="1">
      <alignment horizontal="right"/>
    </xf>
    <xf numFmtId="43" fontId="33" fillId="0" borderId="23" xfId="1" applyFont="1" applyFill="1" applyBorder="1" applyAlignment="1">
      <alignment horizontal="right"/>
    </xf>
    <xf numFmtId="43" fontId="33" fillId="0" borderId="26" xfId="1" applyFont="1" applyFill="1" applyBorder="1" applyAlignment="1">
      <alignment horizontal="right"/>
    </xf>
    <xf numFmtId="43" fontId="26" fillId="0" borderId="0" xfId="0" applyNumberFormat="1" applyFont="1"/>
    <xf numFmtId="43" fontId="42" fillId="0" borderId="0" xfId="0" applyNumberFormat="1" applyFont="1"/>
    <xf numFmtId="43" fontId="23" fillId="0" borderId="0" xfId="1" applyFont="1" applyFill="1" applyBorder="1"/>
    <xf numFmtId="0" fontId="44" fillId="0" borderId="0" xfId="0" applyFont="1" applyFill="1" applyBorder="1" applyAlignment="1">
      <alignment vertical="top"/>
    </xf>
    <xf numFmtId="43" fontId="44" fillId="0" borderId="0" xfId="1" applyFont="1" applyFill="1" applyBorder="1" applyAlignment="1">
      <alignment horizontal="right" vertical="top"/>
    </xf>
    <xf numFmtId="0" fontId="44" fillId="0" borderId="0" xfId="0" applyFont="1" applyFill="1" applyBorder="1"/>
    <xf numFmtId="0" fontId="44" fillId="0" borderId="0" xfId="0" applyFont="1" applyFill="1"/>
    <xf numFmtId="43" fontId="44" fillId="41" borderId="0" xfId="1" applyFont="1" applyFill="1" applyBorder="1" applyAlignment="1">
      <alignment horizontal="right" vertical="top"/>
    </xf>
    <xf numFmtId="0" fontId="22" fillId="41" borderId="0" xfId="0" applyFont="1" applyFill="1"/>
    <xf numFmtId="0" fontId="44" fillId="41" borderId="0" xfId="0" applyFont="1" applyFill="1"/>
    <xf numFmtId="0" fontId="44" fillId="41" borderId="0" xfId="0" applyFont="1" applyFill="1" applyBorder="1" applyAlignment="1">
      <alignment vertical="top"/>
    </xf>
    <xf numFmtId="0" fontId="44" fillId="41" borderId="0" xfId="0" applyNumberFormat="1" applyFont="1" applyFill="1" applyAlignment="1">
      <alignment vertical="top"/>
    </xf>
    <xf numFmtId="0" fontId="22" fillId="41" borderId="0" xfId="0" applyNumberFormat="1" applyFont="1" applyFill="1" applyAlignment="1">
      <alignment vertical="top"/>
    </xf>
    <xf numFmtId="0" fontId="22" fillId="0" borderId="0" xfId="0" applyNumberFormat="1" applyFont="1" applyFill="1" applyAlignment="1">
      <alignment vertical="top"/>
    </xf>
    <xf numFmtId="2" fontId="22" fillId="0" borderId="0" xfId="0" applyNumberFormat="1" applyFont="1"/>
    <xf numFmtId="0" fontId="22" fillId="0" borderId="21" xfId="0" applyFont="1" applyFill="1" applyBorder="1" applyAlignment="1">
      <alignment vertical="top"/>
    </xf>
    <xf numFmtId="0" fontId="0" fillId="44" borderId="11" xfId="0" applyFill="1" applyBorder="1" applyAlignment="1">
      <alignment horizontal="center"/>
    </xf>
    <xf numFmtId="0" fontId="0" fillId="44" borderId="21" xfId="0" applyFill="1" applyBorder="1" applyAlignment="1">
      <alignment horizontal="center"/>
    </xf>
    <xf numFmtId="0" fontId="0" fillId="44" borderId="12" xfId="0" applyFill="1" applyBorder="1" applyAlignment="1">
      <alignment horizontal="center"/>
    </xf>
    <xf numFmtId="0" fontId="0" fillId="44" borderId="13" xfId="0" applyFill="1" applyBorder="1" applyAlignment="1">
      <alignment horizontal="center"/>
    </xf>
    <xf numFmtId="0" fontId="0" fillId="0" borderId="19" xfId="0" applyBorder="1"/>
    <xf numFmtId="0" fontId="0" fillId="0" borderId="26" xfId="0" applyBorder="1"/>
    <xf numFmtId="0" fontId="0" fillId="0" borderId="10" xfId="0" applyBorder="1"/>
    <xf numFmtId="167" fontId="0" fillId="0" borderId="26" xfId="73" applyNumberFormat="1" applyFont="1" applyBorder="1"/>
    <xf numFmtId="167" fontId="0" fillId="0" borderId="20" xfId="73" applyNumberFormat="1" applyFont="1" applyBorder="1"/>
    <xf numFmtId="0" fontId="0" fillId="0" borderId="14" xfId="0" applyBorder="1"/>
    <xf numFmtId="0" fontId="0" fillId="0" borderId="17" xfId="0" applyBorder="1"/>
    <xf numFmtId="0" fontId="0" fillId="0" borderId="0" xfId="0" applyBorder="1"/>
    <xf numFmtId="0" fontId="0" fillId="0" borderId="0" xfId="0" applyFill="1" applyBorder="1"/>
    <xf numFmtId="0" fontId="0" fillId="0" borderId="0" xfId="0" applyAlignment="1">
      <alignment vertical="top"/>
    </xf>
    <xf numFmtId="167" fontId="0" fillId="0" borderId="0" xfId="0" applyNumberFormat="1"/>
    <xf numFmtId="167" fontId="0" fillId="0" borderId="24" xfId="0" applyNumberFormat="1" applyBorder="1"/>
    <xf numFmtId="167" fontId="0" fillId="0" borderId="0" xfId="73" applyNumberFormat="1" applyFont="1"/>
    <xf numFmtId="0" fontId="0" fillId="0" borderId="24" xfId="0" applyBorder="1"/>
    <xf numFmtId="164" fontId="0" fillId="0" borderId="0" xfId="73" applyFont="1"/>
    <xf numFmtId="164" fontId="0" fillId="0" borderId="0" xfId="0" applyNumberFormat="1"/>
    <xf numFmtId="4" fontId="0" fillId="0" borderId="0" xfId="0" applyNumberFormat="1" applyAlignment="1">
      <alignment horizontal="right" vertical="top"/>
    </xf>
    <xf numFmtId="0" fontId="0" fillId="38" borderId="24" xfId="0" applyFill="1" applyBorder="1"/>
    <xf numFmtId="4" fontId="0" fillId="38" borderId="24" xfId="0" applyNumberFormat="1" applyFill="1" applyBorder="1"/>
    <xf numFmtId="0" fontId="50" fillId="0" borderId="21" xfId="0" applyFont="1" applyFill="1" applyBorder="1" applyAlignment="1">
      <alignment horizontal="center" vertical="center"/>
    </xf>
    <xf numFmtId="0" fontId="50" fillId="0" borderId="21" xfId="0" applyFont="1" applyFill="1" applyBorder="1" applyAlignment="1">
      <alignment vertical="center"/>
    </xf>
    <xf numFmtId="166" fontId="50" fillId="0" borderId="21" xfId="1" applyNumberFormat="1" applyFont="1" applyFill="1" applyBorder="1" applyAlignment="1">
      <alignment vertical="center"/>
    </xf>
    <xf numFmtId="166" fontId="50" fillId="45" borderId="21" xfId="1" applyNumberFormat="1" applyFont="1" applyFill="1" applyBorder="1" applyAlignment="1">
      <alignment vertical="center"/>
    </xf>
    <xf numFmtId="0" fontId="0" fillId="0" borderId="46" xfId="0" applyBorder="1"/>
    <xf numFmtId="0" fontId="0" fillId="0" borderId="47" xfId="0" applyBorder="1"/>
    <xf numFmtId="0" fontId="0" fillId="0" borderId="48" xfId="0" applyBorder="1"/>
    <xf numFmtId="0" fontId="0" fillId="0" borderId="27" xfId="0" applyBorder="1"/>
    <xf numFmtId="0" fontId="0" fillId="0" borderId="49" xfId="0" applyBorder="1"/>
    <xf numFmtId="0" fontId="0" fillId="0" borderId="28" xfId="0" applyBorder="1"/>
    <xf numFmtId="0" fontId="0" fillId="0" borderId="25" xfId="0" applyBorder="1"/>
    <xf numFmtId="0" fontId="0" fillId="0" borderId="50" xfId="0" applyBorder="1"/>
    <xf numFmtId="0" fontId="0" fillId="0" borderId="21" xfId="0" applyBorder="1"/>
    <xf numFmtId="0" fontId="50" fillId="0" borderId="21" xfId="0" applyFont="1" applyFill="1" applyBorder="1" applyAlignment="1">
      <alignment vertical="center" wrapText="1"/>
    </xf>
    <xf numFmtId="0" fontId="51" fillId="0" borderId="21" xfId="0" applyFont="1" applyFill="1" applyBorder="1" applyAlignment="1">
      <alignment vertical="center" wrapText="1"/>
    </xf>
    <xf numFmtId="43" fontId="20" fillId="0" borderId="21" xfId="1" applyFont="1" applyBorder="1" applyAlignment="1">
      <alignment horizontal="right" vertical="top"/>
    </xf>
    <xf numFmtId="0" fontId="23" fillId="43" borderId="21" xfId="0" applyFont="1" applyFill="1" applyBorder="1" applyAlignment="1">
      <alignment horizontal="center" vertical="center"/>
    </xf>
    <xf numFmtId="0" fontId="23" fillId="43" borderId="21" xfId="1" applyNumberFormat="1" applyFont="1" applyFill="1" applyBorder="1" applyAlignment="1">
      <alignment horizontal="center" vertical="center"/>
    </xf>
    <xf numFmtId="0" fontId="22" fillId="0" borderId="24" xfId="0" applyFont="1" applyFill="1" applyBorder="1" applyAlignment="1">
      <alignment vertical="top"/>
    </xf>
    <xf numFmtId="43" fontId="22" fillId="0" borderId="24" xfId="1" applyFont="1" applyFill="1" applyBorder="1" applyAlignment="1">
      <alignment vertical="top"/>
    </xf>
    <xf numFmtId="0" fontId="16" fillId="0" borderId="21" xfId="0" applyFont="1" applyFill="1" applyBorder="1" applyAlignment="1">
      <alignment vertical="center" wrapText="1"/>
    </xf>
    <xf numFmtId="0" fontId="51" fillId="0" borderId="21" xfId="0" applyFont="1" applyFill="1" applyBorder="1" applyAlignment="1">
      <alignment horizontal="left" vertical="center" wrapText="1"/>
    </xf>
    <xf numFmtId="166" fontId="22" fillId="0" borderId="21" xfId="1" applyNumberFormat="1" applyFont="1" applyFill="1" applyBorder="1" applyAlignment="1">
      <alignment vertical="top"/>
    </xf>
    <xf numFmtId="166" fontId="22" fillId="0" borderId="22" xfId="1" applyNumberFormat="1" applyFont="1" applyFill="1" applyBorder="1" applyAlignment="1">
      <alignment horizontal="center" vertical="top"/>
    </xf>
    <xf numFmtId="164" fontId="37" fillId="0" borderId="0" xfId="0" applyNumberFormat="1" applyFont="1" applyAlignment="1">
      <alignment vertical="top"/>
    </xf>
    <xf numFmtId="0" fontId="50" fillId="46" borderId="21" xfId="0" applyFont="1" applyFill="1" applyBorder="1" applyAlignment="1">
      <alignment horizontal="center" vertical="center"/>
    </xf>
    <xf numFmtId="0" fontId="50" fillId="46" borderId="21" xfId="0" applyFont="1" applyFill="1" applyBorder="1" applyAlignment="1">
      <alignment vertical="center"/>
    </xf>
    <xf numFmtId="166" fontId="50" fillId="46" borderId="21" xfId="1" applyNumberFormat="1" applyFont="1" applyFill="1" applyBorder="1" applyAlignment="1">
      <alignment vertical="center"/>
    </xf>
    <xf numFmtId="166" fontId="22" fillId="0" borderId="0" xfId="1" applyNumberFormat="1" applyFont="1" applyFill="1" applyAlignment="1">
      <alignment vertical="top"/>
    </xf>
    <xf numFmtId="166" fontId="22" fillId="43" borderId="21" xfId="1" applyNumberFormat="1" applyFont="1" applyFill="1" applyBorder="1" applyAlignment="1">
      <alignment horizontal="center" vertical="top"/>
    </xf>
    <xf numFmtId="166" fontId="22" fillId="0" borderId="0" xfId="1" applyNumberFormat="1" applyFont="1" applyFill="1" applyBorder="1" applyAlignment="1">
      <alignment horizontal="center" vertical="top"/>
    </xf>
    <xf numFmtId="166" fontId="23" fillId="43" borderId="21" xfId="1" applyNumberFormat="1" applyFont="1" applyFill="1" applyBorder="1" applyAlignment="1">
      <alignment horizontal="center" vertical="center"/>
    </xf>
    <xf numFmtId="166" fontId="0" fillId="0" borderId="21" xfId="1" applyNumberFormat="1" applyFont="1" applyBorder="1"/>
    <xf numFmtId="164" fontId="22" fillId="0" borderId="0" xfId="1" applyNumberFormat="1" applyFont="1" applyFill="1" applyAlignment="1">
      <alignment vertical="top"/>
    </xf>
    <xf numFmtId="0" fontId="50" fillId="45" borderId="21" xfId="0" applyFont="1" applyFill="1" applyBorder="1" applyAlignment="1">
      <alignment horizontal="center" vertical="center"/>
    </xf>
    <xf numFmtId="0" fontId="50" fillId="45" borderId="21" xfId="0" applyFont="1" applyFill="1" applyBorder="1" applyAlignment="1">
      <alignment vertical="center"/>
    </xf>
    <xf numFmtId="0" fontId="50" fillId="35" borderId="21" xfId="0" applyFont="1" applyFill="1" applyBorder="1" applyAlignment="1">
      <alignment horizontal="center" vertical="center"/>
    </xf>
    <xf numFmtId="0" fontId="50" fillId="35" borderId="21" xfId="0" applyFont="1" applyFill="1" applyBorder="1" applyAlignment="1">
      <alignment vertical="center"/>
    </xf>
    <xf numFmtId="166" fontId="50" fillId="35" borderId="21" xfId="1" applyNumberFormat="1" applyFont="1" applyFill="1" applyBorder="1" applyAlignment="1">
      <alignment vertical="center"/>
    </xf>
    <xf numFmtId="164" fontId="27" fillId="0" borderId="0" xfId="0" applyNumberFormat="1" applyFont="1"/>
    <xf numFmtId="166" fontId="0" fillId="0" borderId="0" xfId="1" applyNumberFormat="1" applyFont="1"/>
    <xf numFmtId="0" fontId="0" fillId="45" borderId="0" xfId="0" applyFill="1"/>
    <xf numFmtId="166" fontId="0" fillId="45" borderId="0" xfId="1" applyNumberFormat="1" applyFont="1" applyFill="1"/>
    <xf numFmtId="166" fontId="0" fillId="0" borderId="0" xfId="0" applyNumberFormat="1"/>
    <xf numFmtId="0" fontId="0" fillId="35" borderId="0" xfId="0" applyFill="1"/>
    <xf numFmtId="166" fontId="0" fillId="35" borderId="0" xfId="1" applyNumberFormat="1" applyFont="1" applyFill="1"/>
    <xf numFmtId="0" fontId="22" fillId="35" borderId="0" xfId="0" applyNumberFormat="1" applyFont="1" applyFill="1" applyAlignment="1">
      <alignment vertical="top"/>
    </xf>
    <xf numFmtId="166" fontId="0" fillId="35" borderId="0" xfId="0" applyNumberFormat="1" applyFill="1"/>
    <xf numFmtId="0" fontId="0" fillId="35" borderId="0" xfId="0" applyFont="1" applyFill="1"/>
    <xf numFmtId="0" fontId="16" fillId="0" borderId="0" xfId="0" applyFont="1"/>
    <xf numFmtId="166" fontId="0" fillId="0" borderId="0" xfId="1" applyNumberFormat="1" applyFont="1" applyFill="1"/>
    <xf numFmtId="0" fontId="20" fillId="45" borderId="21" xfId="0" applyNumberFormat="1" applyFont="1" applyFill="1" applyBorder="1" applyAlignment="1">
      <alignment vertical="top"/>
    </xf>
    <xf numFmtId="0" fontId="16" fillId="35" borderId="0" xfId="0" applyFont="1" applyFill="1"/>
    <xf numFmtId="0" fontId="52" fillId="0" borderId="21" xfId="0" applyFont="1" applyBorder="1"/>
    <xf numFmtId="0" fontId="0" fillId="0" borderId="21" xfId="0" applyFont="1" applyBorder="1"/>
    <xf numFmtId="0" fontId="0" fillId="0" borderId="11" xfId="0" applyFont="1" applyBorder="1"/>
    <xf numFmtId="167" fontId="52" fillId="0" borderId="21" xfId="0" applyNumberFormat="1" applyFont="1" applyBorder="1"/>
    <xf numFmtId="0" fontId="53" fillId="0" borderId="11" xfId="0" applyFont="1" applyBorder="1"/>
    <xf numFmtId="0" fontId="16" fillId="0" borderId="21" xfId="0" applyFont="1" applyBorder="1"/>
    <xf numFmtId="0" fontId="16" fillId="0" borderId="11" xfId="0" applyFont="1" applyBorder="1"/>
    <xf numFmtId="0" fontId="52" fillId="35" borderId="21" xfId="0" applyFont="1" applyFill="1" applyBorder="1" applyAlignment="1">
      <alignment horizontal="center" vertical="center"/>
    </xf>
    <xf numFmtId="0" fontId="52" fillId="35" borderId="21" xfId="0" applyFont="1" applyFill="1" applyBorder="1"/>
    <xf numFmtId="0" fontId="0" fillId="35" borderId="21" xfId="0" applyFont="1" applyFill="1" applyBorder="1"/>
    <xf numFmtId="167" fontId="52" fillId="35" borderId="21" xfId="73" applyNumberFormat="1" applyFont="1" applyFill="1" applyBorder="1"/>
    <xf numFmtId="167" fontId="52" fillId="35" borderId="21" xfId="0" applyNumberFormat="1" applyFont="1" applyFill="1" applyBorder="1"/>
    <xf numFmtId="0" fontId="0" fillId="35" borderId="11" xfId="0" applyFont="1" applyFill="1" applyBorder="1"/>
    <xf numFmtId="0" fontId="52" fillId="35" borderId="11" xfId="0" applyFont="1" applyFill="1" applyBorder="1"/>
    <xf numFmtId="0" fontId="53" fillId="35" borderId="11" xfId="0" applyFont="1" applyFill="1" applyBorder="1"/>
    <xf numFmtId="166" fontId="22" fillId="0" borderId="21" xfId="1" applyNumberFormat="1" applyFont="1" applyFill="1" applyBorder="1" applyAlignment="1">
      <alignment vertical="top" wrapText="1"/>
    </xf>
    <xf numFmtId="0" fontId="16" fillId="35" borderId="21" xfId="0" applyFont="1" applyFill="1" applyBorder="1"/>
    <xf numFmtId="0" fontId="16" fillId="35" borderId="11" xfId="0" applyFont="1" applyFill="1" applyBorder="1"/>
    <xf numFmtId="0" fontId="0" fillId="35" borderId="22" xfId="0" applyFont="1" applyFill="1" applyBorder="1"/>
    <xf numFmtId="0" fontId="52" fillId="35" borderId="22" xfId="0" applyFont="1" applyFill="1" applyBorder="1"/>
    <xf numFmtId="0" fontId="53" fillId="35" borderId="14" xfId="0" applyFont="1" applyFill="1" applyBorder="1"/>
    <xf numFmtId="167" fontId="52" fillId="35" borderId="22" xfId="73" applyNumberFormat="1" applyFont="1" applyFill="1" applyBorder="1"/>
    <xf numFmtId="0" fontId="0" fillId="35" borderId="14" xfId="0" applyFont="1" applyFill="1" applyBorder="1"/>
    <xf numFmtId="0" fontId="54" fillId="0" borderId="21" xfId="0" applyFont="1" applyBorder="1"/>
    <xf numFmtId="0" fontId="0" fillId="35" borderId="21" xfId="0" applyFill="1" applyBorder="1"/>
    <xf numFmtId="0" fontId="0" fillId="35" borderId="21" xfId="0" applyFill="1" applyBorder="1" applyAlignment="1">
      <alignment vertical="top"/>
    </xf>
    <xf numFmtId="167" fontId="0" fillId="35" borderId="21" xfId="73" applyNumberFormat="1" applyFont="1" applyFill="1" applyBorder="1"/>
    <xf numFmtId="0" fontId="54" fillId="35" borderId="21" xfId="0" applyFont="1" applyFill="1" applyBorder="1"/>
    <xf numFmtId="166" fontId="50" fillId="35" borderId="21" xfId="1" applyNumberFormat="1" applyFont="1" applyFill="1" applyBorder="1" applyAlignment="1">
      <alignment horizontal="center" vertical="center"/>
    </xf>
    <xf numFmtId="166" fontId="50" fillId="35" borderId="21" xfId="0" applyNumberFormat="1" applyFont="1" applyFill="1" applyBorder="1" applyAlignment="1">
      <alignment horizontal="center" vertical="center"/>
    </xf>
    <xf numFmtId="0" fontId="0" fillId="35" borderId="14" xfId="0" applyFill="1" applyBorder="1"/>
    <xf numFmtId="0" fontId="0" fillId="35" borderId="22" xfId="0" applyFill="1" applyBorder="1" applyAlignment="1">
      <alignment vertical="top"/>
    </xf>
    <xf numFmtId="0" fontId="0" fillId="35" borderId="0" xfId="0" applyFill="1" applyBorder="1" applyAlignment="1">
      <alignment vertical="top"/>
    </xf>
    <xf numFmtId="167" fontId="0" fillId="35" borderId="22" xfId="73" applyNumberFormat="1" applyFont="1" applyFill="1" applyBorder="1"/>
    <xf numFmtId="167" fontId="0" fillId="35" borderId="16" xfId="73" applyNumberFormat="1" applyFont="1" applyFill="1" applyBorder="1"/>
    <xf numFmtId="0" fontId="0" fillId="35" borderId="17" xfId="0" applyFill="1" applyBorder="1"/>
    <xf numFmtId="0" fontId="0" fillId="35" borderId="23" xfId="0" applyFill="1" applyBorder="1" applyAlignment="1">
      <alignment vertical="top"/>
    </xf>
    <xf numFmtId="167" fontId="0" fillId="35" borderId="23" xfId="73" applyNumberFormat="1" applyFont="1" applyFill="1" applyBorder="1"/>
    <xf numFmtId="167" fontId="0" fillId="35" borderId="18" xfId="73" applyNumberFormat="1" applyFont="1" applyFill="1" applyBorder="1"/>
    <xf numFmtId="0" fontId="0" fillId="35" borderId="19" xfId="0" applyFill="1" applyBorder="1"/>
    <xf numFmtId="0" fontId="0" fillId="35" borderId="26" xfId="0" applyFill="1" applyBorder="1"/>
    <xf numFmtId="0" fontId="0" fillId="35" borderId="10" xfId="0" applyFill="1" applyBorder="1"/>
    <xf numFmtId="167" fontId="0" fillId="35" borderId="26" xfId="73" applyNumberFormat="1" applyFont="1" applyFill="1" applyBorder="1"/>
    <xf numFmtId="167" fontId="0" fillId="35" borderId="20" xfId="73" applyNumberFormat="1" applyFont="1" applyFill="1" applyBorder="1"/>
    <xf numFmtId="0" fontId="0" fillId="35" borderId="22" xfId="0" applyFill="1" applyBorder="1"/>
    <xf numFmtId="0" fontId="0" fillId="35" borderId="15" xfId="0" applyFill="1" applyBorder="1"/>
    <xf numFmtId="167" fontId="0" fillId="35" borderId="23" xfId="73" applyNumberFormat="1" applyFont="1" applyFill="1" applyBorder="1" applyAlignment="1">
      <alignment horizontal="right" vertical="top"/>
    </xf>
    <xf numFmtId="0" fontId="0" fillId="35" borderId="10" xfId="0" applyFill="1" applyBorder="1" applyAlignment="1">
      <alignment vertical="top"/>
    </xf>
    <xf numFmtId="167" fontId="0" fillId="35" borderId="20" xfId="73" applyNumberFormat="1" applyFont="1" applyFill="1" applyBorder="1" applyAlignment="1">
      <alignment horizontal="right" vertical="top"/>
    </xf>
    <xf numFmtId="0" fontId="0" fillId="35" borderId="23" xfId="0" applyFill="1" applyBorder="1"/>
    <xf numFmtId="0" fontId="0" fillId="35" borderId="0" xfId="0" applyFill="1" applyBorder="1"/>
    <xf numFmtId="0" fontId="0" fillId="35" borderId="26" xfId="0" applyFill="1" applyBorder="1" applyAlignment="1">
      <alignment vertical="top"/>
    </xf>
    <xf numFmtId="167" fontId="0" fillId="35" borderId="15" xfId="73" applyNumberFormat="1" applyFont="1" applyFill="1" applyBorder="1"/>
    <xf numFmtId="0" fontId="0" fillId="35" borderId="0" xfId="0" applyFill="1" applyAlignment="1">
      <alignment vertical="top"/>
    </xf>
    <xf numFmtId="0" fontId="0" fillId="35" borderId="10" xfId="0" applyFill="1" applyBorder="1" applyAlignment="1">
      <alignment wrapText="1"/>
    </xf>
    <xf numFmtId="0" fontId="0" fillId="35" borderId="20" xfId="0" applyFill="1" applyBorder="1"/>
    <xf numFmtId="0" fontId="0" fillId="35" borderId="16" xfId="0" applyFill="1" applyBorder="1"/>
    <xf numFmtId="0" fontId="0" fillId="35" borderId="23" xfId="0" applyFill="1" applyBorder="1" applyAlignment="1">
      <alignment vertical="center"/>
    </xf>
    <xf numFmtId="0" fontId="0" fillId="35" borderId="0" xfId="0" applyFill="1" applyBorder="1" applyAlignment="1">
      <alignment vertical="center" wrapText="1"/>
    </xf>
    <xf numFmtId="4" fontId="0" fillId="35" borderId="23" xfId="0" applyNumberFormat="1" applyFill="1" applyBorder="1" applyAlignment="1">
      <alignment horizontal="right" vertical="top"/>
    </xf>
    <xf numFmtId="0" fontId="0" fillId="35" borderId="18" xfId="0" applyFill="1" applyBorder="1"/>
    <xf numFmtId="4" fontId="0" fillId="35" borderId="18" xfId="0" applyNumberFormat="1" applyFill="1" applyBorder="1" applyAlignment="1">
      <alignment horizontal="right" vertical="top"/>
    </xf>
    <xf numFmtId="166" fontId="22" fillId="45" borderId="21" xfId="1" applyNumberFormat="1" applyFont="1" applyFill="1" applyBorder="1" applyAlignment="1">
      <alignment vertical="top"/>
    </xf>
    <xf numFmtId="0" fontId="0" fillId="46" borderId="21" xfId="0" applyFill="1" applyBorder="1"/>
    <xf numFmtId="166" fontId="0" fillId="46" borderId="21" xfId="1" applyNumberFormat="1" applyFont="1" applyFill="1" applyBorder="1"/>
    <xf numFmtId="43" fontId="23" fillId="36" borderId="0" xfId="1" applyFont="1" applyFill="1" applyBorder="1"/>
    <xf numFmtId="166" fontId="26" fillId="0" borderId="0" xfId="1" applyNumberFormat="1" applyFont="1"/>
    <xf numFmtId="0" fontId="52" fillId="35" borderId="0" xfId="0" applyFont="1" applyFill="1" applyBorder="1"/>
    <xf numFmtId="43" fontId="43" fillId="0" borderId="0" xfId="0" applyNumberFormat="1" applyFont="1"/>
    <xf numFmtId="43" fontId="20" fillId="45" borderId="21" xfId="1" applyFont="1" applyFill="1" applyBorder="1" applyAlignment="1">
      <alignment horizontal="right" vertical="top"/>
    </xf>
    <xf numFmtId="43" fontId="20" fillId="35" borderId="21" xfId="1" applyFont="1" applyFill="1" applyBorder="1" applyAlignment="1">
      <alignment horizontal="right" vertical="top"/>
    </xf>
    <xf numFmtId="43" fontId="23" fillId="38" borderId="0" xfId="1" applyFont="1" applyFill="1" applyBorder="1" applyAlignment="1"/>
    <xf numFmtId="166" fontId="27" fillId="0" borderId="0" xfId="1" applyNumberFormat="1" applyFont="1"/>
    <xf numFmtId="43" fontId="23" fillId="38" borderId="0" xfId="1" applyFont="1" applyFill="1" applyBorder="1" applyAlignment="1">
      <alignment vertical="top"/>
    </xf>
    <xf numFmtId="0" fontId="45" fillId="0" borderId="17" xfId="0" applyFont="1" applyFill="1" applyBorder="1" applyAlignment="1">
      <alignment vertical="top"/>
    </xf>
    <xf numFmtId="0" fontId="44" fillId="0" borderId="23" xfId="0" applyFont="1" applyFill="1" applyBorder="1" applyAlignment="1">
      <alignment horizontal="center" vertical="top"/>
    </xf>
    <xf numFmtId="166" fontId="44" fillId="0" borderId="18" xfId="1" applyNumberFormat="1" applyFont="1" applyFill="1" applyBorder="1" applyAlignment="1">
      <alignment vertical="top"/>
    </xf>
    <xf numFmtId="0" fontId="44" fillId="0" borderId="17" xfId="0" applyFont="1" applyFill="1" applyBorder="1" applyAlignment="1">
      <alignment vertical="top"/>
    </xf>
    <xf numFmtId="0" fontId="45" fillId="0" borderId="17" xfId="0" applyFont="1" applyFill="1" applyBorder="1" applyAlignment="1">
      <alignment horizontal="center" vertical="top"/>
    </xf>
    <xf numFmtId="0" fontId="45" fillId="0" borderId="17" xfId="0" applyFont="1" applyFill="1" applyBorder="1" applyAlignment="1">
      <alignment vertical="top" wrapText="1"/>
    </xf>
    <xf numFmtId="0" fontId="45" fillId="0" borderId="17" xfId="0" applyFont="1" applyFill="1" applyBorder="1" applyAlignment="1">
      <alignment horizontal="left" vertical="top"/>
    </xf>
    <xf numFmtId="166" fontId="44" fillId="0" borderId="0" xfId="1" applyNumberFormat="1" applyFont="1" applyFill="1" applyBorder="1" applyAlignment="1">
      <alignment vertical="top"/>
    </xf>
    <xf numFmtId="0" fontId="55" fillId="0" borderId="0" xfId="0" applyFont="1" applyAlignment="1">
      <alignment vertical="top"/>
    </xf>
    <xf numFmtId="0" fontId="44" fillId="0" borderId="0" xfId="0" applyFont="1" applyAlignment="1">
      <alignment vertical="top"/>
    </xf>
    <xf numFmtId="0" fontId="44" fillId="0" borderId="23" xfId="0" applyFont="1" applyFill="1" applyBorder="1"/>
    <xf numFmtId="0" fontId="44" fillId="0" borderId="23" xfId="0" applyFont="1" applyFill="1" applyBorder="1" applyAlignment="1">
      <alignment horizontal="center"/>
    </xf>
    <xf numFmtId="166" fontId="44" fillId="0" borderId="18" xfId="1" applyNumberFormat="1" applyFont="1" applyFill="1" applyBorder="1"/>
    <xf numFmtId="0" fontId="45" fillId="0" borderId="17" xfId="0" applyFont="1" applyFill="1" applyBorder="1" applyAlignment="1">
      <alignment horizontal="left" indent="3"/>
    </xf>
    <xf numFmtId="0" fontId="45" fillId="0" borderId="17" xfId="0" applyFont="1" applyFill="1" applyBorder="1" applyAlignment="1">
      <alignment horizontal="left" indent="1"/>
    </xf>
    <xf numFmtId="0" fontId="45" fillId="0" borderId="17" xfId="0" applyFont="1" applyFill="1" applyBorder="1"/>
    <xf numFmtId="0" fontId="44" fillId="0" borderId="17" xfId="0" applyFont="1" applyFill="1" applyBorder="1"/>
    <xf numFmtId="0" fontId="45" fillId="0" borderId="23" xfId="0" applyFont="1" applyFill="1" applyBorder="1"/>
    <xf numFmtId="0" fontId="45" fillId="0" borderId="17" xfId="0" applyFont="1" applyFill="1" applyBorder="1" applyAlignment="1"/>
    <xf numFmtId="0" fontId="45" fillId="0" borderId="17" xfId="0" applyFont="1" applyFill="1" applyBorder="1" applyAlignment="1">
      <alignment horizontal="left" indent="2"/>
    </xf>
    <xf numFmtId="0" fontId="44" fillId="0" borderId="0" xfId="0" applyFont="1"/>
    <xf numFmtId="43" fontId="44" fillId="0" borderId="0" xfId="0" applyNumberFormat="1" applyFont="1"/>
    <xf numFmtId="166" fontId="44" fillId="0" borderId="0" xfId="0" applyNumberFormat="1" applyFont="1"/>
    <xf numFmtId="4" fontId="44" fillId="0" borderId="0" xfId="0" applyNumberFormat="1" applyFont="1"/>
    <xf numFmtId="43" fontId="44" fillId="0" borderId="0" xfId="1" applyFont="1"/>
    <xf numFmtId="0" fontId="44" fillId="0" borderId="23" xfId="0" applyFont="1" applyBorder="1"/>
    <xf numFmtId="166" fontId="44" fillId="0" borderId="23" xfId="1" applyNumberFormat="1" applyFont="1" applyFill="1" applyBorder="1"/>
    <xf numFmtId="0" fontId="44" fillId="0" borderId="19" xfId="0" applyFont="1" applyFill="1" applyBorder="1" applyAlignment="1"/>
    <xf numFmtId="0" fontId="44" fillId="0" borderId="0" xfId="0" applyFont="1" applyAlignment="1"/>
    <xf numFmtId="0" fontId="44" fillId="33" borderId="0" xfId="43" applyFont="1" applyFill="1" applyAlignment="1">
      <alignment vertical="top"/>
    </xf>
    <xf numFmtId="0" fontId="44" fillId="33" borderId="0" xfId="43" applyFont="1" applyFill="1"/>
    <xf numFmtId="166" fontId="44" fillId="0" borderId="17" xfId="1" applyNumberFormat="1" applyFont="1" applyFill="1" applyBorder="1"/>
    <xf numFmtId="166" fontId="44" fillId="0" borderId="19" xfId="1" applyNumberFormat="1" applyFont="1" applyFill="1" applyBorder="1"/>
    <xf numFmtId="0" fontId="44" fillId="0" borderId="0" xfId="0" applyFont="1" applyFill="1" applyBorder="1" applyAlignment="1">
      <alignment horizontal="left" indent="1"/>
    </xf>
    <xf numFmtId="0" fontId="44" fillId="0" borderId="18" xfId="0" applyFont="1" applyFill="1" applyBorder="1" applyAlignment="1">
      <alignment horizontal="left" indent="1"/>
    </xf>
    <xf numFmtId="0" fontId="44" fillId="0" borderId="17" xfId="0" applyFont="1" applyFill="1" applyBorder="1" applyAlignment="1">
      <alignment vertical="center"/>
    </xf>
    <xf numFmtId="166" fontId="45" fillId="0" borderId="17" xfId="1" applyNumberFormat="1" applyFont="1" applyFill="1" applyBorder="1" applyAlignment="1">
      <alignment vertical="center"/>
    </xf>
    <xf numFmtId="166" fontId="45" fillId="0" borderId="18" xfId="1" applyNumberFormat="1" applyFont="1" applyFill="1" applyBorder="1" applyAlignment="1">
      <alignment vertical="center"/>
    </xf>
    <xf numFmtId="166" fontId="45" fillId="0" borderId="10" xfId="0" applyNumberFormat="1" applyFont="1" applyFill="1" applyBorder="1"/>
    <xf numFmtId="166" fontId="45" fillId="0" borderId="20" xfId="1" applyNumberFormat="1" applyFont="1" applyFill="1" applyBorder="1"/>
    <xf numFmtId="166" fontId="44" fillId="0" borderId="20" xfId="1" applyNumberFormat="1" applyFont="1" applyFill="1" applyBorder="1"/>
    <xf numFmtId="0" fontId="45" fillId="0" borderId="0" xfId="49" applyFont="1" applyFill="1" applyBorder="1" applyAlignment="1">
      <alignment vertical="top" wrapText="1"/>
    </xf>
    <xf numFmtId="0" fontId="45" fillId="0" borderId="0" xfId="49" applyFont="1" applyFill="1" applyBorder="1" applyAlignment="1">
      <alignment horizontal="justify" vertical="top" wrapText="1"/>
    </xf>
    <xf numFmtId="166" fontId="45" fillId="0" borderId="0" xfId="1" applyNumberFormat="1" applyFont="1" applyFill="1" applyBorder="1" applyAlignment="1">
      <alignment horizontal="justify" vertical="top" wrapText="1"/>
    </xf>
    <xf numFmtId="166" fontId="45" fillId="0" borderId="0" xfId="1" applyNumberFormat="1" applyFont="1" applyFill="1" applyBorder="1" applyAlignment="1">
      <alignment vertical="top" wrapText="1"/>
    </xf>
    <xf numFmtId="0" fontId="44" fillId="0" borderId="0" xfId="49" applyFont="1" applyFill="1" applyBorder="1" applyAlignment="1">
      <alignment horizontal="left" vertical="justify" wrapText="1"/>
    </xf>
    <xf numFmtId="166" fontId="44" fillId="0" borderId="0" xfId="1" applyNumberFormat="1" applyFont="1" applyFill="1" applyBorder="1" applyAlignment="1">
      <alignment horizontal="left" vertical="justify" wrapText="1"/>
    </xf>
    <xf numFmtId="166" fontId="45" fillId="0" borderId="0" xfId="0" applyNumberFormat="1" applyFont="1" applyFill="1" applyBorder="1"/>
    <xf numFmtId="9" fontId="45" fillId="0" borderId="0" xfId="1" applyNumberFormat="1" applyFont="1" applyFill="1" applyBorder="1" applyAlignment="1">
      <alignment horizontal="center"/>
    </xf>
    <xf numFmtId="166" fontId="45" fillId="0" borderId="0" xfId="1" applyNumberFormat="1" applyFont="1" applyFill="1" applyBorder="1" applyAlignment="1">
      <alignment horizontal="center"/>
    </xf>
    <xf numFmtId="0" fontId="44" fillId="0" borderId="0" xfId="49" applyFont="1" applyFill="1" applyBorder="1" applyAlignment="1">
      <alignment horizontal="center" vertical="top"/>
    </xf>
    <xf numFmtId="43" fontId="45" fillId="0" borderId="0" xfId="48" applyNumberFormat="1" applyFont="1" applyFill="1" applyBorder="1" applyAlignment="1">
      <alignment horizontal="center" vertical="top" wrapText="1"/>
    </xf>
    <xf numFmtId="166" fontId="45" fillId="0" borderId="21" xfId="1" applyNumberFormat="1" applyFont="1" applyFill="1" applyBorder="1" applyAlignment="1">
      <alignment horizontal="center" vertical="top"/>
    </xf>
    <xf numFmtId="167" fontId="45" fillId="0" borderId="0" xfId="46" applyNumberFormat="1" applyFont="1" applyFill="1" applyBorder="1" applyAlignment="1">
      <alignment horizontal="center" vertical="top"/>
    </xf>
    <xf numFmtId="0" fontId="55" fillId="0" borderId="0" xfId="0" applyFont="1" applyAlignment="1"/>
    <xf numFmtId="166" fontId="55" fillId="0" borderId="0" xfId="1" applyNumberFormat="1" applyFont="1"/>
    <xf numFmtId="166" fontId="45" fillId="0" borderId="23" xfId="1" applyNumberFormat="1" applyFont="1" applyFill="1" applyBorder="1"/>
    <xf numFmtId="43" fontId="44" fillId="0" borderId="0" xfId="0" applyNumberFormat="1" applyFont="1" applyFill="1"/>
    <xf numFmtId="166" fontId="44" fillId="0" borderId="0" xfId="0" applyNumberFormat="1" applyFont="1" applyFill="1"/>
    <xf numFmtId="4" fontId="55" fillId="0" borderId="0" xfId="0" applyNumberFormat="1" applyFont="1" applyBorder="1"/>
    <xf numFmtId="0" fontId="55" fillId="0" borderId="0" xfId="0" applyFont="1"/>
    <xf numFmtId="0" fontId="45" fillId="0" borderId="0" xfId="43" applyFont="1" applyFill="1" applyAlignment="1">
      <alignment horizontal="left" vertical="top"/>
    </xf>
    <xf numFmtId="0" fontId="44" fillId="0" borderId="0" xfId="43" applyFont="1" applyAlignment="1">
      <alignment horizontal="left" vertical="center"/>
    </xf>
    <xf numFmtId="0" fontId="45" fillId="0" borderId="0" xfId="43" applyFont="1" applyAlignment="1">
      <alignment horizontal="left" vertical="center"/>
    </xf>
    <xf numFmtId="166" fontId="44" fillId="0" borderId="0" xfId="1" applyNumberFormat="1" applyFont="1" applyFill="1" applyBorder="1" applyAlignment="1">
      <alignment vertical="center" wrapText="1"/>
    </xf>
    <xf numFmtId="166" fontId="44" fillId="0" borderId="0" xfId="1" applyNumberFormat="1" applyFont="1" applyFill="1"/>
    <xf numFmtId="0" fontId="44" fillId="0" borderId="0" xfId="43" applyFont="1" applyBorder="1" applyAlignment="1">
      <alignment vertical="center"/>
    </xf>
    <xf numFmtId="0" fontId="44" fillId="0" borderId="0" xfId="43" applyFont="1" applyAlignment="1">
      <alignment vertical="top" wrapText="1"/>
    </xf>
    <xf numFmtId="0" fontId="44" fillId="0" borderId="0" xfId="43" applyFont="1" applyFill="1" applyBorder="1" applyAlignment="1">
      <alignment vertical="top" wrapText="1"/>
    </xf>
    <xf numFmtId="0" fontId="44" fillId="0" borderId="0" xfId="43" applyFont="1" applyAlignment="1">
      <alignment vertical="center"/>
    </xf>
    <xf numFmtId="0" fontId="44" fillId="0" borderId="0" xfId="43" applyFont="1" applyAlignment="1">
      <alignment vertical="top"/>
    </xf>
    <xf numFmtId="0" fontId="44" fillId="0" borderId="0" xfId="43" quotePrefix="1" applyFont="1" applyAlignment="1">
      <alignment horizontal="justify" vertical="top" wrapText="1"/>
    </xf>
    <xf numFmtId="171" fontId="44" fillId="0" borderId="0" xfId="0" applyNumberFormat="1" applyFont="1"/>
    <xf numFmtId="0" fontId="55" fillId="0" borderId="0" xfId="66" applyFont="1" applyAlignment="1">
      <alignment wrapText="1"/>
    </xf>
    <xf numFmtId="0" fontId="55" fillId="0" borderId="0" xfId="66" applyFont="1"/>
    <xf numFmtId="0" fontId="56" fillId="0" borderId="0" xfId="66" applyFont="1"/>
    <xf numFmtId="0" fontId="44" fillId="0" borderId="0" xfId="43" applyFont="1" applyFill="1" applyBorder="1" applyAlignment="1">
      <alignment wrapText="1"/>
    </xf>
    <xf numFmtId="0" fontId="44" fillId="0" borderId="0" xfId="43" applyFont="1" applyFill="1" applyBorder="1" applyAlignment="1">
      <alignment horizontal="left" vertical="top"/>
    </xf>
    <xf numFmtId="0" fontId="44" fillId="0" borderId="0" xfId="43" applyFont="1" applyFill="1" applyAlignment="1">
      <alignment horizontal="left" vertical="top"/>
    </xf>
    <xf numFmtId="0" fontId="44" fillId="0" borderId="0" xfId="43" quotePrefix="1" applyFont="1" applyAlignment="1">
      <alignment vertical="top" wrapText="1"/>
    </xf>
    <xf numFmtId="43" fontId="27" fillId="0" borderId="0" xfId="1" applyFont="1" applyAlignment="1">
      <alignment vertical="top"/>
    </xf>
    <xf numFmtId="43" fontId="24" fillId="0" borderId="0" xfId="1" applyFont="1" applyFill="1"/>
    <xf numFmtId="10" fontId="24" fillId="0" borderId="0" xfId="50" applyNumberFormat="1" applyFont="1" applyFill="1"/>
    <xf numFmtId="43" fontId="24" fillId="0" borderId="0" xfId="0" applyNumberFormat="1" applyFont="1" applyFill="1"/>
    <xf numFmtId="4" fontId="24" fillId="0" borderId="0" xfId="0" applyNumberFormat="1" applyFont="1" applyFill="1" applyAlignment="1">
      <alignment horizontal="right"/>
    </xf>
    <xf numFmtId="166" fontId="22" fillId="0" borderId="0" xfId="1" applyNumberFormat="1" applyFont="1" applyFill="1"/>
    <xf numFmtId="43" fontId="22" fillId="33" borderId="0" xfId="43" applyNumberFormat="1" applyFont="1" applyFill="1"/>
    <xf numFmtId="43" fontId="22" fillId="0" borderId="0" xfId="43" applyNumberFormat="1" applyFont="1" applyFill="1" applyAlignment="1">
      <alignment vertical="top"/>
    </xf>
    <xf numFmtId="43" fontId="44" fillId="0" borderId="22" xfId="1" applyFont="1" applyFill="1" applyBorder="1"/>
    <xf numFmtId="166" fontId="44" fillId="0" borderId="23" xfId="1" applyNumberFormat="1" applyFont="1" applyFill="1" applyBorder="1" applyAlignment="1">
      <alignment horizontal="center"/>
    </xf>
    <xf numFmtId="166" fontId="45" fillId="0" borderId="23" xfId="1" applyNumberFormat="1" applyFont="1" applyFill="1" applyBorder="1" applyAlignment="1">
      <alignment horizontal="center"/>
    </xf>
    <xf numFmtId="166" fontId="45" fillId="0" borderId="22" xfId="1" applyNumberFormat="1" applyFont="1" applyFill="1" applyBorder="1"/>
    <xf numFmtId="166" fontId="44" fillId="0" borderId="19" xfId="1" applyNumberFormat="1" applyFont="1" applyFill="1" applyBorder="1" applyAlignment="1">
      <alignment vertical="top"/>
    </xf>
    <xf numFmtId="166" fontId="44" fillId="0" borderId="20" xfId="1" applyNumberFormat="1" applyFont="1" applyFill="1" applyBorder="1" applyAlignment="1">
      <alignment vertical="top"/>
    </xf>
    <xf numFmtId="166" fontId="45" fillId="0" borderId="14" xfId="1" quotePrefix="1" applyNumberFormat="1" applyFont="1" applyFill="1" applyBorder="1" applyAlignment="1">
      <alignment horizontal="center" vertical="top" wrapText="1"/>
    </xf>
    <xf numFmtId="166" fontId="44" fillId="0" borderId="16" xfId="1" applyNumberFormat="1" applyFont="1" applyFill="1" applyBorder="1" applyAlignment="1">
      <alignment vertical="top"/>
    </xf>
    <xf numFmtId="166" fontId="44" fillId="0" borderId="17" xfId="1" applyNumberFormat="1" applyFont="1" applyFill="1" applyBorder="1" applyAlignment="1">
      <alignment vertical="top"/>
    </xf>
    <xf numFmtId="166" fontId="45" fillId="0" borderId="0" xfId="1" applyNumberFormat="1" applyFont="1" applyFill="1" applyBorder="1" applyAlignment="1">
      <alignment vertical="top"/>
    </xf>
    <xf numFmtId="166" fontId="45" fillId="0" borderId="17" xfId="1" applyNumberFormat="1" applyFont="1" applyFill="1" applyBorder="1" applyAlignment="1">
      <alignment vertical="top"/>
    </xf>
    <xf numFmtId="166" fontId="45" fillId="0" borderId="19" xfId="1" applyNumberFormat="1" applyFont="1" applyFill="1" applyBorder="1" applyAlignment="1">
      <alignment vertical="top"/>
    </xf>
    <xf numFmtId="166" fontId="44" fillId="33" borderId="0" xfId="1" applyNumberFormat="1" applyFont="1" applyFill="1" applyAlignment="1">
      <alignment vertical="top"/>
    </xf>
    <xf numFmtId="166" fontId="44" fillId="33" borderId="0" xfId="1" applyNumberFormat="1" applyFont="1" applyFill="1"/>
    <xf numFmtId="166" fontId="44" fillId="0" borderId="23" xfId="1" applyNumberFormat="1" applyFont="1" applyFill="1" applyBorder="1" applyAlignment="1">
      <alignment horizontal="center" vertical="top"/>
    </xf>
    <xf numFmtId="166" fontId="45" fillId="0" borderId="23" xfId="1" applyNumberFormat="1" applyFont="1" applyFill="1" applyBorder="1" applyAlignment="1">
      <alignment horizontal="center" vertical="top"/>
    </xf>
    <xf numFmtId="166" fontId="45" fillId="0" borderId="22" xfId="1" applyNumberFormat="1" applyFont="1" applyFill="1" applyBorder="1" applyAlignment="1">
      <alignment vertical="top"/>
    </xf>
    <xf numFmtId="166" fontId="45" fillId="0" borderId="23" xfId="1" applyNumberFormat="1" applyFont="1" applyFill="1" applyBorder="1" applyAlignment="1">
      <alignment vertical="top"/>
    </xf>
    <xf numFmtId="166" fontId="44" fillId="0" borderId="26" xfId="1" applyNumberFormat="1" applyFont="1" applyFill="1" applyBorder="1" applyAlignment="1">
      <alignment horizontal="center" vertical="top"/>
    </xf>
    <xf numFmtId="166" fontId="44" fillId="0" borderId="22" xfId="1" applyNumberFormat="1" applyFont="1" applyFill="1" applyBorder="1" applyAlignment="1">
      <alignment vertical="top"/>
    </xf>
    <xf numFmtId="166" fontId="44" fillId="0" borderId="22" xfId="1" applyNumberFormat="1" applyFont="1" applyFill="1" applyBorder="1" applyAlignment="1">
      <alignment vertical="top" wrapText="1"/>
    </xf>
    <xf numFmtId="166" fontId="22" fillId="41" borderId="0" xfId="1" applyNumberFormat="1" applyFont="1" applyFill="1"/>
    <xf numFmtId="166" fontId="23" fillId="0" borderId="0" xfId="1" applyNumberFormat="1" applyFont="1" applyFill="1" applyBorder="1"/>
    <xf numFmtId="166" fontId="44" fillId="0" borderId="0" xfId="1" applyNumberFormat="1" applyFont="1"/>
    <xf numFmtId="166" fontId="45" fillId="0" borderId="0" xfId="1" applyNumberFormat="1" applyFont="1" applyFill="1" applyBorder="1" applyAlignment="1">
      <alignment horizontal="center" vertical="top"/>
    </xf>
    <xf numFmtId="166" fontId="49" fillId="0" borderId="0" xfId="43" applyNumberFormat="1" applyFont="1" applyFill="1" applyBorder="1" applyAlignment="1">
      <alignment vertical="center" wrapText="1"/>
    </xf>
    <xf numFmtId="0" fontId="44" fillId="0" borderId="0" xfId="43" applyFont="1" applyFill="1" applyBorder="1" applyAlignment="1">
      <alignment vertical="center" wrapText="1"/>
    </xf>
    <xf numFmtId="166" fontId="20" fillId="0" borderId="18" xfId="1" applyNumberFormat="1" applyFont="1" applyFill="1" applyBorder="1"/>
    <xf numFmtId="166" fontId="23" fillId="0" borderId="10" xfId="1" applyNumberFormat="1" applyFont="1" applyFill="1" applyBorder="1"/>
    <xf numFmtId="166" fontId="20" fillId="0" borderId="20" xfId="1" applyNumberFormat="1" applyFont="1" applyFill="1" applyBorder="1"/>
    <xf numFmtId="166" fontId="23" fillId="0" borderId="13" xfId="1" applyNumberFormat="1" applyFont="1" applyFill="1" applyBorder="1"/>
    <xf numFmtId="166" fontId="23" fillId="0" borderId="18" xfId="1" applyNumberFormat="1" applyFont="1" applyFill="1" applyBorder="1"/>
    <xf numFmtId="166" fontId="22" fillId="0" borderId="18" xfId="1" applyNumberFormat="1" applyFont="1" applyFill="1" applyBorder="1"/>
    <xf numFmtId="166" fontId="21" fillId="0" borderId="18" xfId="1" applyNumberFormat="1" applyFont="1" applyFill="1" applyBorder="1"/>
    <xf numFmtId="166" fontId="20" fillId="0" borderId="13" xfId="1" applyNumberFormat="1" applyFont="1" applyFill="1" applyBorder="1"/>
    <xf numFmtId="166" fontId="21" fillId="0" borderId="13" xfId="1" applyNumberFormat="1" applyFont="1" applyFill="1" applyBorder="1"/>
    <xf numFmtId="166" fontId="20" fillId="0" borderId="18" xfId="1" applyNumberFormat="1" applyFont="1" applyBorder="1"/>
    <xf numFmtId="166" fontId="20" fillId="0" borderId="21" xfId="1" applyNumberFormat="1" applyFont="1" applyFill="1" applyBorder="1"/>
    <xf numFmtId="166" fontId="23" fillId="0" borderId="21" xfId="1" applyNumberFormat="1" applyFont="1" applyFill="1" applyBorder="1"/>
    <xf numFmtId="166" fontId="20" fillId="0" borderId="0" xfId="1" applyNumberFormat="1" applyFont="1" applyFill="1"/>
    <xf numFmtId="1" fontId="23" fillId="0" borderId="13" xfId="1" applyNumberFormat="1" applyFont="1" applyFill="1" applyBorder="1" applyAlignment="1">
      <alignment horizontal="center" vertical="center"/>
    </xf>
    <xf numFmtId="0" fontId="57" fillId="40" borderId="11" xfId="0" applyFont="1" applyFill="1" applyBorder="1" applyAlignment="1">
      <alignment horizontal="center" vertical="center"/>
    </xf>
    <xf numFmtId="0" fontId="57" fillId="40" borderId="21" xfId="0" applyFont="1" applyFill="1" applyBorder="1" applyAlignment="1">
      <alignment horizontal="center" vertical="center" wrapText="1"/>
    </xf>
    <xf numFmtId="0" fontId="57" fillId="0" borderId="17" xfId="0" applyFont="1" applyFill="1" applyBorder="1" applyAlignment="1">
      <alignment vertical="center"/>
    </xf>
    <xf numFmtId="0" fontId="57" fillId="0" borderId="17" xfId="0" applyFont="1" applyFill="1" applyBorder="1" applyAlignment="1">
      <alignment horizontal="left" vertical="center" indent="1"/>
    </xf>
    <xf numFmtId="0" fontId="59" fillId="0" borderId="23" xfId="0" applyFont="1" applyFill="1" applyBorder="1" applyAlignment="1">
      <alignment horizontal="center"/>
    </xf>
    <xf numFmtId="49" fontId="60" fillId="0" borderId="17" xfId="0" applyNumberFormat="1" applyFont="1" applyFill="1" applyBorder="1" applyAlignment="1">
      <alignment horizontal="left" vertical="top" indent="4"/>
    </xf>
    <xf numFmtId="0" fontId="60" fillId="0" borderId="23" xfId="0" applyFont="1" applyFill="1" applyBorder="1" applyAlignment="1">
      <alignment horizontal="center"/>
    </xf>
    <xf numFmtId="166" fontId="60" fillId="0" borderId="23" xfId="1" applyNumberFormat="1" applyFont="1" applyFill="1" applyBorder="1" applyAlignment="1">
      <alignment horizontal="center"/>
    </xf>
    <xf numFmtId="0" fontId="60" fillId="0" borderId="17" xfId="0" applyFont="1" applyFill="1" applyBorder="1" applyAlignment="1">
      <alignment horizontal="left" vertical="top" indent="4"/>
    </xf>
    <xf numFmtId="0" fontId="60" fillId="0" borderId="17" xfId="0" applyFont="1" applyFill="1" applyBorder="1" applyAlignment="1">
      <alignment horizontal="left" indent="4"/>
    </xf>
    <xf numFmtId="0" fontId="57" fillId="0" borderId="17" xfId="0" applyFont="1" applyFill="1" applyBorder="1" applyAlignment="1">
      <alignment horizontal="left" indent="3"/>
    </xf>
    <xf numFmtId="166" fontId="57" fillId="0" borderId="21" xfId="1" applyNumberFormat="1" applyFont="1" applyFill="1" applyBorder="1" applyAlignment="1">
      <alignment horizontal="center"/>
    </xf>
    <xf numFmtId="0" fontId="57" fillId="0" borderId="17" xfId="0" applyFont="1" applyFill="1" applyBorder="1" applyAlignment="1">
      <alignment horizontal="left" indent="1"/>
    </xf>
    <xf numFmtId="166" fontId="59" fillId="0" borderId="23" xfId="1" applyNumberFormat="1" applyFont="1" applyFill="1" applyBorder="1"/>
    <xf numFmtId="166" fontId="60" fillId="0" borderId="23" xfId="1" applyNumberFormat="1" applyFont="1" applyFill="1" applyBorder="1"/>
    <xf numFmtId="0" fontId="59" fillId="0" borderId="23" xfId="0" applyFont="1" applyFill="1" applyBorder="1"/>
    <xf numFmtId="166" fontId="57" fillId="0" borderId="22" xfId="1" applyNumberFormat="1" applyFont="1" applyFill="1" applyBorder="1"/>
    <xf numFmtId="166" fontId="57" fillId="0" borderId="21" xfId="1" applyNumberFormat="1" applyFont="1" applyFill="1" applyBorder="1"/>
    <xf numFmtId="0" fontId="57" fillId="0" borderId="17" xfId="0" applyFont="1" applyFill="1" applyBorder="1" applyAlignment="1">
      <alignment horizontal="center" vertical="center"/>
    </xf>
    <xf numFmtId="0" fontId="57" fillId="0" borderId="17" xfId="0" applyFont="1" applyFill="1" applyBorder="1"/>
    <xf numFmtId="0" fontId="59" fillId="0" borderId="23" xfId="0" applyFont="1" applyFill="1" applyBorder="1" applyAlignment="1">
      <alignment horizontal="center" vertical="center"/>
    </xf>
    <xf numFmtId="0" fontId="60" fillId="0" borderId="17" xfId="0" applyFont="1" applyFill="1" applyBorder="1" applyAlignment="1">
      <alignment horizontal="left" vertical="center" indent="4"/>
    </xf>
    <xf numFmtId="0" fontId="60" fillId="0" borderId="23" xfId="0" applyFont="1" applyFill="1" applyBorder="1" applyAlignment="1">
      <alignment horizontal="center" vertical="center"/>
    </xf>
    <xf numFmtId="166" fontId="60" fillId="0" borderId="23" xfId="1" applyNumberFormat="1" applyFont="1" applyFill="1" applyBorder="1" applyAlignment="1">
      <alignment horizontal="center" vertical="center"/>
    </xf>
    <xf numFmtId="166" fontId="60" fillId="0" borderId="23" xfId="1" applyNumberFormat="1" applyFont="1" applyFill="1" applyBorder="1" applyAlignment="1">
      <alignment vertical="center"/>
    </xf>
    <xf numFmtId="0" fontId="57" fillId="0" borderId="23" xfId="0" applyFont="1" applyFill="1" applyBorder="1"/>
    <xf numFmtId="0" fontId="57" fillId="0" borderId="17" xfId="0" applyFont="1" applyFill="1" applyBorder="1" applyAlignment="1"/>
    <xf numFmtId="0" fontId="57" fillId="0" borderId="19" xfId="0" applyFont="1" applyFill="1" applyBorder="1" applyAlignment="1">
      <alignment horizontal="center"/>
    </xf>
    <xf numFmtId="0" fontId="57" fillId="0" borderId="26" xfId="0" applyFont="1" applyFill="1" applyBorder="1"/>
    <xf numFmtId="0" fontId="60" fillId="0" borderId="0" xfId="0" applyFont="1" applyFill="1" applyBorder="1" applyAlignment="1">
      <alignment horizontal="center" vertical="top"/>
    </xf>
    <xf numFmtId="0" fontId="57" fillId="0" borderId="0" xfId="0" applyFont="1" applyFill="1" applyBorder="1" applyAlignment="1"/>
    <xf numFmtId="0" fontId="59" fillId="0" borderId="0" xfId="0" applyFont="1" applyFill="1" applyBorder="1" applyAlignment="1"/>
    <xf numFmtId="0" fontId="60" fillId="0" borderId="0" xfId="0" applyFont="1"/>
    <xf numFmtId="43" fontId="45" fillId="41" borderId="0" xfId="1" applyFont="1" applyFill="1" applyBorder="1"/>
    <xf numFmtId="173" fontId="62" fillId="0" borderId="0" xfId="1" applyNumberFormat="1" applyFont="1" applyFill="1" applyAlignment="1">
      <alignment horizontal="right" vertical="center"/>
    </xf>
    <xf numFmtId="0" fontId="64" fillId="0" borderId="0" xfId="43" applyFont="1" applyFill="1" applyAlignment="1">
      <alignment vertical="center"/>
    </xf>
    <xf numFmtId="0" fontId="62" fillId="0" borderId="0" xfId="43" applyFont="1" applyFill="1" applyAlignment="1">
      <alignment vertical="center"/>
    </xf>
    <xf numFmtId="0" fontId="32" fillId="0" borderId="0" xfId="0" applyFont="1" applyAlignment="1">
      <alignment horizontal="center"/>
    </xf>
    <xf numFmtId="0" fontId="62" fillId="0" borderId="0" xfId="43" applyFont="1" applyFill="1" applyAlignment="1">
      <alignment horizontal="center" vertical="center"/>
    </xf>
    <xf numFmtId="0" fontId="65" fillId="0" borderId="0" xfId="0" applyFont="1" applyAlignment="1"/>
    <xf numFmtId="164" fontId="64" fillId="0" borderId="0" xfId="47" applyFont="1" applyFill="1" applyBorder="1" applyAlignment="1">
      <alignment horizontal="center" vertical="center"/>
    </xf>
    <xf numFmtId="164" fontId="62" fillId="0" borderId="0" xfId="47" applyFont="1" applyFill="1" applyBorder="1" applyAlignment="1">
      <alignment vertical="center"/>
    </xf>
    <xf numFmtId="164" fontId="64" fillId="0" borderId="0" xfId="47" applyFont="1" applyFill="1" applyBorder="1" applyAlignment="1">
      <alignment vertical="center"/>
    </xf>
    <xf numFmtId="0" fontId="62" fillId="0" borderId="0" xfId="0" applyFont="1" applyFill="1" applyBorder="1" applyAlignment="1">
      <alignment wrapText="1"/>
    </xf>
    <xf numFmtId="164" fontId="64" fillId="0" borderId="0" xfId="47" applyFont="1" applyFill="1" applyBorder="1" applyAlignment="1">
      <alignment horizontal="center" vertical="center" wrapText="1"/>
    </xf>
    <xf numFmtId="0" fontId="62" fillId="0" borderId="0" xfId="0" applyFont="1" applyFill="1" applyBorder="1" applyAlignment="1">
      <alignment horizontal="left" vertical="center"/>
    </xf>
    <xf numFmtId="0" fontId="64" fillId="0" borderId="0" xfId="0" applyFont="1" applyFill="1" applyBorder="1" applyAlignment="1">
      <alignment horizontal="left" vertical="center"/>
    </xf>
    <xf numFmtId="0" fontId="64" fillId="0" borderId="0" xfId="0" applyFont="1" applyFill="1" applyAlignment="1">
      <alignment horizontal="left" vertical="center"/>
    </xf>
    <xf numFmtId="164" fontId="62" fillId="0" borderId="0" xfId="47" applyFont="1" applyFill="1" applyAlignment="1">
      <alignment vertical="center"/>
    </xf>
    <xf numFmtId="0" fontId="64" fillId="0" borderId="0" xfId="43" applyNumberFormat="1" applyFont="1" applyFill="1" applyBorder="1" applyAlignment="1">
      <alignment vertical="center"/>
    </xf>
    <xf numFmtId="0" fontId="64" fillId="0" borderId="25" xfId="43" applyNumberFormat="1" applyFont="1" applyFill="1" applyBorder="1" applyAlignment="1">
      <alignment vertical="center"/>
    </xf>
    <xf numFmtId="164" fontId="64" fillId="0" borderId="25" xfId="47" applyNumberFormat="1" applyFont="1" applyFill="1" applyBorder="1" applyAlignment="1">
      <alignment horizontal="center" vertical="center"/>
    </xf>
    <xf numFmtId="164" fontId="64" fillId="0" borderId="25" xfId="47" applyFont="1" applyFill="1" applyBorder="1" applyAlignment="1">
      <alignment horizontal="center" vertical="center"/>
    </xf>
    <xf numFmtId="0" fontId="62" fillId="0" borderId="52" xfId="0" applyFont="1" applyFill="1" applyBorder="1" applyAlignment="1">
      <alignment vertical="center"/>
    </xf>
    <xf numFmtId="164" fontId="64" fillId="0" borderId="52" xfId="47" applyFont="1" applyFill="1" applyBorder="1" applyAlignment="1">
      <alignment horizontal="center" vertical="center"/>
    </xf>
    <xf numFmtId="164" fontId="62" fillId="0" borderId="0" xfId="47" applyFont="1" applyFill="1" applyAlignment="1">
      <alignment horizontal="right" vertical="center"/>
    </xf>
    <xf numFmtId="0" fontId="62" fillId="0" borderId="0" xfId="0" applyFont="1" applyFill="1" applyAlignment="1">
      <alignment horizontal="left" vertical="center" wrapText="1"/>
    </xf>
    <xf numFmtId="0" fontId="62" fillId="0" borderId="0" xfId="0" applyFont="1" applyFill="1" applyAlignment="1">
      <alignment horizontal="left" vertical="center"/>
    </xf>
    <xf numFmtId="164" fontId="64" fillId="0" borderId="53" xfId="47" applyFont="1" applyFill="1" applyBorder="1" applyAlignment="1">
      <alignment vertical="center"/>
    </xf>
    <xf numFmtId="0" fontId="65" fillId="0" borderId="0" xfId="0" applyFont="1" applyAlignment="1">
      <alignment vertical="center"/>
    </xf>
    <xf numFmtId="0" fontId="59" fillId="0" borderId="0" xfId="0" applyFont="1" applyFill="1" applyAlignment="1">
      <alignment vertical="center"/>
    </xf>
    <xf numFmtId="43" fontId="57" fillId="40" borderId="21" xfId="1" applyFont="1" applyFill="1" applyBorder="1" applyAlignment="1">
      <alignment horizontal="right" vertical="center"/>
    </xf>
    <xf numFmtId="166" fontId="57" fillId="40" borderId="21" xfId="1" applyNumberFormat="1" applyFont="1" applyFill="1" applyBorder="1" applyAlignment="1">
      <alignment horizontal="center" vertical="center"/>
    </xf>
    <xf numFmtId="43" fontId="57" fillId="40" borderId="11" xfId="1" applyFont="1" applyFill="1" applyBorder="1" applyAlignment="1">
      <alignment horizontal="right" vertical="center"/>
    </xf>
    <xf numFmtId="166" fontId="59" fillId="0" borderId="17" xfId="1" applyNumberFormat="1" applyFont="1" applyFill="1" applyBorder="1" applyAlignment="1">
      <alignment vertical="center"/>
    </xf>
    <xf numFmtId="166" fontId="59" fillId="0" borderId="0" xfId="1" applyNumberFormat="1" applyFont="1" applyFill="1" applyBorder="1"/>
    <xf numFmtId="166" fontId="59" fillId="0" borderId="0" xfId="1" applyNumberFormat="1" applyFont="1" applyFill="1" applyBorder="1" applyAlignment="1">
      <alignment vertical="center"/>
    </xf>
    <xf numFmtId="166" fontId="59" fillId="0" borderId="17" xfId="1" applyNumberFormat="1" applyFont="1" applyFill="1" applyBorder="1"/>
    <xf numFmtId="166" fontId="59" fillId="0" borderId="18" xfId="1" applyNumberFormat="1" applyFont="1" applyFill="1" applyBorder="1" applyAlignment="1">
      <alignment vertical="center"/>
    </xf>
    <xf numFmtId="166" fontId="65" fillId="0" borderId="0" xfId="1" applyNumberFormat="1" applyFont="1" applyAlignment="1">
      <alignment vertical="center"/>
    </xf>
    <xf numFmtId="166" fontId="32" fillId="0" borderId="0" xfId="1" applyNumberFormat="1" applyFont="1" applyAlignment="1">
      <alignment vertical="center"/>
    </xf>
    <xf numFmtId="166" fontId="57" fillId="0" borderId="11" xfId="1" applyNumberFormat="1" applyFont="1" applyFill="1" applyBorder="1" applyAlignment="1">
      <alignment vertical="center"/>
    </xf>
    <xf numFmtId="166" fontId="59" fillId="0" borderId="11" xfId="1" applyNumberFormat="1" applyFont="1" applyFill="1" applyBorder="1" applyAlignment="1">
      <alignment vertical="center"/>
    </xf>
    <xf numFmtId="166" fontId="59" fillId="0" borderId="19" xfId="1" applyNumberFormat="1" applyFont="1" applyFill="1" applyBorder="1" applyAlignment="1">
      <alignment vertical="center"/>
    </xf>
    <xf numFmtId="166" fontId="59" fillId="0" borderId="10" xfId="1" applyNumberFormat="1" applyFont="1" applyFill="1" applyBorder="1" applyAlignment="1">
      <alignment vertical="center"/>
    </xf>
    <xf numFmtId="166" fontId="59" fillId="0" borderId="20" xfId="1" applyNumberFormat="1" applyFont="1" applyFill="1" applyBorder="1" applyAlignment="1">
      <alignment vertical="center"/>
    </xf>
    <xf numFmtId="166" fontId="59" fillId="0" borderId="21" xfId="1" applyNumberFormat="1" applyFont="1" applyFill="1" applyBorder="1" applyAlignment="1">
      <alignment vertical="center"/>
    </xf>
    <xf numFmtId="166" fontId="59" fillId="0" borderId="26" xfId="1" applyNumberFormat="1" applyFont="1" applyFill="1" applyBorder="1" applyAlignment="1">
      <alignment vertical="center"/>
    </xf>
    <xf numFmtId="166" fontId="59" fillId="0" borderId="26" xfId="1" applyNumberFormat="1" applyFont="1" applyFill="1" applyBorder="1" applyAlignment="1">
      <alignment horizontal="left" vertical="center"/>
    </xf>
    <xf numFmtId="166" fontId="67" fillId="0" borderId="0" xfId="1" applyNumberFormat="1" applyFont="1" applyFill="1" applyBorder="1" applyAlignment="1">
      <alignment vertical="center"/>
    </xf>
    <xf numFmtId="166" fontId="68" fillId="0" borderId="0" xfId="1" applyNumberFormat="1" applyFont="1" applyAlignment="1">
      <alignment vertical="center"/>
    </xf>
    <xf numFmtId="166" fontId="57" fillId="0" borderId="22" xfId="1" applyNumberFormat="1" applyFont="1" applyFill="1" applyBorder="1" applyAlignment="1">
      <alignment horizontal="left" vertical="center"/>
    </xf>
    <xf numFmtId="166" fontId="59" fillId="0" borderId="14" xfId="1" applyNumberFormat="1" applyFont="1" applyFill="1" applyBorder="1" applyAlignment="1">
      <alignment vertical="center"/>
    </xf>
    <xf numFmtId="166" fontId="59" fillId="0" borderId="15" xfId="1" applyNumberFormat="1" applyFont="1" applyFill="1" applyBorder="1" applyAlignment="1">
      <alignment horizontal="right" vertical="top"/>
    </xf>
    <xf numFmtId="166" fontId="59" fillId="0" borderId="15" xfId="1" applyNumberFormat="1" applyFont="1" applyFill="1" applyBorder="1" applyAlignment="1">
      <alignment vertical="center"/>
    </xf>
    <xf numFmtId="166" fontId="59" fillId="0" borderId="16" xfId="1" applyNumberFormat="1" applyFont="1" applyFill="1" applyBorder="1" applyAlignment="1">
      <alignment vertical="center"/>
    </xf>
    <xf numFmtId="43" fontId="67" fillId="0" borderId="0" xfId="1" applyFont="1" applyFill="1" applyBorder="1" applyAlignment="1">
      <alignment vertical="center"/>
    </xf>
    <xf numFmtId="43" fontId="70" fillId="0" borderId="0" xfId="1" applyFont="1" applyFill="1" applyBorder="1" applyAlignment="1">
      <alignment vertical="center"/>
    </xf>
    <xf numFmtId="166" fontId="70" fillId="0" borderId="0" xfId="1" applyNumberFormat="1" applyFont="1" applyFill="1" applyBorder="1" applyAlignment="1">
      <alignment vertical="center"/>
    </xf>
    <xf numFmtId="0" fontId="65" fillId="0" borderId="0" xfId="0" applyFont="1" applyFill="1" applyAlignment="1">
      <alignment vertical="center"/>
    </xf>
    <xf numFmtId="0" fontId="70" fillId="0" borderId="0" xfId="0" applyFont="1" applyFill="1" applyBorder="1" applyAlignment="1">
      <alignment horizontal="left" vertical="center"/>
    </xf>
    <xf numFmtId="0" fontId="57" fillId="0" borderId="42" xfId="0" applyFont="1" applyFill="1" applyBorder="1" applyAlignment="1">
      <alignment vertical="center"/>
    </xf>
    <xf numFmtId="0" fontId="57" fillId="0" borderId="31" xfId="0" applyFont="1" applyFill="1" applyBorder="1" applyAlignment="1">
      <alignment vertical="center"/>
    </xf>
    <xf numFmtId="0" fontId="59" fillId="0" borderId="31" xfId="0" applyFont="1" applyFill="1" applyBorder="1" applyAlignment="1">
      <alignment vertical="center"/>
    </xf>
    <xf numFmtId="0" fontId="59" fillId="0" borderId="0" xfId="0" applyFont="1" applyFill="1" applyBorder="1" applyAlignment="1">
      <alignment vertical="center"/>
    </xf>
    <xf numFmtId="166" fontId="59" fillId="0" borderId="0" xfId="0" applyNumberFormat="1" applyFont="1" applyFill="1" applyBorder="1" applyAlignment="1">
      <alignment vertical="center"/>
    </xf>
    <xf numFmtId="0" fontId="59" fillId="0" borderId="31" xfId="0" applyFont="1" applyFill="1" applyBorder="1" applyAlignment="1">
      <alignment horizontal="left" vertical="center" indent="2"/>
    </xf>
    <xf numFmtId="0" fontId="57" fillId="0" borderId="0" xfId="0" applyFont="1" applyFill="1" applyBorder="1" applyAlignment="1">
      <alignment vertical="center"/>
    </xf>
    <xf numFmtId="0" fontId="57" fillId="0" borderId="0" xfId="0" applyFont="1" applyFill="1" applyBorder="1" applyAlignment="1">
      <alignment horizontal="center" vertical="center"/>
    </xf>
    <xf numFmtId="0" fontId="59" fillId="0" borderId="0" xfId="0" applyFont="1" applyFill="1" applyBorder="1" applyAlignment="1">
      <alignment horizontal="left" vertical="center"/>
    </xf>
    <xf numFmtId="0" fontId="59" fillId="0" borderId="31" xfId="0" applyFont="1" applyFill="1" applyBorder="1" applyAlignment="1">
      <alignment horizontal="left" vertical="center" wrapText="1" indent="2"/>
    </xf>
    <xf numFmtId="43" fontId="57" fillId="0" borderId="0" xfId="0" applyNumberFormat="1" applyFont="1" applyFill="1" applyBorder="1" applyAlignment="1">
      <alignment horizontal="center" vertical="center"/>
    </xf>
    <xf numFmtId="0" fontId="57" fillId="0" borderId="35" xfId="0" applyFont="1" applyFill="1" applyBorder="1" applyAlignment="1">
      <alignment vertical="center"/>
    </xf>
    <xf numFmtId="0" fontId="59" fillId="0" borderId="35" xfId="0" applyFont="1" applyFill="1" applyBorder="1" applyAlignment="1">
      <alignment vertical="center"/>
    </xf>
    <xf numFmtId="0" fontId="59" fillId="0" borderId="35" xfId="0" applyFont="1" applyFill="1" applyBorder="1" applyAlignment="1">
      <alignment vertical="center" wrapText="1"/>
    </xf>
    <xf numFmtId="0" fontId="70" fillId="0" borderId="0" xfId="0" applyFont="1" applyBorder="1" applyAlignment="1">
      <alignment vertical="center"/>
    </xf>
    <xf numFmtId="0" fontId="70" fillId="0" borderId="0" xfId="0" applyFont="1" applyAlignment="1">
      <alignment vertical="center"/>
    </xf>
    <xf numFmtId="166" fontId="70" fillId="0" borderId="0" xfId="0" applyNumberFormat="1" applyFont="1" applyAlignment="1">
      <alignment vertical="center"/>
    </xf>
    <xf numFmtId="0" fontId="57" fillId="0" borderId="0" xfId="0" applyFont="1" applyFill="1" applyBorder="1" applyAlignment="1">
      <alignment horizontal="center" vertical="top" wrapText="1"/>
    </xf>
    <xf numFmtId="0" fontId="57" fillId="0" borderId="17" xfId="0" applyFont="1" applyFill="1" applyBorder="1" applyAlignment="1">
      <alignment vertical="top"/>
    </xf>
    <xf numFmtId="0" fontId="59" fillId="0" borderId="23" xfId="0" applyFont="1" applyFill="1" applyBorder="1" applyAlignment="1">
      <alignment horizontal="center" vertical="top"/>
    </xf>
    <xf numFmtId="166" fontId="59" fillId="0" borderId="23" xfId="1" applyNumberFormat="1" applyFont="1" applyFill="1" applyBorder="1" applyAlignment="1">
      <alignment horizontal="center" vertical="top"/>
    </xf>
    <xf numFmtId="166" fontId="59" fillId="0" borderId="23" xfId="1" applyNumberFormat="1" applyFont="1" applyFill="1" applyBorder="1" applyAlignment="1">
      <alignment vertical="top"/>
    </xf>
    <xf numFmtId="0" fontId="59" fillId="0" borderId="17" xfId="0" applyFont="1" applyFill="1" applyBorder="1" applyAlignment="1">
      <alignment vertical="top"/>
    </xf>
    <xf numFmtId="0" fontId="60" fillId="0" borderId="17" xfId="0" applyFont="1" applyFill="1" applyBorder="1" applyAlignment="1">
      <alignment vertical="top"/>
    </xf>
    <xf numFmtId="0" fontId="60" fillId="0" borderId="23" xfId="0" applyFont="1" applyFill="1" applyBorder="1" applyAlignment="1">
      <alignment horizontal="center" vertical="top"/>
    </xf>
    <xf numFmtId="166" fontId="60" fillId="0" borderId="23" xfId="1" applyNumberFormat="1" applyFont="1" applyFill="1" applyBorder="1" applyAlignment="1">
      <alignment horizontal="center" vertical="top"/>
    </xf>
    <xf numFmtId="166" fontId="57" fillId="0" borderId="21" xfId="1" applyNumberFormat="1" applyFont="1" applyFill="1" applyBorder="1" applyAlignment="1">
      <alignment horizontal="center" vertical="top"/>
    </xf>
    <xf numFmtId="0" fontId="57" fillId="0" borderId="17" xfId="0" applyFont="1" applyFill="1" applyBorder="1" applyAlignment="1">
      <alignment horizontal="left" vertical="top"/>
    </xf>
    <xf numFmtId="166" fontId="60" fillId="0" borderId="23" xfId="0" applyNumberFormat="1" applyFont="1" applyFill="1" applyBorder="1" applyAlignment="1">
      <alignment horizontal="center" vertical="top"/>
    </xf>
    <xf numFmtId="166" fontId="60" fillId="0" borderId="23" xfId="1" applyNumberFormat="1" applyFont="1" applyFill="1" applyBorder="1" applyAlignment="1">
      <alignment vertical="top"/>
    </xf>
    <xf numFmtId="166" fontId="60" fillId="0" borderId="26" xfId="1" applyNumberFormat="1" applyFont="1" applyFill="1" applyBorder="1" applyAlignment="1">
      <alignment horizontal="center" vertical="top"/>
    </xf>
    <xf numFmtId="166" fontId="57" fillId="0" borderId="21" xfId="1" applyNumberFormat="1" applyFont="1" applyFill="1" applyBorder="1" applyAlignment="1">
      <alignment vertical="top"/>
    </xf>
    <xf numFmtId="0" fontId="59" fillId="0" borderId="17" xfId="0" applyFont="1" applyFill="1" applyBorder="1" applyAlignment="1">
      <alignment horizontal="left" vertical="top" indent="1"/>
    </xf>
    <xf numFmtId="0" fontId="59" fillId="0" borderId="23" xfId="0" applyFont="1" applyFill="1" applyBorder="1" applyAlignment="1">
      <alignment vertical="top"/>
    </xf>
    <xf numFmtId="166" fontId="59" fillId="0" borderId="17" xfId="0" applyNumberFormat="1" applyFont="1" applyFill="1" applyBorder="1" applyAlignment="1">
      <alignment vertical="top"/>
    </xf>
    <xf numFmtId="0" fontId="57" fillId="0" borderId="17" xfId="0" applyFont="1" applyFill="1" applyBorder="1" applyAlignment="1">
      <alignment vertical="top" wrapText="1"/>
    </xf>
    <xf numFmtId="0" fontId="60" fillId="0" borderId="17" xfId="0" applyFont="1" applyFill="1" applyBorder="1" applyAlignment="1">
      <alignment vertical="top" wrapText="1"/>
    </xf>
    <xf numFmtId="0" fontId="57" fillId="0" borderId="19" xfId="0" applyFont="1" applyFill="1" applyBorder="1" applyAlignment="1">
      <alignment vertical="top" wrapText="1"/>
    </xf>
    <xf numFmtId="0" fontId="59" fillId="0" borderId="26" xfId="0" applyFont="1" applyFill="1" applyBorder="1" applyAlignment="1">
      <alignment horizontal="center" vertical="top"/>
    </xf>
    <xf numFmtId="0" fontId="59" fillId="0" borderId="0" xfId="0" applyFont="1" applyFill="1" applyBorder="1" applyAlignment="1">
      <alignment horizontal="center" vertical="top"/>
    </xf>
    <xf numFmtId="43" fontId="57" fillId="0" borderId="0" xfId="1" applyFont="1" applyFill="1" applyBorder="1" applyAlignment="1">
      <alignment vertical="top"/>
    </xf>
    <xf numFmtId="0" fontId="59" fillId="0" borderId="0" xfId="0" applyFont="1" applyFill="1" applyBorder="1" applyAlignment="1">
      <alignment vertical="top"/>
    </xf>
    <xf numFmtId="166" fontId="59" fillId="0" borderId="0" xfId="1" applyNumberFormat="1" applyFont="1" applyFill="1" applyBorder="1" applyAlignment="1">
      <alignment vertical="top"/>
    </xf>
    <xf numFmtId="0" fontId="60" fillId="0" borderId="0" xfId="0" applyFont="1" applyFill="1" applyBorder="1" applyAlignment="1">
      <alignment vertical="top"/>
    </xf>
    <xf numFmtId="0" fontId="57" fillId="0" borderId="15" xfId="0" applyFont="1" applyFill="1" applyBorder="1" applyAlignment="1">
      <alignment horizontal="center" vertical="top"/>
    </xf>
    <xf numFmtId="0" fontId="65" fillId="0" borderId="0" xfId="0" applyFont="1" applyAlignment="1">
      <alignment vertical="top"/>
    </xf>
    <xf numFmtId="0" fontId="57" fillId="0" borderId="15" xfId="0" applyFont="1" applyFill="1" applyBorder="1" applyAlignment="1">
      <alignment vertical="top"/>
    </xf>
    <xf numFmtId="0" fontId="57" fillId="0" borderId="0" xfId="0" applyFont="1" applyFill="1" applyBorder="1" applyAlignment="1">
      <alignment horizontal="left" vertical="top"/>
    </xf>
    <xf numFmtId="0" fontId="57" fillId="40" borderId="22" xfId="0" applyFont="1" applyFill="1" applyBorder="1" applyAlignment="1">
      <alignment horizontal="center" vertical="center" wrapText="1"/>
    </xf>
    <xf numFmtId="0" fontId="57" fillId="40" borderId="14" xfId="0" applyFont="1" applyFill="1" applyBorder="1" applyAlignment="1">
      <alignment horizontal="center" vertical="center" wrapText="1"/>
    </xf>
    <xf numFmtId="0" fontId="57" fillId="0" borderId="22" xfId="0" applyFont="1" applyFill="1" applyBorder="1" applyAlignment="1">
      <alignment vertical="top" wrapText="1"/>
    </xf>
    <xf numFmtId="166" fontId="59" fillId="0" borderId="18" xfId="1" applyNumberFormat="1" applyFont="1" applyFill="1" applyBorder="1" applyAlignment="1">
      <alignment vertical="top"/>
    </xf>
    <xf numFmtId="0" fontId="60" fillId="0" borderId="23" xfId="0" applyFont="1" applyFill="1" applyBorder="1" applyAlignment="1">
      <alignment vertical="top" wrapText="1"/>
    </xf>
    <xf numFmtId="166" fontId="60" fillId="0" borderId="23" xfId="1" applyNumberFormat="1" applyFont="1" applyFill="1" applyBorder="1" applyAlignment="1">
      <alignment vertical="top" wrapText="1"/>
    </xf>
    <xf numFmtId="166" fontId="60" fillId="0" borderId="18" xfId="1" applyNumberFormat="1" applyFont="1" applyFill="1" applyBorder="1" applyAlignment="1">
      <alignment vertical="top"/>
    </xf>
    <xf numFmtId="166" fontId="60" fillId="0" borderId="22" xfId="1" applyNumberFormat="1" applyFont="1" applyFill="1" applyBorder="1" applyAlignment="1">
      <alignment vertical="top"/>
    </xf>
    <xf numFmtId="166" fontId="60" fillId="0" borderId="22" xfId="1" applyNumberFormat="1" applyFont="1" applyFill="1" applyBorder="1" applyAlignment="1">
      <alignment vertical="top" wrapText="1"/>
    </xf>
    <xf numFmtId="0" fontId="57" fillId="0" borderId="23" xfId="0" applyFont="1" applyFill="1" applyBorder="1" applyAlignment="1">
      <alignment vertical="center" wrapText="1"/>
    </xf>
    <xf numFmtId="0" fontId="57" fillId="0" borderId="23" xfId="0" applyFont="1" applyFill="1" applyBorder="1" applyAlignment="1">
      <alignment vertical="top" wrapText="1"/>
    </xf>
    <xf numFmtId="0" fontId="60" fillId="0" borderId="23" xfId="0" applyFont="1" applyFill="1" applyBorder="1" applyAlignment="1">
      <alignment horizontal="left" vertical="top" wrapText="1" indent="1"/>
    </xf>
    <xf numFmtId="0" fontId="57" fillId="0" borderId="21" xfId="0" applyFont="1" applyFill="1" applyBorder="1" applyAlignment="1">
      <alignment vertical="top" wrapText="1"/>
    </xf>
    <xf numFmtId="166" fontId="57" fillId="0" borderId="21" xfId="1" applyNumberFormat="1" applyFont="1" applyFill="1" applyBorder="1" applyAlignment="1">
      <alignment vertical="top" wrapText="1"/>
    </xf>
    <xf numFmtId="166" fontId="57" fillId="0" borderId="13" xfId="1" applyNumberFormat="1" applyFont="1" applyFill="1" applyBorder="1" applyAlignment="1">
      <alignment vertical="top"/>
    </xf>
    <xf numFmtId="0" fontId="60" fillId="0" borderId="23" xfId="0" applyFont="1" applyFill="1" applyBorder="1" applyAlignment="1">
      <alignment horizontal="left" vertical="top" indent="1"/>
    </xf>
    <xf numFmtId="0" fontId="57" fillId="40" borderId="21" xfId="43" applyFont="1" applyFill="1" applyBorder="1"/>
    <xf numFmtId="0" fontId="58" fillId="0" borderId="22" xfId="43" applyFont="1" applyFill="1" applyBorder="1" applyAlignment="1">
      <alignment wrapText="1"/>
    </xf>
    <xf numFmtId="166" fontId="57" fillId="0" borderId="36" xfId="1" applyNumberFormat="1" applyFont="1" applyFill="1" applyBorder="1" applyAlignment="1"/>
    <xf numFmtId="166" fontId="57" fillId="0" borderId="43" xfId="1" applyNumberFormat="1" applyFont="1" applyFill="1" applyBorder="1" applyAlignment="1"/>
    <xf numFmtId="166" fontId="57" fillId="0" borderId="36" xfId="1" applyNumberFormat="1" applyFont="1" applyFill="1" applyBorder="1" applyAlignment="1">
      <alignment vertical="center" wrapText="1"/>
    </xf>
    <xf numFmtId="166" fontId="57" fillId="0" borderId="37" xfId="1" applyNumberFormat="1" applyFont="1" applyFill="1" applyBorder="1" applyAlignment="1">
      <alignment vertical="center" wrapText="1"/>
    </xf>
    <xf numFmtId="166" fontId="59" fillId="0" borderId="38" xfId="1" applyNumberFormat="1" applyFont="1" applyFill="1" applyBorder="1" applyAlignment="1">
      <alignment vertical="top"/>
    </xf>
    <xf numFmtId="166" fontId="59" fillId="0" borderId="44" xfId="1" applyNumberFormat="1" applyFont="1" applyFill="1" applyBorder="1" applyAlignment="1">
      <alignment vertical="top"/>
    </xf>
    <xf numFmtId="166" fontId="59" fillId="0" borderId="39" xfId="1" applyNumberFormat="1" applyFont="1" applyFill="1" applyBorder="1" applyAlignment="1">
      <alignment vertical="top"/>
    </xf>
    <xf numFmtId="0" fontId="60" fillId="0" borderId="23" xfId="43" applyFont="1" applyFill="1" applyBorder="1" applyAlignment="1">
      <alignment vertical="top" wrapText="1"/>
    </xf>
    <xf numFmtId="166" fontId="60" fillId="0" borderId="38" xfId="1" applyNumberFormat="1" applyFont="1" applyFill="1" applyBorder="1" applyAlignment="1">
      <alignment vertical="top"/>
    </xf>
    <xf numFmtId="166" fontId="60" fillId="0" borderId="44" xfId="1" applyNumberFormat="1" applyFont="1" applyFill="1" applyBorder="1" applyAlignment="1">
      <alignment vertical="top"/>
    </xf>
    <xf numFmtId="166" fontId="60" fillId="0" borderId="39" xfId="1" applyNumberFormat="1" applyFont="1" applyFill="1" applyBorder="1" applyAlignment="1">
      <alignment vertical="top"/>
    </xf>
    <xf numFmtId="0" fontId="60" fillId="0" borderId="23" xfId="43" applyFont="1" applyFill="1" applyBorder="1" applyAlignment="1">
      <alignment horizontal="left" vertical="top"/>
    </xf>
    <xf numFmtId="0" fontId="60" fillId="0" borderId="23" xfId="43" applyFont="1" applyFill="1" applyBorder="1" applyAlignment="1">
      <alignment horizontal="left" vertical="top" indent="1"/>
    </xf>
    <xf numFmtId="0" fontId="57" fillId="0" borderId="23" xfId="43" applyFont="1" applyFill="1" applyBorder="1" applyAlignment="1">
      <alignment vertical="top" wrapText="1"/>
    </xf>
    <xf numFmtId="166" fontId="57" fillId="0" borderId="38" xfId="1" applyNumberFormat="1" applyFont="1" applyFill="1" applyBorder="1" applyAlignment="1">
      <alignment vertical="top"/>
    </xf>
    <xf numFmtId="166" fontId="57" fillId="0" borderId="44" xfId="1" applyNumberFormat="1" applyFont="1" applyFill="1" applyBorder="1" applyAlignment="1">
      <alignment vertical="top"/>
    </xf>
    <xf numFmtId="166" fontId="57" fillId="0" borderId="39" xfId="1" applyNumberFormat="1" applyFont="1" applyFill="1" applyBorder="1" applyAlignment="1">
      <alignment vertical="top"/>
    </xf>
    <xf numFmtId="0" fontId="57" fillId="0" borderId="23" xfId="43" applyFont="1" applyFill="1" applyBorder="1" applyAlignment="1">
      <alignment vertical="top"/>
    </xf>
    <xf numFmtId="166" fontId="61" fillId="0" borderId="44" xfId="1" applyNumberFormat="1" applyFont="1" applyFill="1" applyBorder="1" applyAlignment="1">
      <alignment vertical="top"/>
    </xf>
    <xf numFmtId="0" fontId="58" fillId="0" borderId="23" xfId="43" applyFont="1" applyFill="1" applyBorder="1" applyAlignment="1">
      <alignment vertical="top"/>
    </xf>
    <xf numFmtId="0" fontId="61" fillId="0" borderId="23" xfId="43" applyFont="1" applyFill="1" applyBorder="1" applyAlignment="1">
      <alignment vertical="top"/>
    </xf>
    <xf numFmtId="166" fontId="61" fillId="0" borderId="38" xfId="1" applyNumberFormat="1" applyFont="1" applyFill="1" applyBorder="1" applyAlignment="1">
      <alignment vertical="top"/>
    </xf>
    <xf numFmtId="166" fontId="61" fillId="0" borderId="39" xfId="1" applyNumberFormat="1" applyFont="1" applyFill="1" applyBorder="1" applyAlignment="1">
      <alignment vertical="top"/>
    </xf>
    <xf numFmtId="0" fontId="73" fillId="0" borderId="23" xfId="43" applyFont="1" applyFill="1" applyBorder="1" applyAlignment="1">
      <alignment vertical="top"/>
    </xf>
    <xf numFmtId="166" fontId="60" fillId="0" borderId="38" xfId="1" applyNumberFormat="1" applyFont="1" applyFill="1" applyBorder="1" applyAlignment="1">
      <alignment horizontal="left" vertical="top"/>
    </xf>
    <xf numFmtId="0" fontId="57" fillId="0" borderId="26" xfId="43" applyFont="1" applyFill="1" applyBorder="1" applyAlignment="1">
      <alignment vertical="top"/>
    </xf>
    <xf numFmtId="166" fontId="57" fillId="0" borderId="40" xfId="1" applyNumberFormat="1" applyFont="1" applyFill="1" applyBorder="1" applyAlignment="1">
      <alignment vertical="top"/>
    </xf>
    <xf numFmtId="166" fontId="57" fillId="0" borderId="45" xfId="1" applyNumberFormat="1" applyFont="1" applyFill="1" applyBorder="1" applyAlignment="1">
      <alignment vertical="top"/>
    </xf>
    <xf numFmtId="166" fontId="59" fillId="0" borderId="40" xfId="1" applyNumberFormat="1" applyFont="1" applyFill="1" applyBorder="1" applyAlignment="1">
      <alignment vertical="top"/>
    </xf>
    <xf numFmtId="166" fontId="57" fillId="0" borderId="41" xfId="1" applyNumberFormat="1" applyFont="1" applyFill="1" applyBorder="1" applyAlignment="1">
      <alignment vertical="top"/>
    </xf>
    <xf numFmtId="0" fontId="57" fillId="0" borderId="21" xfId="43" applyFont="1" applyFill="1" applyBorder="1" applyAlignment="1">
      <alignment vertical="top" wrapText="1"/>
    </xf>
    <xf numFmtId="1" fontId="57" fillId="0" borderId="21" xfId="1" quotePrefix="1" applyNumberFormat="1" applyFont="1" applyFill="1" applyBorder="1" applyAlignment="1">
      <alignment horizontal="center" vertical="top" wrapText="1"/>
    </xf>
    <xf numFmtId="1" fontId="57" fillId="0" borderId="13" xfId="1" quotePrefix="1" applyNumberFormat="1" applyFont="1" applyFill="1" applyBorder="1" applyAlignment="1">
      <alignment horizontal="center" vertical="top" wrapText="1"/>
    </xf>
    <xf numFmtId="0" fontId="60" fillId="0" borderId="23" xfId="51" applyFont="1" applyFill="1" applyBorder="1" applyAlignment="1">
      <alignment vertical="top" wrapText="1"/>
    </xf>
    <xf numFmtId="166" fontId="60" fillId="0" borderId="0" xfId="1" applyNumberFormat="1" applyFont="1" applyFill="1" applyBorder="1" applyAlignment="1">
      <alignment vertical="top"/>
    </xf>
    <xf numFmtId="166" fontId="57" fillId="0" borderId="0" xfId="1" applyNumberFormat="1" applyFont="1" applyFill="1" applyBorder="1" applyAlignment="1">
      <alignment vertical="top"/>
    </xf>
    <xf numFmtId="166" fontId="57" fillId="0" borderId="18" xfId="1" applyNumberFormat="1" applyFont="1" applyFill="1" applyBorder="1" applyAlignment="1">
      <alignment vertical="top"/>
    </xf>
    <xf numFmtId="0" fontId="57" fillId="0" borderId="26" xfId="43" applyFont="1" applyFill="1" applyBorder="1" applyAlignment="1">
      <alignment vertical="top" wrapText="1"/>
    </xf>
    <xf numFmtId="166" fontId="57" fillId="0" borderId="10" xfId="1" applyNumberFormat="1" applyFont="1" applyFill="1" applyBorder="1" applyAlignment="1">
      <alignment vertical="top"/>
    </xf>
    <xf numFmtId="166" fontId="57" fillId="0" borderId="20" xfId="1" applyNumberFormat="1" applyFont="1" applyFill="1" applyBorder="1" applyAlignment="1">
      <alignment vertical="top"/>
    </xf>
    <xf numFmtId="0" fontId="62" fillId="33" borderId="0" xfId="43" applyFont="1" applyFill="1" applyAlignment="1">
      <alignment vertical="top"/>
    </xf>
    <xf numFmtId="166" fontId="57" fillId="0" borderId="15" xfId="1" applyNumberFormat="1" applyFont="1" applyFill="1" applyBorder="1" applyAlignment="1">
      <alignment horizontal="center" vertical="top"/>
    </xf>
    <xf numFmtId="166" fontId="57" fillId="40" borderId="21" xfId="1" applyNumberFormat="1" applyFont="1" applyFill="1" applyBorder="1" applyAlignment="1">
      <alignment horizontal="center" vertical="center" wrapText="1"/>
    </xf>
    <xf numFmtId="166" fontId="57" fillId="40" borderId="13" xfId="1" applyNumberFormat="1" applyFont="1" applyFill="1" applyBorder="1" applyAlignment="1">
      <alignment horizontal="center" vertical="center" wrapText="1"/>
    </xf>
    <xf numFmtId="166" fontId="59" fillId="0" borderId="18" xfId="1" applyNumberFormat="1" applyFont="1" applyFill="1" applyBorder="1"/>
    <xf numFmtId="166" fontId="57" fillId="0" borderId="23" xfId="1" applyNumberFormat="1" applyFont="1" applyFill="1" applyBorder="1"/>
    <xf numFmtId="166" fontId="57" fillId="0" borderId="18" xfId="1" applyNumberFormat="1" applyFont="1" applyFill="1" applyBorder="1"/>
    <xf numFmtId="0" fontId="59" fillId="0" borderId="17" xfId="0" applyFont="1" applyFill="1" applyBorder="1" applyAlignment="1"/>
    <xf numFmtId="166" fontId="57" fillId="0" borderId="13" xfId="1" applyNumberFormat="1" applyFont="1" applyFill="1" applyBorder="1"/>
    <xf numFmtId="0" fontId="59" fillId="0" borderId="17" xfId="0" applyFont="1" applyBorder="1" applyAlignment="1"/>
    <xf numFmtId="166" fontId="59" fillId="0" borderId="23" xfId="1" applyNumberFormat="1" applyFont="1" applyBorder="1"/>
    <xf numFmtId="166" fontId="59" fillId="0" borderId="18" xfId="1" applyNumberFormat="1" applyFont="1" applyBorder="1"/>
    <xf numFmtId="0" fontId="59" fillId="0" borderId="19" xfId="0" applyFont="1" applyFill="1" applyBorder="1" applyAlignment="1"/>
    <xf numFmtId="0" fontId="60" fillId="0" borderId="17" xfId="0" applyFont="1" applyFill="1" applyBorder="1" applyAlignment="1"/>
    <xf numFmtId="166" fontId="60" fillId="0" borderId="18" xfId="1" applyNumberFormat="1" applyFont="1" applyFill="1" applyBorder="1"/>
    <xf numFmtId="166" fontId="61" fillId="0" borderId="18" xfId="1" applyNumberFormat="1" applyFont="1" applyFill="1" applyBorder="1"/>
    <xf numFmtId="166" fontId="61" fillId="0" borderId="21" xfId="1" applyNumberFormat="1" applyFont="1" applyFill="1" applyBorder="1"/>
    <xf numFmtId="166" fontId="61" fillId="0" borderId="13" xfId="1" applyNumberFormat="1" applyFont="1" applyFill="1" applyBorder="1"/>
    <xf numFmtId="0" fontId="61" fillId="0" borderId="17" xfId="0" applyFont="1" applyFill="1" applyBorder="1" applyAlignment="1"/>
    <xf numFmtId="166" fontId="61" fillId="0" borderId="23" xfId="1" applyNumberFormat="1" applyFont="1" applyFill="1" applyBorder="1"/>
    <xf numFmtId="0" fontId="60" fillId="0" borderId="17" xfId="0" applyFont="1" applyBorder="1" applyAlignment="1"/>
    <xf numFmtId="166" fontId="60" fillId="0" borderId="23" xfId="1" applyNumberFormat="1" applyFont="1" applyBorder="1"/>
    <xf numFmtId="166" fontId="60" fillId="0" borderId="18" xfId="1" applyNumberFormat="1" applyFont="1" applyBorder="1"/>
    <xf numFmtId="166" fontId="61" fillId="0" borderId="22" xfId="1" applyNumberFormat="1" applyFont="1" applyFill="1" applyBorder="1"/>
    <xf numFmtId="0" fontId="60" fillId="0" borderId="17" xfId="0" applyFont="1" applyFill="1" applyBorder="1" applyAlignment="1">
      <alignment wrapText="1"/>
    </xf>
    <xf numFmtId="166" fontId="60" fillId="0" borderId="23" xfId="1" applyNumberFormat="1" applyFont="1" applyFill="1" applyBorder="1" applyAlignment="1">
      <alignment wrapText="1"/>
    </xf>
    <xf numFmtId="166" fontId="60" fillId="0" borderId="18" xfId="1" applyNumberFormat="1" applyFont="1" applyFill="1" applyBorder="1" applyAlignment="1">
      <alignment wrapText="1"/>
    </xf>
    <xf numFmtId="0" fontId="57" fillId="0" borderId="17" xfId="0" applyFont="1" applyFill="1" applyBorder="1" applyAlignment="1">
      <alignment vertical="center" wrapText="1"/>
    </xf>
    <xf numFmtId="0" fontId="59" fillId="0" borderId="0" xfId="0" applyFont="1" applyFill="1" applyBorder="1"/>
    <xf numFmtId="0" fontId="59" fillId="0" borderId="18" xfId="0" applyFont="1" applyFill="1" applyBorder="1"/>
    <xf numFmtId="166" fontId="57" fillId="0" borderId="18" xfId="1" applyNumberFormat="1" applyFont="1" applyFill="1" applyBorder="1" applyAlignment="1">
      <alignment horizontal="center"/>
    </xf>
    <xf numFmtId="0" fontId="59" fillId="0" borderId="0" xfId="0" applyFont="1" applyFill="1" applyBorder="1" applyAlignment="1">
      <alignment horizontal="left" indent="1"/>
    </xf>
    <xf numFmtId="0" fontId="59" fillId="0" borderId="18" xfId="0" applyFont="1" applyFill="1" applyBorder="1" applyAlignment="1">
      <alignment horizontal="left" indent="1"/>
    </xf>
    <xf numFmtId="166" fontId="61" fillId="0" borderId="11" xfId="1" applyNumberFormat="1" applyFont="1" applyFill="1" applyBorder="1" applyAlignment="1">
      <alignment vertical="center"/>
    </xf>
    <xf numFmtId="166" fontId="61" fillId="0" borderId="13" xfId="1" applyNumberFormat="1" applyFont="1" applyFill="1" applyBorder="1" applyAlignment="1">
      <alignment vertical="center"/>
    </xf>
    <xf numFmtId="166" fontId="60" fillId="0" borderId="17" xfId="1" applyNumberFormat="1" applyFont="1" applyFill="1" applyBorder="1" applyAlignment="1">
      <alignment horizontal="right" vertical="top"/>
    </xf>
    <xf numFmtId="166" fontId="60" fillId="0" borderId="18" xfId="1" applyNumberFormat="1" applyFont="1" applyFill="1" applyBorder="1" applyAlignment="1">
      <alignment horizontal="right" vertical="top"/>
    </xf>
    <xf numFmtId="166" fontId="57" fillId="0" borderId="11" xfId="1" applyNumberFormat="1" applyFont="1" applyFill="1" applyBorder="1"/>
    <xf numFmtId="0" fontId="57" fillId="0" borderId="11" xfId="49" applyFont="1" applyFill="1" applyBorder="1" applyAlignment="1">
      <alignment horizontal="center" vertical="top" wrapText="1"/>
    </xf>
    <xf numFmtId="0" fontId="57" fillId="0" borderId="21" xfId="49" applyFont="1" applyFill="1" applyBorder="1" applyAlignment="1">
      <alignment horizontal="center" vertical="top" wrapText="1"/>
    </xf>
    <xf numFmtId="166" fontId="57" fillId="0" borderId="11" xfId="1" applyNumberFormat="1" applyFont="1" applyFill="1" applyBorder="1" applyAlignment="1">
      <alignment horizontal="center" vertical="top" wrapText="1"/>
    </xf>
    <xf numFmtId="166" fontId="57" fillId="0" borderId="13" xfId="1" applyNumberFormat="1" applyFont="1" applyFill="1" applyBorder="1" applyAlignment="1">
      <alignment horizontal="center" vertical="top" wrapText="1"/>
    </xf>
    <xf numFmtId="166" fontId="57" fillId="0" borderId="21" xfId="1" applyNumberFormat="1" applyFont="1" applyFill="1" applyBorder="1" applyAlignment="1">
      <alignment horizontal="center" vertical="top" wrapText="1"/>
    </xf>
    <xf numFmtId="0" fontId="60" fillId="0" borderId="14" xfId="0" applyFont="1" applyFill="1" applyBorder="1" applyAlignment="1">
      <alignment vertical="center" wrapText="1"/>
    </xf>
    <xf numFmtId="166" fontId="60" fillId="0" borderId="21" xfId="1" applyNumberFormat="1" applyFont="1" applyFill="1" applyBorder="1" applyAlignment="1">
      <alignment horizontal="center" vertical="center"/>
    </xf>
    <xf numFmtId="166" fontId="60" fillId="0" borderId="16" xfId="1" applyNumberFormat="1" applyFont="1" applyFill="1" applyBorder="1" applyAlignment="1">
      <alignment horizontal="center" vertical="center"/>
    </xf>
    <xf numFmtId="43" fontId="57" fillId="0" borderId="21" xfId="1" applyFont="1" applyFill="1" applyBorder="1" applyAlignment="1"/>
    <xf numFmtId="43" fontId="57" fillId="0" borderId="21" xfId="48" applyNumberFormat="1" applyFont="1" applyFill="1" applyBorder="1" applyAlignment="1">
      <alignment horizontal="center" vertical="top"/>
    </xf>
    <xf numFmtId="0" fontId="60" fillId="0" borderId="11" xfId="49" applyFont="1" applyFill="1" applyBorder="1" applyAlignment="1">
      <alignment vertical="top" wrapText="1"/>
    </xf>
    <xf numFmtId="167" fontId="60" fillId="0" borderId="11" xfId="46" applyNumberFormat="1" applyFont="1" applyFill="1" applyBorder="1" applyAlignment="1">
      <alignment horizontal="center" vertical="top"/>
    </xf>
    <xf numFmtId="167" fontId="60" fillId="0" borderId="21" xfId="46" applyNumberFormat="1" applyFont="1" applyFill="1" applyBorder="1" applyAlignment="1">
      <alignment horizontal="center" vertical="top"/>
    </xf>
    <xf numFmtId="166" fontId="60" fillId="0" borderId="11" xfId="1" applyNumberFormat="1" applyFont="1" applyFill="1" applyBorder="1" applyAlignment="1">
      <alignment horizontal="center" vertical="top"/>
    </xf>
    <xf numFmtId="166" fontId="60" fillId="0" borderId="21" xfId="1" applyNumberFormat="1" applyFont="1" applyFill="1" applyBorder="1" applyAlignment="1">
      <alignment horizontal="center" vertical="top"/>
    </xf>
    <xf numFmtId="166" fontId="60" fillId="0" borderId="11" xfId="1" applyNumberFormat="1" applyFont="1" applyFill="1" applyBorder="1" applyAlignment="1">
      <alignment vertical="top"/>
    </xf>
    <xf numFmtId="166" fontId="60" fillId="0" borderId="21" xfId="1" applyNumberFormat="1" applyFont="1" applyFill="1" applyBorder="1" applyAlignment="1">
      <alignment vertical="top"/>
    </xf>
    <xf numFmtId="0" fontId="57" fillId="0" borderId="11" xfId="49" applyFont="1" applyFill="1" applyBorder="1" applyAlignment="1">
      <alignment vertical="top" wrapText="1"/>
    </xf>
    <xf numFmtId="167" fontId="57" fillId="0" borderId="11" xfId="46" applyNumberFormat="1" applyFont="1" applyFill="1" applyBorder="1" applyAlignment="1">
      <alignment horizontal="center" vertical="top"/>
    </xf>
    <xf numFmtId="167" fontId="57" fillId="0" borderId="21" xfId="46" applyNumberFormat="1" applyFont="1" applyFill="1" applyBorder="1" applyAlignment="1">
      <alignment horizontal="center" vertical="top"/>
    </xf>
    <xf numFmtId="166" fontId="57" fillId="0" borderId="11" xfId="1" applyNumberFormat="1" applyFont="1" applyFill="1" applyBorder="1" applyAlignment="1">
      <alignment horizontal="center" vertical="top"/>
    </xf>
    <xf numFmtId="166" fontId="60" fillId="0" borderId="23" xfId="1" applyNumberFormat="1" applyFont="1" applyFill="1" applyBorder="1" applyAlignment="1"/>
    <xf numFmtId="166" fontId="60" fillId="0" borderId="18" xfId="1" applyNumberFormat="1" applyFont="1" applyFill="1" applyBorder="1" applyAlignment="1"/>
    <xf numFmtId="166" fontId="60" fillId="0" borderId="23" xfId="1" applyNumberFormat="1" applyFont="1" applyFill="1" applyBorder="1" applyAlignment="1">
      <alignment horizontal="right" vertical="top"/>
    </xf>
    <xf numFmtId="0" fontId="60" fillId="0" borderId="17" xfId="0" applyFont="1" applyFill="1" applyBorder="1" applyAlignment="1">
      <alignment horizontal="left" wrapText="1"/>
    </xf>
    <xf numFmtId="166" fontId="61" fillId="0" borderId="21" xfId="1" applyNumberFormat="1" applyFont="1" applyFill="1" applyBorder="1" applyAlignment="1">
      <alignment vertical="top"/>
    </xf>
    <xf numFmtId="166" fontId="61" fillId="0" borderId="13" xfId="1" applyNumberFormat="1" applyFont="1" applyFill="1" applyBorder="1" applyAlignment="1">
      <alignment vertical="top"/>
    </xf>
    <xf numFmtId="166" fontId="61" fillId="0" borderId="22" xfId="1" applyNumberFormat="1" applyFont="1" applyFill="1" applyBorder="1" applyAlignment="1"/>
    <xf numFmtId="166" fontId="61" fillId="0" borderId="16" xfId="1" applyNumberFormat="1" applyFont="1" applyFill="1" applyBorder="1" applyAlignment="1"/>
    <xf numFmtId="0" fontId="60" fillId="0" borderId="19" xfId="0" applyFont="1" applyFill="1" applyBorder="1" applyAlignment="1">
      <alignment vertical="center"/>
    </xf>
    <xf numFmtId="166" fontId="61" fillId="0" borderId="20" xfId="1" applyNumberFormat="1" applyFont="1" applyFill="1" applyBorder="1" applyAlignment="1"/>
    <xf numFmtId="166" fontId="61" fillId="0" borderId="17" xfId="1" applyNumberFormat="1" applyFont="1" applyFill="1" applyBorder="1" applyAlignment="1"/>
    <xf numFmtId="166" fontId="61" fillId="0" borderId="18" xfId="1" applyNumberFormat="1" applyFont="1" applyFill="1" applyBorder="1" applyAlignment="1"/>
    <xf numFmtId="166" fontId="61" fillId="0" borderId="13" xfId="1" applyNumberFormat="1" applyFont="1" applyFill="1" applyBorder="1" applyAlignment="1"/>
    <xf numFmtId="166" fontId="61" fillId="0" borderId="23" xfId="1" applyNumberFormat="1" applyFont="1" applyFill="1" applyBorder="1" applyAlignment="1">
      <alignment horizontal="right" vertical="top"/>
    </xf>
    <xf numFmtId="166" fontId="61" fillId="0" borderId="18" xfId="1" applyNumberFormat="1" applyFont="1" applyFill="1" applyBorder="1" applyAlignment="1">
      <alignment horizontal="right" vertical="top"/>
    </xf>
    <xf numFmtId="0" fontId="61" fillId="0" borderId="17" xfId="0" applyFont="1" applyFill="1" applyBorder="1" applyAlignment="1">
      <alignment horizontal="center"/>
    </xf>
    <xf numFmtId="0" fontId="60" fillId="0" borderId="14" xfId="0" applyFont="1" applyFill="1" applyBorder="1" applyAlignment="1"/>
    <xf numFmtId="166" fontId="60" fillId="0" borderId="14" xfId="1" applyNumberFormat="1" applyFont="1" applyFill="1" applyBorder="1" applyAlignment="1">
      <alignment horizontal="right" vertical="top"/>
    </xf>
    <xf numFmtId="166" fontId="60" fillId="0" borderId="16" xfId="1" applyNumberFormat="1" applyFont="1" applyFill="1" applyBorder="1" applyAlignment="1">
      <alignment horizontal="right" vertical="top"/>
    </xf>
    <xf numFmtId="166" fontId="60" fillId="0" borderId="0" xfId="1" applyNumberFormat="1" applyFont="1" applyFill="1" applyBorder="1" applyAlignment="1">
      <alignment horizontal="right" vertical="top"/>
    </xf>
    <xf numFmtId="0" fontId="60" fillId="0" borderId="17" xfId="0" applyFont="1" applyFill="1" applyBorder="1" applyAlignment="1">
      <alignment horizontal="left" vertical="top"/>
    </xf>
    <xf numFmtId="166" fontId="60" fillId="0" borderId="17" xfId="1" applyNumberFormat="1" applyFont="1" applyFill="1" applyBorder="1" applyAlignment="1">
      <alignment vertical="top" wrapText="1"/>
    </xf>
    <xf numFmtId="166" fontId="60" fillId="0" borderId="18" xfId="1" applyNumberFormat="1" applyFont="1" applyFill="1" applyBorder="1" applyAlignment="1">
      <alignment vertical="top" wrapText="1"/>
    </xf>
    <xf numFmtId="0" fontId="60" fillId="0" borderId="19" xfId="0" applyFont="1" applyFill="1" applyBorder="1" applyAlignment="1">
      <alignment horizontal="left" vertical="top"/>
    </xf>
    <xf numFmtId="166" fontId="60" fillId="0" borderId="10" xfId="1" applyNumberFormat="1" applyFont="1" applyFill="1" applyBorder="1" applyAlignment="1">
      <alignment vertical="top" wrapText="1"/>
    </xf>
    <xf numFmtId="166" fontId="60" fillId="0" borderId="20" xfId="1" applyNumberFormat="1" applyFont="1" applyFill="1" applyBorder="1" applyAlignment="1">
      <alignment vertical="top" wrapText="1"/>
    </xf>
    <xf numFmtId="0" fontId="61" fillId="0" borderId="17" xfId="0" applyFont="1" applyFill="1" applyBorder="1" applyAlignment="1">
      <alignment wrapText="1"/>
    </xf>
    <xf numFmtId="0" fontId="74" fillId="0" borderId="17" xfId="0" applyFont="1" applyBorder="1"/>
    <xf numFmtId="0" fontId="60" fillId="0" borderId="17" xfId="0" applyFont="1" applyFill="1" applyBorder="1"/>
    <xf numFmtId="166" fontId="60" fillId="0" borderId="26" xfId="1" applyNumberFormat="1" applyFont="1" applyFill="1" applyBorder="1" applyAlignment="1">
      <alignment horizontal="right" vertical="top"/>
    </xf>
    <xf numFmtId="166" fontId="60" fillId="0" borderId="20" xfId="1" applyNumberFormat="1" applyFont="1" applyFill="1" applyBorder="1" applyAlignment="1">
      <alignment horizontal="right" vertical="top"/>
    </xf>
    <xf numFmtId="166" fontId="61" fillId="0" borderId="20" xfId="1" applyNumberFormat="1" applyFont="1" applyFill="1" applyBorder="1" applyAlignment="1">
      <alignment horizontal="right" vertical="top"/>
    </xf>
    <xf numFmtId="166" fontId="74" fillId="0" borderId="23" xfId="1" applyNumberFormat="1" applyFont="1" applyFill="1" applyBorder="1" applyAlignment="1">
      <alignment horizontal="right" vertical="top"/>
    </xf>
    <xf numFmtId="166" fontId="60" fillId="0" borderId="18" xfId="1" applyNumberFormat="1" applyFont="1" applyFill="1" applyBorder="1" applyAlignment="1">
      <alignment horizontal="center"/>
    </xf>
    <xf numFmtId="166" fontId="61" fillId="0" borderId="21" xfId="1" applyNumberFormat="1" applyFont="1" applyFill="1" applyBorder="1" applyAlignment="1"/>
    <xf numFmtId="166" fontId="61" fillId="0" borderId="23" xfId="1" applyNumberFormat="1" applyFont="1" applyFill="1" applyBorder="1" applyAlignment="1">
      <alignment vertical="top"/>
    </xf>
    <xf numFmtId="166" fontId="61" fillId="0" borderId="18" xfId="1" applyNumberFormat="1" applyFont="1" applyFill="1" applyBorder="1" applyAlignment="1">
      <alignment vertical="top"/>
    </xf>
    <xf numFmtId="166" fontId="61" fillId="0" borderId="22" xfId="1" applyNumberFormat="1" applyFont="1" applyFill="1" applyBorder="1" applyAlignment="1">
      <alignment horizontal="right" vertical="top"/>
    </xf>
    <xf numFmtId="166" fontId="61" fillId="0" borderId="16" xfId="1" applyNumberFormat="1" applyFont="1" applyFill="1" applyBorder="1" applyAlignment="1">
      <alignment horizontal="right" vertical="top"/>
    </xf>
    <xf numFmtId="166" fontId="60" fillId="0" borderId="0" xfId="1" applyNumberFormat="1" applyFont="1" applyFill="1" applyBorder="1"/>
    <xf numFmtId="166" fontId="61" fillId="0" borderId="29" xfId="1" applyNumberFormat="1" applyFont="1" applyFill="1" applyBorder="1" applyAlignment="1">
      <alignment vertical="top"/>
    </xf>
    <xf numFmtId="0" fontId="72" fillId="41" borderId="0" xfId="0" applyFont="1" applyFill="1"/>
    <xf numFmtId="0" fontId="75" fillId="41" borderId="0" xfId="0" applyFont="1" applyFill="1"/>
    <xf numFmtId="166" fontId="72" fillId="41" borderId="0" xfId="1" applyNumberFormat="1" applyFont="1" applyFill="1"/>
    <xf numFmtId="166" fontId="76" fillId="41" borderId="0" xfId="1" applyNumberFormat="1" applyFont="1" applyFill="1" applyAlignment="1">
      <alignment horizontal="right"/>
    </xf>
    <xf numFmtId="0" fontId="72" fillId="0" borderId="0" xfId="0" applyNumberFormat="1" applyFont="1" applyFill="1" applyAlignment="1">
      <alignment vertical="top"/>
    </xf>
    <xf numFmtId="166" fontId="61" fillId="0" borderId="0" xfId="1" applyNumberFormat="1" applyFont="1" applyFill="1" applyBorder="1"/>
    <xf numFmtId="166" fontId="61" fillId="0" borderId="12" xfId="1" applyNumberFormat="1" applyFont="1" applyFill="1" applyBorder="1"/>
    <xf numFmtId="166" fontId="75" fillId="0" borderId="0" xfId="1" applyNumberFormat="1" applyFont="1" applyFill="1" applyBorder="1"/>
    <xf numFmtId="0" fontId="72" fillId="0" borderId="0" xfId="0" applyFont="1" applyFill="1" applyBorder="1"/>
    <xf numFmtId="0" fontId="75" fillId="0" borderId="0" xfId="0" applyFont="1" applyFill="1" applyBorder="1" applyAlignment="1">
      <alignment horizontal="center" vertical="center" wrapText="1"/>
    </xf>
    <xf numFmtId="166" fontId="75" fillId="0" borderId="0" xfId="1" applyNumberFormat="1" applyFont="1" applyFill="1" applyBorder="1" applyAlignment="1">
      <alignment horizontal="center" vertical="center" wrapText="1"/>
    </xf>
    <xf numFmtId="0" fontId="74" fillId="0" borderId="0" xfId="0" applyFont="1"/>
    <xf numFmtId="0" fontId="77" fillId="39" borderId="25" xfId="43" applyFont="1" applyFill="1" applyBorder="1" applyAlignment="1">
      <alignment horizontal="center" vertical="center"/>
    </xf>
    <xf numFmtId="0" fontId="77" fillId="39" borderId="34" xfId="43" applyFont="1" applyFill="1" applyBorder="1" applyAlignment="1">
      <alignment horizontal="center" vertical="center"/>
    </xf>
    <xf numFmtId="43" fontId="74" fillId="0" borderId="17" xfId="1" applyFont="1" applyBorder="1" applyAlignment="1">
      <alignment horizontal="right" vertical="center" wrapText="1"/>
    </xf>
    <xf numFmtId="43" fontId="74" fillId="0" borderId="0" xfId="1" applyFont="1" applyFill="1" applyBorder="1" applyAlignment="1">
      <alignment horizontal="right" vertical="center" indent="1"/>
    </xf>
    <xf numFmtId="43" fontId="74" fillId="0" borderId="0" xfId="1" applyFont="1" applyBorder="1" applyAlignment="1">
      <alignment horizontal="right" vertical="center" wrapText="1"/>
    </xf>
    <xf numFmtId="43" fontId="74" fillId="0" borderId="18" xfId="1" applyFont="1" applyFill="1" applyBorder="1" applyAlignment="1">
      <alignment horizontal="right" vertical="center" wrapText="1"/>
    </xf>
    <xf numFmtId="166" fontId="74" fillId="0" borderId="0" xfId="1" applyNumberFormat="1" applyFont="1" applyFill="1" applyBorder="1" applyAlignment="1">
      <alignment horizontal="right" vertical="center" indent="1"/>
    </xf>
    <xf numFmtId="166" fontId="74" fillId="0" borderId="18" xfId="1" applyNumberFormat="1" applyFont="1" applyFill="1" applyBorder="1" applyAlignment="1">
      <alignment horizontal="right" vertical="center" wrapText="1"/>
    </xf>
    <xf numFmtId="43" fontId="74" fillId="0" borderId="17" xfId="1" applyFont="1" applyFill="1" applyBorder="1" applyAlignment="1">
      <alignment horizontal="right" vertical="center" wrapText="1"/>
    </xf>
    <xf numFmtId="43" fontId="74" fillId="0" borderId="0" xfId="1" applyFont="1" applyFill="1" applyBorder="1" applyAlignment="1">
      <alignment horizontal="right" vertical="center" wrapText="1"/>
    </xf>
    <xf numFmtId="43" fontId="77" fillId="0" borderId="11" xfId="1" applyFont="1" applyFill="1" applyBorder="1" applyAlignment="1">
      <alignment horizontal="right" vertical="center" wrapText="1"/>
    </xf>
    <xf numFmtId="43" fontId="77" fillId="0" borderId="12" xfId="1" applyFont="1" applyFill="1" applyBorder="1" applyAlignment="1">
      <alignment horizontal="right" vertical="center" wrapText="1"/>
    </xf>
    <xf numFmtId="166" fontId="77" fillId="0" borderId="13" xfId="1" applyNumberFormat="1" applyFont="1" applyFill="1" applyBorder="1" applyAlignment="1">
      <alignment horizontal="right" vertical="center" wrapText="1"/>
    </xf>
    <xf numFmtId="166" fontId="77" fillId="0" borderId="12" xfId="1" applyNumberFormat="1" applyFont="1" applyFill="1" applyBorder="1" applyAlignment="1">
      <alignment horizontal="right" vertical="center" wrapText="1"/>
    </xf>
    <xf numFmtId="43" fontId="77" fillId="0" borderId="13" xfId="1" applyFont="1" applyFill="1" applyBorder="1" applyAlignment="1">
      <alignment horizontal="right" vertical="center" wrapText="1"/>
    </xf>
    <xf numFmtId="43" fontId="77" fillId="0" borderId="0" xfId="1" applyFont="1" applyFill="1" applyBorder="1" applyAlignment="1">
      <alignment horizontal="right" vertical="center" indent="1"/>
    </xf>
    <xf numFmtId="166" fontId="77" fillId="0" borderId="0" xfId="1" applyNumberFormat="1" applyFont="1" applyFill="1" applyBorder="1" applyAlignment="1">
      <alignment horizontal="right" vertical="center" indent="1"/>
    </xf>
    <xf numFmtId="166" fontId="74" fillId="0" borderId="17" xfId="1" applyNumberFormat="1" applyFont="1" applyFill="1" applyBorder="1" applyAlignment="1">
      <alignment horizontal="right" vertical="center" wrapText="1"/>
    </xf>
    <xf numFmtId="166" fontId="74" fillId="0" borderId="0" xfId="1" applyNumberFormat="1" applyFont="1" applyFill="1" applyBorder="1" applyAlignment="1">
      <alignment horizontal="right" vertical="center" wrapText="1"/>
    </xf>
    <xf numFmtId="0" fontId="74" fillId="0" borderId="0" xfId="43" quotePrefix="1" applyFont="1" applyAlignment="1">
      <alignment horizontal="justify" vertical="top" wrapText="1"/>
    </xf>
    <xf numFmtId="0" fontId="78" fillId="33" borderId="0" xfId="66" applyFont="1" applyFill="1" applyBorder="1" applyAlignment="1">
      <alignment horizontal="center" vertical="center" wrapText="1"/>
    </xf>
    <xf numFmtId="43" fontId="77" fillId="0" borderId="22" xfId="1" applyFont="1" applyBorder="1" applyAlignment="1"/>
    <xf numFmtId="43" fontId="77" fillId="0" borderId="16" xfId="1" applyFont="1" applyBorder="1" applyAlignment="1"/>
    <xf numFmtId="43" fontId="74" fillId="0" borderId="23" xfId="1" applyFont="1" applyBorder="1"/>
    <xf numFmtId="43" fontId="79" fillId="33" borderId="0" xfId="1" applyFont="1" applyFill="1" applyBorder="1"/>
    <xf numFmtId="0" fontId="74" fillId="33" borderId="17" xfId="66" applyFont="1" applyFill="1" applyBorder="1"/>
    <xf numFmtId="166" fontId="74" fillId="33" borderId="23" xfId="1" applyNumberFormat="1" applyFont="1" applyFill="1" applyBorder="1"/>
    <xf numFmtId="166" fontId="74" fillId="33" borderId="18" xfId="1" applyNumberFormat="1" applyFont="1" applyFill="1" applyBorder="1"/>
    <xf numFmtId="166" fontId="74" fillId="0" borderId="23" xfId="1" applyNumberFormat="1" applyFont="1" applyFill="1" applyBorder="1"/>
    <xf numFmtId="166" fontId="77" fillId="0" borderId="21" xfId="1" applyNumberFormat="1" applyFont="1" applyFill="1" applyBorder="1" applyAlignment="1">
      <alignment horizontal="left" vertical="center"/>
    </xf>
    <xf numFmtId="43" fontId="78" fillId="33" borderId="0" xfId="1" applyFont="1" applyFill="1" applyBorder="1" applyAlignment="1">
      <alignment horizontal="center" vertical="center"/>
    </xf>
    <xf numFmtId="0" fontId="74" fillId="0" borderId="0" xfId="0" applyFont="1" applyFill="1"/>
    <xf numFmtId="171" fontId="74" fillId="0" borderId="0" xfId="0" applyNumberFormat="1" applyFont="1" applyFill="1"/>
    <xf numFmtId="0" fontId="77" fillId="33" borderId="14" xfId="66" applyFont="1" applyFill="1" applyBorder="1" applyAlignment="1">
      <alignment wrapText="1"/>
    </xf>
    <xf numFmtId="166" fontId="77" fillId="33" borderId="22" xfId="1" applyNumberFormat="1" applyFont="1" applyFill="1" applyBorder="1" applyAlignment="1">
      <alignment wrapText="1"/>
    </xf>
    <xf numFmtId="166" fontId="77" fillId="33" borderId="16" xfId="1" applyNumberFormat="1" applyFont="1" applyFill="1" applyBorder="1" applyAlignment="1">
      <alignment wrapText="1"/>
    </xf>
    <xf numFmtId="166" fontId="74" fillId="33" borderId="23" xfId="1" applyNumberFormat="1" applyFont="1" applyFill="1" applyBorder="1" applyAlignment="1">
      <alignment horizontal="center" vertical="center"/>
    </xf>
    <xf numFmtId="43" fontId="79" fillId="33" borderId="0" xfId="1" applyFont="1" applyFill="1" applyBorder="1" applyAlignment="1">
      <alignment horizontal="center" vertical="center"/>
    </xf>
    <xf numFmtId="166" fontId="77" fillId="33" borderId="23" xfId="1" applyNumberFormat="1" applyFont="1" applyFill="1" applyBorder="1" applyAlignment="1"/>
    <xf numFmtId="166" fontId="77" fillId="33" borderId="18" xfId="1" applyNumberFormat="1" applyFont="1" applyFill="1" applyBorder="1" applyAlignment="1"/>
    <xf numFmtId="166" fontId="74" fillId="33" borderId="17" xfId="1" applyNumberFormat="1" applyFont="1" applyFill="1" applyBorder="1"/>
    <xf numFmtId="171" fontId="74" fillId="0" borderId="0" xfId="0" applyNumberFormat="1" applyFont="1"/>
    <xf numFmtId="166" fontId="77" fillId="0" borderId="21" xfId="1" applyNumberFormat="1" applyFont="1" applyFill="1" applyBorder="1" applyAlignment="1">
      <alignment horizontal="center" vertical="center"/>
    </xf>
    <xf numFmtId="0" fontId="74" fillId="0" borderId="0" xfId="66" applyFont="1" applyAlignment="1">
      <alignment wrapText="1"/>
    </xf>
    <xf numFmtId="0" fontId="74" fillId="0" borderId="0" xfId="66" applyFont="1"/>
    <xf numFmtId="0" fontId="60" fillId="0" borderId="26" xfId="43" applyFont="1" applyFill="1" applyBorder="1" applyAlignment="1">
      <alignment horizontal="left" vertical="center" wrapText="1"/>
    </xf>
    <xf numFmtId="0" fontId="60" fillId="0" borderId="21" xfId="43" applyFont="1" applyFill="1" applyBorder="1" applyAlignment="1">
      <alignment horizontal="left" vertical="center" wrapText="1"/>
    </xf>
    <xf numFmtId="0" fontId="61" fillId="0" borderId="23" xfId="43" quotePrefix="1" applyFont="1" applyFill="1" applyBorder="1" applyAlignment="1">
      <alignment horizontal="left" vertical="center"/>
    </xf>
    <xf numFmtId="166" fontId="60" fillId="0" borderId="18" xfId="1" applyNumberFormat="1" applyFont="1" applyFill="1" applyBorder="1" applyAlignment="1">
      <alignment horizontal="center" vertical="center" wrapText="1"/>
    </xf>
    <xf numFmtId="166" fontId="61" fillId="0" borderId="18" xfId="1" applyNumberFormat="1" applyFont="1" applyFill="1" applyBorder="1" applyAlignment="1">
      <alignment horizontal="center" vertical="center" wrapText="1"/>
    </xf>
    <xf numFmtId="0" fontId="61" fillId="0" borderId="23" xfId="43" applyFont="1" applyFill="1" applyBorder="1" applyAlignment="1">
      <alignment horizontal="left" vertical="center" wrapText="1"/>
    </xf>
    <xf numFmtId="166" fontId="60" fillId="0" borderId="18" xfId="1" applyNumberFormat="1" applyFont="1" applyFill="1" applyBorder="1" applyAlignment="1">
      <alignment horizontal="left" vertical="top"/>
    </xf>
    <xf numFmtId="166" fontId="61" fillId="0" borderId="18" xfId="1" applyNumberFormat="1" applyFont="1" applyFill="1" applyBorder="1" applyAlignment="1">
      <alignment vertical="center" wrapText="1"/>
    </xf>
    <xf numFmtId="166" fontId="60" fillId="0" borderId="18" xfId="1" applyNumberFormat="1" applyFont="1" applyFill="1" applyBorder="1" applyAlignment="1">
      <alignment horizontal="right" vertical="center" indent="1"/>
    </xf>
    <xf numFmtId="166" fontId="60" fillId="0" borderId="18" xfId="1" applyNumberFormat="1" applyFont="1" applyFill="1" applyBorder="1" applyAlignment="1">
      <alignment vertical="center" wrapText="1"/>
    </xf>
    <xf numFmtId="0" fontId="61" fillId="0" borderId="21" xfId="43" applyFont="1" applyFill="1" applyBorder="1" applyAlignment="1">
      <alignment horizontal="left" vertical="center"/>
    </xf>
    <xf numFmtId="0" fontId="74" fillId="0" borderId="11" xfId="0" applyFont="1" applyBorder="1"/>
    <xf numFmtId="166" fontId="61" fillId="0" borderId="13" xfId="1" applyNumberFormat="1" applyFont="1" applyFill="1" applyBorder="1" applyAlignment="1">
      <alignment horizontal="right" vertical="center" indent="1"/>
    </xf>
    <xf numFmtId="0" fontId="60" fillId="0" borderId="22" xfId="43" applyFont="1" applyFill="1" applyBorder="1" applyAlignment="1">
      <alignment vertical="center"/>
    </xf>
    <xf numFmtId="166" fontId="60" fillId="0" borderId="16" xfId="1" applyNumberFormat="1" applyFont="1" applyFill="1" applyBorder="1" applyAlignment="1">
      <alignment vertical="center"/>
    </xf>
    <xf numFmtId="43" fontId="60" fillId="0" borderId="16" xfId="1" applyFont="1" applyFill="1" applyBorder="1" applyAlignment="1">
      <alignment vertical="center"/>
    </xf>
    <xf numFmtId="43" fontId="60" fillId="0" borderId="18" xfId="1" applyFont="1" applyFill="1" applyBorder="1" applyAlignment="1">
      <alignment vertical="center"/>
    </xf>
    <xf numFmtId="43" fontId="60" fillId="0" borderId="18" xfId="1" applyFont="1" applyFill="1" applyBorder="1" applyAlignment="1">
      <alignment horizontal="center" vertical="center" wrapText="1"/>
    </xf>
    <xf numFmtId="0" fontId="61" fillId="0" borderId="23" xfId="43" applyFont="1" applyFill="1" applyBorder="1" applyAlignment="1">
      <alignment horizontal="left" vertical="center"/>
    </xf>
    <xf numFmtId="43" fontId="60" fillId="0" borderId="18" xfId="1" applyFont="1" applyFill="1" applyBorder="1" applyAlignment="1">
      <alignment horizontal="left" vertical="top"/>
    </xf>
    <xf numFmtId="43" fontId="60" fillId="0" borderId="18" xfId="1" applyFont="1" applyFill="1" applyBorder="1" applyAlignment="1">
      <alignment horizontal="right" vertical="center" indent="1"/>
    </xf>
    <xf numFmtId="43" fontId="60" fillId="0" borderId="18" xfId="1" applyFont="1" applyFill="1" applyBorder="1" applyAlignment="1">
      <alignment vertical="center" wrapText="1"/>
    </xf>
    <xf numFmtId="43" fontId="60" fillId="0" borderId="18" xfId="1" applyFont="1" applyFill="1" applyBorder="1" applyAlignment="1">
      <alignment horizontal="center" vertical="center"/>
    </xf>
    <xf numFmtId="43" fontId="61" fillId="0" borderId="13" xfId="1" applyFont="1" applyFill="1" applyBorder="1" applyAlignment="1">
      <alignment horizontal="right" vertical="center" indent="1"/>
    </xf>
    <xf numFmtId="0" fontId="61" fillId="0" borderId="0" xfId="43" applyFont="1" applyFill="1" applyBorder="1" applyAlignment="1">
      <alignment horizontal="left" vertical="center"/>
    </xf>
    <xf numFmtId="3" fontId="61" fillId="0" borderId="0" xfId="43" applyNumberFormat="1" applyFont="1" applyFill="1" applyBorder="1" applyAlignment="1">
      <alignment horizontal="right" vertical="center" indent="1"/>
    </xf>
    <xf numFmtId="3" fontId="61" fillId="0" borderId="0" xfId="43" applyNumberFormat="1" applyFont="1" applyFill="1" applyBorder="1" applyAlignment="1">
      <alignment horizontal="right" vertical="center"/>
    </xf>
    <xf numFmtId="0" fontId="60" fillId="0" borderId="0" xfId="68" applyFont="1" applyFill="1" applyBorder="1" applyAlignment="1">
      <alignment horizontal="left" vertical="top"/>
    </xf>
    <xf numFmtId="0" fontId="61" fillId="0" borderId="10" xfId="68" applyFont="1" applyFill="1" applyBorder="1" applyAlignment="1">
      <alignment horizontal="right" vertical="top"/>
    </xf>
    <xf numFmtId="0" fontId="78" fillId="33" borderId="0" xfId="68" applyFont="1" applyFill="1" applyBorder="1" applyAlignment="1">
      <alignment horizontal="right" vertical="top"/>
    </xf>
    <xf numFmtId="0" fontId="61" fillId="0" borderId="14" xfId="68" applyFont="1" applyFill="1" applyBorder="1" applyAlignment="1">
      <alignment vertical="top" wrapText="1"/>
    </xf>
    <xf numFmtId="0" fontId="74" fillId="0" borderId="16" xfId="0" applyFont="1" applyBorder="1"/>
    <xf numFmtId="0" fontId="61" fillId="0" borderId="19" xfId="68" applyFont="1" applyFill="1" applyBorder="1" applyAlignment="1">
      <alignment vertical="top" wrapText="1"/>
    </xf>
    <xf numFmtId="0" fontId="74" fillId="0" borderId="20" xfId="0" applyFont="1" applyBorder="1"/>
    <xf numFmtId="0" fontId="78" fillId="33" borderId="0" xfId="68" quotePrefix="1" applyFont="1" applyFill="1" applyBorder="1" applyAlignment="1">
      <alignment horizontal="center" vertical="top"/>
    </xf>
    <xf numFmtId="0" fontId="60" fillId="0" borderId="11" xfId="68" applyFont="1" applyFill="1" applyBorder="1" applyAlignment="1">
      <alignment vertical="top" wrapText="1"/>
    </xf>
    <xf numFmtId="0" fontId="74" fillId="0" borderId="13" xfId="0" applyFont="1" applyBorder="1"/>
    <xf numFmtId="3" fontId="74" fillId="0" borderId="13" xfId="0" applyNumberFormat="1" applyFont="1" applyBorder="1"/>
    <xf numFmtId="3" fontId="60" fillId="0" borderId="21" xfId="1" quotePrefix="1" applyNumberFormat="1" applyFont="1" applyFill="1" applyBorder="1" applyAlignment="1">
      <alignment horizontal="right" vertical="center" wrapText="1"/>
    </xf>
    <xf numFmtId="43" fontId="79" fillId="33" borderId="0" xfId="1" applyFont="1" applyFill="1" applyBorder="1" applyAlignment="1">
      <alignment horizontal="center" vertical="top"/>
    </xf>
    <xf numFmtId="3" fontId="74" fillId="0" borderId="13" xfId="1" applyNumberFormat="1" applyFont="1" applyBorder="1"/>
    <xf numFmtId="3" fontId="60" fillId="0" borderId="21" xfId="1" applyNumberFormat="1" applyFont="1" applyFill="1" applyBorder="1" applyAlignment="1">
      <alignment horizontal="right" vertical="center" wrapText="1"/>
    </xf>
    <xf numFmtId="43" fontId="79" fillId="33" borderId="0" xfId="1" applyFont="1" applyFill="1" applyBorder="1" applyAlignment="1">
      <alignment horizontal="right" vertical="top" wrapText="1"/>
    </xf>
    <xf numFmtId="3" fontId="61" fillId="0" borderId="11" xfId="1" applyNumberFormat="1" applyFont="1" applyFill="1" applyBorder="1" applyAlignment="1">
      <alignment horizontal="right" vertical="top" wrapText="1"/>
    </xf>
    <xf numFmtId="3" fontId="61" fillId="0" borderId="21" xfId="1" applyNumberFormat="1" applyFont="1" applyFill="1" applyBorder="1" applyAlignment="1">
      <alignment horizontal="right" vertical="center" wrapText="1"/>
    </xf>
    <xf numFmtId="43" fontId="78" fillId="33" borderId="0" xfId="1" applyFont="1" applyFill="1" applyBorder="1" applyAlignment="1">
      <alignment horizontal="right" vertical="top" wrapText="1"/>
    </xf>
    <xf numFmtId="166" fontId="61" fillId="0" borderId="15" xfId="44" applyNumberFormat="1" applyFont="1" applyFill="1" applyBorder="1" applyAlignment="1">
      <alignment horizontal="center" vertical="center"/>
    </xf>
    <xf numFmtId="166" fontId="78" fillId="33" borderId="0" xfId="44" applyNumberFormat="1" applyFont="1" applyFill="1" applyBorder="1" applyAlignment="1">
      <alignment horizontal="center" vertical="center"/>
    </xf>
    <xf numFmtId="0" fontId="60" fillId="0" borderId="17" xfId="43" applyFont="1" applyFill="1" applyBorder="1" applyAlignment="1">
      <alignment horizontal="left" vertical="center"/>
    </xf>
    <xf numFmtId="0" fontId="60" fillId="0" borderId="0" xfId="43" applyFont="1" applyFill="1" applyBorder="1" applyAlignment="1">
      <alignment vertical="center"/>
    </xf>
    <xf numFmtId="166" fontId="60" fillId="0" borderId="0" xfId="44" quotePrefix="1" applyNumberFormat="1" applyFont="1" applyFill="1" applyBorder="1" applyAlignment="1">
      <alignment horizontal="center" vertical="center"/>
    </xf>
    <xf numFmtId="166" fontId="79" fillId="33" borderId="0" xfId="44" applyNumberFormat="1" applyFont="1" applyFill="1" applyBorder="1" applyAlignment="1">
      <alignment horizontal="center" vertical="center"/>
    </xf>
    <xf numFmtId="166" fontId="74" fillId="0" borderId="13" xfId="1" applyNumberFormat="1" applyFont="1" applyBorder="1" applyAlignment="1"/>
    <xf numFmtId="166" fontId="60" fillId="0" borderId="21" xfId="1" quotePrefix="1" applyNumberFormat="1" applyFont="1" applyFill="1" applyBorder="1" applyAlignment="1">
      <alignment horizontal="center" vertical="top"/>
    </xf>
    <xf numFmtId="166" fontId="60" fillId="0" borderId="21" xfId="1" applyNumberFormat="1" applyFont="1" applyFill="1" applyBorder="1" applyAlignment="1">
      <alignment horizontal="right" vertical="top"/>
    </xf>
    <xf numFmtId="166" fontId="61" fillId="0" borderId="11" xfId="1" applyNumberFormat="1" applyFont="1" applyFill="1" applyBorder="1" applyAlignment="1">
      <alignment horizontal="right" vertical="top"/>
    </xf>
    <xf numFmtId="166" fontId="61" fillId="0" borderId="21" xfId="1" applyNumberFormat="1" applyFont="1" applyFill="1" applyBorder="1" applyAlignment="1">
      <alignment horizontal="right" vertical="top"/>
    </xf>
    <xf numFmtId="0" fontId="61" fillId="0" borderId="14" xfId="43" applyFont="1" applyFill="1" applyBorder="1" applyAlignment="1">
      <alignment vertical="center"/>
    </xf>
    <xf numFmtId="0" fontId="61" fillId="0" borderId="16" xfId="43" applyFont="1" applyFill="1" applyBorder="1" applyAlignment="1">
      <alignment horizontal="left" vertical="center"/>
    </xf>
    <xf numFmtId="0" fontId="61" fillId="0" borderId="19" xfId="43" applyFont="1" applyFill="1" applyBorder="1" applyAlignment="1">
      <alignment horizontal="left" vertical="center"/>
    </xf>
    <xf numFmtId="0" fontId="61" fillId="0" borderId="20" xfId="43" applyFont="1" applyFill="1" applyBorder="1" applyAlignment="1">
      <alignment horizontal="left" vertical="center"/>
    </xf>
    <xf numFmtId="0" fontId="60" fillId="0" borderId="13" xfId="43" applyFont="1" applyFill="1" applyBorder="1" applyAlignment="1">
      <alignment horizontal="left" vertical="center"/>
    </xf>
    <xf numFmtId="0" fontId="80" fillId="0" borderId="21" xfId="0" applyFont="1" applyBorder="1" applyAlignment="1">
      <alignment horizontal="center"/>
    </xf>
    <xf numFmtId="43" fontId="60" fillId="0" borderId="21" xfId="1" quotePrefix="1" applyFont="1" applyFill="1" applyBorder="1" applyAlignment="1">
      <alignment horizontal="center" vertical="center"/>
    </xf>
    <xf numFmtId="0" fontId="60" fillId="0" borderId="11" xfId="43" applyFont="1" applyFill="1" applyBorder="1" applyAlignment="1">
      <alignment vertical="center"/>
    </xf>
    <xf numFmtId="0" fontId="60" fillId="0" borderId="13" xfId="43" applyFont="1" applyFill="1" applyBorder="1" applyAlignment="1">
      <alignment vertical="center"/>
    </xf>
    <xf numFmtId="9" fontId="80" fillId="0" borderId="21" xfId="50" applyFont="1" applyBorder="1" applyAlignment="1">
      <alignment horizontal="center"/>
    </xf>
    <xf numFmtId="166" fontId="60" fillId="0" borderId="21" xfId="1" applyNumberFormat="1" applyFont="1" applyFill="1" applyBorder="1" applyAlignment="1">
      <alignment vertical="center"/>
    </xf>
    <xf numFmtId="166" fontId="60" fillId="0" borderId="21" xfId="1" quotePrefix="1" applyNumberFormat="1" applyFont="1" applyFill="1" applyBorder="1" applyAlignment="1">
      <alignment horizontal="center" vertical="center"/>
    </xf>
    <xf numFmtId="166" fontId="60" fillId="0" borderId="26" xfId="1" quotePrefix="1" applyNumberFormat="1" applyFont="1" applyFill="1" applyBorder="1" applyAlignment="1">
      <alignment horizontal="center" vertical="center"/>
    </xf>
    <xf numFmtId="0" fontId="80" fillId="0" borderId="0" xfId="0" applyFont="1"/>
    <xf numFmtId="0" fontId="26" fillId="0" borderId="11" xfId="0" applyNumberFormat="1" applyFont="1" applyBorder="1" applyAlignment="1">
      <alignment vertical="top"/>
    </xf>
    <xf numFmtId="0" fontId="26" fillId="0" borderId="11" xfId="0" applyFont="1" applyFill="1" applyBorder="1" applyAlignment="1">
      <alignment vertical="top"/>
    </xf>
    <xf numFmtId="43" fontId="44" fillId="0" borderId="0" xfId="1" applyFont="1" applyFill="1" applyBorder="1" applyAlignment="1">
      <alignment vertical="top"/>
    </xf>
    <xf numFmtId="0" fontId="80" fillId="0" borderId="0" xfId="0" applyFont="1" applyFill="1" applyAlignment="1">
      <alignment horizontal="center" vertical="center"/>
    </xf>
    <xf numFmtId="166" fontId="81" fillId="0" borderId="21" xfId="1" applyNumberFormat="1" applyFont="1" applyBorder="1"/>
    <xf numFmtId="166" fontId="80" fillId="0" borderId="21" xfId="1" applyNumberFormat="1" applyFont="1" applyBorder="1"/>
    <xf numFmtId="1" fontId="81" fillId="0" borderId="21" xfId="1" applyNumberFormat="1" applyFont="1" applyBorder="1" applyAlignment="1">
      <alignment horizontal="center"/>
    </xf>
    <xf numFmtId="0" fontId="32" fillId="0" borderId="0" xfId="0" applyFont="1"/>
    <xf numFmtId="0" fontId="65" fillId="0" borderId="0" xfId="0" applyFont="1"/>
    <xf numFmtId="0" fontId="80" fillId="0" borderId="0" xfId="0" applyFont="1" applyAlignment="1">
      <alignment wrapText="1"/>
    </xf>
    <xf numFmtId="0" fontId="65" fillId="0" borderId="0" xfId="0" applyFont="1" applyAlignment="1">
      <alignment horizontal="left"/>
    </xf>
    <xf numFmtId="166" fontId="65" fillId="0" borderId="0" xfId="0" applyNumberFormat="1" applyFont="1"/>
    <xf numFmtId="0" fontId="64" fillId="40" borderId="13" xfId="0" applyFont="1" applyFill="1" applyBorder="1" applyAlignment="1">
      <alignment horizontal="left" vertical="top"/>
    </xf>
    <xf numFmtId="0" fontId="64" fillId="40" borderId="13" xfId="0" applyFont="1" applyFill="1" applyBorder="1" applyAlignment="1">
      <alignment horizontal="left" vertical="center" wrapText="1"/>
    </xf>
    <xf numFmtId="166" fontId="62" fillId="0" borderId="18" xfId="1" applyNumberFormat="1" applyFont="1" applyFill="1" applyBorder="1" applyAlignment="1">
      <alignment horizontal="left" vertical="top"/>
    </xf>
    <xf numFmtId="43" fontId="62" fillId="0" borderId="18" xfId="1" applyFont="1" applyFill="1" applyBorder="1" applyAlignment="1">
      <alignment horizontal="left" vertical="top"/>
    </xf>
    <xf numFmtId="43" fontId="64" fillId="0" borderId="13" xfId="1" applyFont="1" applyFill="1" applyBorder="1" applyAlignment="1">
      <alignment horizontal="left" vertical="top"/>
    </xf>
    <xf numFmtId="43" fontId="64" fillId="0" borderId="16" xfId="1" applyFont="1" applyFill="1" applyBorder="1" applyAlignment="1">
      <alignment horizontal="left" vertical="top"/>
    </xf>
    <xf numFmtId="43" fontId="64" fillId="0" borderId="18" xfId="1" applyFont="1" applyFill="1" applyBorder="1" applyAlignment="1">
      <alignment horizontal="left" vertical="top"/>
    </xf>
    <xf numFmtId="43" fontId="62" fillId="0" borderId="20" xfId="1" applyFont="1" applyFill="1" applyBorder="1" applyAlignment="1">
      <alignment horizontal="left" vertical="top"/>
    </xf>
    <xf numFmtId="0" fontId="65" fillId="0" borderId="0" xfId="0" applyFont="1" applyAlignment="1">
      <alignment wrapText="1"/>
    </xf>
    <xf numFmtId="0" fontId="72" fillId="0" borderId="17" xfId="0" applyFont="1" applyFill="1" applyBorder="1" applyAlignment="1">
      <alignment horizontal="center" vertical="top"/>
    </xf>
    <xf numFmtId="0" fontId="72" fillId="0" borderId="14" xfId="0" applyFont="1" applyFill="1" applyBorder="1" applyAlignment="1">
      <alignment horizontal="center"/>
    </xf>
    <xf numFmtId="0" fontId="72" fillId="0" borderId="15" xfId="0" applyFont="1" applyFill="1" applyBorder="1" applyAlignment="1">
      <alignment horizontal="center"/>
    </xf>
    <xf numFmtId="166" fontId="72" fillId="0" borderId="16" xfId="1" applyNumberFormat="1" applyFont="1" applyFill="1" applyBorder="1"/>
    <xf numFmtId="0" fontId="72" fillId="0" borderId="17" xfId="0" applyFont="1" applyFill="1" applyBorder="1" applyAlignment="1">
      <alignment horizontal="center"/>
    </xf>
    <xf numFmtId="0" fontId="72" fillId="0" borderId="0" xfId="0" applyFont="1" applyFill="1" applyBorder="1" applyAlignment="1">
      <alignment horizontal="center"/>
    </xf>
    <xf numFmtId="166" fontId="72" fillId="0" borderId="18" xfId="1" applyNumberFormat="1" applyFont="1" applyFill="1" applyBorder="1"/>
    <xf numFmtId="43" fontId="72" fillId="0" borderId="17" xfId="1" applyFont="1" applyFill="1" applyBorder="1" applyAlignment="1">
      <alignment horizontal="center"/>
    </xf>
    <xf numFmtId="43" fontId="75" fillId="0" borderId="11" xfId="1" applyFont="1" applyFill="1" applyBorder="1" applyAlignment="1">
      <alignment horizontal="center"/>
    </xf>
    <xf numFmtId="43" fontId="75" fillId="0" borderId="17" xfId="1" applyFont="1" applyFill="1" applyBorder="1" applyAlignment="1">
      <alignment horizontal="center"/>
    </xf>
    <xf numFmtId="43" fontId="72" fillId="0" borderId="17" xfId="1" applyFont="1" applyFill="1" applyBorder="1"/>
    <xf numFmtId="43" fontId="75" fillId="0" borderId="11" xfId="1" applyFont="1" applyFill="1" applyBorder="1"/>
    <xf numFmtId="43" fontId="75" fillId="0" borderId="17" xfId="1" applyFont="1" applyFill="1" applyBorder="1"/>
    <xf numFmtId="43" fontId="72" fillId="0" borderId="17" xfId="1" applyFont="1" applyFill="1" applyBorder="1" applyAlignment="1">
      <alignment horizontal="center" vertical="center"/>
    </xf>
    <xf numFmtId="43" fontId="75" fillId="0" borderId="14" xfId="1" applyFont="1" applyFill="1" applyBorder="1"/>
    <xf numFmtId="166" fontId="80" fillId="0" borderId="0" xfId="0" applyNumberFormat="1" applyFont="1"/>
    <xf numFmtId="0" fontId="72" fillId="0" borderId="0" xfId="0" applyFont="1" applyFill="1" applyBorder="1" applyAlignment="1">
      <alignment horizontal="center" vertical="top"/>
    </xf>
    <xf numFmtId="0" fontId="72" fillId="0" borderId="18" xfId="0" applyFont="1" applyFill="1" applyBorder="1" applyAlignment="1">
      <alignment horizontal="center" vertical="top"/>
    </xf>
    <xf numFmtId="166" fontId="72" fillId="0" borderId="17" xfId="1" applyNumberFormat="1" applyFont="1" applyFill="1" applyBorder="1" applyAlignment="1">
      <alignment horizontal="center" vertical="top"/>
    </xf>
    <xf numFmtId="166" fontId="80" fillId="0" borderId="17" xfId="1" applyNumberFormat="1" applyFont="1" applyBorder="1"/>
    <xf numFmtId="166" fontId="75" fillId="0" borderId="11" xfId="1" applyNumberFormat="1" applyFont="1" applyFill="1" applyBorder="1" applyAlignment="1">
      <alignment horizontal="center" vertical="top"/>
    </xf>
    <xf numFmtId="166" fontId="75" fillId="0" borderId="17" xfId="1" applyNumberFormat="1" applyFont="1" applyFill="1" applyBorder="1" applyAlignment="1">
      <alignment horizontal="center" vertical="top"/>
    </xf>
    <xf numFmtId="166" fontId="72" fillId="0" borderId="19" xfId="1" applyNumberFormat="1" applyFont="1" applyFill="1" applyBorder="1" applyAlignment="1">
      <alignment horizontal="center" vertical="top"/>
    </xf>
    <xf numFmtId="166" fontId="75" fillId="0" borderId="11" xfId="1" applyNumberFormat="1" applyFont="1" applyFill="1" applyBorder="1" applyAlignment="1">
      <alignment vertical="top"/>
    </xf>
    <xf numFmtId="166" fontId="72" fillId="0" borderId="17" xfId="1" applyNumberFormat="1" applyFont="1" applyFill="1" applyBorder="1" applyAlignment="1">
      <alignment vertical="top"/>
    </xf>
    <xf numFmtId="166" fontId="72" fillId="0" borderId="0" xfId="1" applyNumberFormat="1" applyFont="1" applyFill="1" applyBorder="1" applyAlignment="1">
      <alignment vertical="top"/>
    </xf>
    <xf numFmtId="43" fontId="59" fillId="0" borderId="0" xfId="1" applyFont="1" applyFill="1" applyBorder="1"/>
    <xf numFmtId="43" fontId="59" fillId="0" borderId="0" xfId="1" applyFont="1" applyFill="1" applyBorder="1" applyAlignment="1">
      <alignment vertical="center"/>
    </xf>
    <xf numFmtId="43" fontId="65" fillId="0" borderId="0" xfId="1" applyFont="1" applyAlignment="1">
      <alignment vertical="center"/>
    </xf>
    <xf numFmtId="0" fontId="57" fillId="0" borderId="0" xfId="0" applyFont="1" applyFill="1" applyBorder="1" applyAlignment="1">
      <alignment horizontal="center"/>
    </xf>
    <xf numFmtId="0" fontId="57" fillId="0" borderId="0" xfId="0" applyFont="1" applyFill="1" applyBorder="1" applyAlignment="1">
      <alignment horizontal="center" vertical="top"/>
    </xf>
    <xf numFmtId="0" fontId="71" fillId="0" borderId="0" xfId="0" applyFont="1" applyFill="1" applyBorder="1" applyAlignment="1">
      <alignment horizontal="left" vertical="center" wrapText="1"/>
    </xf>
    <xf numFmtId="0" fontId="70" fillId="0" borderId="0" xfId="0" applyFont="1" applyFill="1" applyBorder="1" applyAlignment="1">
      <alignment horizontal="left" vertical="center" wrapText="1"/>
    </xf>
    <xf numFmtId="43" fontId="57" fillId="40" borderId="21" xfId="1" applyFont="1" applyFill="1" applyBorder="1" applyAlignment="1">
      <alignment horizontal="center" vertical="center"/>
    </xf>
    <xf numFmtId="0" fontId="60" fillId="0" borderId="17" xfId="0" applyFont="1" applyFill="1" applyBorder="1" applyAlignment="1">
      <alignment horizontal="justify" wrapText="1"/>
    </xf>
    <xf numFmtId="0" fontId="57" fillId="40" borderId="21" xfId="0" applyFont="1" applyFill="1" applyBorder="1" applyAlignment="1">
      <alignment horizontal="center" vertical="center"/>
    </xf>
    <xf numFmtId="15" fontId="78" fillId="33" borderId="0" xfId="66" quotePrefix="1" applyNumberFormat="1" applyFont="1" applyFill="1" applyBorder="1" applyAlignment="1">
      <alignment horizontal="center" vertical="center" wrapText="1"/>
    </xf>
    <xf numFmtId="0" fontId="61" fillId="0" borderId="0" xfId="43" applyFont="1" applyFill="1" applyBorder="1" applyAlignment="1">
      <alignment horizontal="left" vertical="top" wrapText="1"/>
    </xf>
    <xf numFmtId="0" fontId="76" fillId="0" borderId="0" xfId="0" applyFont="1" applyBorder="1" applyAlignment="1">
      <alignment horizontal="center"/>
    </xf>
    <xf numFmtId="166" fontId="66" fillId="0" borderId="17" xfId="1" applyNumberFormat="1" applyFont="1" applyFill="1" applyBorder="1" applyAlignment="1">
      <alignment vertical="center"/>
    </xf>
    <xf numFmtId="166" fontId="57" fillId="0" borderId="12" xfId="1" applyNumberFormat="1" applyFont="1" applyFill="1" applyBorder="1" applyAlignment="1">
      <alignment vertical="center"/>
    </xf>
    <xf numFmtId="166" fontId="57" fillId="0" borderId="13" xfId="1" applyNumberFormat="1" applyFont="1" applyFill="1" applyBorder="1" applyAlignment="1">
      <alignment vertical="center"/>
    </xf>
    <xf numFmtId="166" fontId="59" fillId="0" borderId="12" xfId="1" applyNumberFormat="1" applyFont="1" applyFill="1" applyBorder="1" applyAlignment="1">
      <alignment vertical="center"/>
    </xf>
    <xf numFmtId="166" fontId="59" fillId="0" borderId="13" xfId="1" applyNumberFormat="1" applyFont="1" applyFill="1" applyBorder="1" applyAlignment="1">
      <alignment vertical="center"/>
    </xf>
    <xf numFmtId="166" fontId="59" fillId="0" borderId="12" xfId="1" applyNumberFormat="1" applyFont="1" applyFill="1" applyBorder="1"/>
    <xf numFmtId="166" fontId="59" fillId="0" borderId="11" xfId="1" applyNumberFormat="1" applyFont="1" applyFill="1" applyBorder="1"/>
    <xf numFmtId="166" fontId="59" fillId="0" borderId="10" xfId="1" applyNumberFormat="1" applyFont="1" applyFill="1" applyBorder="1"/>
    <xf numFmtId="166" fontId="59" fillId="0" borderId="19" xfId="1" applyNumberFormat="1" applyFont="1" applyFill="1" applyBorder="1"/>
    <xf numFmtId="166" fontId="61" fillId="0" borderId="23" xfId="1" applyNumberFormat="1" applyFont="1" applyFill="1" applyBorder="1" applyAlignment="1">
      <alignment vertical="top" wrapText="1"/>
    </xf>
    <xf numFmtId="166" fontId="70" fillId="0" borderId="0" xfId="1" applyNumberFormat="1" applyFont="1" applyFill="1" applyBorder="1"/>
    <xf numFmtId="166" fontId="44" fillId="0" borderId="22" xfId="1" applyNumberFormat="1" applyFont="1" applyFill="1" applyBorder="1" applyAlignment="1">
      <alignment horizontal="center"/>
    </xf>
    <xf numFmtId="167" fontId="22" fillId="0" borderId="0" xfId="0" applyNumberFormat="1" applyFont="1"/>
    <xf numFmtId="0" fontId="62" fillId="0" borderId="0" xfId="0" applyFont="1" applyAlignment="1">
      <alignment vertical="top"/>
    </xf>
    <xf numFmtId="43" fontId="64" fillId="0" borderId="15" xfId="0" applyNumberFormat="1" applyFont="1" applyBorder="1" applyAlignment="1">
      <alignment horizontal="center" vertical="top" wrapText="1"/>
    </xf>
    <xf numFmtId="0" fontId="32" fillId="0" borderId="15" xfId="0" applyFont="1" applyBorder="1" applyAlignment="1">
      <alignment horizontal="center" vertical="top"/>
    </xf>
    <xf numFmtId="166" fontId="60" fillId="0" borderId="26" xfId="1" applyNumberFormat="1" applyFont="1" applyFill="1" applyBorder="1"/>
    <xf numFmtId="166" fontId="60" fillId="0" borderId="20" xfId="1" applyNumberFormat="1" applyFont="1" applyFill="1" applyBorder="1"/>
    <xf numFmtId="166" fontId="60" fillId="0" borderId="14" xfId="1" applyNumberFormat="1" applyFont="1" applyFill="1" applyBorder="1" applyAlignment="1">
      <alignment horizontal="center" vertical="center"/>
    </xf>
    <xf numFmtId="166" fontId="60" fillId="0" borderId="22" xfId="1" applyNumberFormat="1" applyFont="1" applyFill="1" applyBorder="1" applyAlignment="1">
      <alignment horizontal="center" vertical="center"/>
    </xf>
    <xf numFmtId="3" fontId="27" fillId="0" borderId="0" xfId="0" applyNumberFormat="1" applyFont="1"/>
    <xf numFmtId="0" fontId="44" fillId="0" borderId="0" xfId="0" applyNumberFormat="1" applyFont="1" applyFill="1" applyAlignment="1">
      <alignment vertical="top"/>
    </xf>
    <xf numFmtId="1" fontId="80" fillId="0" borderId="0" xfId="0" applyNumberFormat="1" applyFont="1"/>
    <xf numFmtId="0" fontId="59" fillId="0" borderId="0" xfId="0" applyFont="1" applyFill="1" applyBorder="1" applyAlignment="1">
      <alignment horizontal="center"/>
    </xf>
    <xf numFmtId="43" fontId="59" fillId="0" borderId="0" xfId="1" applyFont="1" applyFill="1" applyBorder="1" applyAlignment="1"/>
    <xf numFmtId="166" fontId="44" fillId="0" borderId="49" xfId="1" applyNumberFormat="1" applyFont="1" applyFill="1" applyBorder="1" applyAlignment="1">
      <alignment vertical="top"/>
    </xf>
    <xf numFmtId="43" fontId="22" fillId="0" borderId="0" xfId="1" applyFont="1" applyBorder="1" applyAlignment="1">
      <alignment vertical="top"/>
    </xf>
    <xf numFmtId="43" fontId="22" fillId="0" borderId="0" xfId="1" applyFont="1" applyBorder="1" applyAlignment="1">
      <alignment vertical="top" wrapText="1"/>
    </xf>
    <xf numFmtId="43" fontId="26" fillId="0" borderId="0" xfId="1" applyFont="1" applyFill="1" applyBorder="1" applyAlignment="1">
      <alignment vertical="top" wrapText="1"/>
    </xf>
    <xf numFmtId="0" fontId="22" fillId="0" borderId="0" xfId="0" applyFont="1" applyBorder="1" applyAlignment="1">
      <alignment vertical="top"/>
    </xf>
    <xf numFmtId="43" fontId="22" fillId="0" borderId="0" xfId="0" applyNumberFormat="1" applyFont="1" applyBorder="1" applyAlignment="1">
      <alignment vertical="top" wrapText="1"/>
    </xf>
    <xf numFmtId="0" fontId="22" fillId="0" borderId="0" xfId="0" applyFont="1" applyBorder="1" applyAlignment="1">
      <alignment vertical="top" wrapText="1"/>
    </xf>
    <xf numFmtId="0" fontId="62" fillId="0" borderId="0" xfId="0" applyFont="1" applyBorder="1" applyAlignment="1">
      <alignment vertical="top"/>
    </xf>
    <xf numFmtId="0" fontId="64" fillId="0" borderId="0" xfId="0" applyFont="1" applyBorder="1" applyAlignment="1">
      <alignment horizontal="left" vertical="top"/>
    </xf>
    <xf numFmtId="0" fontId="65" fillId="0" borderId="0" xfId="0" applyFont="1" applyBorder="1" applyAlignment="1">
      <alignment vertical="top"/>
    </xf>
    <xf numFmtId="43" fontId="62" fillId="0" borderId="0" xfId="0" applyNumberFormat="1" applyFont="1" applyBorder="1" applyAlignment="1">
      <alignment vertical="top" wrapText="1"/>
    </xf>
    <xf numFmtId="0" fontId="62" fillId="0" borderId="0" xfId="0" applyFont="1" applyBorder="1" applyAlignment="1">
      <alignment vertical="top" wrapText="1"/>
    </xf>
    <xf numFmtId="0" fontId="65" fillId="0" borderId="0" xfId="0" applyFont="1" applyBorder="1" applyAlignment="1">
      <alignment vertical="top" wrapText="1"/>
    </xf>
    <xf numFmtId="0" fontId="60" fillId="0" borderId="27" xfId="43" applyFont="1" applyFill="1" applyBorder="1" applyAlignment="1">
      <alignment vertical="top"/>
    </xf>
    <xf numFmtId="166" fontId="45" fillId="0" borderId="0" xfId="1" applyNumberFormat="1" applyFont="1" applyFill="1" applyBorder="1" applyAlignment="1">
      <alignment horizontal="left" vertical="top"/>
    </xf>
    <xf numFmtId="166" fontId="57" fillId="0" borderId="0" xfId="1" applyNumberFormat="1" applyFont="1" applyFill="1" applyBorder="1" applyAlignment="1">
      <alignment horizontal="left" vertical="top"/>
    </xf>
    <xf numFmtId="166" fontId="61" fillId="0" borderId="0" xfId="1" applyNumberFormat="1" applyFont="1" applyFill="1" applyBorder="1" applyAlignment="1">
      <alignment horizontal="justify" vertical="top"/>
    </xf>
    <xf numFmtId="166" fontId="61" fillId="0" borderId="0" xfId="1" applyNumberFormat="1" applyFont="1" applyFill="1" applyBorder="1" applyAlignment="1">
      <alignment horizontal="left" vertical="top"/>
    </xf>
    <xf numFmtId="0" fontId="60" fillId="0" borderId="28" xfId="43" applyFont="1" applyFill="1" applyBorder="1" applyAlignment="1">
      <alignment vertical="top"/>
    </xf>
    <xf numFmtId="166" fontId="60" fillId="0" borderId="25" xfId="1" applyNumberFormat="1" applyFont="1" applyFill="1" applyBorder="1" applyAlignment="1">
      <alignment vertical="top"/>
    </xf>
    <xf numFmtId="166" fontId="44" fillId="0" borderId="25" xfId="1" applyNumberFormat="1" applyFont="1" applyFill="1" applyBorder="1" applyAlignment="1">
      <alignment vertical="top"/>
    </xf>
    <xf numFmtId="166" fontId="44" fillId="0" borderId="50" xfId="1" applyNumberFormat="1" applyFont="1" applyFill="1" applyBorder="1" applyAlignment="1">
      <alignment vertical="top"/>
    </xf>
    <xf numFmtId="0" fontId="23" fillId="0" borderId="13" xfId="0" applyFont="1" applyFill="1" applyBorder="1" applyAlignment="1">
      <alignment horizontal="center" vertical="center"/>
    </xf>
    <xf numFmtId="0" fontId="22" fillId="0" borderId="16" xfId="0" applyFont="1" applyFill="1" applyBorder="1"/>
    <xf numFmtId="0" fontId="22" fillId="0" borderId="18" xfId="0" applyFont="1" applyFill="1" applyBorder="1"/>
    <xf numFmtId="166" fontId="23" fillId="0" borderId="13" xfId="1" applyNumberFormat="1" applyFont="1" applyFill="1" applyBorder="1" applyAlignment="1">
      <alignment vertical="center"/>
    </xf>
    <xf numFmtId="43" fontId="22" fillId="0" borderId="18" xfId="1" applyFont="1" applyFill="1" applyBorder="1" applyAlignment="1">
      <alignment vertical="center"/>
    </xf>
    <xf numFmtId="43" fontId="23" fillId="0" borderId="13" xfId="1" applyFont="1" applyFill="1" applyBorder="1"/>
    <xf numFmtId="166" fontId="23" fillId="0" borderId="15" xfId="1" applyNumberFormat="1" applyFont="1" applyFill="1" applyBorder="1" applyAlignment="1">
      <alignment horizontal="center" vertical="top" wrapText="1"/>
    </xf>
    <xf numFmtId="43" fontId="22" fillId="0" borderId="12" xfId="1" applyFont="1" applyFill="1" applyBorder="1" applyAlignment="1">
      <alignment horizontal="center" vertical="center"/>
    </xf>
    <xf numFmtId="43" fontId="23" fillId="0" borderId="51" xfId="1" applyFont="1" applyFill="1" applyBorder="1"/>
    <xf numFmtId="166" fontId="23" fillId="0" borderId="12" xfId="1" applyNumberFormat="1" applyFont="1" applyFill="1" applyBorder="1" applyAlignment="1">
      <alignment horizontal="center" vertical="top" wrapText="1"/>
    </xf>
    <xf numFmtId="43" fontId="22" fillId="0" borderId="12" xfId="1" applyFont="1" applyFill="1" applyBorder="1" applyAlignment="1">
      <alignment horizontal="center" vertical="top"/>
    </xf>
    <xf numFmtId="43" fontId="22" fillId="0" borderId="12" xfId="1" applyFont="1" applyFill="1" applyBorder="1" applyAlignment="1">
      <alignment vertical="top"/>
    </xf>
    <xf numFmtId="43" fontId="23" fillId="0" borderId="51" xfId="1" applyFont="1" applyFill="1" applyBorder="1" applyAlignment="1">
      <alignment horizontal="center" vertical="top"/>
    </xf>
    <xf numFmtId="166" fontId="57" fillId="0" borderId="0" xfId="1" applyNumberFormat="1" applyFont="1" applyFill="1" applyBorder="1" applyAlignment="1">
      <alignment horizontal="center" vertical="center"/>
    </xf>
    <xf numFmtId="0" fontId="26" fillId="0" borderId="0" xfId="0" applyFont="1" applyFill="1" applyBorder="1"/>
    <xf numFmtId="0" fontId="61" fillId="0" borderId="17" xfId="0" applyFont="1" applyFill="1" applyBorder="1" applyAlignment="1">
      <alignment horizontal="center" vertical="center"/>
    </xf>
    <xf numFmtId="166" fontId="61" fillId="0" borderId="23" xfId="1" applyNumberFormat="1" applyFont="1" applyFill="1" applyBorder="1" applyAlignment="1">
      <alignment horizontal="center" vertical="top" wrapText="1"/>
    </xf>
    <xf numFmtId="166" fontId="61" fillId="0" borderId="18" xfId="1" applyNumberFormat="1" applyFont="1" applyFill="1" applyBorder="1" applyAlignment="1">
      <alignment horizontal="center" vertical="top" wrapText="1"/>
    </xf>
    <xf numFmtId="166" fontId="57" fillId="40" borderId="21" xfId="1" applyNumberFormat="1" applyFont="1" applyFill="1" applyBorder="1" applyAlignment="1">
      <alignment horizontal="center" vertical="top" wrapText="1"/>
    </xf>
    <xf numFmtId="0" fontId="57" fillId="40" borderId="21" xfId="0" applyFont="1" applyFill="1" applyBorder="1" applyAlignment="1">
      <alignment horizontal="center" vertical="top" wrapText="1"/>
    </xf>
    <xf numFmtId="0" fontId="72" fillId="0" borderId="17" xfId="0" applyNumberFormat="1" applyFont="1" applyFill="1" applyBorder="1" applyAlignment="1">
      <alignment vertical="top"/>
    </xf>
    <xf numFmtId="166" fontId="57" fillId="40" borderId="13" xfId="1" applyNumberFormat="1" applyFont="1" applyFill="1" applyBorder="1" applyAlignment="1">
      <alignment horizontal="center" vertical="top" wrapText="1"/>
    </xf>
    <xf numFmtId="0" fontId="57" fillId="0" borderId="18" xfId="0" applyFont="1" applyFill="1" applyBorder="1"/>
    <xf numFmtId="0" fontId="57" fillId="0" borderId="18" xfId="0" applyFont="1" applyFill="1" applyBorder="1" applyAlignment="1">
      <alignment vertical="top"/>
    </xf>
    <xf numFmtId="0" fontId="61" fillId="0" borderId="18" xfId="0" applyFont="1" applyFill="1" applyBorder="1"/>
    <xf numFmtId="0" fontId="60" fillId="0" borderId="21" xfId="0" applyFont="1" applyFill="1" applyBorder="1"/>
    <xf numFmtId="0" fontId="60" fillId="0" borderId="18" xfId="0" applyFont="1" applyFill="1" applyBorder="1" applyAlignment="1">
      <alignment vertical="top"/>
    </xf>
    <xf numFmtId="166" fontId="61" fillId="0" borderId="16" xfId="1" applyNumberFormat="1" applyFont="1" applyFill="1" applyBorder="1"/>
    <xf numFmtId="166" fontId="61" fillId="0" borderId="15" xfId="1" applyNumberFormat="1" applyFont="1" applyFill="1" applyBorder="1"/>
    <xf numFmtId="0" fontId="57" fillId="40" borderId="13" xfId="0" applyFont="1" applyFill="1" applyBorder="1" applyAlignment="1">
      <alignment horizontal="center" vertical="top" wrapText="1"/>
    </xf>
    <xf numFmtId="0" fontId="75" fillId="0" borderId="18" xfId="0" applyFont="1" applyFill="1" applyBorder="1"/>
    <xf numFmtId="166" fontId="75" fillId="0" borderId="21" xfId="1" applyNumberFormat="1" applyFont="1" applyFill="1" applyBorder="1"/>
    <xf numFmtId="0" fontId="72" fillId="0" borderId="18" xfId="0" applyFont="1" applyFill="1" applyBorder="1" applyAlignment="1">
      <alignment vertical="top"/>
    </xf>
    <xf numFmtId="0" fontId="61" fillId="0" borderId="0" xfId="0" applyFont="1" applyFill="1" applyBorder="1" applyAlignment="1">
      <alignment horizontal="center" vertical="center"/>
    </xf>
    <xf numFmtId="0" fontId="57" fillId="0" borderId="0" xfId="43" applyFont="1" applyFill="1" applyAlignment="1">
      <alignment vertical="center"/>
    </xf>
    <xf numFmtId="0" fontId="59" fillId="0" borderId="0" xfId="43" applyFont="1" applyFill="1" applyAlignment="1">
      <alignment vertical="center"/>
    </xf>
    <xf numFmtId="1" fontId="59" fillId="0" borderId="0" xfId="45" applyNumberFormat="1" applyFont="1" applyFill="1" applyAlignment="1">
      <alignment horizontal="center" vertical="center"/>
    </xf>
    <xf numFmtId="0" fontId="59" fillId="0" borderId="0" xfId="43" applyFont="1" applyFill="1" applyBorder="1" applyAlignment="1">
      <alignment vertical="center"/>
    </xf>
    <xf numFmtId="0" fontId="62" fillId="0" borderId="0" xfId="43" applyFont="1" applyFill="1" applyBorder="1" applyAlignment="1">
      <alignment vertical="center"/>
    </xf>
    <xf numFmtId="1" fontId="59" fillId="0" borderId="18" xfId="45" applyNumberFormat="1" applyFont="1" applyFill="1" applyBorder="1" applyAlignment="1">
      <alignment horizontal="center" vertical="center"/>
    </xf>
    <xf numFmtId="0" fontId="57" fillId="0" borderId="17" xfId="43" applyFont="1" applyFill="1" applyBorder="1" applyAlignment="1">
      <alignment vertical="center"/>
    </xf>
    <xf numFmtId="0" fontId="59" fillId="0" borderId="17" xfId="43" applyFont="1" applyFill="1" applyBorder="1" applyAlignment="1">
      <alignment vertical="center"/>
    </xf>
    <xf numFmtId="0" fontId="62" fillId="0" borderId="17" xfId="43" applyFont="1" applyFill="1" applyBorder="1" applyAlignment="1">
      <alignment vertical="center"/>
    </xf>
    <xf numFmtId="0" fontId="64" fillId="0" borderId="17" xfId="43" applyFont="1" applyFill="1" applyBorder="1" applyAlignment="1">
      <alignment vertical="center"/>
    </xf>
    <xf numFmtId="0" fontId="59" fillId="0" borderId="19" xfId="43" applyFont="1" applyFill="1" applyBorder="1" applyAlignment="1">
      <alignment vertical="center"/>
    </xf>
    <xf numFmtId="1" fontId="59" fillId="0" borderId="20" xfId="45" applyNumberFormat="1" applyFont="1" applyFill="1" applyBorder="1" applyAlignment="1">
      <alignment horizontal="center" vertical="center"/>
    </xf>
    <xf numFmtId="0" fontId="57" fillId="0" borderId="18" xfId="43" applyFont="1" applyFill="1" applyBorder="1" applyAlignment="1">
      <alignment vertical="center"/>
    </xf>
    <xf numFmtId="0" fontId="57" fillId="0" borderId="22" xfId="43" applyFont="1" applyFill="1" applyBorder="1" applyAlignment="1">
      <alignment vertical="center"/>
    </xf>
    <xf numFmtId="0" fontId="59" fillId="0" borderId="23" xfId="43" applyFont="1" applyFill="1" applyBorder="1" applyAlignment="1">
      <alignment vertical="center"/>
    </xf>
    <xf numFmtId="0" fontId="71" fillId="40" borderId="19" xfId="43" applyFont="1" applyFill="1" applyBorder="1" applyAlignment="1">
      <alignment horizontal="center" vertical="center"/>
    </xf>
    <xf numFmtId="0" fontId="71" fillId="40" borderId="10" xfId="43" applyFont="1" applyFill="1" applyBorder="1" applyAlignment="1">
      <alignment horizontal="center" vertical="center"/>
    </xf>
    <xf numFmtId="0" fontId="71" fillId="40" borderId="20" xfId="43" applyFont="1" applyFill="1" applyBorder="1" applyAlignment="1">
      <alignment horizontal="center" vertical="center"/>
    </xf>
    <xf numFmtId="166" fontId="74" fillId="0" borderId="17" xfId="1" applyNumberFormat="1" applyFont="1" applyFill="1" applyBorder="1" applyAlignment="1">
      <alignment horizontal="right" vertical="center" indent="1"/>
    </xf>
    <xf numFmtId="0" fontId="71" fillId="40" borderId="21" xfId="66" applyFont="1" applyFill="1" applyBorder="1" applyAlignment="1">
      <alignment horizontal="center" vertical="center" wrapText="1"/>
    </xf>
    <xf numFmtId="0" fontId="71" fillId="40" borderId="13" xfId="66" applyFont="1" applyFill="1" applyBorder="1" applyAlignment="1">
      <alignment horizontal="center" vertical="center" wrapText="1"/>
    </xf>
    <xf numFmtId="0" fontId="71" fillId="0" borderId="14" xfId="66" applyFont="1" applyBorder="1" applyAlignment="1"/>
    <xf numFmtId="0" fontId="71" fillId="0" borderId="11" xfId="66" applyFont="1" applyFill="1" applyBorder="1" applyAlignment="1">
      <alignment wrapText="1"/>
    </xf>
    <xf numFmtId="0" fontId="71" fillId="33" borderId="17" xfId="66" applyFont="1" applyFill="1" applyBorder="1" applyAlignment="1"/>
    <xf numFmtId="0" fontId="57" fillId="0" borderId="21" xfId="43" applyFont="1" applyFill="1" applyBorder="1" applyAlignment="1">
      <alignment horizontal="center" vertical="center" wrapText="1"/>
    </xf>
    <xf numFmtId="0" fontId="57" fillId="0" borderId="21" xfId="43" applyFont="1" applyFill="1" applyBorder="1" applyAlignment="1">
      <alignment horizontal="center" vertical="center"/>
    </xf>
    <xf numFmtId="166" fontId="32" fillId="0" borderId="21" xfId="1" applyNumberFormat="1" applyFont="1" applyBorder="1" applyAlignment="1">
      <alignment horizontal="center"/>
    </xf>
    <xf numFmtId="166" fontId="32" fillId="0" borderId="21" xfId="1" applyNumberFormat="1" applyFont="1" applyBorder="1" applyAlignment="1">
      <alignment vertical="center"/>
    </xf>
    <xf numFmtId="166" fontId="64" fillId="0" borderId="21" xfId="1" applyNumberFormat="1" applyFont="1" applyBorder="1" applyAlignment="1">
      <alignment horizontal="center" vertical="center" wrapText="1"/>
    </xf>
    <xf numFmtId="166" fontId="32" fillId="0" borderId="21" xfId="1" applyNumberFormat="1" applyFont="1" applyFill="1" applyBorder="1"/>
    <xf numFmtId="166" fontId="32" fillId="0" borderId="21" xfId="1" applyNumberFormat="1" applyFont="1" applyBorder="1"/>
    <xf numFmtId="0" fontId="57" fillId="40" borderId="21" xfId="43" applyFont="1" applyFill="1" applyBorder="1" applyAlignment="1">
      <alignment horizontal="center" vertical="center"/>
    </xf>
    <xf numFmtId="0" fontId="57" fillId="0" borderId="21" xfId="43" applyFont="1" applyFill="1" applyBorder="1" applyAlignment="1">
      <alignment horizontal="left" vertical="center"/>
    </xf>
    <xf numFmtId="0" fontId="57" fillId="0" borderId="23" xfId="43" quotePrefix="1" applyFont="1" applyFill="1" applyBorder="1" applyAlignment="1">
      <alignment horizontal="left" vertical="center"/>
    </xf>
    <xf numFmtId="0" fontId="57" fillId="0" borderId="23" xfId="43" applyFont="1" applyFill="1" applyBorder="1" applyAlignment="1">
      <alignment horizontal="left" vertical="center" wrapText="1"/>
    </xf>
    <xf numFmtId="15" fontId="57" fillId="0" borderId="21" xfId="66" quotePrefix="1" applyNumberFormat="1" applyFont="1" applyFill="1" applyBorder="1" applyAlignment="1">
      <alignment horizontal="center" vertical="center"/>
    </xf>
    <xf numFmtId="0" fontId="57" fillId="0" borderId="21" xfId="68" quotePrefix="1" applyFont="1" applyFill="1" applyBorder="1" applyAlignment="1">
      <alignment horizontal="center" vertical="top"/>
    </xf>
    <xf numFmtId="0" fontId="57" fillId="0" borderId="11" xfId="68" quotePrefix="1" applyFont="1" applyFill="1" applyBorder="1" applyAlignment="1">
      <alignment horizontal="center" vertical="top"/>
    </xf>
    <xf numFmtId="0" fontId="57" fillId="0" borderId="12" xfId="68" applyFont="1" applyFill="1" applyBorder="1" applyAlignment="1">
      <alignment horizontal="center" vertical="top"/>
    </xf>
    <xf numFmtId="0" fontId="57" fillId="0" borderId="11" xfId="43" quotePrefix="1" applyFont="1" applyFill="1" applyBorder="1" applyAlignment="1">
      <alignment horizontal="center" vertical="center"/>
    </xf>
    <xf numFmtId="0" fontId="57" fillId="0" borderId="21" xfId="43" quotePrefix="1" applyFont="1" applyFill="1" applyBorder="1" applyAlignment="1">
      <alignment horizontal="center" vertical="center"/>
    </xf>
    <xf numFmtId="0" fontId="57" fillId="0" borderId="11" xfId="43" applyFont="1" applyFill="1" applyBorder="1" applyAlignment="1">
      <alignment horizontal="left" vertical="center"/>
    </xf>
    <xf numFmtId="0" fontId="72" fillId="0" borderId="18" xfId="43" applyFont="1" applyFill="1" applyBorder="1" applyAlignment="1">
      <alignment vertical="center"/>
    </xf>
    <xf numFmtId="0" fontId="75" fillId="0" borderId="17" xfId="43" applyFont="1" applyFill="1" applyBorder="1" applyAlignment="1">
      <alignment horizontal="left" vertical="center"/>
    </xf>
    <xf numFmtId="0" fontId="57" fillId="0" borderId="21" xfId="43" quotePrefix="1" applyFont="1" applyBorder="1" applyAlignment="1">
      <alignment horizontal="center" vertical="center"/>
    </xf>
    <xf numFmtId="0" fontId="61" fillId="0" borderId="17" xfId="0" applyFont="1" applyFill="1" applyBorder="1"/>
    <xf numFmtId="0" fontId="70" fillId="0" borderId="0" xfId="0" applyFont="1"/>
    <xf numFmtId="0" fontId="80" fillId="0" borderId="18" xfId="0" applyFont="1" applyFill="1" applyBorder="1" applyAlignment="1">
      <alignment horizontal="center"/>
    </xf>
    <xf numFmtId="166" fontId="72" fillId="0" borderId="18" xfId="0" applyNumberFormat="1" applyFont="1" applyFill="1" applyBorder="1" applyAlignment="1">
      <alignment horizontal="center" vertical="top"/>
    </xf>
    <xf numFmtId="0" fontId="72" fillId="0" borderId="20" xfId="0" applyFont="1" applyFill="1" applyBorder="1" applyAlignment="1">
      <alignment horizontal="center" vertical="top"/>
    </xf>
    <xf numFmtId="0" fontId="80" fillId="0" borderId="0" xfId="0" applyFont="1" applyBorder="1"/>
    <xf numFmtId="0" fontId="60" fillId="0" borderId="18" xfId="0" applyFont="1" applyFill="1" applyBorder="1" applyAlignment="1">
      <alignment horizontal="left" vertical="top" indent="2"/>
    </xf>
    <xf numFmtId="0" fontId="75" fillId="0" borderId="18" xfId="0" applyFont="1" applyFill="1" applyBorder="1" applyAlignment="1">
      <alignment horizontal="center" vertical="top"/>
    </xf>
    <xf numFmtId="0" fontId="75" fillId="0" borderId="18" xfId="0" applyFont="1" applyFill="1" applyBorder="1" applyAlignment="1">
      <alignment vertical="top"/>
    </xf>
    <xf numFmtId="0" fontId="60" fillId="0" borderId="18" xfId="0" applyFont="1" applyFill="1" applyBorder="1" applyAlignment="1">
      <alignment horizontal="left" vertical="top" wrapText="1" indent="2"/>
    </xf>
    <xf numFmtId="0" fontId="57" fillId="0" borderId="18" xfId="0" applyFont="1" applyFill="1" applyBorder="1" applyAlignment="1">
      <alignment horizontal="left" vertical="top"/>
    </xf>
    <xf numFmtId="0" fontId="72" fillId="0" borderId="18" xfId="0" applyFont="1" applyFill="1" applyBorder="1" applyAlignment="1">
      <alignment horizontal="left" vertical="top" indent="1"/>
    </xf>
    <xf numFmtId="166" fontId="72" fillId="0" borderId="18" xfId="0" applyNumberFormat="1" applyFont="1" applyFill="1" applyBorder="1" applyAlignment="1">
      <alignment vertical="top"/>
    </xf>
    <xf numFmtId="0" fontId="57" fillId="0" borderId="18" xfId="0" applyFont="1" applyFill="1" applyBorder="1" applyAlignment="1">
      <alignment vertical="top" wrapText="1"/>
    </xf>
    <xf numFmtId="0" fontId="60" fillId="0" borderId="18" xfId="0" applyFont="1" applyFill="1" applyBorder="1" applyAlignment="1">
      <alignment vertical="top" wrapText="1"/>
    </xf>
    <xf numFmtId="0" fontId="80" fillId="0" borderId="17" xfId="0" applyFont="1" applyBorder="1"/>
    <xf numFmtId="0" fontId="80" fillId="0" borderId="19" xfId="0" applyFont="1" applyBorder="1"/>
    <xf numFmtId="0" fontId="57" fillId="0" borderId="20" xfId="0" applyFont="1" applyFill="1" applyBorder="1" applyAlignment="1">
      <alignment vertical="top" wrapText="1"/>
    </xf>
    <xf numFmtId="0" fontId="72" fillId="0" borderId="18" xfId="0" applyFont="1" applyFill="1" applyBorder="1" applyAlignment="1">
      <alignment horizontal="center"/>
    </xf>
    <xf numFmtId="0" fontId="72" fillId="0" borderId="18" xfId="0" applyFont="1" applyFill="1" applyBorder="1"/>
    <xf numFmtId="0" fontId="72" fillId="0" borderId="18" xfId="0" applyFont="1" applyFill="1" applyBorder="1" applyAlignment="1">
      <alignment horizontal="center" vertical="center"/>
    </xf>
    <xf numFmtId="0" fontId="75" fillId="0" borderId="20" xfId="0" applyFont="1" applyFill="1" applyBorder="1"/>
    <xf numFmtId="0" fontId="57" fillId="40" borderId="13" xfId="0" applyFont="1" applyFill="1" applyBorder="1" applyAlignment="1">
      <alignment horizontal="center" vertical="center" wrapText="1"/>
    </xf>
    <xf numFmtId="0" fontId="61" fillId="0" borderId="18" xfId="0" applyFont="1" applyFill="1" applyBorder="1" applyAlignment="1">
      <alignment vertical="center"/>
    </xf>
    <xf numFmtId="0" fontId="57" fillId="0" borderId="18" xfId="0" applyFont="1" applyFill="1" applyBorder="1" applyAlignment="1">
      <alignment horizontal="left" vertical="center" indent="1"/>
    </xf>
    <xf numFmtId="49" fontId="60" fillId="0" borderId="18" xfId="0" applyNumberFormat="1" applyFont="1" applyFill="1" applyBorder="1" applyAlignment="1">
      <alignment horizontal="left" vertical="top" indent="4"/>
    </xf>
    <xf numFmtId="0" fontId="60" fillId="0" borderId="18" xfId="0" applyFont="1" applyFill="1" applyBorder="1" applyAlignment="1">
      <alignment horizontal="left" vertical="top" indent="4"/>
    </xf>
    <xf numFmtId="0" fontId="60" fillId="0" borderId="18" xfId="0" applyFont="1" applyFill="1" applyBorder="1" applyAlignment="1">
      <alignment horizontal="left" indent="4"/>
    </xf>
    <xf numFmtId="0" fontId="57" fillId="0" borderId="18" xfId="0" applyFont="1" applyFill="1" applyBorder="1" applyAlignment="1">
      <alignment horizontal="left" indent="3"/>
    </xf>
    <xf numFmtId="0" fontId="75" fillId="0" borderId="18" xfId="0" applyFont="1" applyFill="1" applyBorder="1" applyAlignment="1">
      <alignment horizontal="left" indent="1"/>
    </xf>
    <xf numFmtId="0" fontId="57" fillId="0" borderId="18" xfId="0" applyFont="1" applyFill="1" applyBorder="1" applyAlignment="1">
      <alignment horizontal="left" indent="1"/>
    </xf>
    <xf numFmtId="0" fontId="57" fillId="0" borderId="18" xfId="0" applyFont="1" applyFill="1" applyBorder="1" applyAlignment="1">
      <alignment horizontal="center" vertical="center"/>
    </xf>
    <xf numFmtId="0" fontId="60" fillId="0" borderId="18" xfId="0" applyFont="1" applyFill="1" applyBorder="1" applyAlignment="1">
      <alignment horizontal="left" vertical="center" indent="4"/>
    </xf>
    <xf numFmtId="0" fontId="75" fillId="0" borderId="18" xfId="0" applyFont="1" applyFill="1" applyBorder="1" applyAlignment="1">
      <alignment horizontal="left" indent="2"/>
    </xf>
    <xf numFmtId="0" fontId="61" fillId="0" borderId="18" xfId="0" applyFont="1" applyFill="1" applyBorder="1" applyAlignment="1">
      <alignment horizontal="left" indent="1"/>
    </xf>
    <xf numFmtId="0" fontId="57" fillId="0" borderId="20" xfId="0" applyFont="1" applyFill="1" applyBorder="1" applyAlignment="1">
      <alignment horizontal="center"/>
    </xf>
    <xf numFmtId="0" fontId="80" fillId="0" borderId="0" xfId="0" applyFont="1" applyFill="1" applyBorder="1" applyAlignment="1">
      <alignment horizontal="center" vertical="center"/>
    </xf>
    <xf numFmtId="0" fontId="32" fillId="0" borderId="15" xfId="0" applyFont="1" applyFill="1" applyBorder="1" applyAlignment="1">
      <alignment horizontal="center" vertical="center"/>
    </xf>
    <xf numFmtId="43" fontId="59" fillId="0" borderId="0" xfId="0" applyNumberFormat="1" applyFont="1" applyFill="1" applyBorder="1" applyAlignment="1">
      <alignment vertical="center"/>
    </xf>
    <xf numFmtId="4" fontId="59" fillId="0" borderId="0" xfId="0" applyNumberFormat="1" applyFont="1" applyFill="1" applyBorder="1" applyAlignment="1">
      <alignment vertical="center"/>
    </xf>
    <xf numFmtId="0" fontId="59" fillId="0" borderId="25" xfId="0" applyFont="1" applyFill="1" applyBorder="1" applyAlignment="1">
      <alignment vertical="center"/>
    </xf>
    <xf numFmtId="166" fontId="59" fillId="0" borderId="25" xfId="0" applyNumberFormat="1" applyFont="1" applyFill="1" applyBorder="1" applyAlignment="1">
      <alignment vertical="center"/>
    </xf>
    <xf numFmtId="0" fontId="62" fillId="0" borderId="0" xfId="43" applyFont="1" applyFill="1" applyBorder="1" applyAlignment="1">
      <alignment horizontal="left" vertical="center"/>
    </xf>
    <xf numFmtId="0" fontId="74" fillId="0" borderId="0" xfId="0" applyFont="1" applyBorder="1"/>
    <xf numFmtId="0" fontId="58" fillId="0" borderId="0" xfId="0" applyFont="1" applyBorder="1"/>
    <xf numFmtId="0" fontId="83" fillId="0" borderId="0" xfId="0" applyFont="1" applyBorder="1" applyAlignment="1"/>
    <xf numFmtId="0" fontId="77" fillId="0" borderId="0" xfId="0" applyFont="1" applyBorder="1"/>
    <xf numFmtId="43" fontId="77" fillId="0" borderId="0" xfId="0" applyNumberFormat="1" applyFont="1" applyBorder="1"/>
    <xf numFmtId="0" fontId="74" fillId="0" borderId="0" xfId="43" applyFont="1" applyBorder="1" applyAlignment="1">
      <alignment horizontal="left" vertical="center"/>
    </xf>
    <xf numFmtId="0" fontId="77" fillId="0" borderId="0" xfId="43" applyFont="1" applyBorder="1" applyAlignment="1">
      <alignment horizontal="left" vertical="center"/>
    </xf>
    <xf numFmtId="0" fontId="74" fillId="0" borderId="0" xfId="43" applyFont="1" applyBorder="1" applyAlignment="1">
      <alignment vertical="top"/>
    </xf>
    <xf numFmtId="0" fontId="77" fillId="0" borderId="0" xfId="66" applyFont="1" applyBorder="1"/>
    <xf numFmtId="0" fontId="74" fillId="0" borderId="0" xfId="43" quotePrefix="1" applyFont="1" applyBorder="1" applyAlignment="1">
      <alignment horizontal="justify" vertical="top" wrapText="1"/>
    </xf>
    <xf numFmtId="0" fontId="74" fillId="0" borderId="0" xfId="66" applyFont="1" applyBorder="1"/>
    <xf numFmtId="49" fontId="71" fillId="0" borderId="0" xfId="0" applyNumberFormat="1" applyFont="1" applyBorder="1" applyAlignment="1">
      <alignment horizontal="center"/>
    </xf>
    <xf numFmtId="0" fontId="60" fillId="0" borderId="0" xfId="43" applyFont="1" applyFill="1" applyBorder="1" applyAlignment="1">
      <alignment horizontal="left" vertical="center"/>
    </xf>
    <xf numFmtId="0" fontId="60" fillId="0" borderId="0" xfId="43" applyFont="1" applyFill="1" applyBorder="1" applyAlignment="1">
      <alignment horizontal="left" vertical="center" indent="2"/>
    </xf>
    <xf numFmtId="0" fontId="60" fillId="0" borderId="0" xfId="43" applyFont="1" applyFill="1" applyBorder="1" applyAlignment="1">
      <alignment vertical="top" wrapText="1"/>
    </xf>
    <xf numFmtId="0" fontId="59" fillId="0" borderId="0" xfId="43" applyFont="1" applyFill="1" applyBorder="1" applyAlignment="1">
      <alignment horizontal="justify" vertical="top" wrapText="1"/>
    </xf>
    <xf numFmtId="0" fontId="60" fillId="0" borderId="0" xfId="43" applyFont="1" applyFill="1" applyBorder="1" applyAlignment="1">
      <alignment horizontal="justify" vertical="top" wrapText="1"/>
    </xf>
    <xf numFmtId="0" fontId="74" fillId="0" borderId="0" xfId="66" applyFont="1" applyFill="1" applyBorder="1" applyAlignment="1">
      <alignment vertical="top"/>
    </xf>
    <xf numFmtId="0" fontId="60" fillId="0" borderId="0" xfId="43" applyFont="1" applyFill="1" applyBorder="1" applyAlignment="1">
      <alignment horizontal="left" vertical="top" wrapText="1"/>
    </xf>
    <xf numFmtId="166" fontId="60" fillId="0" borderId="0" xfId="44" applyNumberFormat="1" applyFont="1" applyFill="1" applyBorder="1" applyAlignment="1">
      <alignment vertical="center"/>
    </xf>
    <xf numFmtId="166" fontId="60" fillId="0" borderId="0" xfId="43" applyNumberFormat="1" applyFont="1" applyFill="1" applyBorder="1" applyAlignment="1">
      <alignment vertical="center"/>
    </xf>
    <xf numFmtId="0" fontId="20" fillId="0" borderId="0" xfId="0" applyFont="1" applyBorder="1" applyAlignment="1">
      <alignment vertical="top" wrapText="1"/>
    </xf>
    <xf numFmtId="0" fontId="63" fillId="0" borderId="0" xfId="0" applyFont="1" applyBorder="1" applyAlignment="1">
      <alignment horizontal="center"/>
    </xf>
    <xf numFmtId="0" fontId="72" fillId="0" borderId="0" xfId="0" applyFont="1" applyBorder="1"/>
    <xf numFmtId="0" fontId="75" fillId="0" borderId="0" xfId="43" applyFont="1" applyBorder="1" applyAlignment="1">
      <alignment horizontal="left" vertical="center" indent="3"/>
    </xf>
    <xf numFmtId="0" fontId="72" fillId="0" borderId="0" xfId="43" applyFont="1" applyBorder="1" applyAlignment="1">
      <alignment vertical="center" wrapText="1"/>
    </xf>
    <xf numFmtId="0" fontId="72" fillId="0" borderId="0" xfId="43" applyFont="1" applyFill="1" applyBorder="1" applyAlignment="1">
      <alignment vertical="center"/>
    </xf>
    <xf numFmtId="0" fontId="65" fillId="0" borderId="0" xfId="0" applyFont="1" applyBorder="1"/>
    <xf numFmtId="0" fontId="70" fillId="0" borderId="0" xfId="0" applyFont="1" applyBorder="1"/>
    <xf numFmtId="0" fontId="32" fillId="0" borderId="0" xfId="0" applyFont="1" applyFill="1" applyBorder="1" applyAlignment="1">
      <alignment horizontal="left" vertical="center"/>
    </xf>
    <xf numFmtId="0" fontId="65" fillId="0" borderId="0" xfId="0" applyFont="1" applyFill="1" applyBorder="1" applyAlignment="1">
      <alignment horizontal="center" vertical="center"/>
    </xf>
    <xf numFmtId="166" fontId="57" fillId="0" borderId="0" xfId="1" applyNumberFormat="1" applyFont="1" applyFill="1" applyBorder="1"/>
    <xf numFmtId="166" fontId="61" fillId="0" borderId="26" xfId="1" applyNumberFormat="1" applyFont="1" applyFill="1" applyBorder="1"/>
    <xf numFmtId="166" fontId="61" fillId="0" borderId="0" xfId="1" applyNumberFormat="1" applyFont="1" applyFill="1" applyBorder="1" applyAlignment="1">
      <alignment horizontal="center"/>
    </xf>
    <xf numFmtId="0" fontId="60" fillId="0" borderId="0" xfId="43" applyFont="1" applyBorder="1" applyAlignment="1">
      <alignment horizontal="left" vertical="center" indent="7"/>
    </xf>
    <xf numFmtId="166" fontId="60" fillId="0" borderId="0" xfId="1" applyNumberFormat="1" applyFont="1" applyFill="1" applyBorder="1" applyAlignment="1">
      <alignment horizontal="center"/>
    </xf>
    <xf numFmtId="166" fontId="61" fillId="0" borderId="12" xfId="1" applyNumberFormat="1" applyFont="1" applyFill="1" applyBorder="1" applyAlignment="1">
      <alignment horizontal="center"/>
    </xf>
    <xf numFmtId="166" fontId="60" fillId="0" borderId="0" xfId="1" applyNumberFormat="1" applyFont="1" applyFill="1" applyBorder="1" applyAlignment="1">
      <alignment horizontal="center" vertical="center"/>
    </xf>
    <xf numFmtId="43" fontId="60" fillId="0" borderId="0" xfId="0" applyNumberFormat="1" applyFont="1" applyFill="1" applyBorder="1" applyAlignment="1">
      <alignment horizontal="center" vertical="top"/>
    </xf>
    <xf numFmtId="166" fontId="60" fillId="0" borderId="0" xfId="1" applyNumberFormat="1" applyFont="1" applyFill="1" applyBorder="1" applyAlignment="1">
      <alignment horizontal="center" vertical="top"/>
    </xf>
    <xf numFmtId="166" fontId="61" fillId="0" borderId="12" xfId="1" applyNumberFormat="1" applyFont="1" applyFill="1" applyBorder="1" applyAlignment="1">
      <alignment horizontal="center" vertical="top"/>
    </xf>
    <xf numFmtId="166" fontId="61" fillId="0" borderId="0" xfId="1" applyNumberFormat="1" applyFont="1" applyFill="1" applyBorder="1" applyAlignment="1">
      <alignment horizontal="center" vertical="top"/>
    </xf>
    <xf numFmtId="166" fontId="60" fillId="0" borderId="17" xfId="1" applyNumberFormat="1" applyFont="1" applyFill="1" applyBorder="1" applyAlignment="1">
      <alignment horizontal="center" vertical="top"/>
    </xf>
    <xf numFmtId="166" fontId="61" fillId="0" borderId="11" xfId="1" applyNumberFormat="1" applyFont="1" applyFill="1" applyBorder="1" applyAlignment="1">
      <alignment horizontal="center" vertical="top"/>
    </xf>
    <xf numFmtId="166" fontId="61" fillId="0" borderId="17" xfId="1" applyNumberFormat="1" applyFont="1" applyFill="1" applyBorder="1" applyAlignment="1">
      <alignment horizontal="center" vertical="top"/>
    </xf>
    <xf numFmtId="166" fontId="60" fillId="0" borderId="10" xfId="1" applyNumberFormat="1" applyFont="1" applyFill="1" applyBorder="1" applyAlignment="1">
      <alignment horizontal="center" vertical="top"/>
    </xf>
    <xf numFmtId="166" fontId="61" fillId="0" borderId="12" xfId="1" applyNumberFormat="1" applyFont="1" applyFill="1" applyBorder="1" applyAlignment="1">
      <alignment vertical="top"/>
    </xf>
    <xf numFmtId="0" fontId="60" fillId="0" borderId="14" xfId="0" applyFont="1" applyFill="1" applyBorder="1" applyAlignment="1">
      <alignment horizontal="center" vertical="center"/>
    </xf>
    <xf numFmtId="0" fontId="60" fillId="0" borderId="22" xfId="0" applyFont="1" applyFill="1" applyBorder="1" applyAlignment="1">
      <alignment horizontal="center" vertical="center"/>
    </xf>
    <xf numFmtId="0" fontId="60" fillId="0" borderId="17" xfId="0" applyFont="1" applyFill="1" applyBorder="1" applyAlignment="1">
      <alignment horizontal="center" vertical="center"/>
    </xf>
    <xf numFmtId="4" fontId="60" fillId="0" borderId="17" xfId="0" applyNumberFormat="1" applyFont="1" applyFill="1" applyBorder="1" applyAlignment="1">
      <alignment horizontal="center" vertical="center"/>
    </xf>
    <xf numFmtId="10" fontId="60" fillId="0" borderId="17" xfId="50" applyNumberFormat="1" applyFont="1" applyFill="1" applyBorder="1" applyAlignment="1">
      <alignment horizontal="center" vertical="center"/>
    </xf>
    <xf numFmtId="10" fontId="60" fillId="0" borderId="23" xfId="0" applyNumberFormat="1" applyFont="1" applyFill="1" applyBorder="1" applyAlignment="1">
      <alignment horizontal="center" vertical="center"/>
    </xf>
    <xf numFmtId="10" fontId="60" fillId="0" borderId="17" xfId="0" applyNumberFormat="1" applyFont="1" applyFill="1" applyBorder="1" applyAlignment="1">
      <alignment horizontal="center" vertical="center"/>
    </xf>
    <xf numFmtId="10" fontId="60" fillId="0" borderId="23" xfId="50" applyNumberFormat="1" applyFont="1" applyFill="1" applyBorder="1" applyAlignment="1">
      <alignment horizontal="center" vertical="center"/>
    </xf>
    <xf numFmtId="0" fontId="60" fillId="0" borderId="19" xfId="0" applyFont="1" applyFill="1" applyBorder="1" applyAlignment="1">
      <alignment horizontal="center" vertical="center"/>
    </xf>
    <xf numFmtId="0" fontId="60" fillId="0" borderId="26" xfId="0" applyFont="1" applyFill="1" applyBorder="1" applyAlignment="1">
      <alignment horizontal="center" vertical="center"/>
    </xf>
    <xf numFmtId="0" fontId="59" fillId="0" borderId="0" xfId="43" applyFont="1" applyFill="1" applyBorder="1" applyAlignment="1">
      <alignment horizontal="left" vertical="center"/>
    </xf>
    <xf numFmtId="43" fontId="59" fillId="0" borderId="0" xfId="1" applyFont="1" applyFill="1" applyBorder="1" applyAlignment="1">
      <alignment horizontal="left" vertical="center"/>
    </xf>
    <xf numFmtId="166" fontId="57" fillId="0" borderId="0" xfId="43" applyNumberFormat="1" applyFont="1" applyFill="1" applyBorder="1" applyAlignment="1">
      <alignment vertical="center"/>
    </xf>
    <xf numFmtId="43" fontId="57" fillId="0" borderId="0" xfId="1" applyFont="1" applyFill="1" applyBorder="1" applyAlignment="1">
      <alignment vertical="center"/>
    </xf>
    <xf numFmtId="166" fontId="57" fillId="0" borderId="18" xfId="43" applyNumberFormat="1" applyFont="1" applyFill="1" applyBorder="1" applyAlignment="1">
      <alignment vertical="center"/>
    </xf>
    <xf numFmtId="0" fontId="57" fillId="0" borderId="22" xfId="43" applyFont="1" applyFill="1" applyBorder="1" applyAlignment="1">
      <alignment horizontal="center" vertical="center"/>
    </xf>
    <xf numFmtId="0" fontId="57" fillId="0" borderId="23" xfId="43" applyFont="1" applyFill="1" applyBorder="1" applyAlignment="1">
      <alignment horizontal="center" vertical="center"/>
    </xf>
    <xf numFmtId="43" fontId="57" fillId="0" borderId="23" xfId="1" applyFont="1" applyFill="1" applyBorder="1" applyAlignment="1">
      <alignment vertical="center"/>
    </xf>
    <xf numFmtId="167" fontId="59" fillId="0" borderId="23" xfId="1" applyNumberFormat="1" applyFont="1" applyFill="1" applyBorder="1" applyAlignment="1">
      <alignment vertical="center"/>
    </xf>
    <xf numFmtId="37" fontId="59" fillId="0" borderId="23" xfId="1" applyNumberFormat="1" applyFont="1" applyFill="1" applyBorder="1" applyAlignment="1">
      <alignment horizontal="right" vertical="center"/>
    </xf>
    <xf numFmtId="167" fontId="57" fillId="0" borderId="21" xfId="1" applyNumberFormat="1" applyFont="1" applyFill="1" applyBorder="1" applyAlignment="1">
      <alignment vertical="center"/>
    </xf>
    <xf numFmtId="167" fontId="57" fillId="0" borderId="23" xfId="1" applyNumberFormat="1" applyFont="1" applyFill="1" applyBorder="1" applyAlignment="1">
      <alignment vertical="center"/>
    </xf>
    <xf numFmtId="37" fontId="57" fillId="0" borderId="21" xfId="1" applyNumberFormat="1" applyFont="1" applyFill="1" applyBorder="1" applyAlignment="1">
      <alignment horizontal="right" vertical="center"/>
    </xf>
    <xf numFmtId="167" fontId="59" fillId="0" borderId="23" xfId="1" applyNumberFormat="1" applyFont="1" applyFill="1" applyBorder="1" applyAlignment="1">
      <alignment horizontal="center" vertical="center"/>
    </xf>
    <xf numFmtId="167" fontId="57" fillId="0" borderId="22" xfId="1" applyNumberFormat="1" applyFont="1" applyFill="1" applyBorder="1" applyAlignment="1">
      <alignment vertical="center"/>
    </xf>
    <xf numFmtId="43" fontId="59" fillId="0" borderId="23" xfId="1" applyFont="1" applyFill="1" applyBorder="1" applyAlignment="1">
      <alignment horizontal="center" vertical="center"/>
    </xf>
    <xf numFmtId="167" fontId="59" fillId="0" borderId="26" xfId="1" applyNumberFormat="1" applyFont="1" applyFill="1" applyBorder="1" applyAlignment="1">
      <alignment vertical="center"/>
    </xf>
    <xf numFmtId="1" fontId="59" fillId="0" borderId="0" xfId="45" applyNumberFormat="1" applyFont="1" applyFill="1" applyBorder="1" applyAlignment="1">
      <alignment horizontal="center" vertical="center"/>
    </xf>
    <xf numFmtId="43" fontId="59" fillId="0" borderId="0" xfId="1" applyFont="1" applyFill="1" applyBorder="1" applyAlignment="1">
      <alignment horizontal="center" vertical="center"/>
    </xf>
    <xf numFmtId="1" fontId="57" fillId="0" borderId="22" xfId="45" applyNumberFormat="1" applyFont="1" applyFill="1" applyBorder="1" applyAlignment="1">
      <alignment horizontal="center" vertical="center"/>
    </xf>
    <xf numFmtId="167" fontId="57" fillId="0" borderId="22" xfId="1" applyNumberFormat="1" applyFont="1" applyFill="1" applyBorder="1" applyAlignment="1">
      <alignment horizontal="center" vertical="center"/>
    </xf>
    <xf numFmtId="10" fontId="59" fillId="0" borderId="23" xfId="74" applyNumberFormat="1" applyFont="1" applyFill="1" applyBorder="1" applyAlignment="1">
      <alignment horizontal="right" vertical="center"/>
    </xf>
    <xf numFmtId="43" fontId="59" fillId="0" borderId="0" xfId="1" applyFont="1" applyFill="1" applyAlignment="1">
      <alignment horizontal="center" vertical="center"/>
    </xf>
    <xf numFmtId="167" fontId="59" fillId="0" borderId="0" xfId="1" applyNumberFormat="1" applyFont="1" applyFill="1" applyAlignment="1">
      <alignment horizontal="right" vertical="center"/>
    </xf>
    <xf numFmtId="0" fontId="57" fillId="0" borderId="0" xfId="43" applyFont="1" applyFill="1" applyAlignment="1">
      <alignment horizontal="center" vertical="center"/>
    </xf>
    <xf numFmtId="43" fontId="70" fillId="0" borderId="0" xfId="0" applyNumberFormat="1" applyFont="1" applyAlignment="1">
      <alignment horizontal="center"/>
    </xf>
    <xf numFmtId="43" fontId="59" fillId="0" borderId="0" xfId="43" applyNumberFormat="1" applyFont="1" applyFill="1" applyAlignment="1">
      <alignment horizontal="center" vertical="center"/>
    </xf>
    <xf numFmtId="43" fontId="57" fillId="0" borderId="0" xfId="43" applyNumberFormat="1" applyFont="1" applyFill="1" applyAlignment="1">
      <alignment horizontal="center" vertical="center"/>
    </xf>
    <xf numFmtId="43" fontId="57" fillId="0" borderId="0" xfId="43" applyNumberFormat="1" applyFont="1" applyFill="1" applyAlignment="1">
      <alignment vertical="center"/>
    </xf>
    <xf numFmtId="43" fontId="59" fillId="0" borderId="0" xfId="43" applyNumberFormat="1" applyFont="1" applyFill="1" applyAlignment="1">
      <alignment vertical="center"/>
    </xf>
    <xf numFmtId="43" fontId="57" fillId="0" borderId="0" xfId="1" applyFont="1" applyFill="1" applyBorder="1" applyAlignment="1">
      <alignment horizontal="center" vertical="center" wrapText="1"/>
    </xf>
    <xf numFmtId="164" fontId="57" fillId="0" borderId="0" xfId="47" applyNumberFormat="1" applyFont="1" applyFill="1" applyBorder="1" applyAlignment="1">
      <alignment horizontal="center" vertical="center" wrapText="1"/>
    </xf>
    <xf numFmtId="164" fontId="57" fillId="0" borderId="0" xfId="47" applyNumberFormat="1" applyFont="1" applyFill="1" applyBorder="1" applyAlignment="1">
      <alignment horizontal="center" vertical="center"/>
    </xf>
    <xf numFmtId="164" fontId="59" fillId="0" borderId="0" xfId="47" applyNumberFormat="1" applyFont="1" applyFill="1" applyBorder="1" applyAlignment="1">
      <alignment vertical="center"/>
    </xf>
    <xf numFmtId="164" fontId="57" fillId="0" borderId="0" xfId="47" applyNumberFormat="1" applyFont="1" applyFill="1" applyBorder="1" applyAlignment="1">
      <alignment vertical="center"/>
    </xf>
    <xf numFmtId="164" fontId="57" fillId="0" borderId="25" xfId="47" applyNumberFormat="1" applyFont="1" applyFill="1" applyBorder="1" applyAlignment="1">
      <alignment horizontal="center" vertical="center"/>
    </xf>
    <xf numFmtId="0" fontId="59" fillId="0" borderId="52" xfId="0" applyFont="1" applyFill="1" applyBorder="1" applyAlignment="1">
      <alignment vertical="center"/>
    </xf>
    <xf numFmtId="164" fontId="57" fillId="0" borderId="52" xfId="47" applyNumberFormat="1" applyFont="1" applyFill="1" applyBorder="1" applyAlignment="1">
      <alignment horizontal="center" vertical="center"/>
    </xf>
    <xf numFmtId="167" fontId="59" fillId="0" borderId="0" xfId="47" applyNumberFormat="1" applyFont="1" applyFill="1" applyBorder="1" applyAlignment="1">
      <alignment vertical="center"/>
    </xf>
    <xf numFmtId="167" fontId="57" fillId="0" borderId="53" xfId="47" applyNumberFormat="1" applyFont="1" applyFill="1" applyBorder="1" applyAlignment="1">
      <alignment vertical="center"/>
    </xf>
    <xf numFmtId="174" fontId="59" fillId="0" borderId="0" xfId="47" applyNumberFormat="1" applyFont="1" applyFill="1" applyAlignment="1">
      <alignment vertical="center"/>
    </xf>
    <xf numFmtId="0" fontId="70" fillId="0" borderId="0" xfId="0" applyFont="1" applyAlignment="1"/>
    <xf numFmtId="0" fontId="58" fillId="0" borderId="0" xfId="0" applyFont="1" applyBorder="1" applyAlignment="1">
      <alignment horizontal="center"/>
    </xf>
    <xf numFmtId="0" fontId="60" fillId="0" borderId="0" xfId="0" applyFont="1" applyBorder="1"/>
    <xf numFmtId="0" fontId="61" fillId="0" borderId="0" xfId="43" applyFont="1" applyBorder="1" applyAlignment="1">
      <alignment horizontal="left" vertical="center" indent="3"/>
    </xf>
    <xf numFmtId="0" fontId="60" fillId="0" borderId="0" xfId="43" applyFont="1" applyBorder="1" applyAlignment="1">
      <alignment vertical="center" wrapText="1"/>
    </xf>
    <xf numFmtId="0" fontId="60" fillId="0" borderId="23" xfId="43" applyFont="1" applyFill="1" applyBorder="1" applyAlignment="1">
      <alignment vertical="center"/>
    </xf>
    <xf numFmtId="0" fontId="84" fillId="0" borderId="0" xfId="0" applyFont="1"/>
    <xf numFmtId="0" fontId="57" fillId="0" borderId="26" xfId="0" applyFont="1" applyFill="1" applyBorder="1" applyAlignment="1"/>
    <xf numFmtId="166" fontId="61" fillId="0" borderId="14" xfId="1" applyNumberFormat="1" applyFont="1" applyFill="1" applyBorder="1" applyAlignment="1"/>
    <xf numFmtId="166" fontId="61" fillId="0" borderId="0" xfId="1" applyNumberFormat="1" applyFont="1" applyFill="1" applyBorder="1" applyAlignment="1"/>
    <xf numFmtId="0" fontId="57" fillId="0" borderId="17" xfId="0" applyFont="1" applyFill="1" applyBorder="1" applyAlignment="1">
      <alignment horizontal="center"/>
    </xf>
    <xf numFmtId="0" fontId="58" fillId="0" borderId="18" xfId="0" applyFont="1" applyFill="1" applyBorder="1" applyAlignment="1">
      <alignment horizontal="right"/>
    </xf>
    <xf numFmtId="0" fontId="60" fillId="0" borderId="11" xfId="0" applyFont="1" applyFill="1" applyBorder="1" applyAlignment="1">
      <alignment vertical="top"/>
    </xf>
    <xf numFmtId="43" fontId="60" fillId="0" borderId="18" xfId="1" applyFont="1" applyFill="1" applyBorder="1"/>
    <xf numFmtId="0" fontId="57" fillId="0" borderId="18" xfId="0" applyFont="1" applyFill="1" applyBorder="1" applyAlignment="1">
      <alignment horizontal="right" vertical="top"/>
    </xf>
    <xf numFmtId="0" fontId="44" fillId="0" borderId="18" xfId="0" applyFont="1" applyFill="1" applyBorder="1" applyAlignment="1"/>
    <xf numFmtId="0" fontId="59" fillId="0" borderId="18" xfId="0" applyFont="1" applyFill="1" applyBorder="1" applyAlignment="1"/>
    <xf numFmtId="0" fontId="57" fillId="0" borderId="16" xfId="43" applyFont="1" applyFill="1" applyBorder="1" applyAlignment="1">
      <alignment horizontal="center" vertical="center"/>
    </xf>
    <xf numFmtId="0" fontId="59" fillId="0" borderId="17" xfId="0" applyFont="1" applyFill="1" applyBorder="1"/>
    <xf numFmtId="0" fontId="57" fillId="0" borderId="18" xfId="0" applyFont="1" applyFill="1" applyBorder="1" applyAlignment="1">
      <alignment horizontal="left" vertical="center"/>
    </xf>
    <xf numFmtId="0" fontId="59" fillId="0" borderId="17" xfId="0" applyFont="1" applyFill="1" applyBorder="1" applyAlignment="1">
      <alignment horizontal="justify" vertical="center"/>
    </xf>
    <xf numFmtId="0" fontId="57" fillId="0" borderId="16" xfId="0" applyFont="1" applyFill="1" applyBorder="1" applyAlignment="1">
      <alignment horizontal="right"/>
    </xf>
    <xf numFmtId="0" fontId="57" fillId="0" borderId="17" xfId="0" applyFont="1" applyFill="1" applyBorder="1" applyAlignment="1">
      <alignment horizontal="justify" vertical="center"/>
    </xf>
    <xf numFmtId="0" fontId="44" fillId="0" borderId="18" xfId="0" applyFont="1" applyFill="1" applyBorder="1"/>
    <xf numFmtId="0" fontId="45" fillId="0" borderId="18" xfId="0" applyFont="1" applyFill="1" applyBorder="1" applyAlignment="1">
      <alignment horizontal="justify" vertical="center"/>
    </xf>
    <xf numFmtId="0" fontId="59" fillId="0" borderId="19" xfId="0" applyFont="1" applyFill="1" applyBorder="1"/>
    <xf numFmtId="0" fontId="44" fillId="0" borderId="10" xfId="0" applyFont="1" applyFill="1" applyBorder="1"/>
    <xf numFmtId="0" fontId="45" fillId="0" borderId="20" xfId="0" applyFont="1" applyFill="1" applyBorder="1" applyAlignment="1">
      <alignment horizontal="justify" vertical="center"/>
    </xf>
    <xf numFmtId="0" fontId="57" fillId="0" borderId="17" xfId="0" applyFont="1" applyFill="1" applyBorder="1" applyAlignment="1">
      <alignment horizontal="center" vertical="top" wrapText="1"/>
    </xf>
    <xf numFmtId="0" fontId="58" fillId="0" borderId="18" xfId="0" applyFont="1" applyFill="1" applyBorder="1" applyAlignment="1">
      <alignment horizontal="right" vertical="top" wrapText="1"/>
    </xf>
    <xf numFmtId="0" fontId="59" fillId="0" borderId="17" xfId="0" applyFont="1" applyFill="1" applyBorder="1" applyAlignment="1">
      <alignment horizontal="left" vertical="top"/>
    </xf>
    <xf numFmtId="43" fontId="57" fillId="0" borderId="18" xfId="1" applyFont="1" applyFill="1" applyBorder="1" applyAlignment="1">
      <alignment vertical="top"/>
    </xf>
    <xf numFmtId="0" fontId="59" fillId="0" borderId="18" xfId="0" applyFont="1" applyFill="1" applyBorder="1" applyAlignment="1">
      <alignment vertical="top"/>
    </xf>
    <xf numFmtId="0" fontId="44" fillId="0" borderId="18" xfId="0" applyFont="1" applyBorder="1" applyAlignment="1">
      <alignment vertical="top"/>
    </xf>
    <xf numFmtId="0" fontId="44" fillId="0" borderId="18" xfId="0" applyFont="1" applyFill="1" applyBorder="1" applyAlignment="1">
      <alignment vertical="top"/>
    </xf>
    <xf numFmtId="10" fontId="44" fillId="0" borderId="0" xfId="50" applyNumberFormat="1" applyFont="1" applyFill="1" applyBorder="1" applyAlignment="1">
      <alignment vertical="top"/>
    </xf>
    <xf numFmtId="43" fontId="44" fillId="0" borderId="0" xfId="0" applyNumberFormat="1" applyFont="1" applyFill="1" applyBorder="1" applyAlignment="1">
      <alignment vertical="top"/>
    </xf>
    <xf numFmtId="0" fontId="55" fillId="0" borderId="17" xfId="0" applyFont="1" applyBorder="1" applyAlignment="1">
      <alignment vertical="top"/>
    </xf>
    <xf numFmtId="0" fontId="55" fillId="0" borderId="0" xfId="0" applyFont="1" applyBorder="1" applyAlignment="1">
      <alignment vertical="top"/>
    </xf>
    <xf numFmtId="0" fontId="44" fillId="0" borderId="0" xfId="0" applyFont="1" applyBorder="1" applyAlignment="1">
      <alignment vertical="top"/>
    </xf>
    <xf numFmtId="0" fontId="55" fillId="0" borderId="19" xfId="0" applyFont="1" applyBorder="1" applyAlignment="1">
      <alignment vertical="top"/>
    </xf>
    <xf numFmtId="0" fontId="55" fillId="0" borderId="10" xfId="0" applyFont="1" applyBorder="1" applyAlignment="1">
      <alignment vertical="top"/>
    </xf>
    <xf numFmtId="0" fontId="44" fillId="0" borderId="10" xfId="0" applyFont="1" applyBorder="1" applyAlignment="1">
      <alignment vertical="top"/>
    </xf>
    <xf numFmtId="0" fontId="44" fillId="0" borderId="20" xfId="0" applyFont="1" applyBorder="1" applyAlignment="1">
      <alignment vertical="top"/>
    </xf>
    <xf numFmtId="0" fontId="58" fillId="0" borderId="18" xfId="0" applyFont="1" applyFill="1" applyBorder="1" applyAlignment="1">
      <alignment horizontal="right" vertical="top"/>
    </xf>
    <xf numFmtId="0" fontId="22" fillId="0" borderId="17" xfId="0" applyFont="1" applyBorder="1" applyAlignment="1">
      <alignment vertical="top" wrapText="1"/>
    </xf>
    <xf numFmtId="166" fontId="27" fillId="0" borderId="18" xfId="1" applyNumberFormat="1" applyFont="1" applyFill="1" applyBorder="1" applyAlignment="1">
      <alignment vertical="top"/>
    </xf>
    <xf numFmtId="166" fontId="22" fillId="0" borderId="18" xfId="0" applyNumberFormat="1" applyFont="1" applyBorder="1" applyAlignment="1">
      <alignment vertical="top"/>
    </xf>
    <xf numFmtId="0" fontId="22" fillId="0" borderId="18" xfId="0" applyFont="1" applyBorder="1" applyAlignment="1">
      <alignment vertical="top"/>
    </xf>
    <xf numFmtId="0" fontId="64" fillId="0" borderId="17" xfId="0" applyFont="1" applyBorder="1" applyAlignment="1">
      <alignment vertical="top" wrapText="1"/>
    </xf>
    <xf numFmtId="0" fontId="62" fillId="0" borderId="18" xfId="0" applyFont="1" applyBorder="1" applyAlignment="1">
      <alignment vertical="top"/>
    </xf>
    <xf numFmtId="0" fontId="62" fillId="0" borderId="17" xfId="0" applyFont="1" applyBorder="1" applyAlignment="1">
      <alignment vertical="top" wrapText="1"/>
    </xf>
    <xf numFmtId="43" fontId="62" fillId="0" borderId="18" xfId="0" applyNumberFormat="1" applyFont="1" applyBorder="1" applyAlignment="1">
      <alignment vertical="top"/>
    </xf>
    <xf numFmtId="0" fontId="65" fillId="0" borderId="18" xfId="0" applyFont="1" applyBorder="1" applyAlignment="1">
      <alignment vertical="top"/>
    </xf>
    <xf numFmtId="0" fontId="65" fillId="0" borderId="17" xfId="0" applyFont="1" applyBorder="1" applyAlignment="1">
      <alignment vertical="top"/>
    </xf>
    <xf numFmtId="0" fontId="20" fillId="0" borderId="18" xfId="0" applyFont="1" applyBorder="1" applyAlignment="1">
      <alignment vertical="top"/>
    </xf>
    <xf numFmtId="0" fontId="20" fillId="0" borderId="17" xfId="0" applyFont="1" applyBorder="1" applyAlignment="1">
      <alignment vertical="top" wrapText="1"/>
    </xf>
    <xf numFmtId="0" fontId="20" fillId="0" borderId="19" xfId="0" applyFont="1" applyBorder="1" applyAlignment="1">
      <alignment vertical="top" wrapText="1"/>
    </xf>
    <xf numFmtId="0" fontId="20" fillId="0" borderId="10" xfId="0" applyFont="1" applyBorder="1" applyAlignment="1">
      <alignment vertical="top"/>
    </xf>
    <xf numFmtId="0" fontId="20" fillId="0" borderId="10" xfId="0" applyFont="1" applyBorder="1" applyAlignment="1">
      <alignment vertical="top" wrapText="1"/>
    </xf>
    <xf numFmtId="0" fontId="20" fillId="0" borderId="20" xfId="0" applyFont="1" applyBorder="1" applyAlignment="1">
      <alignment vertical="top"/>
    </xf>
    <xf numFmtId="0" fontId="44" fillId="0" borderId="17" xfId="43" applyFont="1" applyFill="1" applyBorder="1" applyAlignment="1">
      <alignment vertical="top"/>
    </xf>
    <xf numFmtId="0" fontId="60" fillId="0" borderId="17" xfId="43" applyFont="1" applyFill="1" applyBorder="1" applyAlignment="1">
      <alignment vertical="top"/>
    </xf>
    <xf numFmtId="0" fontId="57" fillId="0" borderId="17" xfId="43" applyFont="1" applyFill="1" applyBorder="1" applyAlignment="1">
      <alignment vertical="top"/>
    </xf>
    <xf numFmtId="0" fontId="59" fillId="0" borderId="17" xfId="43" applyFont="1" applyFill="1" applyBorder="1" applyAlignment="1">
      <alignment vertical="top"/>
    </xf>
    <xf numFmtId="166" fontId="45" fillId="0" borderId="18" xfId="1" applyNumberFormat="1" applyFont="1" applyFill="1" applyBorder="1" applyAlignment="1">
      <alignment horizontal="right" vertical="top"/>
    </xf>
    <xf numFmtId="0" fontId="60" fillId="0" borderId="19" xfId="43" applyFont="1" applyFill="1" applyBorder="1" applyAlignment="1">
      <alignment vertical="top"/>
    </xf>
    <xf numFmtId="166" fontId="61" fillId="0" borderId="10" xfId="1" applyNumberFormat="1" applyFont="1" applyFill="1" applyBorder="1" applyAlignment="1">
      <alignment horizontal="justify" vertical="top"/>
    </xf>
    <xf numFmtId="166" fontId="59" fillId="0" borderId="10" xfId="1" applyNumberFormat="1" applyFont="1" applyFill="1" applyBorder="1" applyAlignment="1">
      <alignment vertical="top"/>
    </xf>
    <xf numFmtId="166" fontId="57" fillId="0" borderId="12" xfId="1" applyNumberFormat="1" applyFont="1" applyFill="1" applyBorder="1" applyAlignment="1">
      <alignment horizontal="right" vertical="top"/>
    </xf>
    <xf numFmtId="166" fontId="45" fillId="0" borderId="20" xfId="1" applyNumberFormat="1" applyFont="1" applyFill="1" applyBorder="1" applyAlignment="1">
      <alignment horizontal="right" vertical="top"/>
    </xf>
    <xf numFmtId="0" fontId="58" fillId="0" borderId="18" xfId="0" applyFont="1" applyFill="1" applyBorder="1" applyAlignment="1">
      <alignment horizontal="right" vertical="center"/>
    </xf>
    <xf numFmtId="166" fontId="57" fillId="0" borderId="17" xfId="1" applyNumberFormat="1" applyFont="1" applyFill="1" applyBorder="1" applyAlignment="1">
      <alignment horizontal="left" vertical="center"/>
    </xf>
    <xf numFmtId="0" fontId="69" fillId="0" borderId="17" xfId="0" applyFont="1" applyFill="1" applyBorder="1" applyAlignment="1">
      <alignment horizontal="left" vertical="center"/>
    </xf>
    <xf numFmtId="43" fontId="67" fillId="0" borderId="18" xfId="1" applyFont="1" applyFill="1" applyBorder="1" applyAlignment="1">
      <alignment vertical="center"/>
    </xf>
    <xf numFmtId="0" fontId="70" fillId="0" borderId="17" xfId="0" applyFont="1" applyFill="1" applyBorder="1" applyAlignment="1">
      <alignment horizontal="left" vertical="center"/>
    </xf>
    <xf numFmtId="0" fontId="70" fillId="0" borderId="18" xfId="0" applyFont="1" applyFill="1" applyBorder="1" applyAlignment="1">
      <alignment horizontal="left" vertical="center" wrapText="1"/>
    </xf>
    <xf numFmtId="0" fontId="70" fillId="0" borderId="18" xfId="0" applyFont="1" applyFill="1" applyBorder="1" applyAlignment="1">
      <alignment horizontal="left" vertical="center"/>
    </xf>
    <xf numFmtId="0" fontId="71" fillId="0" borderId="17" xfId="0" applyFont="1" applyFill="1" applyBorder="1" applyAlignment="1">
      <alignment horizontal="left" vertical="center" wrapText="1"/>
    </xf>
    <xf numFmtId="0" fontId="71" fillId="0" borderId="18" xfId="0" applyFont="1" applyFill="1" applyBorder="1" applyAlignment="1">
      <alignment horizontal="left" vertical="center" wrapText="1"/>
    </xf>
    <xf numFmtId="0" fontId="59" fillId="0" borderId="18" xfId="0" applyFont="1" applyFill="1" applyBorder="1" applyAlignment="1">
      <alignment vertical="center"/>
    </xf>
    <xf numFmtId="0" fontId="59" fillId="0" borderId="33" xfId="0" applyFont="1" applyFill="1" applyBorder="1" applyAlignment="1">
      <alignment vertical="center"/>
    </xf>
    <xf numFmtId="0" fontId="59" fillId="0" borderId="34" xfId="0" applyFont="1" applyFill="1" applyBorder="1" applyAlignment="1">
      <alignment vertical="center"/>
    </xf>
    <xf numFmtId="0" fontId="70" fillId="0" borderId="17" xfId="0" applyFont="1" applyBorder="1" applyAlignment="1">
      <alignment vertical="center"/>
    </xf>
    <xf numFmtId="166" fontId="70" fillId="0" borderId="0" xfId="0" applyNumberFormat="1" applyFont="1" applyBorder="1" applyAlignment="1">
      <alignment vertical="center"/>
    </xf>
    <xf numFmtId="0" fontId="70" fillId="0" borderId="18" xfId="0" applyFont="1" applyBorder="1" applyAlignment="1">
      <alignment vertical="center"/>
    </xf>
    <xf numFmtId="0" fontId="70" fillId="0" borderId="19" xfId="0" applyFont="1" applyBorder="1" applyAlignment="1">
      <alignment vertical="center"/>
    </xf>
    <xf numFmtId="0" fontId="70" fillId="0" borderId="10" xfId="0" applyFont="1" applyBorder="1" applyAlignment="1">
      <alignment vertical="center"/>
    </xf>
    <xf numFmtId="166" fontId="70" fillId="0" borderId="10" xfId="0" applyNumberFormat="1" applyFont="1" applyBorder="1" applyAlignment="1">
      <alignment vertical="center"/>
    </xf>
    <xf numFmtId="0" fontId="70" fillId="0" borderId="20" xfId="0" applyFont="1" applyBorder="1" applyAlignment="1">
      <alignment vertical="center"/>
    </xf>
    <xf numFmtId="0" fontId="26" fillId="0" borderId="17" xfId="0" applyFont="1" applyBorder="1"/>
    <xf numFmtId="166" fontId="58" fillId="0" borderId="18" xfId="1" applyNumberFormat="1" applyFont="1" applyFill="1" applyBorder="1" applyAlignment="1">
      <alignment horizontal="right"/>
    </xf>
    <xf numFmtId="0" fontId="26" fillId="0" borderId="17" xfId="0" applyNumberFormat="1" applyFont="1" applyBorder="1"/>
    <xf numFmtId="0" fontId="26" fillId="0" borderId="17" xfId="0" applyNumberFormat="1" applyFont="1" applyBorder="1" applyAlignment="1">
      <alignment vertical="top"/>
    </xf>
    <xf numFmtId="166" fontId="61" fillId="0" borderId="20" xfId="1" applyNumberFormat="1" applyFont="1" applyFill="1" applyBorder="1"/>
    <xf numFmtId="0" fontId="26" fillId="0" borderId="17" xfId="0" applyFont="1" applyFill="1" applyBorder="1"/>
    <xf numFmtId="0" fontId="26" fillId="0" borderId="17" xfId="0" applyFont="1" applyBorder="1" applyAlignment="1">
      <alignment vertical="top"/>
    </xf>
    <xf numFmtId="0" fontId="26" fillId="0" borderId="19" xfId="0" applyFont="1" applyBorder="1"/>
    <xf numFmtId="0" fontId="26" fillId="0" borderId="10" xfId="0" applyFont="1" applyBorder="1"/>
    <xf numFmtId="166" fontId="57" fillId="0" borderId="18" xfId="1" applyNumberFormat="1" applyFont="1" applyFill="1" applyBorder="1" applyAlignment="1">
      <alignment horizontal="right" vertical="center"/>
    </xf>
    <xf numFmtId="0" fontId="45" fillId="0" borderId="17" xfId="49" applyFont="1" applyFill="1" applyBorder="1" applyAlignment="1">
      <alignment vertical="top" wrapText="1"/>
    </xf>
    <xf numFmtId="166" fontId="45" fillId="0" borderId="18" xfId="1" applyNumberFormat="1" applyFont="1" applyFill="1" applyBorder="1" applyAlignment="1">
      <alignment horizontal="justify" vertical="top" wrapText="1"/>
    </xf>
    <xf numFmtId="0" fontId="57" fillId="0" borderId="17" xfId="49" applyFont="1" applyFill="1" applyBorder="1" applyAlignment="1">
      <alignment vertical="top"/>
    </xf>
    <xf numFmtId="166" fontId="45" fillId="0" borderId="18" xfId="1" applyNumberFormat="1" applyFont="1" applyFill="1" applyBorder="1" applyAlignment="1">
      <alignment vertical="top" wrapText="1"/>
    </xf>
    <xf numFmtId="0" fontId="44" fillId="0" borderId="17" xfId="49" applyFont="1" applyFill="1" applyBorder="1" applyAlignment="1">
      <alignment vertical="justify" wrapText="1"/>
    </xf>
    <xf numFmtId="166" fontId="44" fillId="0" borderId="18" xfId="1" applyNumberFormat="1" applyFont="1" applyFill="1" applyBorder="1" applyAlignment="1">
      <alignment horizontal="left" vertical="justify" wrapText="1"/>
    </xf>
    <xf numFmtId="43" fontId="44" fillId="0" borderId="17" xfId="1" applyFont="1" applyFill="1" applyBorder="1" applyAlignment="1"/>
    <xf numFmtId="166" fontId="45" fillId="0" borderId="18" xfId="1" applyNumberFormat="1" applyFont="1" applyFill="1" applyBorder="1"/>
    <xf numFmtId="166" fontId="73" fillId="0" borderId="18" xfId="1" applyNumberFormat="1" applyFont="1" applyFill="1" applyBorder="1" applyAlignment="1">
      <alignment horizontal="right"/>
    </xf>
    <xf numFmtId="0" fontId="57" fillId="0" borderId="17" xfId="0" applyFont="1" applyFill="1" applyBorder="1" applyAlignment="1">
      <alignment wrapText="1"/>
    </xf>
    <xf numFmtId="0" fontId="60" fillId="0" borderId="26" xfId="0" applyFont="1" applyFill="1" applyBorder="1" applyAlignment="1">
      <alignment wrapText="1"/>
    </xf>
    <xf numFmtId="166" fontId="61" fillId="0" borderId="10" xfId="1" applyNumberFormat="1" applyFont="1" applyFill="1" applyBorder="1"/>
    <xf numFmtId="0" fontId="60" fillId="0" borderId="14" xfId="0" applyFont="1" applyFill="1" applyBorder="1" applyAlignment="1">
      <alignment wrapText="1"/>
    </xf>
    <xf numFmtId="0" fontId="60" fillId="0" borderId="26" xfId="0" applyFont="1" applyFill="1" applyBorder="1" applyAlignment="1"/>
    <xf numFmtId="0" fontId="57" fillId="40" borderId="11" xfId="0" applyFont="1" applyFill="1" applyBorder="1" applyAlignment="1">
      <alignment horizontal="center" vertical="top" wrapText="1"/>
    </xf>
    <xf numFmtId="0" fontId="58" fillId="0" borderId="17" xfId="0" applyFont="1" applyFill="1" applyBorder="1" applyAlignment="1">
      <alignment wrapText="1"/>
    </xf>
    <xf numFmtId="0" fontId="59" fillId="0" borderId="17" xfId="0" applyFont="1" applyFill="1" applyBorder="1" applyAlignment="1">
      <alignment wrapText="1"/>
    </xf>
    <xf numFmtId="0" fontId="58" fillId="0" borderId="17" xfId="0" applyFont="1" applyFill="1" applyBorder="1" applyAlignment="1">
      <alignment vertical="top" wrapText="1"/>
    </xf>
    <xf numFmtId="0" fontId="60" fillId="0" borderId="23" xfId="0" applyFont="1" applyFill="1" applyBorder="1" applyAlignment="1"/>
    <xf numFmtId="0" fontId="65" fillId="0" borderId="14" xfId="0" applyFont="1" applyBorder="1" applyAlignment="1"/>
    <xf numFmtId="0" fontId="65" fillId="0" borderId="17" xfId="0" applyFont="1" applyBorder="1" applyAlignment="1"/>
    <xf numFmtId="0" fontId="62" fillId="0" borderId="17" xfId="43" applyFont="1" applyFill="1" applyBorder="1" applyAlignment="1">
      <alignment horizontal="center" vertical="center"/>
    </xf>
    <xf numFmtId="167" fontId="59" fillId="0" borderId="18" xfId="1" applyNumberFormat="1" applyFont="1" applyFill="1" applyBorder="1" applyAlignment="1">
      <alignment horizontal="left" vertical="center"/>
    </xf>
    <xf numFmtId="167" fontId="59" fillId="0" borderId="18" xfId="1" applyNumberFormat="1" applyFont="1" applyFill="1" applyBorder="1" applyAlignment="1">
      <alignment horizontal="right" vertical="center"/>
    </xf>
    <xf numFmtId="0" fontId="57" fillId="0" borderId="18" xfId="43" applyFont="1" applyFill="1" applyBorder="1" applyAlignment="1">
      <alignment horizontal="center" vertical="center"/>
    </xf>
    <xf numFmtId="167" fontId="57" fillId="0" borderId="18" xfId="1" applyNumberFormat="1" applyFont="1" applyFill="1" applyBorder="1" applyAlignment="1">
      <alignment vertical="center"/>
    </xf>
    <xf numFmtId="167" fontId="59" fillId="0" borderId="18" xfId="1" applyNumberFormat="1" applyFont="1" applyFill="1" applyBorder="1" applyAlignment="1">
      <alignment vertical="center"/>
    </xf>
    <xf numFmtId="167" fontId="57" fillId="0" borderId="13" xfId="1" applyNumberFormat="1" applyFont="1" applyFill="1" applyBorder="1" applyAlignment="1">
      <alignment vertical="center"/>
    </xf>
    <xf numFmtId="167" fontId="57" fillId="0" borderId="13" xfId="1" applyNumberFormat="1" applyFont="1" applyFill="1" applyBorder="1" applyAlignment="1">
      <alignment horizontal="right" vertical="center"/>
    </xf>
    <xf numFmtId="167" fontId="57" fillId="0" borderId="16" xfId="1" applyNumberFormat="1" applyFont="1" applyFill="1" applyBorder="1" applyAlignment="1">
      <alignment horizontal="right" vertical="center"/>
    </xf>
    <xf numFmtId="167" fontId="59" fillId="0" borderId="20" xfId="1" applyNumberFormat="1" applyFont="1" applyFill="1" applyBorder="1" applyAlignment="1">
      <alignment vertical="center"/>
    </xf>
    <xf numFmtId="167" fontId="57" fillId="0" borderId="16" xfId="1" applyNumberFormat="1" applyFont="1" applyFill="1" applyBorder="1" applyAlignment="1">
      <alignment horizontal="center" vertical="center"/>
    </xf>
    <xf numFmtId="167" fontId="59" fillId="0" borderId="18" xfId="1" applyNumberFormat="1" applyFont="1" applyFill="1" applyBorder="1" applyAlignment="1">
      <alignment horizontal="center" vertical="center"/>
    </xf>
    <xf numFmtId="0" fontId="62" fillId="0" borderId="19" xfId="43" applyFont="1" applyFill="1" applyBorder="1" applyAlignment="1">
      <alignment horizontal="center" vertical="center"/>
    </xf>
    <xf numFmtId="10" fontId="59" fillId="0" borderId="26" xfId="74" applyNumberFormat="1" applyFont="1" applyFill="1" applyBorder="1" applyAlignment="1">
      <alignment horizontal="right" vertical="center"/>
    </xf>
    <xf numFmtId="167" fontId="57" fillId="0" borderId="21" xfId="1" applyNumberFormat="1" applyFont="1" applyFill="1" applyBorder="1" applyAlignment="1">
      <alignment horizontal="center" vertical="center"/>
    </xf>
    <xf numFmtId="0" fontId="74" fillId="0" borderId="15" xfId="0" applyFont="1" applyBorder="1"/>
    <xf numFmtId="0" fontId="44" fillId="0" borderId="17" xfId="0" applyFont="1" applyBorder="1"/>
    <xf numFmtId="0" fontId="74" fillId="0" borderId="18" xfId="0" applyFont="1" applyBorder="1"/>
    <xf numFmtId="0" fontId="83" fillId="0" borderId="17" xfId="0" applyFont="1" applyBorder="1" applyAlignment="1"/>
    <xf numFmtId="0" fontId="71" fillId="0" borderId="17" xfId="43" applyFont="1" applyBorder="1" applyAlignment="1">
      <alignment horizontal="left" vertical="center"/>
    </xf>
    <xf numFmtId="0" fontId="74" fillId="0" borderId="18" xfId="43" applyFont="1" applyBorder="1" applyAlignment="1">
      <alignment horizontal="left" vertical="center"/>
    </xf>
    <xf numFmtId="0" fontId="70" fillId="0" borderId="23" xfId="43" applyFont="1" applyFill="1" applyBorder="1" applyAlignment="1">
      <alignment horizontal="left" vertical="top" indent="1"/>
    </xf>
    <xf numFmtId="0" fontId="74" fillId="0" borderId="23" xfId="43" applyFont="1" applyFill="1" applyBorder="1" applyAlignment="1">
      <alignment horizontal="left" vertical="top" indent="1"/>
    </xf>
    <xf numFmtId="0" fontId="71" fillId="0" borderId="21" xfId="43" applyFont="1" applyFill="1" applyBorder="1" applyAlignment="1">
      <alignment horizontal="left" vertical="top" indent="1"/>
    </xf>
    <xf numFmtId="0" fontId="71" fillId="0" borderId="23" xfId="43" applyFont="1" applyFill="1" applyBorder="1" applyAlignment="1">
      <alignment horizontal="left" vertical="top" indent="1"/>
    </xf>
    <xf numFmtId="0" fontId="74" fillId="0" borderId="23" xfId="43" applyFont="1" applyFill="1" applyBorder="1" applyAlignment="1">
      <alignment horizontal="left" vertical="top" wrapText="1" indent="1"/>
    </xf>
    <xf numFmtId="0" fontId="74" fillId="0" borderId="18" xfId="43" applyFont="1" applyBorder="1" applyAlignment="1">
      <alignment vertical="center"/>
    </xf>
    <xf numFmtId="0" fontId="77" fillId="0" borderId="18" xfId="43" applyFont="1" applyBorder="1" applyAlignment="1">
      <alignment horizontal="left" vertical="center"/>
    </xf>
    <xf numFmtId="0" fontId="74" fillId="0" borderId="17" xfId="43" applyFont="1" applyBorder="1" applyAlignment="1">
      <alignment vertical="top"/>
    </xf>
    <xf numFmtId="0" fontId="74" fillId="0" borderId="18" xfId="43" applyFont="1" applyBorder="1" applyAlignment="1">
      <alignment vertical="top"/>
    </xf>
    <xf numFmtId="0" fontId="74" fillId="0" borderId="19" xfId="43" quotePrefix="1" applyFont="1" applyBorder="1" applyAlignment="1">
      <alignment horizontal="justify" vertical="top" wrapText="1"/>
    </xf>
    <xf numFmtId="0" fontId="74" fillId="0" borderId="10" xfId="43" quotePrefix="1" applyFont="1" applyBorder="1" applyAlignment="1">
      <alignment horizontal="justify" vertical="top" wrapText="1"/>
    </xf>
    <xf numFmtId="0" fontId="74" fillId="0" borderId="20" xfId="43" quotePrefix="1" applyFont="1" applyBorder="1" applyAlignment="1">
      <alignment horizontal="justify" vertical="top" wrapText="1"/>
    </xf>
    <xf numFmtId="0" fontId="74" fillId="0" borderId="14" xfId="43" quotePrefix="1" applyFont="1" applyBorder="1" applyAlignment="1">
      <alignment horizontal="justify" vertical="top" wrapText="1"/>
    </xf>
    <xf numFmtId="0" fontId="74" fillId="0" borderId="15" xfId="43" quotePrefix="1" applyFont="1" applyBorder="1" applyAlignment="1">
      <alignment horizontal="justify" vertical="top" wrapText="1"/>
    </xf>
    <xf numFmtId="0" fontId="74" fillId="0" borderId="16" xfId="43" quotePrefix="1" applyFont="1" applyBorder="1" applyAlignment="1">
      <alignment horizontal="justify" vertical="top" wrapText="1"/>
    </xf>
    <xf numFmtId="0" fontId="77" fillId="0" borderId="17" xfId="66" applyFont="1" applyBorder="1"/>
    <xf numFmtId="0" fontId="74" fillId="0" borderId="18" xfId="43" quotePrefix="1" applyFont="1" applyBorder="1" applyAlignment="1">
      <alignment horizontal="justify" vertical="top" wrapText="1"/>
    </xf>
    <xf numFmtId="0" fontId="78" fillId="33" borderId="18" xfId="66" applyFont="1" applyFill="1" applyBorder="1" applyAlignment="1">
      <alignment horizontal="center" vertical="center" wrapText="1"/>
    </xf>
    <xf numFmtId="43" fontId="79" fillId="33" borderId="18" xfId="1" applyFont="1" applyFill="1" applyBorder="1"/>
    <xf numFmtId="43" fontId="78" fillId="33" borderId="18" xfId="1" applyFont="1" applyFill="1" applyBorder="1" applyAlignment="1">
      <alignment horizontal="center" vertical="center"/>
    </xf>
    <xf numFmtId="43" fontId="79" fillId="33" borderId="18" xfId="1" applyFont="1" applyFill="1" applyBorder="1" applyAlignment="1">
      <alignment horizontal="center" vertical="center"/>
    </xf>
    <xf numFmtId="0" fontId="74" fillId="0" borderId="17" xfId="43" quotePrefix="1" applyFont="1" applyBorder="1" applyAlignment="1">
      <alignment horizontal="justify" vertical="top" wrapText="1"/>
    </xf>
    <xf numFmtId="0" fontId="74" fillId="0" borderId="18" xfId="66" applyFont="1" applyBorder="1"/>
    <xf numFmtId="49" fontId="71" fillId="0" borderId="17" xfId="0" applyNumberFormat="1" applyFont="1" applyBorder="1" applyAlignment="1">
      <alignment horizontal="center"/>
    </xf>
    <xf numFmtId="0" fontId="57" fillId="0" borderId="17" xfId="43" applyFont="1" applyFill="1" applyBorder="1" applyAlignment="1">
      <alignment horizontal="left" vertical="center"/>
    </xf>
    <xf numFmtId="0" fontId="60" fillId="0" borderId="17" xfId="43" applyFont="1" applyFill="1" applyBorder="1" applyAlignment="1">
      <alignment vertical="center"/>
    </xf>
    <xf numFmtId="0" fontId="60" fillId="0" borderId="17" xfId="43" applyFont="1" applyFill="1" applyBorder="1" applyAlignment="1">
      <alignment vertical="top" wrapText="1"/>
    </xf>
    <xf numFmtId="0" fontId="57" fillId="0" borderId="17" xfId="43" applyFont="1" applyFill="1" applyBorder="1" applyAlignment="1">
      <alignment horizontal="left" vertical="top"/>
    </xf>
    <xf numFmtId="0" fontId="60" fillId="0" borderId="17" xfId="43" applyFont="1" applyFill="1" applyBorder="1" applyAlignment="1">
      <alignment horizontal="justify" vertical="top" wrapText="1"/>
    </xf>
    <xf numFmtId="0" fontId="61" fillId="0" borderId="17" xfId="43" applyFont="1" applyFill="1" applyBorder="1" applyAlignment="1">
      <alignment horizontal="left" vertical="center"/>
    </xf>
    <xf numFmtId="0" fontId="60" fillId="0" borderId="17" xfId="68" applyFont="1" applyFill="1" applyBorder="1" applyAlignment="1">
      <alignment horizontal="left" vertical="top"/>
    </xf>
    <xf numFmtId="0" fontId="60" fillId="0" borderId="17" xfId="43" applyFont="1" applyFill="1" applyBorder="1" applyAlignment="1">
      <alignment horizontal="left" vertical="top" wrapText="1"/>
    </xf>
    <xf numFmtId="0" fontId="85" fillId="0" borderId="16" xfId="0" applyFont="1" applyBorder="1"/>
    <xf numFmtId="0" fontId="63" fillId="0" borderId="17" xfId="0" applyFont="1" applyBorder="1" applyAlignment="1">
      <alignment horizontal="center"/>
    </xf>
    <xf numFmtId="0" fontId="63" fillId="0" borderId="18" xfId="0" applyFont="1" applyBorder="1" applyAlignment="1">
      <alignment horizontal="center"/>
    </xf>
    <xf numFmtId="0" fontId="57" fillId="0" borderId="17" xfId="0" applyFont="1" applyBorder="1"/>
    <xf numFmtId="0" fontId="0" fillId="0" borderId="18" xfId="0" applyBorder="1"/>
    <xf numFmtId="0" fontId="57" fillId="0" borderId="17" xfId="43" applyFont="1" applyBorder="1" applyAlignment="1">
      <alignment horizontal="left" vertical="center"/>
    </xf>
    <xf numFmtId="0" fontId="75" fillId="0" borderId="17" xfId="43" applyFont="1" applyBorder="1" applyAlignment="1">
      <alignment horizontal="left" vertical="center"/>
    </xf>
    <xf numFmtId="0" fontId="60" fillId="0" borderId="17" xfId="43" applyFont="1" applyBorder="1" applyAlignment="1">
      <alignment horizontal="left" vertical="center"/>
    </xf>
    <xf numFmtId="0" fontId="72" fillId="0" borderId="17" xfId="43" applyFont="1" applyBorder="1" applyAlignment="1">
      <alignment vertical="center" wrapText="1"/>
    </xf>
    <xf numFmtId="0" fontId="72" fillId="0" borderId="19" xfId="43" applyFont="1" applyFill="1" applyBorder="1" applyAlignment="1">
      <alignment horizontal="left" vertical="center"/>
    </xf>
    <xf numFmtId="0" fontId="72" fillId="0" borderId="20" xfId="43" applyFont="1" applyFill="1" applyBorder="1" applyAlignment="1">
      <alignment vertical="center"/>
    </xf>
    <xf numFmtId="166" fontId="60" fillId="0" borderId="26" xfId="1" applyNumberFormat="1" applyFont="1" applyFill="1" applyBorder="1" applyAlignment="1">
      <alignment vertical="center"/>
    </xf>
    <xf numFmtId="0" fontId="0" fillId="0" borderId="20" xfId="0" applyBorder="1"/>
    <xf numFmtId="0" fontId="80" fillId="0" borderId="14" xfId="0" applyFont="1" applyBorder="1"/>
    <xf numFmtId="0" fontId="65" fillId="0" borderId="16" xfId="0" applyFont="1" applyBorder="1"/>
    <xf numFmtId="0" fontId="65" fillId="0" borderId="18" xfId="0" applyFont="1" applyBorder="1"/>
    <xf numFmtId="0" fontId="32" fillId="0" borderId="18" xfId="0" applyFont="1" applyBorder="1"/>
    <xf numFmtId="166" fontId="61" fillId="0" borderId="13" xfId="1" applyNumberFormat="1" applyFont="1" applyFill="1" applyBorder="1" applyAlignment="1">
      <alignment horizontal="center"/>
    </xf>
    <xf numFmtId="166" fontId="61" fillId="0" borderId="18" xfId="1" applyNumberFormat="1" applyFont="1" applyFill="1" applyBorder="1" applyAlignment="1">
      <alignment horizontal="center"/>
    </xf>
    <xf numFmtId="166" fontId="74" fillId="0" borderId="18" xfId="1" applyNumberFormat="1" applyFont="1" applyBorder="1"/>
    <xf numFmtId="166" fontId="60" fillId="0" borderId="18" xfId="1" applyNumberFormat="1" applyFont="1" applyFill="1" applyBorder="1" applyAlignment="1">
      <alignment vertical="center"/>
    </xf>
    <xf numFmtId="166" fontId="74" fillId="0" borderId="16" xfId="1" applyNumberFormat="1" applyFont="1" applyBorder="1"/>
    <xf numFmtId="0" fontId="80" fillId="0" borderId="10" xfId="0" applyFont="1" applyBorder="1"/>
    <xf numFmtId="166" fontId="74" fillId="0" borderId="10" xfId="1" applyNumberFormat="1" applyFont="1" applyBorder="1"/>
    <xf numFmtId="166" fontId="74" fillId="0" borderId="20" xfId="0" applyNumberFormat="1" applyFont="1" applyBorder="1"/>
    <xf numFmtId="0" fontId="80" fillId="0" borderId="15" xfId="0" applyFont="1" applyBorder="1"/>
    <xf numFmtId="166" fontId="74" fillId="0" borderId="15" xfId="0" applyNumberFormat="1" applyFont="1" applyBorder="1"/>
    <xf numFmtId="166" fontId="74" fillId="0" borderId="16" xfId="0" applyNumberFormat="1" applyFont="1" applyBorder="1"/>
    <xf numFmtId="0" fontId="60" fillId="0" borderId="18" xfId="0" applyFont="1" applyFill="1" applyBorder="1" applyAlignment="1">
      <alignment horizontal="center" vertical="top"/>
    </xf>
    <xf numFmtId="166" fontId="60" fillId="0" borderId="18" xfId="1" applyNumberFormat="1" applyFont="1" applyFill="1" applyBorder="1" applyAlignment="1">
      <alignment horizontal="center" vertical="top"/>
    </xf>
    <xf numFmtId="166" fontId="61" fillId="0" borderId="13" xfId="1" applyNumberFormat="1" applyFont="1" applyFill="1" applyBorder="1" applyAlignment="1">
      <alignment horizontal="center" vertical="top"/>
    </xf>
    <xf numFmtId="166" fontId="61" fillId="0" borderId="18" xfId="1" applyNumberFormat="1" applyFont="1" applyFill="1" applyBorder="1" applyAlignment="1">
      <alignment horizontal="center" vertical="top"/>
    </xf>
    <xf numFmtId="166" fontId="60" fillId="0" borderId="20" xfId="1" applyNumberFormat="1" applyFont="1" applyFill="1" applyBorder="1" applyAlignment="1">
      <alignment horizontal="center" vertical="top"/>
    </xf>
    <xf numFmtId="0" fontId="80" fillId="0" borderId="18" xfId="0" applyFont="1" applyBorder="1"/>
    <xf numFmtId="0" fontId="82" fillId="0" borderId="17" xfId="0" applyFont="1" applyBorder="1"/>
    <xf numFmtId="0" fontId="80" fillId="0" borderId="17" xfId="0" applyFont="1" applyBorder="1" applyAlignment="1">
      <alignment vertical="center" wrapText="1"/>
    </xf>
    <xf numFmtId="0" fontId="80" fillId="0" borderId="17" xfId="0" applyFont="1" applyBorder="1" applyAlignment="1">
      <alignment vertical="center"/>
    </xf>
    <xf numFmtId="0" fontId="75" fillId="0" borderId="16" xfId="0" applyFont="1" applyBorder="1" applyAlignment="1">
      <alignment horizontal="center" wrapText="1"/>
    </xf>
    <xf numFmtId="0" fontId="75" fillId="0" borderId="18" xfId="0" applyFont="1" applyBorder="1" applyAlignment="1">
      <alignment horizontal="center"/>
    </xf>
    <xf numFmtId="0" fontId="76" fillId="0" borderId="18" xfId="0" applyFont="1" applyBorder="1" applyAlignment="1">
      <alignment horizontal="center"/>
    </xf>
    <xf numFmtId="0" fontId="75" fillId="0" borderId="18" xfId="0" applyFont="1" applyFill="1" applyBorder="1" applyAlignment="1">
      <alignment horizontal="center" vertical="center"/>
    </xf>
    <xf numFmtId="10" fontId="72" fillId="0" borderId="18" xfId="0" applyNumberFormat="1" applyFont="1" applyFill="1" applyBorder="1" applyAlignment="1">
      <alignment horizontal="center" vertical="center"/>
    </xf>
    <xf numFmtId="10" fontId="72" fillId="0" borderId="18" xfId="50" applyNumberFormat="1" applyFont="1" applyFill="1" applyBorder="1" applyAlignment="1">
      <alignment horizontal="center" vertical="center"/>
    </xf>
    <xf numFmtId="0" fontId="80" fillId="0" borderId="18" xfId="0" applyFont="1" applyFill="1" applyBorder="1" applyAlignment="1">
      <alignment horizontal="center" vertical="center"/>
    </xf>
    <xf numFmtId="0" fontId="80" fillId="0" borderId="10" xfId="0" applyFont="1" applyFill="1" applyBorder="1" applyAlignment="1">
      <alignment horizontal="center" vertical="center"/>
    </xf>
    <xf numFmtId="0" fontId="80" fillId="0" borderId="20" xfId="0" applyFont="1" applyFill="1" applyBorder="1" applyAlignment="1">
      <alignment horizontal="center" vertical="center"/>
    </xf>
    <xf numFmtId="0" fontId="65" fillId="0" borderId="15" xfId="0" applyFont="1" applyBorder="1"/>
    <xf numFmtId="43" fontId="65" fillId="0" borderId="0" xfId="1" applyFont="1"/>
    <xf numFmtId="0" fontId="64" fillId="0" borderId="0" xfId="43" applyFont="1" applyFill="1" applyBorder="1" applyAlignment="1">
      <alignment horizontal="left" vertical="center"/>
    </xf>
    <xf numFmtId="0" fontId="62" fillId="0" borderId="0" xfId="43" applyFont="1" applyFill="1" applyBorder="1" applyAlignment="1">
      <alignment horizontal="left" vertical="center" indent="2"/>
    </xf>
    <xf numFmtId="0" fontId="62" fillId="0" borderId="0" xfId="43" applyFont="1" applyFill="1" applyBorder="1" applyAlignment="1">
      <alignment vertical="center" wrapText="1"/>
    </xf>
    <xf numFmtId="0" fontId="62" fillId="0" borderId="0" xfId="43" applyFont="1" applyFill="1" applyBorder="1" applyAlignment="1">
      <alignment vertical="top" wrapText="1"/>
    </xf>
    <xf numFmtId="0" fontId="62" fillId="0" borderId="21" xfId="43" applyFont="1" applyFill="1" applyBorder="1" applyAlignment="1">
      <alignment vertical="top" wrapText="1"/>
    </xf>
    <xf numFmtId="0" fontId="62" fillId="0" borderId="21" xfId="43" applyFont="1" applyFill="1" applyBorder="1" applyAlignment="1">
      <alignment vertical="center" wrapText="1"/>
    </xf>
    <xf numFmtId="43" fontId="32" fillId="0" borderId="0" xfId="1" applyFont="1"/>
    <xf numFmtId="0" fontId="62" fillId="0" borderId="0" xfId="43" applyFont="1" applyFill="1" applyBorder="1" applyAlignment="1">
      <alignment horizontal="center" vertical="center" wrapText="1"/>
    </xf>
    <xf numFmtId="43" fontId="65" fillId="0" borderId="0" xfId="0" applyNumberFormat="1" applyFont="1" applyBorder="1"/>
    <xf numFmtId="166" fontId="62" fillId="0" borderId="0" xfId="1" applyNumberFormat="1" applyFont="1" applyFill="1" applyBorder="1" applyAlignment="1">
      <alignment vertical="center" wrapText="1"/>
    </xf>
    <xf numFmtId="43" fontId="65" fillId="0" borderId="0" xfId="0" applyNumberFormat="1" applyFont="1"/>
    <xf numFmtId="43" fontId="62" fillId="0" borderId="0" xfId="1" applyFont="1" applyFill="1" applyBorder="1" applyAlignment="1">
      <alignment vertical="center" wrapText="1"/>
    </xf>
    <xf numFmtId="166" fontId="65" fillId="0" borderId="0" xfId="0" applyNumberFormat="1" applyFont="1" applyBorder="1"/>
    <xf numFmtId="166" fontId="62" fillId="0" borderId="0" xfId="1" applyNumberFormat="1" applyFont="1" applyFill="1" applyBorder="1" applyAlignment="1">
      <alignment vertical="center"/>
    </xf>
    <xf numFmtId="166" fontId="64" fillId="0" borderId="0" xfId="1" applyNumberFormat="1" applyFont="1" applyFill="1" applyBorder="1" applyAlignment="1">
      <alignment vertical="center"/>
    </xf>
    <xf numFmtId="166" fontId="64" fillId="0" borderId="0" xfId="1" applyNumberFormat="1" applyFont="1" applyFill="1" applyBorder="1" applyAlignment="1">
      <alignment horizontal="center" vertical="center" wrapText="1"/>
    </xf>
    <xf numFmtId="166" fontId="62" fillId="0" borderId="0" xfId="1" applyNumberFormat="1" applyFont="1" applyFill="1" applyBorder="1" applyAlignment="1">
      <alignment horizontal="center" vertical="center" wrapText="1"/>
    </xf>
    <xf numFmtId="166" fontId="62" fillId="0" borderId="0" xfId="1" applyNumberFormat="1" applyFont="1" applyFill="1" applyBorder="1" applyAlignment="1">
      <alignment horizontal="left" vertical="center"/>
    </xf>
    <xf numFmtId="166" fontId="64" fillId="0" borderId="0" xfId="1" applyNumberFormat="1" applyFont="1" applyFill="1" applyBorder="1" applyAlignment="1">
      <alignment vertical="center" wrapText="1"/>
    </xf>
    <xf numFmtId="0" fontId="64" fillId="0" borderId="0" xfId="43" applyFont="1" applyFill="1" applyBorder="1" applyAlignment="1">
      <alignment horizontal="right" vertical="center" wrapText="1"/>
    </xf>
    <xf numFmtId="0" fontId="68" fillId="33" borderId="0" xfId="68" applyFont="1" applyFill="1" applyBorder="1" applyAlignment="1">
      <alignment horizontal="left" vertical="top"/>
    </xf>
    <xf numFmtId="0" fontId="62" fillId="0" borderId="0" xfId="68" applyFont="1" applyFill="1" applyBorder="1" applyAlignment="1">
      <alignment horizontal="left" vertical="top"/>
    </xf>
    <xf numFmtId="0" fontId="57" fillId="0" borderId="10" xfId="68" applyFont="1" applyFill="1" applyBorder="1" applyAlignment="1">
      <alignment horizontal="right" vertical="top"/>
    </xf>
    <xf numFmtId="0" fontId="68" fillId="33" borderId="0" xfId="0" applyFont="1" applyFill="1" applyBorder="1"/>
    <xf numFmtId="0" fontId="68" fillId="33" borderId="0" xfId="43" applyFont="1" applyFill="1" applyBorder="1" applyAlignment="1">
      <alignment vertical="center"/>
    </xf>
    <xf numFmtId="0" fontId="65" fillId="0" borderId="0" xfId="49" applyFont="1" applyBorder="1" applyAlignment="1">
      <alignment vertical="top"/>
    </xf>
    <xf numFmtId="0" fontId="65" fillId="0" borderId="10" xfId="0" applyFont="1" applyBorder="1" applyAlignment="1">
      <alignment vertical="top" wrapText="1"/>
    </xf>
    <xf numFmtId="0" fontId="65" fillId="0" borderId="10" xfId="0" applyFont="1" applyBorder="1"/>
    <xf numFmtId="0" fontId="65" fillId="0" borderId="20" xfId="0" applyFont="1" applyBorder="1"/>
    <xf numFmtId="0" fontId="59" fillId="0" borderId="19" xfId="0" applyFont="1" applyFill="1" applyBorder="1" applyAlignment="1">
      <alignment vertical="top"/>
    </xf>
    <xf numFmtId="0" fontId="59" fillId="0" borderId="10" xfId="0" applyFont="1" applyFill="1" applyBorder="1" applyAlignment="1">
      <alignment vertical="top"/>
    </xf>
    <xf numFmtId="0" fontId="59" fillId="0" borderId="20" xfId="0" applyFont="1" applyFill="1" applyBorder="1" applyAlignment="1">
      <alignment vertical="top"/>
    </xf>
    <xf numFmtId="0" fontId="62" fillId="0" borderId="10" xfId="43" applyFont="1" applyFill="1" applyBorder="1" applyAlignment="1">
      <alignment horizontal="left" vertical="center"/>
    </xf>
    <xf numFmtId="0" fontId="60" fillId="0" borderId="14" xfId="43" applyFont="1" applyFill="1" applyBorder="1" applyAlignment="1">
      <alignment horizontal="justify" vertical="top" wrapText="1"/>
    </xf>
    <xf numFmtId="0" fontId="60" fillId="0" borderId="15" xfId="43" applyFont="1" applyFill="1" applyBorder="1" applyAlignment="1">
      <alignment horizontal="justify" vertical="top" wrapText="1"/>
    </xf>
    <xf numFmtId="0" fontId="62" fillId="0" borderId="15" xfId="43" applyFont="1" applyFill="1" applyBorder="1" applyAlignment="1">
      <alignment horizontal="left" vertical="center"/>
    </xf>
    <xf numFmtId="0" fontId="71" fillId="0" borderId="11" xfId="43" applyFont="1" applyFill="1" applyBorder="1" applyAlignment="1">
      <alignment horizontal="left" vertical="top" indent="1"/>
    </xf>
    <xf numFmtId="43" fontId="74" fillId="0" borderId="11" xfId="1" applyFont="1" applyFill="1" applyBorder="1" applyAlignment="1">
      <alignment horizontal="right" vertical="center" indent="1"/>
    </xf>
    <xf numFmtId="43" fontId="74" fillId="0" borderId="12" xfId="1" applyFont="1" applyFill="1" applyBorder="1" applyAlignment="1">
      <alignment horizontal="right" vertical="center" indent="1"/>
    </xf>
    <xf numFmtId="166" fontId="74" fillId="0" borderId="11" xfId="1" applyNumberFormat="1" applyFont="1" applyFill="1" applyBorder="1" applyAlignment="1">
      <alignment horizontal="right" vertical="center" indent="1"/>
    </xf>
    <xf numFmtId="166" fontId="74" fillId="0" borderId="12" xfId="1" applyNumberFormat="1" applyFont="1" applyFill="1" applyBorder="1" applyAlignment="1">
      <alignment horizontal="right" vertical="center" indent="1"/>
    </xf>
    <xf numFmtId="167" fontId="57" fillId="0" borderId="13" xfId="1" applyNumberFormat="1" applyFont="1" applyFill="1" applyBorder="1" applyAlignment="1">
      <alignment horizontal="center" vertical="center"/>
    </xf>
    <xf numFmtId="0" fontId="57" fillId="0" borderId="14" xfId="0" applyFont="1" applyFill="1" applyBorder="1" applyAlignment="1"/>
    <xf numFmtId="0" fontId="57" fillId="0" borderId="19" xfId="0" applyFont="1" applyFill="1" applyBorder="1" applyAlignment="1"/>
    <xf numFmtId="0" fontId="59" fillId="0" borderId="26" xfId="0" applyFont="1" applyFill="1" applyBorder="1" applyAlignment="1"/>
    <xf numFmtId="0" fontId="61" fillId="0" borderId="19" xfId="0" applyFont="1" applyFill="1" applyBorder="1" applyAlignment="1"/>
    <xf numFmtId="166" fontId="57" fillId="0" borderId="15" xfId="1" applyNumberFormat="1" applyFont="1" applyFill="1" applyBorder="1"/>
    <xf numFmtId="166" fontId="57" fillId="0" borderId="16" xfId="1" applyNumberFormat="1" applyFont="1" applyFill="1" applyBorder="1"/>
    <xf numFmtId="0" fontId="60" fillId="0" borderId="19" xfId="0" applyFont="1" applyFill="1" applyBorder="1" applyAlignment="1"/>
    <xf numFmtId="0" fontId="63" fillId="0" borderId="17" xfId="0" applyFont="1" applyFill="1" applyBorder="1" applyAlignment="1">
      <alignment vertical="center"/>
    </xf>
    <xf numFmtId="0" fontId="58" fillId="0" borderId="17" xfId="0" applyFont="1" applyFill="1" applyBorder="1" applyAlignment="1">
      <alignment vertical="center"/>
    </xf>
    <xf numFmtId="0" fontId="57" fillId="0" borderId="26" xfId="43" applyFont="1" applyFill="1" applyBorder="1" applyAlignment="1">
      <alignment vertical="center"/>
    </xf>
    <xf numFmtId="0" fontId="20" fillId="0" borderId="19" xfId="0" applyFont="1" applyBorder="1" applyAlignment="1">
      <alignment vertical="top"/>
    </xf>
    <xf numFmtId="0" fontId="83" fillId="0" borderId="18" xfId="0" applyFont="1" applyBorder="1" applyAlignment="1"/>
    <xf numFmtId="0" fontId="71" fillId="0" borderId="19" xfId="43" applyFont="1" applyBorder="1" applyAlignment="1">
      <alignment horizontal="left" vertical="center"/>
    </xf>
    <xf numFmtId="0" fontId="74" fillId="0" borderId="10" xfId="43" applyFont="1" applyBorder="1" applyAlignment="1">
      <alignment horizontal="left" vertical="center"/>
    </xf>
    <xf numFmtId="0" fontId="74" fillId="0" borderId="20" xfId="43" applyFont="1" applyBorder="1" applyAlignment="1">
      <alignment horizontal="left" vertical="center"/>
    </xf>
    <xf numFmtId="0" fontId="59" fillId="0" borderId="14" xfId="0" applyFont="1" applyFill="1" applyBorder="1" applyAlignment="1"/>
    <xf numFmtId="0" fontId="57" fillId="0" borderId="17" xfId="0" applyFont="1" applyFill="1" applyBorder="1" applyAlignment="1">
      <alignment horizontal="center"/>
    </xf>
    <xf numFmtId="0" fontId="57" fillId="40" borderId="21" xfId="0" applyFont="1" applyFill="1" applyBorder="1" applyAlignment="1">
      <alignment horizontal="center" vertical="center"/>
    </xf>
    <xf numFmtId="0" fontId="20" fillId="0" borderId="14" xfId="0" applyFont="1" applyBorder="1"/>
    <xf numFmtId="0" fontId="20" fillId="0" borderId="17" xfId="0" applyFont="1" applyBorder="1"/>
    <xf numFmtId="0" fontId="20" fillId="0" borderId="19" xfId="0" applyFont="1" applyBorder="1"/>
    <xf numFmtId="0" fontId="57" fillId="40" borderId="21" xfId="0" applyFont="1" applyFill="1" applyBorder="1" applyAlignment="1">
      <alignment horizontal="center" vertical="center"/>
    </xf>
    <xf numFmtId="0" fontId="71" fillId="40" borderId="21" xfId="0" applyFont="1" applyFill="1" applyBorder="1" applyAlignment="1">
      <alignment horizontal="center" vertical="center"/>
    </xf>
    <xf numFmtId="0" fontId="58" fillId="0" borderId="0" xfId="0" applyFont="1" applyBorder="1" applyAlignment="1">
      <alignment horizontal="center"/>
    </xf>
    <xf numFmtId="0" fontId="74" fillId="0" borderId="14" xfId="43" applyFont="1" applyBorder="1" applyAlignment="1">
      <alignment vertical="center"/>
    </xf>
    <xf numFmtId="0" fontId="74" fillId="0" borderId="15" xfId="43" applyFont="1" applyBorder="1" applyAlignment="1">
      <alignment vertical="center"/>
    </xf>
    <xf numFmtId="0" fontId="74" fillId="0" borderId="16" xfId="43" applyFont="1" applyBorder="1" applyAlignment="1">
      <alignment vertical="center"/>
    </xf>
    <xf numFmtId="0" fontId="32" fillId="0" borderId="0" xfId="0" applyFont="1" applyBorder="1"/>
    <xf numFmtId="0" fontId="20" fillId="0" borderId="0" xfId="0" applyFont="1" applyBorder="1"/>
    <xf numFmtId="0" fontId="57" fillId="0" borderId="22" xfId="0" applyFont="1" applyBorder="1" applyAlignment="1"/>
    <xf numFmtId="0" fontId="60" fillId="0" borderId="23" xfId="0" applyFont="1" applyBorder="1" applyAlignment="1"/>
    <xf numFmtId="0" fontId="74" fillId="0" borderId="23" xfId="0" applyFont="1" applyBorder="1" applyAlignment="1">
      <alignment wrapText="1"/>
    </xf>
    <xf numFmtId="0" fontId="60" fillId="0" borderId="23" xfId="0" applyFont="1" applyBorder="1" applyAlignment="1">
      <alignment horizontal="left"/>
    </xf>
    <xf numFmtId="0" fontId="74" fillId="0" borderId="23" xfId="0" applyFont="1" applyBorder="1" applyAlignment="1">
      <alignment horizontal="left"/>
    </xf>
    <xf numFmtId="0" fontId="57" fillId="0" borderId="23" xfId="0" applyFont="1" applyBorder="1" applyAlignment="1"/>
    <xf numFmtId="0" fontId="74" fillId="0" borderId="23" xfId="0" applyFont="1" applyBorder="1" applyAlignment="1">
      <alignment horizontal="left" wrapText="1"/>
    </xf>
    <xf numFmtId="0" fontId="60" fillId="0" borderId="23" xfId="0" applyFont="1" applyBorder="1" applyAlignment="1">
      <alignment horizontal="left" wrapText="1"/>
    </xf>
    <xf numFmtId="0" fontId="60" fillId="0" borderId="26" xfId="0" applyFont="1" applyBorder="1" applyAlignment="1">
      <alignment horizontal="left" wrapText="1"/>
    </xf>
    <xf numFmtId="0" fontId="20" fillId="0" borderId="15" xfId="0" applyFont="1" applyBorder="1"/>
    <xf numFmtId="0" fontId="20" fillId="0" borderId="10" xfId="0" applyFont="1" applyBorder="1"/>
    <xf numFmtId="0" fontId="32" fillId="0" borderId="15" xfId="0" applyFont="1" applyFill="1" applyBorder="1" applyAlignment="1">
      <alignment horizontal="left" vertical="center"/>
    </xf>
    <xf numFmtId="0" fontId="65" fillId="0" borderId="15" xfId="0" applyFont="1" applyFill="1" applyBorder="1" applyAlignment="1">
      <alignment horizontal="center" vertical="center"/>
    </xf>
    <xf numFmtId="0" fontId="74" fillId="0" borderId="17" xfId="43" applyFont="1" applyBorder="1" applyAlignment="1">
      <alignment vertical="top" wrapText="1"/>
    </xf>
    <xf numFmtId="0" fontId="74" fillId="0" borderId="0" xfId="43" applyFont="1" applyBorder="1" applyAlignment="1">
      <alignment vertical="top" wrapText="1"/>
    </xf>
    <xf numFmtId="0" fontId="74" fillId="0" borderId="18" xfId="43" applyFont="1" applyBorder="1" applyAlignment="1">
      <alignment vertical="top" wrapText="1"/>
    </xf>
    <xf numFmtId="0" fontId="57" fillId="0" borderId="0" xfId="0" applyFont="1" applyBorder="1"/>
    <xf numFmtId="0" fontId="22" fillId="0" borderId="21" xfId="0" applyNumberFormat="1" applyFont="1" applyFill="1" applyBorder="1" applyAlignment="1">
      <alignment vertical="top"/>
    </xf>
    <xf numFmtId="0" fontId="22" fillId="0" borderId="0" xfId="0" applyNumberFormat="1" applyFont="1" applyBorder="1" applyAlignment="1">
      <alignment horizontal="left" vertical="top"/>
    </xf>
    <xf numFmtId="0" fontId="22" fillId="0" borderId="0" xfId="0" applyFont="1" applyFill="1" applyBorder="1" applyAlignment="1">
      <alignment horizontal="left"/>
    </xf>
    <xf numFmtId="0" fontId="21" fillId="0" borderId="0" xfId="0" applyFont="1" applyAlignment="1">
      <alignment vertical="top"/>
    </xf>
    <xf numFmtId="166" fontId="87" fillId="0" borderId="21" xfId="1" applyNumberFormat="1" applyFont="1" applyFill="1" applyBorder="1" applyAlignment="1">
      <alignment horizontal="right" vertical="top"/>
    </xf>
    <xf numFmtId="166" fontId="90" fillId="0" borderId="21" xfId="1" applyNumberFormat="1" applyFont="1" applyFill="1" applyBorder="1"/>
    <xf numFmtId="166" fontId="89" fillId="0" borderId="21" xfId="1" applyNumberFormat="1" applyFont="1" applyFill="1" applyBorder="1"/>
    <xf numFmtId="43" fontId="60" fillId="0" borderId="23" xfId="1" applyNumberFormat="1" applyFont="1" applyFill="1" applyBorder="1" applyAlignment="1">
      <alignment vertical="top"/>
    </xf>
    <xf numFmtId="43" fontId="60" fillId="0" borderId="23" xfId="1" applyNumberFormat="1" applyFont="1" applyFill="1" applyBorder="1" applyAlignment="1">
      <alignment horizontal="center" vertical="top"/>
    </xf>
    <xf numFmtId="4" fontId="60" fillId="0" borderId="23" xfId="1" applyNumberFormat="1" applyFont="1" applyFill="1" applyBorder="1" applyAlignment="1">
      <alignment horizontal="right" vertical="top"/>
    </xf>
    <xf numFmtId="2" fontId="22" fillId="0" borderId="0" xfId="0" applyNumberFormat="1" applyFont="1" applyFill="1" applyAlignment="1">
      <alignment vertical="top"/>
    </xf>
    <xf numFmtId="0" fontId="16" fillId="0" borderId="22" xfId="0" applyFont="1" applyFill="1" applyBorder="1" applyAlignment="1">
      <alignment horizontal="left" vertical="center" wrapText="1"/>
    </xf>
    <xf numFmtId="0" fontId="16" fillId="0" borderId="26" xfId="0" applyFont="1" applyFill="1" applyBorder="1" applyAlignment="1">
      <alignment horizontal="left" vertical="center" wrapText="1"/>
    </xf>
    <xf numFmtId="0" fontId="16" fillId="0" borderId="22" xfId="0" applyFont="1" applyFill="1" applyBorder="1" applyAlignment="1">
      <alignment vertical="center" wrapText="1"/>
    </xf>
    <xf numFmtId="0" fontId="16" fillId="0" borderId="26" xfId="0" applyFont="1" applyFill="1" applyBorder="1" applyAlignment="1">
      <alignment vertical="center" wrapText="1"/>
    </xf>
    <xf numFmtId="0" fontId="16" fillId="0" borderId="22" xfId="0" applyFont="1" applyFill="1" applyBorder="1" applyAlignment="1">
      <alignment horizontal="left" vertical="center"/>
    </xf>
    <xf numFmtId="0" fontId="16" fillId="0" borderId="26" xfId="0" applyFont="1" applyFill="1" applyBorder="1" applyAlignment="1">
      <alignment horizontal="left" vertical="center"/>
    </xf>
    <xf numFmtId="0" fontId="51" fillId="0" borderId="21" xfId="0" applyFont="1" applyFill="1" applyBorder="1" applyAlignment="1">
      <alignment horizontal="left" vertical="center" wrapText="1"/>
    </xf>
    <xf numFmtId="0" fontId="0" fillId="0" borderId="22" xfId="0" applyBorder="1"/>
    <xf numFmtId="0" fontId="0" fillId="0" borderId="23" xfId="0" applyBorder="1"/>
    <xf numFmtId="0" fontId="0" fillId="0" borderId="26" xfId="0" applyBorder="1"/>
    <xf numFmtId="166" fontId="23" fillId="42" borderId="11" xfId="1" applyNumberFormat="1" applyFont="1" applyFill="1" applyBorder="1" applyAlignment="1">
      <alignment horizontal="center" vertical="top"/>
    </xf>
    <xf numFmtId="166" fontId="23" fillId="42" borderId="12" xfId="1" applyNumberFormat="1" applyFont="1" applyFill="1" applyBorder="1" applyAlignment="1">
      <alignment horizontal="center" vertical="top"/>
    </xf>
    <xf numFmtId="166" fontId="23" fillId="42" borderId="13" xfId="1" applyNumberFormat="1" applyFont="1" applyFill="1" applyBorder="1" applyAlignment="1">
      <alignment horizontal="center" vertical="top"/>
    </xf>
    <xf numFmtId="0" fontId="57" fillId="0" borderId="14" xfId="0" applyFont="1" applyFill="1" applyBorder="1" applyAlignment="1">
      <alignment horizontal="center"/>
    </xf>
    <xf numFmtId="0" fontId="57" fillId="0" borderId="15" xfId="0" applyFont="1" applyFill="1" applyBorder="1" applyAlignment="1">
      <alignment horizontal="center"/>
    </xf>
    <xf numFmtId="0" fontId="57" fillId="0" borderId="16" xfId="0" applyFont="1" applyFill="1" applyBorder="1" applyAlignment="1">
      <alignment horizontal="center"/>
    </xf>
    <xf numFmtId="0" fontId="59" fillId="0" borderId="17" xfId="0" applyFont="1" applyFill="1" applyBorder="1" applyAlignment="1">
      <alignment horizontal="left"/>
    </xf>
    <xf numFmtId="0" fontId="59" fillId="0" borderId="15" xfId="0" applyFont="1" applyFill="1" applyBorder="1" applyAlignment="1">
      <alignment horizontal="left"/>
    </xf>
    <xf numFmtId="0" fontId="59" fillId="0" borderId="16" xfId="0" applyFont="1" applyFill="1" applyBorder="1" applyAlignment="1">
      <alignment horizontal="left"/>
    </xf>
    <xf numFmtId="0" fontId="59" fillId="0" borderId="0" xfId="0" applyFont="1" applyFill="1" applyBorder="1" applyAlignment="1">
      <alignment horizontal="left"/>
    </xf>
    <xf numFmtId="0" fontId="59" fillId="0" borderId="18" xfId="0" applyFont="1" applyFill="1" applyBorder="1" applyAlignment="1">
      <alignment horizontal="left"/>
    </xf>
    <xf numFmtId="43" fontId="59" fillId="0" borderId="17" xfId="0" applyNumberFormat="1" applyFont="1" applyFill="1" applyBorder="1" applyAlignment="1">
      <alignment horizontal="left"/>
    </xf>
    <xf numFmtId="0" fontId="58" fillId="0" borderId="17" xfId="0" applyFont="1" applyFill="1" applyBorder="1" applyAlignment="1">
      <alignment horizontal="center"/>
    </xf>
    <xf numFmtId="0" fontId="58" fillId="0" borderId="0" xfId="0" applyFont="1" applyFill="1" applyBorder="1" applyAlignment="1">
      <alignment horizontal="center"/>
    </xf>
    <xf numFmtId="0" fontId="58" fillId="0" borderId="18" xfId="0" applyFont="1" applyFill="1" applyBorder="1" applyAlignment="1">
      <alignment horizontal="center"/>
    </xf>
    <xf numFmtId="0" fontId="57" fillId="0" borderId="14" xfId="0" applyFont="1" applyFill="1" applyBorder="1" applyAlignment="1">
      <alignment horizontal="center" vertical="top"/>
    </xf>
    <xf numFmtId="0" fontId="57" fillId="0" borderId="15" xfId="0" applyFont="1" applyFill="1" applyBorder="1" applyAlignment="1">
      <alignment horizontal="center" vertical="top"/>
    </xf>
    <xf numFmtId="0" fontId="57" fillId="0" borderId="16" xfId="0" applyFont="1" applyFill="1" applyBorder="1" applyAlignment="1">
      <alignment horizontal="center" vertical="top"/>
    </xf>
    <xf numFmtId="0" fontId="58" fillId="0" borderId="17" xfId="0" applyFont="1" applyFill="1" applyBorder="1" applyAlignment="1">
      <alignment horizontal="center" vertical="top" wrapText="1"/>
    </xf>
    <xf numFmtId="0" fontId="58" fillId="0" borderId="0" xfId="0" applyFont="1" applyFill="1" applyBorder="1" applyAlignment="1">
      <alignment horizontal="center" vertical="top" wrapText="1"/>
    </xf>
    <xf numFmtId="0" fontId="58" fillId="0" borderId="18" xfId="0" applyFont="1" applyFill="1" applyBorder="1" applyAlignment="1">
      <alignment horizontal="center" vertical="top" wrapText="1"/>
    </xf>
    <xf numFmtId="0" fontId="58" fillId="0" borderId="17" xfId="0" applyFont="1" applyFill="1" applyBorder="1" applyAlignment="1">
      <alignment horizontal="center" vertical="top"/>
    </xf>
    <xf numFmtId="0" fontId="58" fillId="0" borderId="0" xfId="0" applyFont="1" applyFill="1" applyBorder="1" applyAlignment="1">
      <alignment horizontal="center" vertical="top"/>
    </xf>
    <xf numFmtId="0" fontId="58" fillId="0" borderId="18" xfId="0" applyFont="1" applyFill="1" applyBorder="1" applyAlignment="1">
      <alignment horizontal="center" vertical="top"/>
    </xf>
    <xf numFmtId="1" fontId="57" fillId="40" borderId="21" xfId="1" applyNumberFormat="1" applyFont="1" applyFill="1" applyBorder="1" applyAlignment="1">
      <alignment horizontal="center"/>
    </xf>
    <xf numFmtId="1" fontId="57" fillId="40" borderId="11" xfId="1" applyNumberFormat="1" applyFont="1" applyFill="1" applyBorder="1" applyAlignment="1">
      <alignment horizontal="center"/>
    </xf>
    <xf numFmtId="0" fontId="58" fillId="0" borderId="17" xfId="43" applyFont="1" applyFill="1" applyBorder="1" applyAlignment="1">
      <alignment horizontal="right" vertical="center" wrapText="1"/>
    </xf>
    <xf numFmtId="0" fontId="58" fillId="0" borderId="0" xfId="43" applyFont="1" applyFill="1" applyBorder="1" applyAlignment="1">
      <alignment horizontal="right" vertical="center" wrapText="1"/>
    </xf>
    <xf numFmtId="0" fontId="58" fillId="0" borderId="18" xfId="43" applyFont="1" applyFill="1" applyBorder="1" applyAlignment="1">
      <alignment horizontal="right" vertical="center" wrapText="1"/>
    </xf>
    <xf numFmtId="0" fontId="71" fillId="0" borderId="17" xfId="0" applyFont="1" applyFill="1" applyBorder="1" applyAlignment="1">
      <alignment horizontal="left" vertical="center" wrapText="1"/>
    </xf>
    <xf numFmtId="0" fontId="71" fillId="0" borderId="0" xfId="0" applyFont="1" applyFill="1" applyBorder="1" applyAlignment="1">
      <alignment horizontal="left" vertical="center" wrapText="1"/>
    </xf>
    <xf numFmtId="0" fontId="71" fillId="0" borderId="18" xfId="0" applyFont="1" applyFill="1" applyBorder="1" applyAlignment="1">
      <alignment horizontal="left" vertical="center" wrapText="1"/>
    </xf>
    <xf numFmtId="0" fontId="70" fillId="0" borderId="17" xfId="0" applyFont="1" applyFill="1" applyBorder="1" applyAlignment="1">
      <alignment horizontal="left" vertical="center" wrapText="1"/>
    </xf>
    <xf numFmtId="0" fontId="70" fillId="0" borderId="0" xfId="0" applyFont="1" applyFill="1" applyBorder="1" applyAlignment="1">
      <alignment horizontal="left" vertical="center" wrapText="1"/>
    </xf>
    <xf numFmtId="0" fontId="70" fillId="0" borderId="18" xfId="0" applyFont="1" applyFill="1" applyBorder="1" applyAlignment="1">
      <alignment horizontal="left" vertical="center" wrapText="1"/>
    </xf>
    <xf numFmtId="0" fontId="57" fillId="0" borderId="14" xfId="0" applyFont="1" applyFill="1" applyBorder="1" applyAlignment="1">
      <alignment horizontal="center" vertical="center"/>
    </xf>
    <xf numFmtId="0" fontId="57" fillId="0" borderId="15" xfId="0" applyFont="1" applyFill="1" applyBorder="1" applyAlignment="1">
      <alignment horizontal="center" vertical="center"/>
    </xf>
    <xf numFmtId="0" fontId="57" fillId="0" borderId="16" xfId="0" applyFont="1" applyFill="1" applyBorder="1" applyAlignment="1">
      <alignment horizontal="center" vertical="center"/>
    </xf>
    <xf numFmtId="43" fontId="57" fillId="40" borderId="16" xfId="1" applyFont="1" applyFill="1" applyBorder="1" applyAlignment="1">
      <alignment horizontal="center" vertical="center"/>
    </xf>
    <xf numFmtId="43" fontId="57" fillId="40" borderId="22" xfId="1" applyFont="1" applyFill="1" applyBorder="1" applyAlignment="1">
      <alignment horizontal="center" vertical="center"/>
    </xf>
    <xf numFmtId="43" fontId="57" fillId="40" borderId="21" xfId="1" applyFont="1" applyFill="1" applyBorder="1" applyAlignment="1">
      <alignment horizontal="center" vertical="center"/>
    </xf>
    <xf numFmtId="0" fontId="58" fillId="0" borderId="17" xfId="0" applyFont="1" applyFill="1" applyBorder="1" applyAlignment="1">
      <alignment horizontal="center" vertical="center"/>
    </xf>
    <xf numFmtId="0" fontId="58" fillId="0" borderId="0" xfId="0" applyFont="1" applyFill="1" applyBorder="1" applyAlignment="1">
      <alignment horizontal="center" vertical="center"/>
    </xf>
    <xf numFmtId="0" fontId="58" fillId="0" borderId="18" xfId="0" applyFont="1" applyFill="1" applyBorder="1" applyAlignment="1">
      <alignment horizontal="center" vertical="center"/>
    </xf>
    <xf numFmtId="43" fontId="57" fillId="40" borderId="26" xfId="1" applyFont="1" applyFill="1" applyBorder="1" applyAlignment="1">
      <alignment horizontal="center" vertical="center"/>
    </xf>
    <xf numFmtId="0" fontId="57" fillId="0" borderId="17" xfId="0" applyFont="1" applyFill="1" applyBorder="1" applyAlignment="1">
      <alignment horizontal="center"/>
    </xf>
    <xf numFmtId="0" fontId="57" fillId="0" borderId="0" xfId="0" applyFont="1" applyFill="1" applyBorder="1" applyAlignment="1">
      <alignment horizontal="center"/>
    </xf>
    <xf numFmtId="0" fontId="57" fillId="0" borderId="18" xfId="0" applyFont="1" applyFill="1" applyBorder="1" applyAlignment="1">
      <alignment horizontal="center"/>
    </xf>
    <xf numFmtId="0" fontId="60" fillId="0" borderId="14" xfId="0" applyFont="1" applyFill="1" applyBorder="1" applyAlignment="1">
      <alignment horizontal="justify" wrapText="1"/>
    </xf>
    <xf numFmtId="0" fontId="60" fillId="0" borderId="15" xfId="0" applyFont="1" applyFill="1" applyBorder="1" applyAlignment="1">
      <alignment horizontal="justify" wrapText="1"/>
    </xf>
    <xf numFmtId="0" fontId="60" fillId="0" borderId="16" xfId="0" applyFont="1" applyFill="1" applyBorder="1" applyAlignment="1">
      <alignment horizontal="justify" wrapText="1"/>
    </xf>
    <xf numFmtId="0" fontId="60" fillId="0" borderId="17" xfId="0" applyFont="1" applyFill="1" applyBorder="1" applyAlignment="1">
      <alignment horizontal="justify" wrapText="1"/>
    </xf>
    <xf numFmtId="0" fontId="60" fillId="0" borderId="0" xfId="0" applyFont="1" applyFill="1" applyBorder="1" applyAlignment="1">
      <alignment horizontal="justify" wrapText="1"/>
    </xf>
    <xf numFmtId="0" fontId="60" fillId="0" borderId="18" xfId="0" applyFont="1" applyFill="1" applyBorder="1" applyAlignment="1">
      <alignment horizontal="justify" wrapText="1"/>
    </xf>
    <xf numFmtId="0" fontId="60" fillId="0" borderId="19" xfId="0" applyFont="1" applyFill="1" applyBorder="1" applyAlignment="1">
      <alignment horizontal="justify" wrapText="1"/>
    </xf>
    <xf numFmtId="0" fontId="60" fillId="0" borderId="10" xfId="0" applyFont="1" applyFill="1" applyBorder="1" applyAlignment="1">
      <alignment horizontal="justify" wrapText="1"/>
    </xf>
    <xf numFmtId="0" fontId="60" fillId="0" borderId="20" xfId="0" applyFont="1" applyFill="1" applyBorder="1" applyAlignment="1">
      <alignment horizontal="justify" wrapText="1"/>
    </xf>
    <xf numFmtId="0" fontId="60" fillId="0" borderId="17" xfId="0" applyFont="1" applyFill="1" applyBorder="1" applyAlignment="1">
      <alignment horizontal="left" vertical="top" wrapText="1"/>
    </xf>
    <xf numFmtId="0" fontId="60" fillId="0" borderId="0" xfId="0" applyFont="1" applyFill="1" applyBorder="1" applyAlignment="1">
      <alignment horizontal="left" vertical="top" wrapText="1"/>
    </xf>
    <xf numFmtId="0" fontId="60" fillId="0" borderId="18" xfId="0" applyFont="1" applyFill="1" applyBorder="1" applyAlignment="1">
      <alignment horizontal="left" vertical="top" wrapText="1"/>
    </xf>
    <xf numFmtId="0" fontId="23" fillId="0" borderId="12" xfId="49" applyFont="1" applyFill="1" applyBorder="1" applyAlignment="1">
      <alignment vertical="center" wrapText="1"/>
    </xf>
    <xf numFmtId="0" fontId="23" fillId="0" borderId="13" xfId="49" applyFont="1" applyFill="1" applyBorder="1" applyAlignment="1">
      <alignment vertical="center" wrapText="1"/>
    </xf>
    <xf numFmtId="0" fontId="60" fillId="0" borderId="17" xfId="49" applyFont="1" applyFill="1" applyBorder="1" applyAlignment="1">
      <alignment horizontal="justify" vertical="justify" wrapText="1"/>
    </xf>
    <xf numFmtId="0" fontId="60" fillId="0" borderId="0" xfId="49" applyFont="1" applyFill="1" applyBorder="1" applyAlignment="1">
      <alignment horizontal="justify" vertical="justify" wrapText="1"/>
    </xf>
    <xf numFmtId="0" fontId="60" fillId="0" borderId="18" xfId="49" applyFont="1" applyFill="1" applyBorder="1" applyAlignment="1">
      <alignment horizontal="justify" vertical="justify" wrapText="1"/>
    </xf>
    <xf numFmtId="166" fontId="45" fillId="0" borderId="0" xfId="1" applyNumberFormat="1" applyFont="1" applyFill="1" applyBorder="1" applyAlignment="1">
      <alignment horizontal="center" vertical="top" wrapText="1"/>
    </xf>
    <xf numFmtId="166" fontId="45" fillId="0" borderId="18" xfId="1" applyNumberFormat="1" applyFont="1" applyFill="1" applyBorder="1" applyAlignment="1">
      <alignment horizontal="center" vertical="top" wrapText="1"/>
    </xf>
    <xf numFmtId="0" fontId="57" fillId="0" borderId="14" xfId="49" applyFont="1" applyFill="1" applyBorder="1" applyAlignment="1">
      <alignment vertical="center" wrapText="1"/>
    </xf>
    <xf numFmtId="0" fontId="57" fillId="0" borderId="17" xfId="49" applyFont="1" applyFill="1" applyBorder="1" applyAlignment="1">
      <alignment vertical="center" wrapText="1"/>
    </xf>
    <xf numFmtId="0" fontId="57" fillId="0" borderId="19" xfId="49" applyFont="1" applyFill="1" applyBorder="1" applyAlignment="1">
      <alignment vertical="center" wrapText="1"/>
    </xf>
    <xf numFmtId="43" fontId="57" fillId="0" borderId="11" xfId="49" applyNumberFormat="1" applyFont="1" applyFill="1" applyBorder="1" applyAlignment="1">
      <alignment horizontal="center" vertical="top"/>
    </xf>
    <xf numFmtId="0" fontId="57" fillId="0" borderId="13" xfId="49" applyFont="1" applyFill="1" applyBorder="1" applyAlignment="1">
      <alignment horizontal="center" vertical="top"/>
    </xf>
    <xf numFmtId="166" fontId="57" fillId="0" borderId="11" xfId="1" applyNumberFormat="1" applyFont="1" applyFill="1" applyBorder="1" applyAlignment="1">
      <alignment horizontal="center" vertical="center"/>
    </xf>
    <xf numFmtId="166" fontId="57" fillId="0" borderId="13" xfId="1" applyNumberFormat="1" applyFont="1" applyFill="1" applyBorder="1" applyAlignment="1">
      <alignment horizontal="center" vertical="center"/>
    </xf>
    <xf numFmtId="0" fontId="57" fillId="0" borderId="11" xfId="49" applyFont="1" applyFill="1" applyBorder="1" applyAlignment="1">
      <alignment horizontal="center" vertical="center" wrapText="1"/>
    </xf>
    <xf numFmtId="0" fontId="57" fillId="0" borderId="13" xfId="49" applyFont="1" applyFill="1" applyBorder="1" applyAlignment="1">
      <alignment horizontal="center" vertical="center" wrapText="1"/>
    </xf>
    <xf numFmtId="166" fontId="57" fillId="0" borderId="11" xfId="1" applyNumberFormat="1" applyFont="1" applyFill="1" applyBorder="1" applyAlignment="1">
      <alignment vertical="center" wrapText="1"/>
    </xf>
    <xf numFmtId="166" fontId="57" fillId="0" borderId="13" xfId="1" applyNumberFormat="1" applyFont="1" applyFill="1" applyBorder="1" applyAlignment="1">
      <alignment vertical="center" wrapText="1"/>
    </xf>
    <xf numFmtId="0" fontId="57" fillId="0" borderId="17" xfId="49" applyFont="1" applyFill="1" applyBorder="1" applyAlignment="1">
      <alignment horizontal="left" vertical="justify" wrapText="1"/>
    </xf>
    <xf numFmtId="0" fontId="57" fillId="0" borderId="0" xfId="49" applyFont="1" applyFill="1" applyBorder="1" applyAlignment="1">
      <alignment horizontal="left" vertical="justify" wrapText="1"/>
    </xf>
    <xf numFmtId="0" fontId="23" fillId="0" borderId="12" xfId="49" applyFont="1" applyFill="1" applyBorder="1" applyAlignment="1">
      <alignment horizontal="center" vertical="center" wrapText="1"/>
    </xf>
    <xf numFmtId="0" fontId="23" fillId="0" borderId="13" xfId="49" applyFont="1" applyFill="1" applyBorder="1" applyAlignment="1">
      <alignment horizontal="center" vertical="center" wrapText="1"/>
    </xf>
    <xf numFmtId="0" fontId="23" fillId="0" borderId="12" xfId="49" applyFont="1" applyFill="1" applyBorder="1" applyAlignment="1">
      <alignment horizontal="center" vertical="center"/>
    </xf>
    <xf numFmtId="0" fontId="23" fillId="0" borderId="13" xfId="49" applyFont="1" applyFill="1" applyBorder="1" applyAlignment="1">
      <alignment horizontal="center" vertical="center"/>
    </xf>
    <xf numFmtId="0" fontId="57" fillId="0" borderId="22" xfId="49" applyFont="1" applyFill="1" applyBorder="1" applyAlignment="1">
      <alignment vertical="center"/>
    </xf>
    <xf numFmtId="0" fontId="57" fillId="0" borderId="26" xfId="49" applyFont="1" applyFill="1" applyBorder="1" applyAlignment="1">
      <alignment vertical="center"/>
    </xf>
    <xf numFmtId="43" fontId="57" fillId="0" borderId="11" xfId="49" applyNumberFormat="1" applyFont="1" applyFill="1" applyBorder="1" applyAlignment="1">
      <alignment horizontal="center" vertical="center"/>
    </xf>
    <xf numFmtId="0" fontId="57" fillId="0" borderId="13" xfId="49" applyFont="1" applyFill="1" applyBorder="1" applyAlignment="1">
      <alignment horizontal="center" vertical="center"/>
    </xf>
    <xf numFmtId="166" fontId="57" fillId="0" borderId="11" xfId="1" applyNumberFormat="1" applyFont="1" applyFill="1" applyBorder="1" applyAlignment="1">
      <alignment horizontal="center" vertical="center" wrapText="1"/>
    </xf>
    <xf numFmtId="166" fontId="57" fillId="0" borderId="13" xfId="1" applyNumberFormat="1" applyFont="1" applyFill="1" applyBorder="1" applyAlignment="1">
      <alignment horizontal="center" vertical="center" wrapText="1"/>
    </xf>
    <xf numFmtId="0" fontId="60" fillId="0" borderId="17" xfId="0" applyFont="1" applyFill="1" applyBorder="1" applyAlignment="1">
      <alignment horizontal="left" vertical="center" wrapText="1" indent="10"/>
    </xf>
    <xf numFmtId="0" fontId="60" fillId="0" borderId="0" xfId="0" applyFont="1" applyFill="1" applyBorder="1" applyAlignment="1">
      <alignment horizontal="left" vertical="center" wrapText="1" indent="10"/>
    </xf>
    <xf numFmtId="0" fontId="60" fillId="0" borderId="18" xfId="0" applyFont="1" applyFill="1" applyBorder="1" applyAlignment="1">
      <alignment horizontal="left" vertical="center" wrapText="1" indent="10"/>
    </xf>
    <xf numFmtId="0" fontId="60" fillId="0" borderId="17" xfId="0" applyFont="1" applyFill="1" applyBorder="1" applyAlignment="1">
      <alignment horizontal="left" vertical="top" wrapText="1" indent="10"/>
    </xf>
    <xf numFmtId="0" fontId="60" fillId="0" borderId="0" xfId="0" applyFont="1" applyFill="1" applyBorder="1" applyAlignment="1">
      <alignment horizontal="left" vertical="top" wrapText="1" indent="10"/>
    </xf>
    <xf numFmtId="0" fontId="60" fillId="0" borderId="18" xfId="0" applyFont="1" applyFill="1" applyBorder="1" applyAlignment="1">
      <alignment horizontal="left" vertical="top" wrapText="1" indent="10"/>
    </xf>
    <xf numFmtId="0" fontId="57" fillId="40" borderId="21" xfId="0" applyFont="1" applyFill="1" applyBorder="1" applyAlignment="1">
      <alignment horizontal="center" vertical="center"/>
    </xf>
    <xf numFmtId="0" fontId="60" fillId="0" borderId="19" xfId="0" applyFont="1" applyFill="1" applyBorder="1" applyAlignment="1">
      <alignment horizontal="left" wrapText="1"/>
    </xf>
    <xf numFmtId="0" fontId="60" fillId="0" borderId="10" xfId="0" applyFont="1" applyFill="1" applyBorder="1" applyAlignment="1">
      <alignment horizontal="left" wrapText="1"/>
    </xf>
    <xf numFmtId="0" fontId="60" fillId="0" borderId="20" xfId="0" applyFont="1" applyFill="1" applyBorder="1" applyAlignment="1">
      <alignment horizontal="left" wrapText="1"/>
    </xf>
    <xf numFmtId="0" fontId="60" fillId="0" borderId="14" xfId="0" applyFont="1" applyFill="1" applyBorder="1" applyAlignment="1">
      <alignment horizontal="left" wrapText="1"/>
    </xf>
    <xf numFmtId="0" fontId="60" fillId="0" borderId="15" xfId="0" applyFont="1" applyFill="1" applyBorder="1" applyAlignment="1">
      <alignment horizontal="left" wrapText="1"/>
    </xf>
    <xf numFmtId="0" fontId="60" fillId="0" borderId="16" xfId="0" applyFont="1" applyFill="1" applyBorder="1" applyAlignment="1">
      <alignment horizontal="left" wrapText="1"/>
    </xf>
    <xf numFmtId="0" fontId="59" fillId="0" borderId="17" xfId="43" applyFont="1" applyFill="1" applyBorder="1" applyAlignment="1">
      <alignment horizontal="left" vertical="center"/>
    </xf>
    <xf numFmtId="0" fontId="59" fillId="0" borderId="18" xfId="43" applyFont="1" applyFill="1" applyBorder="1" applyAlignment="1">
      <alignment horizontal="left" vertical="center"/>
    </xf>
    <xf numFmtId="0" fontId="64" fillId="0" borderId="0" xfId="0" applyFont="1" applyFill="1" applyBorder="1" applyAlignment="1">
      <alignment horizontal="left" vertical="center" wrapText="1"/>
    </xf>
    <xf numFmtId="0" fontId="44" fillId="0" borderId="0" xfId="43" quotePrefix="1" applyFont="1" applyAlignment="1">
      <alignment horizontal="left" vertical="top" wrapText="1"/>
    </xf>
    <xf numFmtId="0" fontId="71" fillId="40" borderId="14" xfId="43" quotePrefix="1" applyFont="1" applyFill="1" applyBorder="1" applyAlignment="1">
      <alignment horizontal="center" vertical="center"/>
    </xf>
    <xf numFmtId="0" fontId="71" fillId="40" borderId="15" xfId="43" quotePrefix="1" applyFont="1" applyFill="1" applyBorder="1" applyAlignment="1">
      <alignment horizontal="center" vertical="center"/>
    </xf>
    <xf numFmtId="15" fontId="71" fillId="40" borderId="21" xfId="66" quotePrefix="1" applyNumberFormat="1" applyFont="1" applyFill="1" applyBorder="1" applyAlignment="1">
      <alignment horizontal="center" vertical="center"/>
    </xf>
    <xf numFmtId="15" fontId="71" fillId="40" borderId="21" xfId="66" applyNumberFormat="1" applyFont="1" applyFill="1" applyBorder="1" applyAlignment="1">
      <alignment horizontal="center" vertical="center"/>
    </xf>
    <xf numFmtId="15" fontId="78" fillId="33" borderId="0" xfId="66" quotePrefix="1" applyNumberFormat="1" applyFont="1" applyFill="1" applyBorder="1" applyAlignment="1">
      <alignment horizontal="center" vertical="center" wrapText="1"/>
    </xf>
    <xf numFmtId="15" fontId="78" fillId="33" borderId="18" xfId="66" applyNumberFormat="1" applyFont="1" applyFill="1" applyBorder="1" applyAlignment="1">
      <alignment horizontal="center" vertical="center"/>
    </xf>
    <xf numFmtId="0" fontId="57" fillId="40" borderId="14" xfId="0" applyFont="1" applyFill="1" applyBorder="1" applyAlignment="1">
      <alignment horizontal="center" vertical="center"/>
    </xf>
    <xf numFmtId="0" fontId="57" fillId="40" borderId="19" xfId="0" applyFont="1" applyFill="1" applyBorder="1" applyAlignment="1">
      <alignment horizontal="center" vertical="center"/>
    </xf>
    <xf numFmtId="0" fontId="71" fillId="40" borderId="16" xfId="43" quotePrefix="1" applyFont="1" applyFill="1" applyBorder="1" applyAlignment="1">
      <alignment horizontal="center" vertical="center"/>
    </xf>
    <xf numFmtId="0" fontId="77" fillId="39" borderId="54" xfId="43" quotePrefix="1" applyFont="1" applyFill="1" applyBorder="1" applyAlignment="1">
      <alignment horizontal="center" vertical="center"/>
    </xf>
    <xf numFmtId="0" fontId="77" fillId="39" borderId="32" xfId="43" quotePrefix="1" applyFont="1" applyFill="1" applyBorder="1" applyAlignment="1">
      <alignment horizontal="center" vertical="center"/>
    </xf>
    <xf numFmtId="0" fontId="74" fillId="0" borderId="17" xfId="66" applyFont="1" applyFill="1" applyBorder="1" applyAlignment="1">
      <alignment horizontal="left" vertical="top" wrapText="1"/>
    </xf>
    <xf numFmtId="0" fontId="74" fillId="0" borderId="0" xfId="66" applyFont="1" applyFill="1" applyBorder="1" applyAlignment="1">
      <alignment horizontal="left" vertical="top" wrapText="1"/>
    </xf>
    <xf numFmtId="0" fontId="74" fillId="0" borderId="18" xfId="66" applyFont="1" applyFill="1" applyBorder="1" applyAlignment="1">
      <alignment horizontal="left" vertical="top" wrapText="1"/>
    </xf>
    <xf numFmtId="0" fontId="71" fillId="40" borderId="22" xfId="66" applyFont="1" applyFill="1" applyBorder="1" applyAlignment="1">
      <alignment horizontal="center" vertical="center"/>
    </xf>
    <xf numFmtId="0" fontId="71" fillId="40" borderId="26" xfId="66" applyFont="1" applyFill="1" applyBorder="1" applyAlignment="1">
      <alignment horizontal="center" vertical="center"/>
    </xf>
    <xf numFmtId="0" fontId="74" fillId="0" borderId="17" xfId="66" applyFont="1" applyFill="1" applyBorder="1" applyAlignment="1">
      <alignment horizontal="left" wrapText="1"/>
    </xf>
    <xf numFmtId="0" fontId="74" fillId="0" borderId="0" xfId="66" applyFont="1" applyFill="1" applyBorder="1" applyAlignment="1">
      <alignment horizontal="left" wrapText="1"/>
    </xf>
    <xf numFmtId="0" fontId="74" fillId="0" borderId="18" xfId="66" applyFont="1" applyFill="1" applyBorder="1" applyAlignment="1">
      <alignment horizontal="left" wrapText="1"/>
    </xf>
    <xf numFmtId="0" fontId="74" fillId="0" borderId="19" xfId="66" applyFont="1" applyBorder="1" applyAlignment="1">
      <alignment horizontal="left" wrapText="1"/>
    </xf>
    <xf numFmtId="0" fontId="74" fillId="0" borderId="10" xfId="66" applyFont="1" applyBorder="1" applyAlignment="1">
      <alignment horizontal="left" wrapText="1"/>
    </xf>
    <xf numFmtId="0" fontId="74" fillId="0" borderId="20" xfId="66" applyFont="1" applyBorder="1" applyAlignment="1">
      <alignment horizontal="left" wrapText="1"/>
    </xf>
    <xf numFmtId="0" fontId="74" fillId="0" borderId="0" xfId="43" applyFont="1" applyBorder="1" applyAlignment="1">
      <alignment horizontal="left" vertical="top" wrapText="1"/>
    </xf>
    <xf numFmtId="49" fontId="71" fillId="0" borderId="14" xfId="0" applyNumberFormat="1" applyFont="1" applyBorder="1" applyAlignment="1">
      <alignment horizontal="center"/>
    </xf>
    <xf numFmtId="49" fontId="71" fillId="0" borderId="15" xfId="0" applyNumberFormat="1" applyFont="1" applyBorder="1" applyAlignment="1">
      <alignment horizontal="center"/>
    </xf>
    <xf numFmtId="49" fontId="71" fillId="0" borderId="16" xfId="0" applyNumberFormat="1" applyFont="1" applyBorder="1" applyAlignment="1">
      <alignment horizontal="center"/>
    </xf>
    <xf numFmtId="0" fontId="74" fillId="0" borderId="17" xfId="43" applyFont="1" applyBorder="1" applyAlignment="1">
      <alignment horizontal="left" vertical="top" wrapText="1"/>
    </xf>
    <xf numFmtId="0" fontId="74" fillId="0" borderId="18" xfId="43" applyFont="1" applyBorder="1" applyAlignment="1">
      <alignment horizontal="left" vertical="top" wrapText="1"/>
    </xf>
    <xf numFmtId="0" fontId="58" fillId="0" borderId="17" xfId="0" applyFont="1" applyBorder="1" applyAlignment="1">
      <alignment horizontal="center"/>
    </xf>
    <xf numFmtId="0" fontId="58" fillId="0" borderId="0" xfId="0" applyFont="1" applyBorder="1" applyAlignment="1">
      <alignment horizontal="center"/>
    </xf>
    <xf numFmtId="166" fontId="57" fillId="40" borderId="11" xfId="1" applyNumberFormat="1" applyFont="1" applyFill="1" applyBorder="1" applyAlignment="1">
      <alignment horizontal="center" vertical="center" wrapText="1"/>
    </xf>
    <xf numFmtId="166" fontId="57" fillId="40" borderId="13" xfId="1" applyNumberFormat="1" applyFont="1" applyFill="1" applyBorder="1" applyAlignment="1">
      <alignment horizontal="center" vertical="center" wrapText="1"/>
    </xf>
    <xf numFmtId="166" fontId="64" fillId="0" borderId="22" xfId="1" applyNumberFormat="1" applyFont="1" applyBorder="1" applyAlignment="1">
      <alignment horizontal="center" vertical="center" wrapText="1"/>
    </xf>
    <xf numFmtId="166" fontId="64" fillId="0" borderId="26" xfId="1" applyNumberFormat="1" applyFont="1" applyBorder="1" applyAlignment="1">
      <alignment horizontal="center" vertical="center" wrapText="1"/>
    </xf>
    <xf numFmtId="0" fontId="57" fillId="0" borderId="11" xfId="68" applyFont="1" applyFill="1" applyBorder="1" applyAlignment="1">
      <alignment horizontal="left" vertical="top" wrapText="1"/>
    </xf>
    <xf numFmtId="0" fontId="57" fillId="0" borderId="13" xfId="68" applyFont="1" applyFill="1" applyBorder="1" applyAlignment="1">
      <alignment horizontal="left" vertical="top" wrapText="1"/>
    </xf>
    <xf numFmtId="0" fontId="57" fillId="0" borderId="21" xfId="43" applyFont="1" applyFill="1" applyBorder="1" applyAlignment="1">
      <alignment horizontal="center" vertical="center" wrapText="1"/>
    </xf>
    <xf numFmtId="0" fontId="60" fillId="0" borderId="21" xfId="43" applyFont="1" applyFill="1" applyBorder="1" applyAlignment="1">
      <alignment horizontal="left" vertical="center" wrapText="1" indent="1"/>
    </xf>
    <xf numFmtId="166" fontId="32" fillId="0" borderId="21" xfId="1" applyNumberFormat="1" applyFont="1" applyBorder="1" applyAlignment="1">
      <alignment horizontal="center"/>
    </xf>
    <xf numFmtId="0" fontId="57" fillId="0" borderId="12" xfId="68" applyFont="1" applyFill="1" applyBorder="1" applyAlignment="1">
      <alignment horizontal="center" vertical="top"/>
    </xf>
    <xf numFmtId="0" fontId="57" fillId="0" borderId="13" xfId="68" applyFont="1" applyFill="1" applyBorder="1" applyAlignment="1">
      <alignment horizontal="center" vertical="top"/>
    </xf>
    <xf numFmtId="0" fontId="74" fillId="0" borderId="17" xfId="0" applyFont="1" applyBorder="1" applyAlignment="1">
      <alignment horizontal="justify" vertical="top" wrapText="1"/>
    </xf>
    <xf numFmtId="0" fontId="74" fillId="0" borderId="0" xfId="0" applyFont="1" applyBorder="1" applyAlignment="1">
      <alignment horizontal="justify" vertical="top" wrapText="1"/>
    </xf>
    <xf numFmtId="0" fontId="74" fillId="0" borderId="19" xfId="0" applyFont="1" applyBorder="1" applyAlignment="1">
      <alignment horizontal="justify" vertical="top" wrapText="1"/>
    </xf>
    <xf numFmtId="0" fontId="74" fillId="0" borderId="10" xfId="0" applyFont="1" applyBorder="1" applyAlignment="1">
      <alignment horizontal="justify" vertical="top" wrapText="1"/>
    </xf>
    <xf numFmtId="0" fontId="60" fillId="0" borderId="17" xfId="43" applyFont="1" applyFill="1" applyBorder="1" applyAlignment="1">
      <alignment horizontal="justify" vertical="top" wrapText="1"/>
    </xf>
    <xf numFmtId="0" fontId="60" fillId="0" borderId="0" xfId="43" applyFont="1" applyFill="1" applyBorder="1" applyAlignment="1">
      <alignment horizontal="justify" vertical="top" wrapText="1"/>
    </xf>
    <xf numFmtId="0" fontId="60" fillId="0" borderId="19" xfId="43" applyFont="1" applyFill="1" applyBorder="1" applyAlignment="1">
      <alignment horizontal="justify" vertical="top" wrapText="1"/>
    </xf>
    <xf numFmtId="0" fontId="60" fillId="0" borderId="10" xfId="43" applyFont="1" applyFill="1" applyBorder="1" applyAlignment="1">
      <alignment horizontal="justify" vertical="top" wrapText="1"/>
    </xf>
    <xf numFmtId="0" fontId="60" fillId="0" borderId="17" xfId="43" applyFont="1" applyFill="1" applyBorder="1" applyAlignment="1">
      <alignment horizontal="left" vertical="center" wrapText="1"/>
    </xf>
    <xf numFmtId="0" fontId="60" fillId="0" borderId="0" xfId="43" applyFont="1" applyFill="1" applyBorder="1" applyAlignment="1">
      <alignment horizontal="left" vertical="center" wrapText="1"/>
    </xf>
    <xf numFmtId="0" fontId="61" fillId="0" borderId="17" xfId="43" applyFont="1" applyFill="1" applyBorder="1" applyAlignment="1">
      <alignment horizontal="left" vertical="top" wrapText="1"/>
    </xf>
    <xf numFmtId="0" fontId="61" fillId="0" borderId="0" xfId="43" applyFont="1" applyFill="1" applyBorder="1" applyAlignment="1">
      <alignment horizontal="left" vertical="top" wrapText="1"/>
    </xf>
    <xf numFmtId="0" fontId="60" fillId="0" borderId="17" xfId="43" applyFont="1" applyFill="1" applyBorder="1" applyAlignment="1">
      <alignment horizontal="left" vertical="top" wrapText="1"/>
    </xf>
    <xf numFmtId="0" fontId="60" fillId="0" borderId="0" xfId="43" applyFont="1" applyFill="1" applyBorder="1" applyAlignment="1">
      <alignment horizontal="left" vertical="top" wrapText="1"/>
    </xf>
    <xf numFmtId="0" fontId="60" fillId="0" borderId="17" xfId="68" applyFont="1" applyFill="1" applyBorder="1" applyAlignment="1">
      <alignment horizontal="left" vertical="top" wrapText="1"/>
    </xf>
    <xf numFmtId="0" fontId="60" fillId="0" borderId="0" xfId="68" applyFont="1" applyFill="1" applyBorder="1" applyAlignment="1">
      <alignment horizontal="left" vertical="top" wrapText="1"/>
    </xf>
    <xf numFmtId="0" fontId="75" fillId="0" borderId="21" xfId="43" applyFont="1" applyFill="1" applyBorder="1" applyAlignment="1">
      <alignment horizontal="center" vertical="center"/>
    </xf>
    <xf numFmtId="0" fontId="60" fillId="0" borderId="17" xfId="43" applyFont="1" applyBorder="1" applyAlignment="1">
      <alignment horizontal="left" vertical="top" wrapText="1"/>
    </xf>
    <xf numFmtId="0" fontId="60" fillId="0" borderId="0" xfId="43" applyFont="1" applyBorder="1" applyAlignment="1">
      <alignment horizontal="left" vertical="top" wrapText="1"/>
    </xf>
    <xf numFmtId="0" fontId="60" fillId="0" borderId="17" xfId="43" applyFont="1" applyBorder="1" applyAlignment="1">
      <alignment horizontal="justify" vertical="top" wrapText="1"/>
    </xf>
    <xf numFmtId="0" fontId="60" fillId="0" borderId="0" xfId="43" applyFont="1" applyBorder="1" applyAlignment="1">
      <alignment horizontal="justify" vertical="top" wrapText="1"/>
    </xf>
    <xf numFmtId="0" fontId="60" fillId="0" borderId="17" xfId="43" applyFont="1" applyBorder="1" applyAlignment="1">
      <alignment horizontal="left" vertical="center" wrapText="1"/>
    </xf>
    <xf numFmtId="0" fontId="60" fillId="0" borderId="0" xfId="43" applyFont="1" applyBorder="1" applyAlignment="1">
      <alignment horizontal="left" vertical="center" wrapText="1"/>
    </xf>
    <xf numFmtId="0" fontId="57" fillId="0" borderId="14" xfId="0" applyFont="1" applyBorder="1" applyAlignment="1">
      <alignment horizontal="center"/>
    </xf>
    <xf numFmtId="0" fontId="57" fillId="0" borderId="15" xfId="0" applyFont="1" applyBorder="1" applyAlignment="1">
      <alignment horizontal="center"/>
    </xf>
    <xf numFmtId="0" fontId="58" fillId="0" borderId="18" xfId="0" applyFont="1" applyBorder="1" applyAlignment="1">
      <alignment horizontal="center"/>
    </xf>
    <xf numFmtId="0" fontId="74" fillId="0" borderId="0" xfId="0" applyFont="1" applyBorder="1" applyAlignment="1">
      <alignment horizontal="left" vertical="center" wrapText="1"/>
    </xf>
    <xf numFmtId="0" fontId="74" fillId="0" borderId="18" xfId="0" applyFont="1" applyBorder="1" applyAlignment="1">
      <alignment horizontal="left" vertical="center" wrapText="1"/>
    </xf>
    <xf numFmtId="0" fontId="74" fillId="0" borderId="0" xfId="0" applyFont="1" applyBorder="1" applyAlignment="1">
      <alignment horizontal="justify" vertical="center" wrapText="1"/>
    </xf>
    <xf numFmtId="0" fontId="74" fillId="0" borderId="18" xfId="0" applyFont="1" applyBorder="1" applyAlignment="1">
      <alignment horizontal="justify" vertical="center" wrapText="1"/>
    </xf>
    <xf numFmtId="43" fontId="60" fillId="0" borderId="18" xfId="1" applyFont="1" applyFill="1" applyBorder="1" applyAlignment="1">
      <alignment horizontal="left" vertical="center" wrapText="1"/>
    </xf>
    <xf numFmtId="0" fontId="57" fillId="40" borderId="16" xfId="0" applyFont="1" applyFill="1" applyBorder="1" applyAlignment="1">
      <alignment horizontal="center" vertical="center" wrapText="1"/>
    </xf>
    <xf numFmtId="0" fontId="57" fillId="40" borderId="20" xfId="0" applyFont="1" applyFill="1" applyBorder="1" applyAlignment="1">
      <alignment horizontal="center" vertical="center" wrapText="1"/>
    </xf>
    <xf numFmtId="0" fontId="57" fillId="40" borderId="22" xfId="0" applyFont="1" applyFill="1" applyBorder="1" applyAlignment="1">
      <alignment horizontal="center" vertical="center" wrapText="1"/>
    </xf>
    <xf numFmtId="0" fontId="57" fillId="40" borderId="26" xfId="0" applyFont="1" applyFill="1" applyBorder="1" applyAlignment="1">
      <alignment horizontal="center" vertical="center" wrapText="1"/>
    </xf>
    <xf numFmtId="0" fontId="57" fillId="40" borderId="21" xfId="0" applyFont="1" applyFill="1" applyBorder="1" applyAlignment="1">
      <alignment horizontal="center" vertical="top"/>
    </xf>
    <xf numFmtId="0" fontId="71" fillId="40" borderId="21" xfId="0" applyFont="1" applyFill="1" applyBorder="1" applyAlignment="1">
      <alignment horizontal="center" vertical="center"/>
    </xf>
    <xf numFmtId="0" fontId="74" fillId="0" borderId="10" xfId="0" applyFont="1" applyBorder="1" applyAlignment="1">
      <alignment horizontal="left" vertical="center" wrapText="1"/>
    </xf>
    <xf numFmtId="0" fontId="74" fillId="0" borderId="20" xfId="0" applyFont="1" applyBorder="1" applyAlignment="1">
      <alignment horizontal="left" vertical="center" wrapText="1"/>
    </xf>
    <xf numFmtId="43" fontId="60" fillId="0" borderId="0" xfId="1" applyFont="1" applyFill="1" applyBorder="1" applyAlignment="1">
      <alignment horizontal="left" vertical="center" wrapText="1"/>
    </xf>
    <xf numFmtId="0" fontId="74" fillId="0" borderId="0" xfId="0" applyFont="1" applyAlignment="1">
      <alignment horizontal="left" vertical="center" wrapText="1"/>
    </xf>
    <xf numFmtId="0" fontId="65" fillId="0" borderId="0" xfId="0" applyFont="1" applyAlignment="1">
      <alignment horizontal="left" vertical="center" wrapText="1"/>
    </xf>
    <xf numFmtId="43" fontId="62" fillId="0" borderId="18" xfId="1" applyFont="1" applyFill="1" applyBorder="1" applyAlignment="1">
      <alignment horizontal="left" vertical="center" wrapText="1"/>
    </xf>
    <xf numFmtId="0" fontId="57" fillId="0" borderId="15" xfId="0" applyFont="1" applyBorder="1" applyAlignment="1">
      <alignment horizontal="center" wrapText="1"/>
    </xf>
    <xf numFmtId="0" fontId="57" fillId="0" borderId="0" xfId="0" applyFont="1" applyBorder="1" applyAlignment="1">
      <alignment horizontal="center"/>
    </xf>
    <xf numFmtId="0" fontId="25" fillId="0" borderId="15" xfId="0" applyFont="1" applyFill="1" applyBorder="1" applyAlignment="1">
      <alignment horizontal="center"/>
    </xf>
    <xf numFmtId="0" fontId="25" fillId="0" borderId="16" xfId="0" applyFont="1" applyFill="1" applyBorder="1" applyAlignment="1">
      <alignment horizontal="center"/>
    </xf>
    <xf numFmtId="0" fontId="34" fillId="0" borderId="22" xfId="0" applyFont="1" applyBorder="1" applyAlignment="1">
      <alignment horizontal="center" vertical="center"/>
    </xf>
    <xf numFmtId="0" fontId="34" fillId="0" borderId="23" xfId="0" applyFont="1" applyBorder="1" applyAlignment="1">
      <alignment horizontal="center" vertical="center"/>
    </xf>
    <xf numFmtId="0" fontId="34" fillId="0" borderId="26" xfId="0" applyFont="1" applyBorder="1" applyAlignment="1">
      <alignment horizontal="center" vertical="center"/>
    </xf>
    <xf numFmtId="0" fontId="34" fillId="0" borderId="11" xfId="0" applyFont="1" applyBorder="1" applyAlignment="1">
      <alignment horizontal="center"/>
    </xf>
    <xf numFmtId="0" fontId="34" fillId="0" borderId="13" xfId="0" applyFont="1" applyBorder="1" applyAlignment="1">
      <alignment horizontal="center"/>
    </xf>
    <xf numFmtId="0" fontId="32" fillId="0" borderId="0" xfId="0" applyFont="1" applyAlignment="1">
      <alignment horizontal="center" vertical="center"/>
    </xf>
    <xf numFmtId="0" fontId="34" fillId="0" borderId="11" xfId="0" applyFont="1" applyBorder="1" applyAlignment="1">
      <alignment horizontal="center" vertical="center"/>
    </xf>
    <xf numFmtId="0" fontId="34" fillId="0" borderId="13" xfId="0" applyFont="1" applyBorder="1" applyAlignment="1">
      <alignment horizontal="center" vertical="center"/>
    </xf>
    <xf numFmtId="0" fontId="42" fillId="0" borderId="0" xfId="0" applyFont="1" applyFill="1" applyBorder="1" applyAlignment="1">
      <alignment horizontal="center" vertical="top"/>
    </xf>
    <xf numFmtId="0" fontId="21" fillId="0" borderId="0" xfId="0" applyFont="1" applyAlignment="1">
      <alignment horizontal="center"/>
    </xf>
    <xf numFmtId="0" fontId="21" fillId="0" borderId="10" xfId="0" applyFont="1" applyBorder="1" applyAlignment="1">
      <alignment horizontal="center"/>
    </xf>
    <xf numFmtId="0" fontId="23" fillId="0" borderId="21" xfId="0" applyFont="1" applyBorder="1" applyAlignment="1">
      <alignment horizontal="left"/>
    </xf>
    <xf numFmtId="0" fontId="75" fillId="0" borderId="10" xfId="0" applyFont="1" applyFill="1" applyBorder="1" applyAlignment="1">
      <alignment horizontal="center" vertical="center" wrapText="1"/>
    </xf>
    <xf numFmtId="166" fontId="75" fillId="0" borderId="10" xfId="1" applyNumberFormat="1" applyFont="1" applyFill="1" applyBorder="1" applyAlignment="1">
      <alignment horizontal="center" vertical="center" wrapText="1"/>
    </xf>
    <xf numFmtId="0" fontId="44" fillId="41" borderId="21" xfId="0" applyFont="1" applyFill="1" applyBorder="1"/>
    <xf numFmtId="0" fontId="72" fillId="0" borderId="21" xfId="0" applyFont="1" applyFill="1" applyBorder="1"/>
    <xf numFmtId="0" fontId="57" fillId="0" borderId="21" xfId="0" applyNumberFormat="1" applyFont="1" applyFill="1" applyBorder="1" applyAlignment="1">
      <alignment horizontal="center"/>
    </xf>
    <xf numFmtId="0" fontId="22" fillId="41" borderId="21" xfId="0" applyFont="1" applyFill="1" applyBorder="1"/>
    <xf numFmtId="0" fontId="75" fillId="0" borderId="21" xfId="0" applyFont="1" applyFill="1" applyBorder="1"/>
    <xf numFmtId="166" fontId="72" fillId="0" borderId="21" xfId="1" applyNumberFormat="1" applyFont="1" applyFill="1" applyBorder="1"/>
    <xf numFmtId="166" fontId="76" fillId="0" borderId="21" xfId="1" applyNumberFormat="1" applyFont="1" applyFill="1" applyBorder="1" applyAlignment="1">
      <alignment horizontal="right"/>
    </xf>
    <xf numFmtId="0" fontId="64" fillId="0" borderId="21" xfId="0" applyFont="1" applyFill="1" applyBorder="1"/>
    <xf numFmtId="0" fontId="44" fillId="41" borderId="21" xfId="0" applyFont="1" applyFill="1" applyBorder="1" applyAlignment="1">
      <alignment wrapText="1"/>
    </xf>
    <xf numFmtId="0" fontId="72" fillId="0" borderId="21" xfId="0" applyFont="1" applyFill="1" applyBorder="1" applyAlignment="1">
      <alignment wrapText="1"/>
    </xf>
    <xf numFmtId="0" fontId="22" fillId="41" borderId="21" xfId="0" applyFont="1" applyFill="1" applyBorder="1" applyAlignment="1">
      <alignment wrapText="1"/>
    </xf>
    <xf numFmtId="0" fontId="22" fillId="0" borderId="21" xfId="0" applyFont="1" applyFill="1" applyBorder="1" applyAlignment="1">
      <alignment wrapText="1"/>
    </xf>
    <xf numFmtId="0" fontId="57" fillId="0" borderId="21" xfId="0" applyFont="1" applyFill="1" applyBorder="1" applyAlignment="1">
      <alignment horizontal="center" vertical="top" wrapText="1"/>
    </xf>
    <xf numFmtId="0" fontId="57" fillId="0" borderId="21" xfId="0" applyFont="1" applyFill="1" applyBorder="1"/>
    <xf numFmtId="166" fontId="60" fillId="0" borderId="21" xfId="1" applyNumberFormat="1" applyFont="1" applyFill="1" applyBorder="1"/>
    <xf numFmtId="0" fontId="44" fillId="41" borderId="21" xfId="0" applyNumberFormat="1" applyFont="1" applyFill="1" applyBorder="1" applyAlignment="1">
      <alignment vertical="top"/>
    </xf>
    <xf numFmtId="0" fontId="22" fillId="41" borderId="21" xfId="0" applyNumberFormat="1" applyFont="1" applyFill="1" applyBorder="1" applyAlignment="1">
      <alignment vertical="top"/>
    </xf>
    <xf numFmtId="0" fontId="44" fillId="41" borderId="21" xfId="0" applyFont="1" applyFill="1" applyBorder="1" applyAlignment="1">
      <alignment vertical="top"/>
    </xf>
    <xf numFmtId="43" fontId="44" fillId="41" borderId="21" xfId="1" applyFont="1" applyFill="1" applyBorder="1" applyAlignment="1">
      <alignment horizontal="right" vertical="top"/>
    </xf>
    <xf numFmtId="0" fontId="60" fillId="0" borderId="21" xfId="0" quotePrefix="1" applyFont="1" applyFill="1" applyBorder="1" applyAlignment="1">
      <alignment horizontal="left" indent="3"/>
    </xf>
    <xf numFmtId="43" fontId="22" fillId="41" borderId="21" xfId="0" applyNumberFormat="1" applyFont="1" applyFill="1" applyBorder="1"/>
    <xf numFmtId="0" fontId="44" fillId="45" borderId="21" xfId="0" applyFont="1" applyFill="1" applyBorder="1" applyAlignment="1">
      <alignment vertical="top"/>
    </xf>
    <xf numFmtId="0" fontId="75" fillId="0" borderId="21" xfId="0" applyNumberFormat="1" applyFont="1" applyFill="1" applyBorder="1" applyAlignment="1">
      <alignment vertical="top"/>
    </xf>
    <xf numFmtId="0" fontId="60" fillId="0" borderId="21" xfId="0" quotePrefix="1" applyFont="1" applyFill="1" applyBorder="1" applyAlignment="1">
      <alignment horizontal="left" vertical="top" indent="3"/>
    </xf>
    <xf numFmtId="0" fontId="44" fillId="47" borderId="21" xfId="0" applyFont="1" applyFill="1" applyBorder="1" applyAlignment="1">
      <alignment vertical="top"/>
    </xf>
    <xf numFmtId="43" fontId="45" fillId="41" borderId="21" xfId="1" applyFont="1" applyFill="1" applyBorder="1" applyAlignment="1">
      <alignment horizontal="right" vertical="top"/>
    </xf>
    <xf numFmtId="0" fontId="57" fillId="0" borderId="21" xfId="0" applyFont="1" applyFill="1" applyBorder="1" applyAlignment="1">
      <alignment vertical="top"/>
    </xf>
    <xf numFmtId="0" fontId="72" fillId="0" borderId="21" xfId="0" applyNumberFormat="1" applyFont="1" applyFill="1" applyBorder="1" applyAlignment="1">
      <alignment vertical="top"/>
    </xf>
    <xf numFmtId="0" fontId="61" fillId="0" borderId="21" xfId="0" applyFont="1" applyFill="1" applyBorder="1"/>
    <xf numFmtId="165" fontId="22" fillId="41" borderId="21" xfId="0" applyNumberFormat="1" applyFont="1" applyFill="1" applyBorder="1"/>
    <xf numFmtId="166" fontId="22" fillId="41" borderId="21" xfId="0" applyNumberFormat="1" applyFont="1" applyFill="1" applyBorder="1"/>
    <xf numFmtId="0" fontId="22" fillId="0" borderId="21" xfId="0" applyFont="1" applyFill="1" applyBorder="1"/>
    <xf numFmtId="0" fontId="57" fillId="0" borderId="21" xfId="0" applyFont="1" applyFill="1" applyBorder="1" applyAlignment="1"/>
    <xf numFmtId="166" fontId="73" fillId="0" borderId="21" xfId="1" applyNumberFormat="1" applyFont="1" applyFill="1" applyBorder="1" applyAlignment="1">
      <alignment horizontal="right"/>
    </xf>
    <xf numFmtId="0" fontId="61" fillId="0" borderId="21" xfId="0" applyFont="1" applyFill="1" applyBorder="1" applyAlignment="1">
      <alignment horizontal="center" vertical="center" wrapText="1"/>
    </xf>
    <xf numFmtId="166" fontId="61" fillId="0" borderId="21" xfId="1" applyNumberFormat="1" applyFont="1" applyFill="1" applyBorder="1" applyAlignment="1">
      <alignment horizontal="center" vertical="center" wrapText="1"/>
    </xf>
    <xf numFmtId="0" fontId="60" fillId="0" borderId="21" xfId="0" applyFont="1" applyFill="1" applyBorder="1" applyAlignment="1">
      <alignment vertical="top"/>
    </xf>
    <xf numFmtId="166" fontId="91" fillId="0" borderId="21" xfId="1" applyNumberFormat="1" applyFont="1" applyFill="1" applyBorder="1" applyAlignment="1">
      <alignment horizontal="right" vertical="top"/>
    </xf>
    <xf numFmtId="0" fontId="75" fillId="0" borderId="21" xfId="0" applyFont="1" applyFill="1" applyBorder="1" applyAlignment="1">
      <alignment horizontal="center" vertical="center" wrapText="1"/>
    </xf>
    <xf numFmtId="166" fontId="75" fillId="0" borderId="21" xfId="1" applyNumberFormat="1" applyFont="1" applyFill="1" applyBorder="1" applyAlignment="1">
      <alignment horizontal="center" vertical="center" wrapText="1"/>
    </xf>
    <xf numFmtId="43" fontId="44" fillId="0" borderId="21" xfId="1" applyFont="1" applyFill="1" applyBorder="1" applyAlignment="1">
      <alignment horizontal="right" vertical="top"/>
    </xf>
    <xf numFmtId="166" fontId="88" fillId="0" borderId="21" xfId="1" applyNumberFormat="1" applyFont="1" applyFill="1" applyBorder="1" applyAlignment="1">
      <alignment horizontal="right" vertical="top"/>
    </xf>
    <xf numFmtId="166" fontId="86" fillId="0" borderId="21" xfId="1" applyNumberFormat="1" applyFont="1" applyFill="1" applyBorder="1" applyAlignment="1">
      <alignment horizontal="right" vertical="top"/>
    </xf>
    <xf numFmtId="0" fontId="60" fillId="0" borderId="21" xfId="0" quotePrefix="1" applyFont="1" applyFill="1" applyBorder="1" applyAlignment="1">
      <alignment horizontal="left" vertical="top"/>
    </xf>
    <xf numFmtId="0" fontId="60" fillId="0" borderId="21" xfId="0" applyNumberFormat="1" applyFont="1" applyFill="1" applyBorder="1" applyAlignment="1">
      <alignment vertical="top"/>
    </xf>
    <xf numFmtId="0" fontId="75" fillId="0" borderId="21" xfId="0" applyFont="1" applyFill="1" applyBorder="1" applyAlignment="1">
      <alignment horizontal="left" vertical="center" wrapText="1"/>
    </xf>
    <xf numFmtId="166" fontId="75" fillId="0" borderId="21" xfId="1" applyNumberFormat="1" applyFont="1" applyFill="1" applyBorder="1" applyAlignment="1">
      <alignment horizontal="left" vertical="center" wrapText="1"/>
    </xf>
    <xf numFmtId="0" fontId="57" fillId="0" borderId="21" xfId="0" applyFont="1" applyFill="1" applyBorder="1" applyAlignment="1">
      <alignment horizontal="left"/>
    </xf>
    <xf numFmtId="166" fontId="72" fillId="0" borderId="21" xfId="1" applyNumberFormat="1" applyFont="1" applyFill="1" applyBorder="1" applyAlignment="1">
      <alignment horizontal="left" vertical="center" wrapText="1"/>
    </xf>
    <xf numFmtId="166" fontId="87" fillId="0" borderId="21" xfId="1" applyNumberFormat="1" applyFont="1" applyFill="1" applyBorder="1"/>
    <xf numFmtId="0" fontId="72" fillId="0" borderId="21" xfId="0" applyFont="1" applyFill="1" applyBorder="1" applyAlignment="1">
      <alignment horizontal="left" indent="3"/>
    </xf>
    <xf numFmtId="0" fontId="72" fillId="0" borderId="21" xfId="0" applyFont="1" applyFill="1" applyBorder="1" applyAlignment="1">
      <alignment vertical="top"/>
    </xf>
    <xf numFmtId="166" fontId="89" fillId="0" borderId="21" xfId="1" applyNumberFormat="1" applyFont="1" applyFill="1" applyBorder="1" applyAlignment="1">
      <alignment horizontal="right" vertical="top"/>
    </xf>
    <xf numFmtId="166" fontId="72" fillId="0" borderId="21" xfId="1" applyNumberFormat="1" applyFont="1" applyFill="1" applyBorder="1" applyAlignment="1">
      <alignment horizontal="right" vertical="top"/>
    </xf>
    <xf numFmtId="0" fontId="57" fillId="0" borderId="21" xfId="0" applyNumberFormat="1" applyFont="1" applyFill="1" applyBorder="1" applyAlignment="1">
      <alignment vertical="top"/>
    </xf>
    <xf numFmtId="0" fontId="44" fillId="0" borderId="21" xfId="0" applyFont="1" applyFill="1" applyBorder="1" applyAlignment="1">
      <alignment vertical="top"/>
    </xf>
    <xf numFmtId="43" fontId="45" fillId="0" borderId="21" xfId="1" applyFont="1" applyFill="1" applyBorder="1"/>
    <xf numFmtId="0" fontId="44" fillId="41" borderId="21" xfId="0" applyFont="1" applyFill="1" applyBorder="1" applyAlignment="1"/>
    <xf numFmtId="0" fontId="22" fillId="41" borderId="21" xfId="0" applyFont="1" applyFill="1" applyBorder="1" applyAlignment="1"/>
    <xf numFmtId="0" fontId="23" fillId="41" borderId="21" xfId="0" applyFont="1" applyFill="1" applyBorder="1" applyAlignment="1">
      <alignment horizontal="left" wrapText="1" indent="10"/>
    </xf>
    <xf numFmtId="0" fontId="75" fillId="0" borderId="21" xfId="0" applyFont="1" applyFill="1" applyBorder="1" applyAlignment="1">
      <alignment horizontal="left" wrapText="1" indent="10"/>
    </xf>
    <xf numFmtId="43" fontId="23" fillId="41" borderId="21" xfId="1" applyFont="1" applyFill="1" applyBorder="1"/>
    <xf numFmtId="0" fontId="23" fillId="41" borderId="21" xfId="0" applyNumberFormat="1" applyFont="1" applyFill="1" applyBorder="1" applyAlignment="1">
      <alignment vertical="top"/>
    </xf>
    <xf numFmtId="0" fontId="23" fillId="41" borderId="21" xfId="0" applyFont="1" applyFill="1" applyBorder="1"/>
    <xf numFmtId="0" fontId="23" fillId="41" borderId="21" xfId="0" applyFont="1" applyFill="1" applyBorder="1" applyAlignment="1">
      <alignment horizontal="center" vertical="center" wrapText="1"/>
    </xf>
    <xf numFmtId="43" fontId="45" fillId="41" borderId="21" xfId="1" applyFont="1" applyFill="1" applyBorder="1"/>
    <xf numFmtId="43" fontId="49" fillId="41" borderId="21" xfId="1" applyFont="1" applyFill="1" applyBorder="1" applyAlignment="1">
      <alignment horizontal="right" vertical="top"/>
    </xf>
    <xf numFmtId="43" fontId="60" fillId="0" borderId="21" xfId="1" applyFont="1" applyFill="1" applyBorder="1" applyAlignment="1">
      <alignment horizontal="right" vertical="top"/>
    </xf>
    <xf numFmtId="166" fontId="22" fillId="41" borderId="21" xfId="1" applyNumberFormat="1" applyFont="1" applyFill="1" applyBorder="1"/>
  </cellXfs>
  <cellStyles count="7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omma 18" xfId="65"/>
    <cellStyle name="Comma 19" xfId="67"/>
    <cellStyle name="Comma 2" xfId="44"/>
    <cellStyle name="Comma 2 2" xfId="47"/>
    <cellStyle name="Comma 2 3" xfId="54"/>
    <cellStyle name="Comma 2 7" xfId="69"/>
    <cellStyle name="Comma 3" xfId="48"/>
    <cellStyle name="Comma 3 2" xfId="55"/>
    <cellStyle name="Comma 4" xfId="46"/>
    <cellStyle name="Comma 4 2" xfId="56"/>
    <cellStyle name="Comma 5" xfId="73"/>
    <cellStyle name="Excel Built-in Normal" xfId="57"/>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10" xfId="51"/>
    <cellStyle name="Normal 10 2" xfId="58"/>
    <cellStyle name="Normal 11" xfId="66"/>
    <cellStyle name="Normal 2" xfId="43"/>
    <cellStyle name="Normal 2 3 2" xfId="68"/>
    <cellStyle name="Normal 29" xfId="71"/>
    <cellStyle name="Normal 3" xfId="49"/>
    <cellStyle name="Normal 30" xfId="72"/>
    <cellStyle name="Normal 4" xfId="59"/>
    <cellStyle name="Normal 5" xfId="60"/>
    <cellStyle name="Normal 58" xfId="70"/>
    <cellStyle name="Normal 6" xfId="61"/>
    <cellStyle name="Normal 7" xfId="63"/>
    <cellStyle name="Normal 7 2" xfId="64"/>
    <cellStyle name="Normal 8" xfId="62"/>
    <cellStyle name="Note" xfId="16" builtinId="10" customBuiltin="1"/>
    <cellStyle name="Output" xfId="11" builtinId="21" customBuiltin="1"/>
    <cellStyle name="Percent" xfId="50" builtinId="5"/>
    <cellStyle name="Percent 11" xfId="74"/>
    <cellStyle name="Percent 2" xfId="45"/>
    <cellStyle name="TableStyleLight1" xfId="53"/>
    <cellStyle name="Title" xfId="2" builtinId="15" customBuiltin="1"/>
    <cellStyle name="Title 2" xfId="52"/>
    <cellStyle name="Total" xfId="18" builtinId="25" customBuiltin="1"/>
    <cellStyle name="Warning Text" xfId="15" builtinId="11" customBuiltin="1"/>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s>
  <tableStyles count="0" defaultTableStyle="TableStyleMedium9" defaultPivotStyle="PivotStyleLight16"/>
  <colors>
    <mruColors>
      <color rgb="FF160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4.xml"/><Relationship Id="rId30"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2741083</xdr:colOff>
      <xdr:row>5</xdr:row>
      <xdr:rowOff>254000</xdr:rowOff>
    </xdr:from>
    <xdr:ext cx="184731" cy="264560"/>
    <xdr:sp macro="" textlink="">
      <xdr:nvSpPr>
        <xdr:cNvPr id="2" name="TextBox 1"/>
        <xdr:cNvSpPr txBox="1"/>
      </xdr:nvSpPr>
      <xdr:spPr>
        <a:xfrm>
          <a:off x="3026833" y="1100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1771650</xdr:colOff>
      <xdr:row>14</xdr:row>
      <xdr:rowOff>0</xdr:rowOff>
    </xdr:from>
    <xdr:to>
      <xdr:col>2</xdr:col>
      <xdr:colOff>1809750</xdr:colOff>
      <xdr:row>15</xdr:row>
      <xdr:rowOff>0</xdr:rowOff>
    </xdr:to>
    <xdr:pic>
      <xdr:nvPicPr>
        <xdr:cNvPr id="2" name="Picture 2">
          <a:extLst>
            <a:ext uri="{FF2B5EF4-FFF2-40B4-BE49-F238E27FC236}">
              <a16:creationId xmlns=""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0" y="27241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gyen/Desktop/closing%20files/closing/final%20Inv/Material%20Mast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ell3000/Downloads/March%2018%20BS%20for%20Sending_19.09.18%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SHVIS~1/AppData/Local/Temp/Comparative%20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DHPC\Bhutan%20Telecom%20Ltd\Audit%20data\Financials\Disclosures\2018\3.%20Financial%20statement(version7)%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row r="2">
          <cell r="A2">
            <v>5000040</v>
          </cell>
          <cell r="B2" t="str">
            <v>ZCO</v>
          </cell>
          <cell r="C2" t="str">
            <v>DROP WIRE SELF SUPPORTING TWIN CORE</v>
          </cell>
        </row>
        <row r="3">
          <cell r="A3">
            <v>6000000</v>
          </cell>
          <cell r="B3" t="str">
            <v>ZSP</v>
          </cell>
          <cell r="C3" t="str">
            <v>BULB 100 WATTS</v>
          </cell>
        </row>
        <row r="4">
          <cell r="A4">
            <v>6000001</v>
          </cell>
          <cell r="B4" t="str">
            <v>ZSP</v>
          </cell>
          <cell r="C4" t="str">
            <v>ARCH FILE</v>
          </cell>
        </row>
        <row r="5">
          <cell r="A5">
            <v>6000002</v>
          </cell>
          <cell r="B5" t="str">
            <v>ZSP</v>
          </cell>
          <cell r="C5" t="str">
            <v>WHITE BOARD MARKER PEN</v>
          </cell>
        </row>
        <row r="6">
          <cell r="A6">
            <v>6000003</v>
          </cell>
          <cell r="B6" t="str">
            <v>ZSP</v>
          </cell>
          <cell r="C6" t="str">
            <v>CALCULATOR</v>
          </cell>
        </row>
        <row r="7">
          <cell r="A7">
            <v>6000004</v>
          </cell>
          <cell r="B7" t="str">
            <v>ZSP</v>
          </cell>
          <cell r="C7" t="str">
            <v>CARBON PAPER BLUE</v>
          </cell>
        </row>
        <row r="8">
          <cell r="A8">
            <v>6000005</v>
          </cell>
          <cell r="B8" t="str">
            <v>ZSP</v>
          </cell>
          <cell r="C8" t="str">
            <v>ENVELOP 11" X 5" OF 50 PCS/PKT</v>
          </cell>
        </row>
        <row r="9">
          <cell r="A9">
            <v>6000006</v>
          </cell>
          <cell r="B9" t="str">
            <v>ZSP</v>
          </cell>
          <cell r="C9" t="str">
            <v>ENVELOPE A4 WATER PROOF</v>
          </cell>
        </row>
        <row r="10">
          <cell r="A10">
            <v>6000007</v>
          </cell>
          <cell r="B10" t="str">
            <v>ZSP</v>
          </cell>
          <cell r="C10" t="str">
            <v>2 RING FILE</v>
          </cell>
        </row>
        <row r="11">
          <cell r="A11">
            <v>6000008</v>
          </cell>
          <cell r="B11" t="str">
            <v>ZSP</v>
          </cell>
          <cell r="C11" t="str">
            <v>GLUE STICK</v>
          </cell>
        </row>
        <row r="12">
          <cell r="A12">
            <v>6000009</v>
          </cell>
          <cell r="B12" t="str">
            <v>ZSP</v>
          </cell>
          <cell r="C12" t="str">
            <v>GEMS CLIPS 35 MM</v>
          </cell>
        </row>
        <row r="13">
          <cell r="A13">
            <v>6000010</v>
          </cell>
          <cell r="B13" t="str">
            <v>ZSP</v>
          </cell>
          <cell r="C13" t="str">
            <v>HIGH LIGHTER PEN 5 COLOR SET</v>
          </cell>
        </row>
        <row r="14">
          <cell r="A14">
            <v>6000011</v>
          </cell>
          <cell r="B14" t="str">
            <v>ZSP</v>
          </cell>
          <cell r="C14" t="str">
            <v>PERMANENT MARKER PEN</v>
          </cell>
        </row>
        <row r="15">
          <cell r="A15">
            <v>6000012</v>
          </cell>
          <cell r="B15" t="str">
            <v>ZSP</v>
          </cell>
          <cell r="C15" t="str">
            <v>PACKING TAPE BROWN 2 "</v>
          </cell>
        </row>
        <row r="16">
          <cell r="A16">
            <v>6000013</v>
          </cell>
          <cell r="B16" t="str">
            <v>ZSP</v>
          </cell>
          <cell r="C16" t="str">
            <v>PUNCHING MACHINE DP-800</v>
          </cell>
        </row>
        <row r="17">
          <cell r="A17">
            <v>6000014</v>
          </cell>
          <cell r="B17" t="str">
            <v>ZSP</v>
          </cell>
          <cell r="C17" t="str">
            <v>POST IT PAD 3" X 4"</v>
          </cell>
        </row>
        <row r="18">
          <cell r="A18">
            <v>6000015</v>
          </cell>
          <cell r="B18" t="str">
            <v>ZSP</v>
          </cell>
          <cell r="C18" t="str">
            <v>PACKING TAPE WHITE 2" (THICK)</v>
          </cell>
        </row>
        <row r="19">
          <cell r="A19">
            <v>6000016</v>
          </cell>
          <cell r="B19" t="str">
            <v>ZSP</v>
          </cell>
          <cell r="C19" t="str">
            <v>RUBBER BAND GOOD QUALITY</v>
          </cell>
        </row>
        <row r="20">
          <cell r="A20">
            <v>6000017</v>
          </cell>
          <cell r="B20" t="str">
            <v>ZSP</v>
          </cell>
          <cell r="C20" t="str">
            <v>SPIRAL NOTE BOOK(VENUS)</v>
          </cell>
        </row>
        <row r="21">
          <cell r="A21">
            <v>6000018</v>
          </cell>
          <cell r="B21" t="str">
            <v>ZSP</v>
          </cell>
          <cell r="C21" t="str">
            <v>STAPLER PIN 24/6(BEST QUALITY)</v>
          </cell>
        </row>
        <row r="22">
          <cell r="A22">
            <v>6000019</v>
          </cell>
          <cell r="B22" t="str">
            <v>ZSP</v>
          </cell>
          <cell r="C22" t="str">
            <v>STAPLER PIN 23/17</v>
          </cell>
        </row>
        <row r="23">
          <cell r="A23">
            <v>6000025</v>
          </cell>
          <cell r="B23" t="str">
            <v>ZSP</v>
          </cell>
          <cell r="C23" t="str">
            <v>ATTENDANCE REGISTER</v>
          </cell>
        </row>
        <row r="24">
          <cell r="A24">
            <v>6000026</v>
          </cell>
          <cell r="B24" t="str">
            <v>ZSP</v>
          </cell>
          <cell r="C24" t="str">
            <v>DAK RECEIPT REGISTER NO. 30</v>
          </cell>
        </row>
        <row r="25">
          <cell r="A25">
            <v>6000027</v>
          </cell>
          <cell r="B25" t="str">
            <v>ZSP</v>
          </cell>
          <cell r="C25" t="str">
            <v>GENERAL CASH BOOK 200 PAGES</v>
          </cell>
        </row>
        <row r="26">
          <cell r="A26">
            <v>6000029</v>
          </cell>
          <cell r="B26" t="str">
            <v>ZSP</v>
          </cell>
          <cell r="C26" t="str">
            <v>MONEY RECEIPT BOOK IN TRIPLICATE COPY</v>
          </cell>
        </row>
        <row r="27">
          <cell r="A27">
            <v>6000030</v>
          </cell>
          <cell r="B27" t="str">
            <v>ZSP</v>
          </cell>
          <cell r="C27" t="str">
            <v>PEON BOOK</v>
          </cell>
        </row>
        <row r="28">
          <cell r="A28">
            <v>6000031</v>
          </cell>
          <cell r="B28" t="str">
            <v>ZSP</v>
          </cell>
          <cell r="C28" t="str">
            <v>REVENUE CASH BOOK</v>
          </cell>
        </row>
        <row r="29">
          <cell r="A29">
            <v>6000032</v>
          </cell>
          <cell r="B29" t="str">
            <v>ZSP</v>
          </cell>
          <cell r="C29" t="str">
            <v>REGISTER RULED NO.12</v>
          </cell>
        </row>
        <row r="30">
          <cell r="A30">
            <v>6000033</v>
          </cell>
          <cell r="B30" t="str">
            <v>ZSP</v>
          </cell>
          <cell r="C30" t="str">
            <v>REGISTER RULED NO.18</v>
          </cell>
        </row>
        <row r="31">
          <cell r="A31">
            <v>6000034</v>
          </cell>
          <cell r="B31" t="str">
            <v>ZSP</v>
          </cell>
          <cell r="C31" t="str">
            <v>STOCK REGISTER NO.20</v>
          </cell>
        </row>
        <row r="32">
          <cell r="A32">
            <v>6000035</v>
          </cell>
          <cell r="B32" t="str">
            <v>ZSP</v>
          </cell>
          <cell r="C32" t="str">
            <v>REVENUE DEPOSIT CHALLAN BOOK</v>
          </cell>
        </row>
        <row r="33">
          <cell r="A33">
            <v>6000036</v>
          </cell>
          <cell r="B33" t="str">
            <v>ZSP</v>
          </cell>
          <cell r="C33" t="str">
            <v>REGISTER  RULED NO. 30</v>
          </cell>
        </row>
        <row r="34">
          <cell r="A34">
            <v>6000038</v>
          </cell>
          <cell r="B34" t="str">
            <v>ZSP</v>
          </cell>
          <cell r="C34" t="str">
            <v>STORE ISSUE CHALLAN</v>
          </cell>
        </row>
        <row r="35">
          <cell r="A35">
            <v>6000040</v>
          </cell>
          <cell r="B35" t="str">
            <v>ZSP</v>
          </cell>
          <cell r="C35" t="str">
            <v>FAX PAPER 30M LONG PER ROLL</v>
          </cell>
        </row>
        <row r="36">
          <cell r="A36">
            <v>6000041</v>
          </cell>
          <cell r="B36" t="str">
            <v>ZSP</v>
          </cell>
          <cell r="C36" t="str">
            <v>FLAT FILE</v>
          </cell>
        </row>
        <row r="37">
          <cell r="A37">
            <v>6000042</v>
          </cell>
          <cell r="B37" t="str">
            <v>ZSP</v>
          </cell>
          <cell r="C37" t="str">
            <v>GEMS CLIPS  25 MM</v>
          </cell>
        </row>
        <row r="38">
          <cell r="A38">
            <v>6000043</v>
          </cell>
          <cell r="B38" t="str">
            <v>ZSP</v>
          </cell>
          <cell r="C38" t="str">
            <v>MARKING CLOTH</v>
          </cell>
        </row>
        <row r="39">
          <cell r="A39">
            <v>6000044</v>
          </cell>
          <cell r="B39" t="str">
            <v>ZSP</v>
          </cell>
          <cell r="C39" t="str">
            <v>PUNCHING MACHINE DP- 600</v>
          </cell>
        </row>
        <row r="40">
          <cell r="A40">
            <v>6000045</v>
          </cell>
          <cell r="B40" t="str">
            <v>ZSP</v>
          </cell>
          <cell r="C40" t="str">
            <v>PAPER PIN</v>
          </cell>
        </row>
        <row r="41">
          <cell r="A41">
            <v>6000047</v>
          </cell>
          <cell r="B41" t="str">
            <v>ZSP</v>
          </cell>
          <cell r="C41" t="str">
            <v>STAPLER PIN NO. 10</v>
          </cell>
        </row>
        <row r="42">
          <cell r="A42">
            <v>6000048</v>
          </cell>
          <cell r="B42" t="str">
            <v>ZSP</v>
          </cell>
          <cell r="C42" t="str">
            <v>STAPLER MACHINE HD- 23 S17</v>
          </cell>
        </row>
        <row r="43">
          <cell r="A43">
            <v>6000051</v>
          </cell>
          <cell r="B43" t="str">
            <v>ZSP</v>
          </cell>
          <cell r="C43" t="str">
            <v>COMPUTER PAPER FOR RECEIPT PRINTING</v>
          </cell>
        </row>
        <row r="44">
          <cell r="A44">
            <v>6000052</v>
          </cell>
          <cell r="B44" t="str">
            <v>ZSP</v>
          </cell>
          <cell r="C44" t="str">
            <v>COMPUTER PAPER 9.5X11 X 1 60GSM</v>
          </cell>
        </row>
        <row r="45">
          <cell r="A45">
            <v>6000055</v>
          </cell>
          <cell r="B45" t="str">
            <v>ZSP</v>
          </cell>
          <cell r="C45" t="str">
            <v>DAK DISPATCH REGISTER NO.30</v>
          </cell>
        </row>
        <row r="46">
          <cell r="A46">
            <v>6000058</v>
          </cell>
          <cell r="B46" t="str">
            <v>ZSP</v>
          </cell>
          <cell r="C46" t="str">
            <v>REGISTRATION FORM FOR SIM CARD</v>
          </cell>
        </row>
        <row r="47">
          <cell r="A47">
            <v>6000062</v>
          </cell>
          <cell r="B47" t="str">
            <v>ZSP</v>
          </cell>
          <cell r="C47" t="str">
            <v>ENVELOPE 9" X 4 "</v>
          </cell>
        </row>
        <row r="48">
          <cell r="A48">
            <v>6000065</v>
          </cell>
          <cell r="B48" t="str">
            <v>ZSP</v>
          </cell>
          <cell r="C48" t="str">
            <v>GUM BOTTLE</v>
          </cell>
        </row>
        <row r="49">
          <cell r="A49">
            <v>6000070</v>
          </cell>
          <cell r="B49" t="str">
            <v>ZSP</v>
          </cell>
          <cell r="C49" t="str">
            <v>ENVELOPE A4 SIZE</v>
          </cell>
        </row>
        <row r="50">
          <cell r="A50">
            <v>6000143</v>
          </cell>
          <cell r="B50" t="str">
            <v>ZSP</v>
          </cell>
          <cell r="C50" t="str">
            <v>Linoleum Carpet (2mm)</v>
          </cell>
        </row>
        <row r="51">
          <cell r="A51">
            <v>6000144</v>
          </cell>
          <cell r="B51" t="str">
            <v>ZSP</v>
          </cell>
          <cell r="C51" t="str">
            <v>STAPLER MACHINE H-45P(BEST QUALITY)</v>
          </cell>
        </row>
        <row r="52">
          <cell r="A52">
            <v>6000150</v>
          </cell>
          <cell r="B52" t="str">
            <v>ZSP</v>
          </cell>
          <cell r="C52" t="str">
            <v>PHOTO COPY PAPER 75GSM XEROX SPECTRUM</v>
          </cell>
        </row>
        <row r="53">
          <cell r="A53">
            <v>6000151</v>
          </cell>
          <cell r="B53" t="str">
            <v>ZSP</v>
          </cell>
          <cell r="C53" t="str">
            <v>ENVELOPE A3 SIZE</v>
          </cell>
        </row>
        <row r="54">
          <cell r="A54">
            <v>6000180</v>
          </cell>
          <cell r="B54" t="str">
            <v>ZSP</v>
          </cell>
          <cell r="C54" t="str">
            <v>PLASTIC SHEET 12'x18' (BEST QUALITY)</v>
          </cell>
        </row>
        <row r="55">
          <cell r="A55">
            <v>6000181</v>
          </cell>
          <cell r="B55" t="str">
            <v>ZSP</v>
          </cell>
          <cell r="C55" t="str">
            <v>PLASTIC SHEET  18'x24'</v>
          </cell>
        </row>
        <row r="56">
          <cell r="A56">
            <v>6000183</v>
          </cell>
          <cell r="B56" t="str">
            <v>ZSP</v>
          </cell>
          <cell r="C56" t="str">
            <v>VEHICLE LOG BOOK</v>
          </cell>
        </row>
        <row r="57">
          <cell r="A57">
            <v>6000184</v>
          </cell>
          <cell r="B57" t="str">
            <v>ZSP</v>
          </cell>
          <cell r="C57" t="str">
            <v>DUSTER CLOTH</v>
          </cell>
        </row>
        <row r="58">
          <cell r="A58">
            <v>10000000</v>
          </cell>
          <cell r="B58" t="str">
            <v>ZVH</v>
          </cell>
          <cell r="C58" t="str">
            <v>TYRE 750 X 16 X 16</v>
          </cell>
        </row>
        <row r="59">
          <cell r="A59">
            <v>10000006</v>
          </cell>
          <cell r="B59" t="str">
            <v>ZVH</v>
          </cell>
          <cell r="C59" t="str">
            <v>TYRE 235/75 R15  FOR BOLERO CAMPER</v>
          </cell>
        </row>
        <row r="60">
          <cell r="A60">
            <v>10000008</v>
          </cell>
          <cell r="B60" t="str">
            <v>ZVH</v>
          </cell>
          <cell r="C60" t="str">
            <v>TYRE FOR NEW MODEL HILUXES 205/R16C</v>
          </cell>
        </row>
        <row r="61">
          <cell r="A61">
            <v>10000012</v>
          </cell>
          <cell r="B61" t="str">
            <v>ZVH</v>
          </cell>
          <cell r="C61" t="str">
            <v>TYRE 195 R-15C  FOR HIACE BUS</v>
          </cell>
        </row>
        <row r="62">
          <cell r="A62">
            <v>10000017</v>
          </cell>
          <cell r="B62" t="str">
            <v>ZVH</v>
          </cell>
          <cell r="C62" t="str">
            <v>TYRE 120/80-17 REAR</v>
          </cell>
        </row>
        <row r="63">
          <cell r="A63">
            <v>10000018</v>
          </cell>
          <cell r="B63" t="str">
            <v>ZVH</v>
          </cell>
          <cell r="C63" t="str">
            <v>TYRE 90/90-17 FRONT</v>
          </cell>
        </row>
        <row r="64">
          <cell r="A64">
            <v>10000020</v>
          </cell>
          <cell r="B64" t="str">
            <v>ZVH</v>
          </cell>
          <cell r="C64" t="str">
            <v>TYRE 2.75X18X 42P FRONT</v>
          </cell>
        </row>
        <row r="65">
          <cell r="A65">
            <v>10000023</v>
          </cell>
          <cell r="B65" t="str">
            <v>ZVH</v>
          </cell>
          <cell r="C65" t="str">
            <v>MOBILE FILTER FOR NEW HILUX 90915-TB001</v>
          </cell>
        </row>
        <row r="66">
          <cell r="A66">
            <v>10000027</v>
          </cell>
          <cell r="B66" t="str">
            <v>ZVH</v>
          </cell>
          <cell r="C66" t="str">
            <v>DIESEL FILTER FOR NEW HILUX</v>
          </cell>
        </row>
        <row r="67">
          <cell r="A67">
            <v>10000034</v>
          </cell>
          <cell r="B67" t="str">
            <v>ZVH</v>
          </cell>
          <cell r="C67" t="str">
            <v>MOBILE FILTER FOR MARTUI VAN</v>
          </cell>
        </row>
        <row r="68">
          <cell r="A68">
            <v>10000038</v>
          </cell>
          <cell r="B68" t="str">
            <v>ZVH</v>
          </cell>
          <cell r="C68" t="str">
            <v>MOBILE FILTER FOR ESTEEM CAR</v>
          </cell>
        </row>
        <row r="69">
          <cell r="A69">
            <v>10000040</v>
          </cell>
          <cell r="B69" t="str">
            <v>ZVH</v>
          </cell>
          <cell r="C69" t="str">
            <v>DO NOT USE (STAPLER MACHINE H-45P)</v>
          </cell>
        </row>
        <row r="70">
          <cell r="A70">
            <v>10000041</v>
          </cell>
          <cell r="B70" t="str">
            <v>ZVH</v>
          </cell>
          <cell r="C70" t="str">
            <v>DO NOT USE MOVEMENT ORDER BOOK</v>
          </cell>
        </row>
        <row r="71">
          <cell r="A71">
            <v>10000042</v>
          </cell>
          <cell r="B71" t="str">
            <v>ZVH</v>
          </cell>
          <cell r="C71" t="str">
            <v>TIMING BELT FOR NEW HILUX</v>
          </cell>
        </row>
        <row r="72">
          <cell r="A72">
            <v>10000046</v>
          </cell>
          <cell r="B72" t="str">
            <v>ZVH</v>
          </cell>
          <cell r="C72" t="str">
            <v>SHOCK ABSORBER FOR NEW HILUX (FRONT)</v>
          </cell>
        </row>
        <row r="73">
          <cell r="A73">
            <v>10000047</v>
          </cell>
          <cell r="B73" t="str">
            <v>ZVH</v>
          </cell>
          <cell r="C73" t="str">
            <v>BRAKE SHOE FOR  BOLERO UTILITY</v>
          </cell>
        </row>
        <row r="74">
          <cell r="A74">
            <v>10000048</v>
          </cell>
          <cell r="B74" t="str">
            <v>ZVH</v>
          </cell>
          <cell r="C74" t="str">
            <v>BRAKE PAD FOR NEW BOLERO</v>
          </cell>
        </row>
        <row r="75">
          <cell r="A75">
            <v>10000049</v>
          </cell>
          <cell r="B75" t="str">
            <v>ZVH</v>
          </cell>
          <cell r="C75" t="str">
            <v>DO NOT USEVEHICLE LOG BOOK</v>
          </cell>
        </row>
        <row r="76">
          <cell r="A76">
            <v>10000053</v>
          </cell>
          <cell r="B76" t="str">
            <v>ZVH</v>
          </cell>
          <cell r="C76" t="str">
            <v>SPRING BUSH  FOR NEW  HILUXES</v>
          </cell>
        </row>
        <row r="77">
          <cell r="A77">
            <v>10000056</v>
          </cell>
          <cell r="B77" t="str">
            <v>ZVH</v>
          </cell>
          <cell r="C77" t="str">
            <v>TIMING BELT FOR HILUXES(LN166)</v>
          </cell>
        </row>
        <row r="78">
          <cell r="A78">
            <v>10000057</v>
          </cell>
          <cell r="B78" t="str">
            <v>ZVH</v>
          </cell>
          <cell r="C78" t="str">
            <v>SHOCKABSOBER (FRONT) FOR BOLERO/UTILITY</v>
          </cell>
        </row>
        <row r="79">
          <cell r="A79">
            <v>10000058</v>
          </cell>
          <cell r="B79" t="str">
            <v>ZVH</v>
          </cell>
          <cell r="C79" t="str">
            <v>SHOCKABSORBER (REAR) FOR  BOLERO UTILITY</v>
          </cell>
        </row>
        <row r="80">
          <cell r="A80">
            <v>10000059</v>
          </cell>
          <cell r="B80" t="str">
            <v>ZVH</v>
          </cell>
          <cell r="C80" t="str">
            <v>FAN BELT FOR NEW HILUX</v>
          </cell>
        </row>
        <row r="81">
          <cell r="A81">
            <v>10000075</v>
          </cell>
          <cell r="B81" t="str">
            <v>ZVH</v>
          </cell>
          <cell r="C81" t="str">
            <v>CLUTCH PLATE FOR NEW BOLERO</v>
          </cell>
        </row>
        <row r="82">
          <cell r="A82">
            <v>10000087</v>
          </cell>
          <cell r="B82" t="str">
            <v>ZVH</v>
          </cell>
          <cell r="C82" t="str">
            <v>RE-TREADING TYRE 205/R16</v>
          </cell>
        </row>
        <row r="83">
          <cell r="A83">
            <v>10000088</v>
          </cell>
          <cell r="B83" t="str">
            <v>ZVH</v>
          </cell>
          <cell r="C83" t="str">
            <v>TUBE 100 X 90 X17</v>
          </cell>
        </row>
        <row r="84">
          <cell r="A84">
            <v>10000116</v>
          </cell>
          <cell r="B84" t="str">
            <v>ZVH</v>
          </cell>
          <cell r="C84" t="str">
            <v>BRAKE SHOE FOR NEW BOLERO</v>
          </cell>
        </row>
        <row r="85">
          <cell r="A85">
            <v>10000138</v>
          </cell>
          <cell r="B85" t="str">
            <v>ZVH</v>
          </cell>
          <cell r="C85" t="str">
            <v>BIKE TYRE 100/90</v>
          </cell>
        </row>
        <row r="86">
          <cell r="A86">
            <v>10000140</v>
          </cell>
          <cell r="B86" t="str">
            <v>ZVH</v>
          </cell>
          <cell r="C86" t="str">
            <v>TYRE FOR BIKE REAR 3.00 X 1852P</v>
          </cell>
        </row>
        <row r="87">
          <cell r="A87">
            <v>10000160</v>
          </cell>
          <cell r="B87" t="str">
            <v>ZVH</v>
          </cell>
          <cell r="C87" t="str">
            <v>SPRING REAR THIRD LEAF FOR NEW HILUX</v>
          </cell>
        </row>
        <row r="88">
          <cell r="A88">
            <v>10000328</v>
          </cell>
          <cell r="B88" t="str">
            <v>ZVH</v>
          </cell>
          <cell r="C88" t="str">
            <v>TYRE 7.00-15LT FOR ISSUZU VAN</v>
          </cell>
        </row>
        <row r="89">
          <cell r="A89">
            <v>10000403</v>
          </cell>
          <cell r="B89" t="str">
            <v>ZSU</v>
          </cell>
          <cell r="C89" t="str">
            <v>PANT (XXL) FOR LINE STAFF</v>
          </cell>
        </row>
        <row r="90">
          <cell r="A90">
            <v>10000405</v>
          </cell>
          <cell r="B90" t="str">
            <v>ZSU</v>
          </cell>
          <cell r="C90" t="str">
            <v>PANT(LARGE) FOR LINE STAFF</v>
          </cell>
        </row>
        <row r="91">
          <cell r="A91">
            <v>10000407</v>
          </cell>
          <cell r="B91" t="str">
            <v>ZSU</v>
          </cell>
          <cell r="C91" t="str">
            <v>SHIRT(XXL) FOR LINE STAFF</v>
          </cell>
        </row>
        <row r="92">
          <cell r="A92">
            <v>10000409</v>
          </cell>
          <cell r="B92" t="str">
            <v>ZSU</v>
          </cell>
          <cell r="C92" t="str">
            <v>SHIRT(LARGE) FOR LINE STAFF</v>
          </cell>
        </row>
        <row r="93">
          <cell r="A93">
            <v>10000412</v>
          </cell>
          <cell r="B93" t="str">
            <v>ZSU</v>
          </cell>
          <cell r="C93" t="str">
            <v>JACKET (XL) FOR LINE STAFF</v>
          </cell>
        </row>
        <row r="94">
          <cell r="A94">
            <v>10000417</v>
          </cell>
          <cell r="B94" t="str">
            <v>ZSU</v>
          </cell>
          <cell r="C94" t="str">
            <v>PANT (LARGE) FOR SECURITY GUARD</v>
          </cell>
        </row>
        <row r="95">
          <cell r="A95">
            <v>10000421</v>
          </cell>
          <cell r="B95" t="str">
            <v>ZSU</v>
          </cell>
          <cell r="C95" t="str">
            <v>SHIRT (LARGE) FOR SECURITY GUARD</v>
          </cell>
        </row>
        <row r="96">
          <cell r="A96">
            <v>10000423</v>
          </cell>
          <cell r="B96" t="str">
            <v>ZSU</v>
          </cell>
          <cell r="C96" t="str">
            <v>RAIN SUIT XXL</v>
          </cell>
        </row>
        <row r="97">
          <cell r="A97">
            <v>10000424</v>
          </cell>
          <cell r="B97" t="str">
            <v>ZSU</v>
          </cell>
          <cell r="C97" t="str">
            <v>RAIN SUIT XL</v>
          </cell>
        </row>
        <row r="98">
          <cell r="A98">
            <v>10000425</v>
          </cell>
          <cell r="B98" t="str">
            <v>ZSU</v>
          </cell>
          <cell r="C98" t="str">
            <v>RAIN SUIT LARGE</v>
          </cell>
        </row>
        <row r="99">
          <cell r="A99">
            <v>10000426</v>
          </cell>
          <cell r="B99" t="str">
            <v>ZSU</v>
          </cell>
          <cell r="C99" t="str">
            <v>RAIN SUIT MEDIUM</v>
          </cell>
        </row>
        <row r="100">
          <cell r="A100">
            <v>10000431</v>
          </cell>
          <cell r="B100" t="str">
            <v>ZSU</v>
          </cell>
          <cell r="C100" t="str">
            <v>WORKING BOOT NO. 6</v>
          </cell>
        </row>
        <row r="101">
          <cell r="A101">
            <v>10000570</v>
          </cell>
          <cell r="B101" t="str">
            <v>ZVH</v>
          </cell>
          <cell r="C101" t="str">
            <v>TYRE 2.75X17X41P</v>
          </cell>
        </row>
        <row r="102">
          <cell r="A102">
            <v>20000006</v>
          </cell>
          <cell r="B102" t="str">
            <v>ZOE</v>
          </cell>
          <cell r="C102" t="str">
            <v>CARTRIDGE FOR PRINTER XEROX 4510 113</v>
          </cell>
        </row>
        <row r="103">
          <cell r="A103">
            <v>20000007</v>
          </cell>
          <cell r="B103" t="str">
            <v>ZOE</v>
          </cell>
          <cell r="C103" t="str">
            <v>XEROX TONER CARTRIDGE FOR PHASER 4600</v>
          </cell>
        </row>
        <row r="104">
          <cell r="A104">
            <v>20000008</v>
          </cell>
          <cell r="B104" t="str">
            <v>ZOE</v>
          </cell>
          <cell r="C104" t="str">
            <v>DRUM CARTRIDGE FOR XEROX PHASER 4600/462</v>
          </cell>
        </row>
        <row r="105">
          <cell r="A105">
            <v>20000009</v>
          </cell>
          <cell r="B105" t="str">
            <v>ZOE</v>
          </cell>
          <cell r="C105" t="str">
            <v>HP LASERJET TONER CARTRIDGE Q5949A</v>
          </cell>
        </row>
        <row r="106">
          <cell r="A106">
            <v>20000012</v>
          </cell>
          <cell r="B106" t="str">
            <v>ZOE</v>
          </cell>
          <cell r="C106" t="str">
            <v>EPSON RIBBON CARTRIDGE DFX 9000 SERIES</v>
          </cell>
        </row>
        <row r="107">
          <cell r="A107">
            <v>20000013</v>
          </cell>
          <cell r="B107" t="str">
            <v>ZOE</v>
          </cell>
          <cell r="C107" t="str">
            <v>KONICA MINOLTA TONER TN 311</v>
          </cell>
        </row>
        <row r="108">
          <cell r="A108">
            <v>20000018</v>
          </cell>
          <cell r="B108" t="str">
            <v>ZOE</v>
          </cell>
          <cell r="C108" t="str">
            <v>PHOTO COPY TONDER KONICA MINOLTA TN-114</v>
          </cell>
        </row>
        <row r="109">
          <cell r="A109">
            <v>20000019</v>
          </cell>
          <cell r="B109" t="str">
            <v>ZOE</v>
          </cell>
          <cell r="C109" t="str">
            <v>HP LASERJET CARTRIDGE P2015 Q 7553A</v>
          </cell>
        </row>
        <row r="110">
          <cell r="A110">
            <v>20000022</v>
          </cell>
          <cell r="B110" t="str">
            <v>ZOE</v>
          </cell>
          <cell r="C110" t="str">
            <v>HP LASERJET CARTRIDGE CB435A</v>
          </cell>
        </row>
        <row r="111">
          <cell r="A111">
            <v>20000027</v>
          </cell>
          <cell r="B111" t="str">
            <v>ZOE</v>
          </cell>
          <cell r="C111" t="str">
            <v>HP LASERJET CARTRIDGE C-7115A</v>
          </cell>
        </row>
        <row r="112">
          <cell r="A112">
            <v>20000030</v>
          </cell>
          <cell r="B112" t="str">
            <v>ZOE</v>
          </cell>
          <cell r="C112" t="str">
            <v>CARTRIDGE CF280A FOR PRINTER PRO M401DN</v>
          </cell>
        </row>
        <row r="113">
          <cell r="A113">
            <v>20000035</v>
          </cell>
          <cell r="B113" t="str">
            <v>ZOE</v>
          </cell>
          <cell r="C113" t="str">
            <v>RIBBON CARTRIDGE FX 890</v>
          </cell>
        </row>
        <row r="114">
          <cell r="A114">
            <v>20000036</v>
          </cell>
          <cell r="B114" t="str">
            <v>ZOE</v>
          </cell>
          <cell r="C114" t="str">
            <v>PHOTO COPY TONER TN 116</v>
          </cell>
        </row>
        <row r="115">
          <cell r="A115">
            <v>20000037</v>
          </cell>
          <cell r="B115" t="str">
            <v>ZOE</v>
          </cell>
          <cell r="C115" t="str">
            <v>HP LASERJET CARTRIDGE CE505A</v>
          </cell>
        </row>
        <row r="116">
          <cell r="A116">
            <v>20000048</v>
          </cell>
          <cell r="B116" t="str">
            <v>ZOE</v>
          </cell>
          <cell r="C116" t="str">
            <v>CARTRIDGE 802 SMALL-CH562Z TRI-COLOUR</v>
          </cell>
        </row>
        <row r="117">
          <cell r="A117">
            <v>20000049</v>
          </cell>
          <cell r="B117" t="str">
            <v>ZOE</v>
          </cell>
          <cell r="C117" t="str">
            <v>CARTRIDGE 802 SMALL CH561Z TRI-COLOUR</v>
          </cell>
        </row>
        <row r="118">
          <cell r="A118">
            <v>20000065</v>
          </cell>
          <cell r="B118" t="str">
            <v>ZOE</v>
          </cell>
          <cell r="C118" t="str">
            <v>HP LASERJET CARTRIDGE CC388A</v>
          </cell>
        </row>
        <row r="119">
          <cell r="A119">
            <v>20000067</v>
          </cell>
          <cell r="B119" t="str">
            <v>ZOE</v>
          </cell>
          <cell r="C119" t="str">
            <v>OPC DRUM</v>
          </cell>
        </row>
        <row r="120">
          <cell r="A120">
            <v>20000078</v>
          </cell>
          <cell r="B120" t="str">
            <v>ZOE</v>
          </cell>
          <cell r="C120" t="str">
            <v>DEVELOPER</v>
          </cell>
        </row>
        <row r="121">
          <cell r="A121">
            <v>20000093</v>
          </cell>
          <cell r="B121" t="str">
            <v>ZOE</v>
          </cell>
          <cell r="C121" t="str">
            <v>HEATING UNIT/FUSING UNIT</v>
          </cell>
        </row>
        <row r="122">
          <cell r="A122">
            <v>20000102</v>
          </cell>
          <cell r="B122" t="str">
            <v>ZOE</v>
          </cell>
          <cell r="C122" t="str">
            <v>LINE MAN HAND SET</v>
          </cell>
        </row>
        <row r="123">
          <cell r="A123">
            <v>20000140</v>
          </cell>
          <cell r="B123" t="str">
            <v>ZOE</v>
          </cell>
          <cell r="C123" t="str">
            <v>DC BLADE/CLEANING BLADE</v>
          </cell>
        </row>
        <row r="124">
          <cell r="A124">
            <v>20000160</v>
          </cell>
          <cell r="B124" t="str">
            <v>ZOE</v>
          </cell>
          <cell r="C124" t="str">
            <v>REFILL CARTRIDGE FOR 88A</v>
          </cell>
        </row>
        <row r="125">
          <cell r="A125">
            <v>20000162</v>
          </cell>
          <cell r="B125" t="str">
            <v>ZOE</v>
          </cell>
          <cell r="C125" t="str">
            <v>REFILL CARTRIDGE 78A</v>
          </cell>
        </row>
        <row r="126">
          <cell r="A126">
            <v>20000210</v>
          </cell>
          <cell r="B126" t="str">
            <v>ZOE</v>
          </cell>
          <cell r="C126" t="str">
            <v>CARTRIDGE  HP 63 BLACK &amp; 63 TRI-COLOUR</v>
          </cell>
        </row>
        <row r="127">
          <cell r="A127">
            <v>20000211</v>
          </cell>
          <cell r="B127" t="str">
            <v>ZOE</v>
          </cell>
          <cell r="C127" t="str">
            <v>HP LaserJet Pro M402dn(C5F94A) 26A</v>
          </cell>
        </row>
        <row r="128">
          <cell r="A128">
            <v>20000212</v>
          </cell>
          <cell r="B128" t="str">
            <v>ZOE</v>
          </cell>
          <cell r="C128" t="str">
            <v>CARTRIDGE FOR PRINTER M506dn(F2A69A)87A</v>
          </cell>
        </row>
        <row r="129">
          <cell r="A129">
            <v>20000240</v>
          </cell>
          <cell r="B129" t="str">
            <v>ZOE</v>
          </cell>
          <cell r="C129" t="str">
            <v>CARTRIDGE TN-2365</v>
          </cell>
        </row>
        <row r="130">
          <cell r="A130">
            <v>20000242</v>
          </cell>
          <cell r="B130" t="str">
            <v>ZOE</v>
          </cell>
          <cell r="C130" t="str">
            <v>DRUM CARTRIDGE FOR ALTALINK B8065</v>
          </cell>
        </row>
        <row r="131">
          <cell r="A131">
            <v>20000244</v>
          </cell>
          <cell r="B131" t="str">
            <v>ZOE</v>
          </cell>
          <cell r="C131" t="str">
            <v>STAPLER FOR B8065</v>
          </cell>
        </row>
        <row r="132">
          <cell r="A132">
            <v>20000246</v>
          </cell>
          <cell r="B132" t="str">
            <v>ZOE</v>
          </cell>
          <cell r="C132" t="str">
            <v>CARTRIDGE G0042 FOR PRINTER RICOH</v>
          </cell>
        </row>
        <row r="133">
          <cell r="A133">
            <v>30000001</v>
          </cell>
          <cell r="B133" t="str">
            <v>ZES</v>
          </cell>
          <cell r="C133" t="str">
            <v>DROP WIRE SELF SUPPORTING TWIN CORE</v>
          </cell>
        </row>
        <row r="134">
          <cell r="A134">
            <v>30000008</v>
          </cell>
          <cell r="B134" t="str">
            <v>ZES</v>
          </cell>
          <cell r="C134" t="str">
            <v>RAU2 X 7/33</v>
          </cell>
        </row>
        <row r="135">
          <cell r="A135">
            <v>30000028</v>
          </cell>
          <cell r="B135" t="str">
            <v>ZES</v>
          </cell>
          <cell r="C135" t="str">
            <v>RAU2 X 7/35</v>
          </cell>
        </row>
        <row r="136">
          <cell r="A136">
            <v>30000034</v>
          </cell>
          <cell r="B136" t="str">
            <v>ZES</v>
          </cell>
          <cell r="C136" t="str">
            <v>AIRMUX-LIGHTENING _PROCTECTION_KIT</v>
          </cell>
        </row>
        <row r="137">
          <cell r="A137">
            <v>30000035</v>
          </cell>
          <cell r="B137" t="str">
            <v>ZES</v>
          </cell>
          <cell r="C137" t="str">
            <v>CBL-AIRMUX/50</v>
          </cell>
        </row>
        <row r="138">
          <cell r="A138">
            <v>30000036</v>
          </cell>
          <cell r="B138" t="str">
            <v>ZES</v>
          </cell>
          <cell r="C138" t="str">
            <v>ASMI-52/4W/V.35</v>
          </cell>
        </row>
        <row r="139">
          <cell r="A139">
            <v>30000039</v>
          </cell>
          <cell r="B139" t="str">
            <v>ZES</v>
          </cell>
          <cell r="C139" t="str">
            <v>AIRMUX-HSSU</v>
          </cell>
        </row>
        <row r="140">
          <cell r="A140">
            <v>30000046</v>
          </cell>
          <cell r="B140" t="str">
            <v>ZES</v>
          </cell>
          <cell r="C140" t="str">
            <v>AIRMUX-5000/SU/F58F/20M/INT</v>
          </cell>
        </row>
        <row r="141">
          <cell r="A141">
            <v>30000053</v>
          </cell>
          <cell r="B141" t="str">
            <v>ZES</v>
          </cell>
          <cell r="C141" t="str">
            <v>HWIC-2T (2-PORT SERIAL WAN INTERFcE CARD</v>
          </cell>
        </row>
        <row r="142">
          <cell r="A142">
            <v>30000057</v>
          </cell>
          <cell r="B142" t="str">
            <v>ZES</v>
          </cell>
          <cell r="C142" t="str">
            <v>AIRMUX-POE/GBE/ACUK</v>
          </cell>
        </row>
        <row r="143">
          <cell r="A143">
            <v>30000061</v>
          </cell>
          <cell r="B143" t="str">
            <v>ZES</v>
          </cell>
          <cell r="C143" t="str">
            <v>USC-232F USB TO RS232 CONVERTER FTDI</v>
          </cell>
        </row>
        <row r="144">
          <cell r="A144">
            <v>30000094</v>
          </cell>
          <cell r="B144" t="str">
            <v>ZES</v>
          </cell>
          <cell r="C144" t="str">
            <v>FUEL FILTER</v>
          </cell>
        </row>
        <row r="145">
          <cell r="A145">
            <v>30000097</v>
          </cell>
          <cell r="B145" t="str">
            <v>ZES</v>
          </cell>
          <cell r="C145" t="str">
            <v>AIR FILTER ELEMENT(PART NO. 901-054)</v>
          </cell>
        </row>
        <row r="146">
          <cell r="A146">
            <v>30000102</v>
          </cell>
          <cell r="B146" t="str">
            <v>ZES</v>
          </cell>
          <cell r="C146" t="str">
            <v>CHARGING ALTERNATOR PART NO. 10000-18159</v>
          </cell>
        </row>
        <row r="147">
          <cell r="A147">
            <v>30000124</v>
          </cell>
          <cell r="B147" t="str">
            <v>ZES</v>
          </cell>
          <cell r="C147" t="str">
            <v>LUBE OIL FILTER</v>
          </cell>
        </row>
        <row r="148">
          <cell r="A148">
            <v>30000125</v>
          </cell>
          <cell r="B148" t="str">
            <v>ZES</v>
          </cell>
          <cell r="C148" t="str">
            <v>FUEL FILTER ELEMENT(PRIMARY) 996-453</v>
          </cell>
        </row>
        <row r="149">
          <cell r="A149">
            <v>30000147</v>
          </cell>
          <cell r="B149" t="str">
            <v>ZES</v>
          </cell>
          <cell r="C149" t="str">
            <v>THERMOSTAT 10000-15330</v>
          </cell>
        </row>
        <row r="150">
          <cell r="A150">
            <v>30000149</v>
          </cell>
          <cell r="B150" t="str">
            <v>ZES</v>
          </cell>
          <cell r="C150" t="str">
            <v>AIR FILTER</v>
          </cell>
        </row>
        <row r="151">
          <cell r="A151">
            <v>30000150</v>
          </cell>
          <cell r="B151" t="str">
            <v>ZES</v>
          </cell>
          <cell r="C151" t="str">
            <v>LUBE OIL FILTER 10000-51233</v>
          </cell>
        </row>
        <row r="152">
          <cell r="A152">
            <v>30000151</v>
          </cell>
          <cell r="B152" t="str">
            <v>ZES</v>
          </cell>
          <cell r="C152" t="str">
            <v>AVR R250</v>
          </cell>
        </row>
        <row r="153">
          <cell r="A153">
            <v>30000153</v>
          </cell>
          <cell r="B153" t="str">
            <v>ZES</v>
          </cell>
          <cell r="C153" t="str">
            <v>FUEL FILTER ELEMENT 934-181</v>
          </cell>
        </row>
        <row r="154">
          <cell r="A154">
            <v>30000155</v>
          </cell>
          <cell r="B154" t="str">
            <v>ZES</v>
          </cell>
          <cell r="C154" t="str">
            <v>FUEL PUMP 10000-46303</v>
          </cell>
        </row>
        <row r="155">
          <cell r="A155">
            <v>30000203</v>
          </cell>
          <cell r="B155" t="str">
            <v>ZES</v>
          </cell>
          <cell r="C155" t="str">
            <v>CLOSURE 100 PAIR</v>
          </cell>
        </row>
        <row r="156">
          <cell r="A156">
            <v>30000205</v>
          </cell>
          <cell r="B156" t="str">
            <v>ZES</v>
          </cell>
          <cell r="C156" t="str">
            <v>CABLE CONNECTORS 0.4MM</v>
          </cell>
        </row>
        <row r="157">
          <cell r="A157">
            <v>30000209</v>
          </cell>
          <cell r="B157" t="str">
            <v>ZES</v>
          </cell>
          <cell r="C157" t="str">
            <v>STAY ROD</v>
          </cell>
        </row>
        <row r="158">
          <cell r="A158">
            <v>30000216</v>
          </cell>
          <cell r="B158" t="str">
            <v>ZES</v>
          </cell>
          <cell r="C158" t="str">
            <v>JUMBER WIRE 2C 0.5MM WHITE/RED</v>
          </cell>
        </row>
        <row r="159">
          <cell r="A159">
            <v>30000258</v>
          </cell>
          <cell r="B159" t="str">
            <v>ZES</v>
          </cell>
          <cell r="C159" t="str">
            <v>WS-C2960-48TC-L</v>
          </cell>
        </row>
        <row r="160">
          <cell r="A160">
            <v>30000268</v>
          </cell>
          <cell r="B160" t="str">
            <v>ZES</v>
          </cell>
          <cell r="C160" t="str">
            <v>REPLACEMENT (AIRMUX-IDU/2TDM)</v>
          </cell>
        </row>
        <row r="161">
          <cell r="A161">
            <v>30000271</v>
          </cell>
          <cell r="B161" t="str">
            <v>ZES</v>
          </cell>
          <cell r="C161" t="str">
            <v>ASMI-54L/4ETH/4W</v>
          </cell>
        </row>
        <row r="162">
          <cell r="A162">
            <v>30000291</v>
          </cell>
          <cell r="B162" t="str">
            <v>ZES</v>
          </cell>
          <cell r="C162" t="str">
            <v>AMF DISPLAY CARD</v>
          </cell>
        </row>
        <row r="163">
          <cell r="A163">
            <v>30000296</v>
          </cell>
          <cell r="B163" t="str">
            <v>ZES</v>
          </cell>
          <cell r="C163" t="str">
            <v>LUBE OIL FILTER (16KVA) 915-155</v>
          </cell>
        </row>
        <row r="164">
          <cell r="A164">
            <v>30000364</v>
          </cell>
          <cell r="B164" t="str">
            <v>ZES</v>
          </cell>
          <cell r="C164" t="str">
            <v>CAT 6 UTP (INDOOR)</v>
          </cell>
        </row>
        <row r="165">
          <cell r="A165">
            <v>30000426</v>
          </cell>
          <cell r="B165" t="str">
            <v>ZES</v>
          </cell>
          <cell r="C165" t="str">
            <v>ETX203AX</v>
          </cell>
        </row>
        <row r="166">
          <cell r="A166">
            <v>30000430</v>
          </cell>
          <cell r="B166" t="str">
            <v>ZES</v>
          </cell>
          <cell r="C166" t="str">
            <v>PATCHCORD</v>
          </cell>
        </row>
        <row r="167">
          <cell r="A167">
            <v>30000755</v>
          </cell>
          <cell r="B167" t="str">
            <v>ZES</v>
          </cell>
          <cell r="C167" t="str">
            <v>AIRCON GAS</v>
          </cell>
        </row>
        <row r="168">
          <cell r="A168">
            <v>30000768</v>
          </cell>
          <cell r="B168" t="str">
            <v>ZES</v>
          </cell>
          <cell r="C168" t="str">
            <v>MU-2111 V2  ( MU-211 V2)</v>
          </cell>
        </row>
        <row r="169">
          <cell r="A169">
            <v>30000772</v>
          </cell>
          <cell r="B169" t="str">
            <v>ZES</v>
          </cell>
          <cell r="C169" t="str">
            <v>RUS-01 B1 ( KRC 11875/1)</v>
          </cell>
        </row>
        <row r="170">
          <cell r="A170">
            <v>30000775</v>
          </cell>
          <cell r="B170" t="str">
            <v>ZES</v>
          </cell>
          <cell r="C170" t="str">
            <v>POWER SUPPLYCARD FOR BTS2206 V2/2216 PSU</v>
          </cell>
        </row>
        <row r="171">
          <cell r="A171">
            <v>30000777</v>
          </cell>
          <cell r="B171" t="str">
            <v>ZES</v>
          </cell>
          <cell r="C171" t="str">
            <v>IP-IDU-10G WITH 200MBPS</v>
          </cell>
        </row>
        <row r="172">
          <cell r="A172">
            <v>30000792</v>
          </cell>
          <cell r="B172" t="str">
            <v>ZES</v>
          </cell>
          <cell r="C172" t="str">
            <v>WS-2960-24PC-S (CISCO POE SWITCH)</v>
          </cell>
        </row>
        <row r="173">
          <cell r="A173">
            <v>30000891</v>
          </cell>
          <cell r="B173" t="str">
            <v>ZES</v>
          </cell>
          <cell r="C173" t="str">
            <v>MRO TEK MODEL OAK/2FE/SM15/SC</v>
          </cell>
        </row>
        <row r="174">
          <cell r="A174">
            <v>30000893</v>
          </cell>
          <cell r="B174" t="str">
            <v>ZES</v>
          </cell>
          <cell r="C174" t="str">
            <v>MRO TEK MODEL OAK13/2GE/SM15/SC</v>
          </cell>
        </row>
        <row r="175">
          <cell r="A175">
            <v>30000894</v>
          </cell>
          <cell r="B175" t="str">
            <v>ZES</v>
          </cell>
          <cell r="C175" t="str">
            <v>MRO TEK MODEL FCAT01/SA/SM15/SC/AC</v>
          </cell>
        </row>
        <row r="176">
          <cell r="A176">
            <v>30000896</v>
          </cell>
          <cell r="B176" t="str">
            <v>ZES</v>
          </cell>
          <cell r="C176" t="str">
            <v>MRO TEK MODEL PINE/1E1/4FE/AC/DC</v>
          </cell>
        </row>
        <row r="177">
          <cell r="A177">
            <v>30000960</v>
          </cell>
          <cell r="B177" t="str">
            <v>ZES</v>
          </cell>
          <cell r="C177" t="str">
            <v>BATTERY 12V 100AH</v>
          </cell>
        </row>
        <row r="178">
          <cell r="A178">
            <v>30000963</v>
          </cell>
          <cell r="B178" t="str">
            <v>ZES</v>
          </cell>
          <cell r="C178" t="str">
            <v>DXU-31 RBS  control unit RBS2116 V1</v>
          </cell>
        </row>
        <row r="179">
          <cell r="A179">
            <v>30000968</v>
          </cell>
          <cell r="B179" t="str">
            <v>ZES</v>
          </cell>
          <cell r="C179" t="str">
            <v>DRU 900GSM, DRU9P, KRC 161 094/1</v>
          </cell>
        </row>
        <row r="180">
          <cell r="A180">
            <v>30000972</v>
          </cell>
          <cell r="B180" t="str">
            <v>ZES</v>
          </cell>
          <cell r="C180" t="str">
            <v>RBS 2111 complete set (2+2+2)</v>
          </cell>
        </row>
        <row r="181">
          <cell r="A181">
            <v>30000980</v>
          </cell>
          <cell r="B181" t="str">
            <v>ZES</v>
          </cell>
          <cell r="C181" t="str">
            <v>10G Card 2x10GE Board, 7090, 2X10GE SFP+</v>
          </cell>
        </row>
        <row r="182">
          <cell r="A182">
            <v>30000981</v>
          </cell>
          <cell r="B182" t="str">
            <v>ZES</v>
          </cell>
          <cell r="C182" t="str">
            <v>CERCULATED EMULATED SERVICE SFP+STM-16 2</v>
          </cell>
        </row>
        <row r="183">
          <cell r="A183">
            <v>30000985</v>
          </cell>
          <cell r="B183" t="str">
            <v>ZES</v>
          </cell>
          <cell r="C183" t="str">
            <v>ECAT/4E1/FE/M/S2/AC/DC - upto 60 KMS</v>
          </cell>
        </row>
        <row r="184">
          <cell r="A184">
            <v>30000986</v>
          </cell>
          <cell r="B184" t="str">
            <v>ZES</v>
          </cell>
          <cell r="C184" t="str">
            <v>ECAT/8E1/FE/M/S2/AC/DC upto 60KMs</v>
          </cell>
        </row>
        <row r="185">
          <cell r="A185">
            <v>30000987</v>
          </cell>
          <cell r="B185" t="str">
            <v>ZES</v>
          </cell>
          <cell r="C185" t="str">
            <v>SFP, 1GBE SMF 1000 BASE-LX-UPTO 10KM</v>
          </cell>
        </row>
        <row r="186">
          <cell r="A186">
            <v>30000988</v>
          </cell>
          <cell r="B186" t="str">
            <v>ZES</v>
          </cell>
          <cell r="C186" t="str">
            <v>XFP DWDM 10G, LONG HAUL, C-BAND TUBABLE</v>
          </cell>
        </row>
        <row r="187">
          <cell r="A187">
            <v>30000989</v>
          </cell>
          <cell r="B187" t="str">
            <v>ZES</v>
          </cell>
          <cell r="C187" t="str">
            <v>XFP MODULE 164.1/P1/1-2D1/10GBASE-L,SMF</v>
          </cell>
        </row>
        <row r="188">
          <cell r="A188">
            <v>30000996</v>
          </cell>
          <cell r="B188" t="str">
            <v>ZES</v>
          </cell>
          <cell r="C188" t="str">
            <v>IP-20GX IDU WITH 2 DIRECTIOS 200MBPS</v>
          </cell>
        </row>
        <row r="189">
          <cell r="A189">
            <v>30001001</v>
          </cell>
          <cell r="B189" t="str">
            <v>ZES</v>
          </cell>
          <cell r="C189" t="str">
            <v>IP-20-ODU-RFU-CXE-8-311A-1W4 TL</v>
          </cell>
        </row>
        <row r="190">
          <cell r="A190">
            <v>30001003</v>
          </cell>
          <cell r="B190" t="str">
            <v>ZES</v>
          </cell>
          <cell r="C190" t="str">
            <v>IP-20-ODU-RFU-CXEM-15-420-IW8-TH</v>
          </cell>
        </row>
        <row r="191">
          <cell r="A191">
            <v>30001004</v>
          </cell>
          <cell r="B191" t="str">
            <v>ZES</v>
          </cell>
          <cell r="C191" t="str">
            <v>IP-20-ODU-RFU-CXEM-15-420-IW8-TL</v>
          </cell>
        </row>
        <row r="192">
          <cell r="A192">
            <v>30001005</v>
          </cell>
          <cell r="B192" t="str">
            <v>ZES</v>
          </cell>
          <cell r="C192" t="str">
            <v>IP-20-ODU-RFU-CXE-7-16IP-4W5 TH</v>
          </cell>
        </row>
        <row r="193">
          <cell r="A193">
            <v>30001006</v>
          </cell>
          <cell r="B193" t="str">
            <v>ZES</v>
          </cell>
          <cell r="C193" t="str">
            <v>IP-20-ODU-RFU-CXE-7-16 IP-4W5 TL</v>
          </cell>
        </row>
        <row r="194">
          <cell r="A194">
            <v>30001009</v>
          </cell>
          <cell r="B194" t="str">
            <v>ZES</v>
          </cell>
          <cell r="C194" t="str">
            <v>IP-20-ODU-RFU-CXEM-15-420-8WI5-TH</v>
          </cell>
        </row>
        <row r="195">
          <cell r="A195">
            <v>30001012</v>
          </cell>
          <cell r="B195" t="str">
            <v>ZES</v>
          </cell>
          <cell r="C195" t="str">
            <v>ODU-IP-10G-RFU 15 GHZ TL</v>
          </cell>
        </row>
        <row r="196">
          <cell r="A196">
            <v>30001056</v>
          </cell>
          <cell r="B196" t="str">
            <v>ZES</v>
          </cell>
          <cell r="C196" t="str">
            <v>AIR FILTER 934-694</v>
          </cell>
        </row>
        <row r="197">
          <cell r="A197">
            <v>30001057</v>
          </cell>
          <cell r="B197" t="str">
            <v>ZES</v>
          </cell>
          <cell r="C197" t="str">
            <v>FUEL FILTER 901-202/915-663</v>
          </cell>
        </row>
        <row r="198">
          <cell r="A198">
            <v>30001058</v>
          </cell>
          <cell r="B198" t="str">
            <v>ZES</v>
          </cell>
          <cell r="C198" t="str">
            <v>LLOP 10000-48495</v>
          </cell>
        </row>
        <row r="199">
          <cell r="A199">
            <v>30001059</v>
          </cell>
          <cell r="B199" t="str">
            <v>ZES</v>
          </cell>
          <cell r="C199" t="str">
            <v>HWT 10000-53879</v>
          </cell>
        </row>
        <row r="200">
          <cell r="A200">
            <v>30001060</v>
          </cell>
          <cell r="B200" t="str">
            <v>ZES</v>
          </cell>
          <cell r="C200" t="str">
            <v>LIFT PUMP/PRIME PUMP 10000-07612</v>
          </cell>
        </row>
        <row r="201">
          <cell r="A201">
            <v>30001061</v>
          </cell>
          <cell r="B201" t="str">
            <v>ZES</v>
          </cell>
          <cell r="C201" t="str">
            <v>WATER PUMP 10000-50520</v>
          </cell>
        </row>
        <row r="202">
          <cell r="A202">
            <v>30001063</v>
          </cell>
          <cell r="B202" t="str">
            <v>ZES</v>
          </cell>
          <cell r="C202" t="str">
            <v>AIR FILTER 901-047</v>
          </cell>
        </row>
        <row r="203">
          <cell r="A203">
            <v>30001064</v>
          </cell>
          <cell r="B203" t="str">
            <v>ZES</v>
          </cell>
          <cell r="C203" t="str">
            <v>FUEL FILTER 10000-00339</v>
          </cell>
        </row>
        <row r="204">
          <cell r="A204">
            <v>30001091</v>
          </cell>
          <cell r="B204" t="str">
            <v>ZES</v>
          </cell>
          <cell r="C204" t="str">
            <v>AIRMUX-400LC/ODU/F54U/25M/INT</v>
          </cell>
        </row>
        <row r="205">
          <cell r="A205">
            <v>30001094</v>
          </cell>
          <cell r="B205" t="str">
            <v>ZES</v>
          </cell>
          <cell r="C205" t="str">
            <v>SFP-7</v>
          </cell>
        </row>
        <row r="206">
          <cell r="A206">
            <v>30001099</v>
          </cell>
          <cell r="B206" t="str">
            <v>ZES</v>
          </cell>
          <cell r="C206" t="str">
            <v>LAMPBC-1, VERTICAL MEDIUM SPAN AMPLIFIER</v>
          </cell>
        </row>
        <row r="207">
          <cell r="A207">
            <v>30001100</v>
          </cell>
          <cell r="B207" t="str">
            <v>ZES</v>
          </cell>
          <cell r="C207" t="str">
            <v>SFP 1000BASE-LX</v>
          </cell>
        </row>
        <row r="208">
          <cell r="A208">
            <v>30001101</v>
          </cell>
          <cell r="B208" t="str">
            <v>ZES</v>
          </cell>
          <cell r="C208" t="str">
            <v>8-CHANNEL VOA</v>
          </cell>
        </row>
        <row r="209">
          <cell r="A209">
            <v>30001102</v>
          </cell>
          <cell r="B209" t="str">
            <v>ZES</v>
          </cell>
          <cell r="C209" t="str">
            <v>FE/GE MODULE,EL, 100M</v>
          </cell>
        </row>
        <row r="210">
          <cell r="A210">
            <v>30001103</v>
          </cell>
          <cell r="B210" t="str">
            <v>ZES</v>
          </cell>
          <cell r="C210" t="str">
            <v>SFP+10G/10GBE,80KM SMF91500NM)</v>
          </cell>
        </row>
        <row r="211">
          <cell r="A211">
            <v>30001104</v>
          </cell>
          <cell r="B211" t="str">
            <v>ZES</v>
          </cell>
          <cell r="C211" t="str">
            <v>16XE1-120 BOARD, 7090</v>
          </cell>
        </row>
        <row r="212">
          <cell r="A212">
            <v>30001105</v>
          </cell>
          <cell r="B212" t="str">
            <v>ZES</v>
          </cell>
          <cell r="C212" t="str">
            <v>E1 CABLE ASSEMBLY, 2XE1 120OHM,10M, 7090</v>
          </cell>
        </row>
        <row r="213">
          <cell r="A213">
            <v>30001106</v>
          </cell>
          <cell r="B213" t="str">
            <v>ZES</v>
          </cell>
          <cell r="C213" t="str">
            <v>7090-100CEM DC POWER+TIMING</v>
          </cell>
        </row>
        <row r="214">
          <cell r="A214">
            <v>30001107</v>
          </cell>
          <cell r="B214" t="str">
            <v>ZES</v>
          </cell>
          <cell r="C214" t="str">
            <v>7090-60 CEM DC POWER +TIMING</v>
          </cell>
        </row>
        <row r="215">
          <cell r="A215">
            <v>900000007</v>
          </cell>
          <cell r="B215" t="str">
            <v>ZTRD</v>
          </cell>
          <cell r="C215" t="str">
            <v>VOUCHER MOBILE NU.25</v>
          </cell>
        </row>
        <row r="216">
          <cell r="A216">
            <v>900000010</v>
          </cell>
          <cell r="B216" t="str">
            <v>ZTRD</v>
          </cell>
          <cell r="C216" t="str">
            <v>ADSL MODEM</v>
          </cell>
        </row>
        <row r="217">
          <cell r="A217">
            <v>900000057</v>
          </cell>
          <cell r="B217" t="str">
            <v>ZTRD</v>
          </cell>
          <cell r="C217" t="str">
            <v>Survillance Hard Disk 500 GB</v>
          </cell>
        </row>
        <row r="218">
          <cell r="A218">
            <v>900000063</v>
          </cell>
          <cell r="B218" t="str">
            <v>ZTRD</v>
          </cell>
          <cell r="C218" t="str">
            <v>4TB HIGH PERFORMANCE SURVELIENCE HDD</v>
          </cell>
        </row>
        <row r="219">
          <cell r="A219">
            <v>900000081</v>
          </cell>
          <cell r="B219" t="str">
            <v>ZTRD</v>
          </cell>
          <cell r="C219" t="str">
            <v>2TB HIGH PERFORMANCE SURVELIENCE HDD</v>
          </cell>
        </row>
        <row r="220">
          <cell r="A220">
            <v>900000093</v>
          </cell>
          <cell r="B220" t="str">
            <v>ZTRD</v>
          </cell>
          <cell r="C220" t="str">
            <v>CISCO SWITCH WS-C2960-24TC-S</v>
          </cell>
        </row>
        <row r="221">
          <cell r="A221">
            <v>900000094</v>
          </cell>
          <cell r="B221" t="str">
            <v>ZTRD</v>
          </cell>
          <cell r="C221" t="str">
            <v>CISCO 1921/K9</v>
          </cell>
        </row>
        <row r="222">
          <cell r="A222">
            <v>900000096</v>
          </cell>
          <cell r="B222" t="str">
            <v>ZTRD</v>
          </cell>
          <cell r="C222" t="str">
            <v>ACS-800M-RM-19</v>
          </cell>
        </row>
        <row r="223">
          <cell r="A223">
            <v>900000215</v>
          </cell>
          <cell r="B223" t="str">
            <v>ZTRD</v>
          </cell>
          <cell r="C223" t="str">
            <v>ADSL WIRELESS ZXHN H108N V2.5</v>
          </cell>
        </row>
        <row r="224">
          <cell r="A224">
            <v>900000220</v>
          </cell>
          <cell r="B224" t="str">
            <v>ZTRD</v>
          </cell>
          <cell r="C224" t="str">
            <v>USIM CARD 128K  ( PREPAID ) COMBI</v>
          </cell>
        </row>
        <row r="225">
          <cell r="A225">
            <v>900000284</v>
          </cell>
          <cell r="B225" t="str">
            <v>ZTRD</v>
          </cell>
          <cell r="C225" t="str">
            <v>AIRMUX-400LC/ODU/F58F/10M/INT</v>
          </cell>
        </row>
        <row r="226">
          <cell r="A226">
            <v>900000285</v>
          </cell>
          <cell r="B226" t="str">
            <v>ZTRD</v>
          </cell>
          <cell r="C226" t="str">
            <v>AIRMUX-POE/GBE/ACUK</v>
          </cell>
        </row>
        <row r="227">
          <cell r="A227">
            <v>900000286</v>
          </cell>
          <cell r="B227" t="str">
            <v>ZTRD</v>
          </cell>
          <cell r="C227" t="str">
            <v>CBL-AIRMUX/50</v>
          </cell>
        </row>
        <row r="228">
          <cell r="A228">
            <v>900000288</v>
          </cell>
          <cell r="B228" t="str">
            <v>ZTRD</v>
          </cell>
          <cell r="C228" t="str">
            <v>UTP CABLE CAT6(305M)</v>
          </cell>
        </row>
        <row r="229">
          <cell r="A229">
            <v>900000290</v>
          </cell>
          <cell r="B229" t="str">
            <v>ZTRD</v>
          </cell>
          <cell r="C229" t="str">
            <v>LTE Dongle</v>
          </cell>
        </row>
        <row r="230">
          <cell r="A230">
            <v>900000302</v>
          </cell>
          <cell r="B230" t="str">
            <v>ZTRD</v>
          </cell>
          <cell r="C230" t="str">
            <v>1TB HIGH PERFORMANCE SURVELIENCE HDD</v>
          </cell>
        </row>
        <row r="231">
          <cell r="A231">
            <v>900000305</v>
          </cell>
          <cell r="B231" t="str">
            <v>ZTRD</v>
          </cell>
          <cell r="C231" t="str">
            <v>SWITC POE 16 PORT</v>
          </cell>
        </row>
        <row r="232">
          <cell r="A232">
            <v>900000310</v>
          </cell>
          <cell r="B232" t="str">
            <v>ZTRD</v>
          </cell>
          <cell r="C232" t="str">
            <v>TENDA SWITCH 16PORT 10/100 mpbs MODL:S16</v>
          </cell>
        </row>
        <row r="233">
          <cell r="A233">
            <v>900000320</v>
          </cell>
          <cell r="B233" t="str">
            <v>ZTRD</v>
          </cell>
          <cell r="C233" t="str">
            <v>CAT6 CABLE STP OUTDOOR  (305M)</v>
          </cell>
        </row>
        <row r="234">
          <cell r="A234">
            <v>900000323</v>
          </cell>
          <cell r="B234" t="str">
            <v>ZTRD</v>
          </cell>
          <cell r="C234" t="str">
            <v>SWITCH POE 4 PORT</v>
          </cell>
        </row>
        <row r="235">
          <cell r="A235">
            <v>900000330</v>
          </cell>
          <cell r="B235" t="str">
            <v>ZTRD</v>
          </cell>
          <cell r="C235" t="str">
            <v>MEDIA CONVERTERS 10/100/1000</v>
          </cell>
        </row>
        <row r="236">
          <cell r="A236">
            <v>900000335</v>
          </cell>
          <cell r="B236" t="str">
            <v>ZTRD</v>
          </cell>
          <cell r="C236" t="str">
            <v>POWER BEAM</v>
          </cell>
        </row>
        <row r="237">
          <cell r="A237">
            <v>6000021</v>
          </cell>
          <cell r="B237" t="str">
            <v>ZSP</v>
          </cell>
          <cell r="C237" t="str">
            <v>BHUTANESE PAPER</v>
          </cell>
        </row>
        <row r="238">
          <cell r="A238">
            <v>6000023</v>
          </cell>
          <cell r="B238" t="str">
            <v>ZSP</v>
          </cell>
          <cell r="C238" t="str">
            <v>PHOTO COPY PAPER A4 SIZE 80GSM</v>
          </cell>
        </row>
        <row r="239">
          <cell r="A239">
            <v>6000028</v>
          </cell>
          <cell r="B239" t="str">
            <v>ZSP</v>
          </cell>
          <cell r="C239" t="str">
            <v>MEASUREMENT BOOK (A4 SIZE)</v>
          </cell>
        </row>
        <row r="240">
          <cell r="A240">
            <v>6000037</v>
          </cell>
          <cell r="B240" t="str">
            <v>ZSP</v>
          </cell>
          <cell r="C240" t="str">
            <v>SUNDRY DEBTOR LEDGER</v>
          </cell>
        </row>
        <row r="241">
          <cell r="A241">
            <v>6000049</v>
          </cell>
          <cell r="B241" t="str">
            <v>ZSP</v>
          </cell>
          <cell r="C241" t="str">
            <v>MICRO SIM CUTTER</v>
          </cell>
        </row>
        <row r="242">
          <cell r="A242">
            <v>6000057</v>
          </cell>
          <cell r="B242" t="str">
            <v>ZSP</v>
          </cell>
          <cell r="C242" t="str">
            <v>SUB LEDGER BOOK , 200 SHEETS/BOOK</v>
          </cell>
        </row>
        <row r="243">
          <cell r="A243">
            <v>6000061</v>
          </cell>
          <cell r="B243" t="str">
            <v>ZSP</v>
          </cell>
          <cell r="C243" t="str">
            <v>PRINTING OF BTL ANNUAL REPORT</v>
          </cell>
        </row>
        <row r="244">
          <cell r="A244">
            <v>6000090</v>
          </cell>
          <cell r="B244" t="str">
            <v>ZSP</v>
          </cell>
          <cell r="C244" t="str">
            <v>DAK DISPATCH REGISTER</v>
          </cell>
        </row>
        <row r="245">
          <cell r="A245">
            <v>6000132</v>
          </cell>
          <cell r="B245" t="str">
            <v>ZSP</v>
          </cell>
          <cell r="C245" t="str">
            <v>REGISTER No.6</v>
          </cell>
        </row>
        <row r="246">
          <cell r="A246">
            <v>6000137</v>
          </cell>
          <cell r="B246" t="str">
            <v>ZSP</v>
          </cell>
          <cell r="C246" t="str">
            <v>PHOTOCOPY PAPER A3 SIZE</v>
          </cell>
        </row>
        <row r="247">
          <cell r="A247">
            <v>6000142</v>
          </cell>
          <cell r="B247" t="str">
            <v>ZSP</v>
          </cell>
          <cell r="C247" t="str">
            <v>STAPLER MACHINE NO. 10</v>
          </cell>
        </row>
        <row r="248">
          <cell r="A248">
            <v>6000154</v>
          </cell>
          <cell r="B248" t="str">
            <v>ZSP</v>
          </cell>
          <cell r="C248" t="str">
            <v>SOP BOOK A4SIZE 178 PAGED BOOKLET220GSM</v>
          </cell>
        </row>
        <row r="249">
          <cell r="A249">
            <v>6000161</v>
          </cell>
          <cell r="B249" t="str">
            <v>ZSP</v>
          </cell>
          <cell r="C249" t="str">
            <v>BINDING SPIRAL COMB 20MM</v>
          </cell>
        </row>
        <row r="250">
          <cell r="A250">
            <v>6000162</v>
          </cell>
          <cell r="B250" t="str">
            <v>ZSP</v>
          </cell>
          <cell r="C250" t="str">
            <v>BINDING SPIRAL COMB 14MM</v>
          </cell>
        </row>
        <row r="251">
          <cell r="A251">
            <v>6000163</v>
          </cell>
          <cell r="B251" t="str">
            <v>ZSP</v>
          </cell>
          <cell r="C251" t="str">
            <v>BINDING SPIRAL COMB 10MM</v>
          </cell>
        </row>
        <row r="252">
          <cell r="A252">
            <v>6000190</v>
          </cell>
          <cell r="B252" t="str">
            <v>ZSP</v>
          </cell>
          <cell r="C252" t="str">
            <v>HP Plotter Paper for C6036A</v>
          </cell>
        </row>
        <row r="253">
          <cell r="A253">
            <v>6000191</v>
          </cell>
          <cell r="B253" t="str">
            <v>ZSP</v>
          </cell>
          <cell r="C253" t="str">
            <v>PRINTING OF FREE WIFI BOARD</v>
          </cell>
        </row>
        <row r="254">
          <cell r="A254">
            <v>8000000</v>
          </cell>
          <cell r="B254" t="str">
            <v>ZCAP</v>
          </cell>
          <cell r="C254" t="str">
            <v>GSM FIXED WIRELESS TERMINAL-8818V11</v>
          </cell>
        </row>
        <row r="255">
          <cell r="A255">
            <v>8000002</v>
          </cell>
          <cell r="B255" t="str">
            <v>ZCAP</v>
          </cell>
          <cell r="C255" t="str">
            <v>COMPUTER TABLE 36"X18"X30"</v>
          </cell>
        </row>
        <row r="256">
          <cell r="A256">
            <v>8000005</v>
          </cell>
          <cell r="B256" t="str">
            <v>ZCAP</v>
          </cell>
          <cell r="C256" t="str">
            <v>DEEWAN STANDARD WITH CUSHION</v>
          </cell>
        </row>
        <row r="257">
          <cell r="A257">
            <v>8000011</v>
          </cell>
          <cell r="B257" t="str">
            <v>ZCAP</v>
          </cell>
          <cell r="C257" t="str">
            <v>INVERTER 3.0KVA,I/P 45-55VDC, O/P-230V</v>
          </cell>
        </row>
        <row r="258">
          <cell r="A258">
            <v>8000016</v>
          </cell>
          <cell r="B258" t="str">
            <v>ZCAP</v>
          </cell>
          <cell r="C258" t="str">
            <v>AIR BLOW MACHINE</v>
          </cell>
        </row>
        <row r="259">
          <cell r="A259">
            <v>8000019</v>
          </cell>
          <cell r="B259" t="str">
            <v>ZCAP</v>
          </cell>
          <cell r="C259" t="str">
            <v>ASMI-52/4W/ETH/4W</v>
          </cell>
        </row>
        <row r="260">
          <cell r="A260">
            <v>8000020</v>
          </cell>
          <cell r="B260" t="str">
            <v>ZCAP</v>
          </cell>
          <cell r="C260" t="str">
            <v>BLOWER HEATER</v>
          </cell>
        </row>
        <row r="261">
          <cell r="A261">
            <v>8000022</v>
          </cell>
          <cell r="B261" t="str">
            <v>ZCAP</v>
          </cell>
          <cell r="C261" t="str">
            <v>HALF REVOLVING CHAIR</v>
          </cell>
        </row>
        <row r="262">
          <cell r="A262">
            <v>8000023</v>
          </cell>
          <cell r="B262" t="str">
            <v>ZCAP</v>
          </cell>
          <cell r="C262" t="str">
            <v>FULL REVOLVING CHAIR</v>
          </cell>
        </row>
        <row r="263">
          <cell r="A263">
            <v>8000024</v>
          </cell>
          <cell r="B263" t="str">
            <v>ZCAP</v>
          </cell>
          <cell r="C263" t="str">
            <v>CASH BOX</v>
          </cell>
        </row>
        <row r="264">
          <cell r="A264">
            <v>8000026</v>
          </cell>
          <cell r="B264" t="str">
            <v>ZCAP</v>
          </cell>
          <cell r="C264" t="str">
            <v>HEAVY DUTY  PRINTER</v>
          </cell>
        </row>
        <row r="265">
          <cell r="A265">
            <v>8000048</v>
          </cell>
          <cell r="B265" t="str">
            <v>ZCAP</v>
          </cell>
          <cell r="C265" t="str">
            <v>TRANSCEIVER 900MHZ DRU GSM/EDGE</v>
          </cell>
        </row>
        <row r="266">
          <cell r="A266">
            <v>8000050</v>
          </cell>
          <cell r="B266" t="str">
            <v>ZCAP</v>
          </cell>
          <cell r="C266" t="str">
            <v>SOLAR PANEL 60W TBP</v>
          </cell>
        </row>
        <row r="267">
          <cell r="A267">
            <v>8000053</v>
          </cell>
          <cell r="B267" t="str">
            <v>ZCAP</v>
          </cell>
          <cell r="C267" t="str">
            <v>HALF SECRETARY TABLE</v>
          </cell>
        </row>
        <row r="268">
          <cell r="A268">
            <v>8000054</v>
          </cell>
          <cell r="B268" t="str">
            <v>ZCAP</v>
          </cell>
          <cell r="C268" t="str">
            <v>CHOEDOM</v>
          </cell>
        </row>
        <row r="269">
          <cell r="A269">
            <v>8000055</v>
          </cell>
          <cell r="B269" t="str">
            <v>ZCAP</v>
          </cell>
          <cell r="C269" t="str">
            <v>GUEST CHAIR WITH  ARM</v>
          </cell>
        </row>
        <row r="270">
          <cell r="A270">
            <v>8000060</v>
          </cell>
          <cell r="B270" t="str">
            <v>ZCAP</v>
          </cell>
          <cell r="C270" t="str">
            <v>AERIAL CABLE 10 PAIR 0.4MM</v>
          </cell>
        </row>
        <row r="271">
          <cell r="A271">
            <v>8000062</v>
          </cell>
          <cell r="B271" t="str">
            <v>ZCAP</v>
          </cell>
          <cell r="C271" t="str">
            <v>DP BOX (20PAIR) OUTDOOR</v>
          </cell>
        </row>
        <row r="272">
          <cell r="A272">
            <v>8000063</v>
          </cell>
          <cell r="B272" t="str">
            <v>ZCAP</v>
          </cell>
          <cell r="C272" t="str">
            <v>UG JOINTING KITS (TSF-4)</v>
          </cell>
        </row>
        <row r="273">
          <cell r="A273">
            <v>8000069</v>
          </cell>
          <cell r="B273" t="str">
            <v>ZCAP</v>
          </cell>
          <cell r="C273" t="str">
            <v>AC CLOSURE 50 PAIRS</v>
          </cell>
        </row>
        <row r="274">
          <cell r="A274">
            <v>8000070</v>
          </cell>
          <cell r="B274" t="str">
            <v>ZCAP</v>
          </cell>
          <cell r="C274" t="str">
            <v>UY CONNECTORS 0.65MM</v>
          </cell>
        </row>
        <row r="275">
          <cell r="A275">
            <v>8000072</v>
          </cell>
          <cell r="B275" t="str">
            <v>ZCAP</v>
          </cell>
          <cell r="C275" t="str">
            <v>PLASTIC CHAIR</v>
          </cell>
        </row>
        <row r="276">
          <cell r="A276">
            <v>8000073</v>
          </cell>
          <cell r="B276" t="str">
            <v>ZCAP</v>
          </cell>
          <cell r="C276" t="str">
            <v>MEDIA CONVERTER 10/100/1000</v>
          </cell>
        </row>
        <row r="277">
          <cell r="A277">
            <v>8000074</v>
          </cell>
          <cell r="B277" t="str">
            <v>ZCAP</v>
          </cell>
          <cell r="C277" t="str">
            <v>PLASTIC TABLE</v>
          </cell>
        </row>
        <row r="278">
          <cell r="A278">
            <v>8000077</v>
          </cell>
          <cell r="B278" t="str">
            <v>ZCAP</v>
          </cell>
          <cell r="C278" t="str">
            <v>PHOTOCOPY MACHINE MINOLTA HEAVY DUTY</v>
          </cell>
        </row>
        <row r="279">
          <cell r="A279">
            <v>8000079</v>
          </cell>
          <cell r="B279" t="str">
            <v>ZCAP</v>
          </cell>
          <cell r="C279" t="str">
            <v>DP BOX 10PAIR OUT DOOR</v>
          </cell>
        </row>
        <row r="280">
          <cell r="A280">
            <v>8000083</v>
          </cell>
          <cell r="B280" t="str">
            <v>ZCAP</v>
          </cell>
          <cell r="C280" t="str">
            <v>SAFETY BELT</v>
          </cell>
        </row>
        <row r="281">
          <cell r="A281">
            <v>8000090</v>
          </cell>
          <cell r="B281" t="str">
            <v>ZCAP</v>
          </cell>
          <cell r="C281" t="str">
            <v>SUSPENSION CLAMP (STRAIGHT)</v>
          </cell>
        </row>
        <row r="282">
          <cell r="A282">
            <v>8000092</v>
          </cell>
          <cell r="B282" t="str">
            <v>ZCAP</v>
          </cell>
          <cell r="C282" t="str">
            <v>SCANNER</v>
          </cell>
        </row>
        <row r="283">
          <cell r="A283">
            <v>8000093</v>
          </cell>
          <cell r="B283" t="str">
            <v>ZCAP</v>
          </cell>
          <cell r="C283" t="str">
            <v>HP LASERJET PRINTER</v>
          </cell>
        </row>
        <row r="284">
          <cell r="A284">
            <v>8000099</v>
          </cell>
          <cell r="B284" t="str">
            <v>ZCAP</v>
          </cell>
          <cell r="C284" t="str">
            <v>STAY WIRE CR - 45</v>
          </cell>
        </row>
        <row r="285">
          <cell r="A285">
            <v>8000106</v>
          </cell>
          <cell r="B285" t="str">
            <v>ZCAP</v>
          </cell>
          <cell r="C285" t="str">
            <v>TVSS TRANSIENT VOLTAGE SURGE SUPPRESSOR</v>
          </cell>
        </row>
        <row r="286">
          <cell r="A286">
            <v>8000107</v>
          </cell>
          <cell r="B286" t="str">
            <v>ZCAP</v>
          </cell>
          <cell r="C286" t="str">
            <v>CUSHION for DEEWAN</v>
          </cell>
        </row>
        <row r="287">
          <cell r="A287">
            <v>8000108</v>
          </cell>
          <cell r="B287" t="str">
            <v>ZCAP</v>
          </cell>
          <cell r="C287" t="str">
            <v>STEEL ALMIRAH MEDIUM</v>
          </cell>
        </row>
        <row r="288">
          <cell r="A288">
            <v>8000110</v>
          </cell>
          <cell r="B288" t="str">
            <v>ZCAP</v>
          </cell>
          <cell r="C288" t="str">
            <v>STEEL ALMIRAH BIG SIZE</v>
          </cell>
        </row>
        <row r="289">
          <cell r="A289">
            <v>8000111</v>
          </cell>
          <cell r="B289" t="str">
            <v>ZCAP</v>
          </cell>
          <cell r="C289" t="str">
            <v>DEEWAN</v>
          </cell>
        </row>
        <row r="290">
          <cell r="A290">
            <v>8000113</v>
          </cell>
          <cell r="B290" t="str">
            <v>ZCAP</v>
          </cell>
          <cell r="C290" t="str">
            <v>RADIATOR HEATER</v>
          </cell>
        </row>
        <row r="291">
          <cell r="A291">
            <v>8000115</v>
          </cell>
          <cell r="B291" t="str">
            <v>ZCAP</v>
          </cell>
          <cell r="C291" t="str">
            <v>AERIAL CABLE 100P 0.5MM</v>
          </cell>
        </row>
        <row r="292">
          <cell r="A292">
            <v>8000155</v>
          </cell>
          <cell r="B292" t="str">
            <v>ZCAP</v>
          </cell>
          <cell r="C292" t="str">
            <v>CHAMP CABLE CONNECTOR FOR CONNECTING SPL</v>
          </cell>
        </row>
        <row r="293">
          <cell r="A293">
            <v>8000161</v>
          </cell>
          <cell r="B293" t="str">
            <v>ZCAP</v>
          </cell>
          <cell r="C293" t="str">
            <v>DC CABLE(BLACK)10SQ</v>
          </cell>
        </row>
        <row r="294">
          <cell r="A294">
            <v>8000162</v>
          </cell>
          <cell r="B294" t="str">
            <v>ZCAP</v>
          </cell>
          <cell r="C294" t="str">
            <v>DC CABLE(BLACK)16SQ</v>
          </cell>
        </row>
        <row r="295">
          <cell r="A295">
            <v>8000163</v>
          </cell>
          <cell r="B295" t="str">
            <v>ZCAP</v>
          </cell>
          <cell r="C295" t="str">
            <v>DC CABLE(RED) 16SQ</v>
          </cell>
        </row>
        <row r="296">
          <cell r="A296">
            <v>8000164</v>
          </cell>
          <cell r="B296" t="str">
            <v>ZCAP</v>
          </cell>
          <cell r="C296" t="str">
            <v>DC CABLE(RED)10SQMM</v>
          </cell>
        </row>
        <row r="297">
          <cell r="A297">
            <v>8000186</v>
          </cell>
          <cell r="B297" t="str">
            <v>ZCAP</v>
          </cell>
          <cell r="C297" t="str">
            <v>FODP 24F WITH FULLYLOADED SC-SC ADAPTERS</v>
          </cell>
        </row>
        <row r="298">
          <cell r="A298">
            <v>8000190</v>
          </cell>
          <cell r="B298" t="str">
            <v>ZCAP</v>
          </cell>
          <cell r="C298" t="str">
            <v>GLC-LH-SMD 1000BASE-LX/LHSFP TRANSCEIVER</v>
          </cell>
        </row>
        <row r="299">
          <cell r="A299">
            <v>8000193</v>
          </cell>
          <cell r="B299" t="str">
            <v>ZCAP</v>
          </cell>
          <cell r="C299" t="str">
            <v>GROUND CABLE (GREEN) 16 SQ TFR-GV-16SQ</v>
          </cell>
        </row>
        <row r="300">
          <cell r="A300">
            <v>8000194</v>
          </cell>
          <cell r="B300" t="str">
            <v>ZCAP</v>
          </cell>
          <cell r="C300" t="str">
            <v>GROUND CABLE (GREEN) 4 SQ KIV-4SQ</v>
          </cell>
        </row>
        <row r="301">
          <cell r="A301">
            <v>8000196</v>
          </cell>
          <cell r="B301" t="str">
            <v>ZCAP</v>
          </cell>
          <cell r="C301" t="str">
            <v>SFP+10G-LR ( 1310nm 10KM)</v>
          </cell>
        </row>
        <row r="302">
          <cell r="A302">
            <v>8000207</v>
          </cell>
          <cell r="B302" t="str">
            <v>ZCAP</v>
          </cell>
          <cell r="C302" t="str">
            <v>IP DSLAM 48-PORT ADSL2+SERVICE INTERFACE</v>
          </cell>
        </row>
        <row r="303">
          <cell r="A303">
            <v>8000220</v>
          </cell>
          <cell r="B303" t="str">
            <v>ZCAP</v>
          </cell>
          <cell r="C303" t="str">
            <v>MEDIA CONVECTORS WITH CHASSIS(SM)19"2U</v>
          </cell>
        </row>
        <row r="304">
          <cell r="A304">
            <v>8000228</v>
          </cell>
          <cell r="B304" t="str">
            <v>ZCAP</v>
          </cell>
          <cell r="C304" t="str">
            <v>ODF(FOTB)_FOTB-O-DC-SC-BL-22-AL-12 SC/PC</v>
          </cell>
        </row>
        <row r="305">
          <cell r="A305">
            <v>8000253</v>
          </cell>
          <cell r="B305" t="str">
            <v>ZCAP</v>
          </cell>
          <cell r="C305" t="str">
            <v>SFP-6</v>
          </cell>
        </row>
        <row r="306">
          <cell r="A306">
            <v>8000264</v>
          </cell>
          <cell r="B306" t="str">
            <v>ZCAP</v>
          </cell>
          <cell r="C306" t="str">
            <v>SURGE FRAME/PROTECTOR AND BRACKET</v>
          </cell>
        </row>
        <row r="307">
          <cell r="A307">
            <v>8000265</v>
          </cell>
          <cell r="B307" t="str">
            <v>ZCAP</v>
          </cell>
          <cell r="C307" t="str">
            <v>LOW EXPOSURE SURGE PROTECTION DEVICE</v>
          </cell>
        </row>
        <row r="308">
          <cell r="A308">
            <v>8000271</v>
          </cell>
          <cell r="B308" t="str">
            <v>ZCAP</v>
          </cell>
          <cell r="C308" t="str">
            <v>UTP CAT5E UTB CABLE</v>
          </cell>
        </row>
        <row r="309">
          <cell r="A309">
            <v>8000303</v>
          </cell>
          <cell r="B309" t="str">
            <v>ZCAP</v>
          </cell>
          <cell r="C309" t="str">
            <v>AC CLOSURE 100P</v>
          </cell>
        </row>
        <row r="310">
          <cell r="A310">
            <v>8000304</v>
          </cell>
          <cell r="B310" t="str">
            <v>ZCAP</v>
          </cell>
          <cell r="C310" t="str">
            <v>AC CLOSURE 20 PAIRS</v>
          </cell>
        </row>
        <row r="311">
          <cell r="A311">
            <v>8000306</v>
          </cell>
          <cell r="B311" t="str">
            <v>ZCAP</v>
          </cell>
          <cell r="C311" t="str">
            <v>AC POWER CABLE 2CORE 25SQMM ARMOURED</v>
          </cell>
        </row>
        <row r="312">
          <cell r="A312">
            <v>8000312</v>
          </cell>
          <cell r="B312" t="str">
            <v>ZCAP</v>
          </cell>
          <cell r="C312" t="str">
            <v>DO NOT USE(AC REGRIGERANT(GAS) R-407C)</v>
          </cell>
        </row>
        <row r="313">
          <cell r="A313">
            <v>8000316</v>
          </cell>
          <cell r="B313" t="str">
            <v>ZCAP</v>
          </cell>
          <cell r="C313" t="str">
            <v>AERIAL CABLE 10P 0.6MM</v>
          </cell>
        </row>
        <row r="314">
          <cell r="A314">
            <v>8000317</v>
          </cell>
          <cell r="B314" t="str">
            <v>ZCAP</v>
          </cell>
          <cell r="C314" t="str">
            <v>AERIAL CABLE 20PAIR 0.65MM</v>
          </cell>
        </row>
        <row r="315">
          <cell r="A315">
            <v>8000318</v>
          </cell>
          <cell r="B315" t="str">
            <v>ZCAP</v>
          </cell>
          <cell r="C315" t="str">
            <v>AERIAL CABLE 50P 0.4MM</v>
          </cell>
        </row>
        <row r="316">
          <cell r="A316">
            <v>8000319</v>
          </cell>
          <cell r="B316" t="str">
            <v>ZCAP</v>
          </cell>
          <cell r="C316" t="str">
            <v>AIR CONDITIONER (2TON CAPACITY)</v>
          </cell>
        </row>
        <row r="317">
          <cell r="A317">
            <v>8000321</v>
          </cell>
          <cell r="B317" t="str">
            <v>ZCAP</v>
          </cell>
          <cell r="C317" t="str">
            <v>AIRCON  1.5 TON WITH FULL ACCESSORIES</v>
          </cell>
        </row>
        <row r="318">
          <cell r="A318">
            <v>8000326</v>
          </cell>
          <cell r="B318" t="str">
            <v>ZCAP</v>
          </cell>
          <cell r="C318" t="str">
            <v>ANTENNA1710-2170),65°18.1DBI SINGLE BAND</v>
          </cell>
        </row>
        <row r="319">
          <cell r="A319">
            <v>8000342</v>
          </cell>
          <cell r="B319" t="str">
            <v>ZCAP</v>
          </cell>
          <cell r="C319" t="str">
            <v>BATTERY VRLA-2V/400 AH@C10@1.75ECV@</v>
          </cell>
        </row>
        <row r="320">
          <cell r="A320">
            <v>8000353</v>
          </cell>
          <cell r="B320" t="str">
            <v>ZCAP</v>
          </cell>
          <cell r="C320" t="str">
            <v>CAB-CONSOLE-RJ45 CONSOLE CABLE 6FT</v>
          </cell>
        </row>
        <row r="321">
          <cell r="A321">
            <v>8000355</v>
          </cell>
          <cell r="B321" t="str">
            <v>ZCAP</v>
          </cell>
          <cell r="C321" t="str">
            <v>CABLE TIE (6")</v>
          </cell>
        </row>
        <row r="322">
          <cell r="A322">
            <v>8000356</v>
          </cell>
          <cell r="B322" t="str">
            <v>ZCAP</v>
          </cell>
          <cell r="C322" t="str">
            <v>CABLE TIE 8" STANDARD CABLE TIES</v>
          </cell>
        </row>
        <row r="323">
          <cell r="A323">
            <v>8000357</v>
          </cell>
          <cell r="B323" t="str">
            <v>ZCAP</v>
          </cell>
          <cell r="C323" t="str">
            <v>CABLETIE HEAVYDUTY WEATEHER RESISTAND 8"</v>
          </cell>
        </row>
        <row r="324">
          <cell r="A324">
            <v>8000358</v>
          </cell>
          <cell r="B324" t="str">
            <v>ZCAP</v>
          </cell>
          <cell r="C324" t="str">
            <v>CABLETIE HEAVYDUTY WEATHER RESISTANT12"</v>
          </cell>
        </row>
        <row r="325">
          <cell r="A325">
            <v>8000373</v>
          </cell>
          <cell r="B325" t="str">
            <v>ZCAP</v>
          </cell>
          <cell r="C325" t="str">
            <v>COPPER TERMINAL ENDS(RING TYPE) 16SQMM</v>
          </cell>
        </row>
        <row r="326">
          <cell r="A326">
            <v>8000381</v>
          </cell>
          <cell r="B326" t="str">
            <v>ZCAP</v>
          </cell>
          <cell r="C326" t="str">
            <v>AC CABLE 2.5 SQMM 1CORE ( BLUE/BLACK)</v>
          </cell>
        </row>
        <row r="327">
          <cell r="A327">
            <v>8000382</v>
          </cell>
          <cell r="B327" t="str">
            <v>ZCAP</v>
          </cell>
          <cell r="C327" t="str">
            <v>DC POWER CABLE 1C 6SQMM RED</v>
          </cell>
        </row>
        <row r="328">
          <cell r="A328">
            <v>8000386</v>
          </cell>
          <cell r="B328" t="str">
            <v>ZCAP</v>
          </cell>
          <cell r="C328" t="str">
            <v>DDF</v>
          </cell>
        </row>
        <row r="329">
          <cell r="A329">
            <v>8000390</v>
          </cell>
          <cell r="B329" t="str">
            <v>ZCAP</v>
          </cell>
          <cell r="C329" t="str">
            <v>DESKTOP</v>
          </cell>
        </row>
        <row r="330">
          <cell r="A330">
            <v>8000396</v>
          </cell>
          <cell r="B330" t="str">
            <v>ZCAP</v>
          </cell>
          <cell r="C330" t="str">
            <v>E1 CABLE</v>
          </cell>
        </row>
        <row r="331">
          <cell r="A331">
            <v>8000403</v>
          </cell>
          <cell r="B331" t="str">
            <v>ZCAP</v>
          </cell>
          <cell r="C331" t="str">
            <v>EARTHING&amp;BONDING WITH DC SURGE PROTECTIO</v>
          </cell>
        </row>
        <row r="332">
          <cell r="A332">
            <v>8000421</v>
          </cell>
          <cell r="B332" t="str">
            <v>ZCAP</v>
          </cell>
          <cell r="C332" t="str">
            <v>GLC-T 1000BASE-T SFP</v>
          </cell>
        </row>
        <row r="333">
          <cell r="A333">
            <v>8000424</v>
          </cell>
          <cell r="B333" t="str">
            <v>ZCAP</v>
          </cell>
          <cell r="C333" t="str">
            <v>HLR EXPN SW BY 50K</v>
          </cell>
        </row>
        <row r="334">
          <cell r="A334">
            <v>8000430</v>
          </cell>
          <cell r="B334" t="str">
            <v>ZCAP</v>
          </cell>
          <cell r="C334" t="str">
            <v>INSTALLATION KIT</v>
          </cell>
        </row>
        <row r="335">
          <cell r="A335">
            <v>8000435</v>
          </cell>
          <cell r="B335" t="str">
            <v>ZCAP</v>
          </cell>
          <cell r="C335" t="str">
            <v>LAPTOP</v>
          </cell>
        </row>
        <row r="336">
          <cell r="A336">
            <v>8000437</v>
          </cell>
          <cell r="B336" t="str">
            <v>ZCAP</v>
          </cell>
          <cell r="C336" t="str">
            <v>LIGHTNING PROTECTION SYSTEM</v>
          </cell>
        </row>
        <row r="337">
          <cell r="A337">
            <v>8000460</v>
          </cell>
          <cell r="B337" t="str">
            <v>ZCAP</v>
          </cell>
          <cell r="C337" t="str">
            <v>ODF FIBER JOINT BOX</v>
          </cell>
        </row>
        <row r="338">
          <cell r="A338">
            <v>8000486</v>
          </cell>
          <cell r="B338" t="str">
            <v>ZCAP</v>
          </cell>
          <cell r="C338" t="str">
            <v>POWER CABLE 25SQMM 1C RED MULTISTRAND</v>
          </cell>
        </row>
        <row r="339">
          <cell r="A339">
            <v>8000488</v>
          </cell>
          <cell r="B339" t="str">
            <v>ZCAP</v>
          </cell>
          <cell r="C339" t="str">
            <v>POWER CABLE 16SQMM SINGLE CORE (RED)</v>
          </cell>
        </row>
        <row r="340">
          <cell r="A340">
            <v>8000489</v>
          </cell>
          <cell r="B340" t="str">
            <v>ZCAP</v>
          </cell>
          <cell r="C340" t="str">
            <v>POWER CABLE 1C 70SQMM(RED COLOUR)</v>
          </cell>
        </row>
        <row r="341">
          <cell r="A341">
            <v>8000491</v>
          </cell>
          <cell r="B341" t="str">
            <v>ZCAP</v>
          </cell>
          <cell r="C341" t="str">
            <v>POWER CABLE1C 70SQMM(BLACK COLOUR)</v>
          </cell>
        </row>
        <row r="342">
          <cell r="A342">
            <v>8000492</v>
          </cell>
          <cell r="B342" t="str">
            <v>ZCAP</v>
          </cell>
          <cell r="C342" t="str">
            <v>POWER CABLE1C16SQMMPVC INSULATED, BLACK</v>
          </cell>
        </row>
        <row r="343">
          <cell r="A343">
            <v>8000503</v>
          </cell>
          <cell r="B343" t="str">
            <v>ZCAP</v>
          </cell>
          <cell r="C343" t="str">
            <v>PRE-FAB SHELTER EXT:3600X2600X2500</v>
          </cell>
        </row>
        <row r="344">
          <cell r="A344">
            <v>8000514</v>
          </cell>
          <cell r="B344" t="str">
            <v>ZCAP</v>
          </cell>
          <cell r="C344" t="str">
            <v>RECTIFIER MODULE INPUT230VAC,OUTPUT-48VD</v>
          </cell>
        </row>
        <row r="345">
          <cell r="A345">
            <v>8000523</v>
          </cell>
          <cell r="B345" t="str">
            <v>ZCAP</v>
          </cell>
          <cell r="C345" t="str">
            <v>SCR MPPT MODULE 3000W EMERSON</v>
          </cell>
        </row>
        <row r="346">
          <cell r="A346">
            <v>8000524</v>
          </cell>
          <cell r="B346" t="str">
            <v>ZCAP</v>
          </cell>
          <cell r="C346" t="str">
            <v>SC-SC SINGLEMODE DUPLEX PATCH CORD 3M</v>
          </cell>
        </row>
        <row r="347">
          <cell r="A347">
            <v>8000544</v>
          </cell>
          <cell r="B347" t="str">
            <v>ZCAP</v>
          </cell>
          <cell r="C347" t="str">
            <v>SMPS RECTIFIER 3PH,415V MODULAR TYPE</v>
          </cell>
        </row>
        <row r="348">
          <cell r="A348">
            <v>8000545</v>
          </cell>
          <cell r="B348" t="str">
            <v>ZCAP</v>
          </cell>
          <cell r="C348" t="str">
            <v>SMPS RECTIFIER IP VAC=190-290VAC,OP:(-48</v>
          </cell>
        </row>
        <row r="349">
          <cell r="A349">
            <v>8000548</v>
          </cell>
          <cell r="B349" t="str">
            <v>ZCAP</v>
          </cell>
          <cell r="C349" t="str">
            <v>SOLAR HYBRID SYSTEM,MODULAR TYPE</v>
          </cell>
        </row>
        <row r="350">
          <cell r="A350">
            <v>8000550</v>
          </cell>
          <cell r="B350" t="str">
            <v>ZCAP</v>
          </cell>
          <cell r="C350" t="str">
            <v>SOLAR MODULES/PANELS W:180WP,V:VMP:35.8V</v>
          </cell>
        </row>
        <row r="351">
          <cell r="A351">
            <v>8000576</v>
          </cell>
          <cell r="B351" t="str">
            <v>ZCAP</v>
          </cell>
          <cell r="C351" t="str">
            <v>TUBE A 8</v>
          </cell>
        </row>
        <row r="352">
          <cell r="A352">
            <v>8000577</v>
          </cell>
          <cell r="B352" t="str">
            <v>ZCAP</v>
          </cell>
          <cell r="C352" t="str">
            <v>TVSS LOW ESPOSURES SINGLE PHASE(2W+G)50A</v>
          </cell>
        </row>
        <row r="353">
          <cell r="A353">
            <v>8000578</v>
          </cell>
          <cell r="B353" t="str">
            <v>ZCAP</v>
          </cell>
          <cell r="C353" t="str">
            <v>UG JOINTING KITS (TSF 3)</v>
          </cell>
        </row>
        <row r="354">
          <cell r="A354">
            <v>8000579</v>
          </cell>
          <cell r="B354" t="str">
            <v>ZCAP</v>
          </cell>
          <cell r="C354" t="str">
            <v>UG JOINTING KITS (TSF-2)</v>
          </cell>
        </row>
        <row r="355">
          <cell r="A355">
            <v>8000603</v>
          </cell>
          <cell r="B355" t="str">
            <v>ZCAP</v>
          </cell>
          <cell r="C355" t="str">
            <v>AC PDB 100AMPS,230V AC PREWIRRED</v>
          </cell>
        </row>
        <row r="356">
          <cell r="A356">
            <v>8000604</v>
          </cell>
          <cell r="B356" t="str">
            <v>ZCAP</v>
          </cell>
          <cell r="C356" t="str">
            <v>AC POWERCABLES1.1KV,2CPVC INSULATED24sqm</v>
          </cell>
        </row>
        <row r="357">
          <cell r="A357">
            <v>8000605</v>
          </cell>
          <cell r="B357" t="str">
            <v>ZCAP</v>
          </cell>
          <cell r="C357" t="str">
            <v>AIR-CONDITIONER WITH APPRORIATE RATING</v>
          </cell>
        </row>
        <row r="358">
          <cell r="A358">
            <v>8000617</v>
          </cell>
          <cell r="B358" t="str">
            <v>ZCAP</v>
          </cell>
          <cell r="C358" t="str">
            <v>BUS BAR INDOOR(6MM*60MM*300MM)</v>
          </cell>
        </row>
        <row r="359">
          <cell r="A359">
            <v>8000618</v>
          </cell>
          <cell r="B359" t="str">
            <v>ZCAP</v>
          </cell>
          <cell r="C359" t="str">
            <v>BUS BAR OUT DOOR(6MM*60MM*300MM)</v>
          </cell>
        </row>
        <row r="360">
          <cell r="A360">
            <v>8000619</v>
          </cell>
          <cell r="B360" t="str">
            <v>ZCAP</v>
          </cell>
          <cell r="C360" t="str">
            <v>CABLE TIE (6")</v>
          </cell>
        </row>
        <row r="361">
          <cell r="A361">
            <v>8000621</v>
          </cell>
          <cell r="B361" t="str">
            <v>ZCAP</v>
          </cell>
          <cell r="C361" t="str">
            <v>CABLETIE HEAVYDUTY WEATEHER RESISTAND 8"</v>
          </cell>
        </row>
        <row r="362">
          <cell r="A362">
            <v>8000623</v>
          </cell>
          <cell r="B362" t="str">
            <v>ZCAP</v>
          </cell>
          <cell r="C362" t="str">
            <v>CABLE TIE(12") BK</v>
          </cell>
        </row>
        <row r="363">
          <cell r="A363">
            <v>8000627</v>
          </cell>
          <cell r="B363" t="str">
            <v>ZCAP</v>
          </cell>
          <cell r="C363" t="str">
            <v>POWER CABLE 16SQMM SINGLE CORE GREEN</v>
          </cell>
        </row>
        <row r="364">
          <cell r="A364">
            <v>8000628</v>
          </cell>
          <cell r="B364" t="str">
            <v>ZCAP</v>
          </cell>
          <cell r="C364" t="str">
            <v>COPPER TERMINAL ENDS(RING TYPE) 25 SQMM</v>
          </cell>
        </row>
        <row r="365">
          <cell r="A365">
            <v>8000629</v>
          </cell>
          <cell r="B365" t="str">
            <v>ZCAP</v>
          </cell>
          <cell r="C365" t="str">
            <v>COPPER TERMINAL ENDS(RING TYPE) 50SQMM</v>
          </cell>
        </row>
        <row r="366">
          <cell r="A366">
            <v>8000630</v>
          </cell>
          <cell r="B366" t="str">
            <v>ZCAP</v>
          </cell>
          <cell r="C366" t="str">
            <v>COPPER TERMINAL ENDS(RING TYPE) 6SQMM</v>
          </cell>
        </row>
        <row r="367">
          <cell r="A367">
            <v>8000633</v>
          </cell>
          <cell r="B367" t="str">
            <v>ZCAP</v>
          </cell>
          <cell r="C367" t="str">
            <v>DC POWER CABLE 10SQMM COPPER 1C GREEN&amp;YE</v>
          </cell>
        </row>
        <row r="368">
          <cell r="A368">
            <v>8000636</v>
          </cell>
          <cell r="B368" t="str">
            <v>ZCAP</v>
          </cell>
          <cell r="C368" t="str">
            <v>DC POWER CABLE  50 SQ.MM ( RED)</v>
          </cell>
        </row>
        <row r="369">
          <cell r="A369">
            <v>8000638</v>
          </cell>
          <cell r="B369" t="str">
            <v>ZCAP</v>
          </cell>
          <cell r="C369" t="str">
            <v>DC POWER CABLE 50 SQMM BLACK/BLUE</v>
          </cell>
        </row>
        <row r="370">
          <cell r="A370">
            <v>8000639</v>
          </cell>
          <cell r="B370" t="str">
            <v>ZCAP</v>
          </cell>
          <cell r="C370" t="str">
            <v>DC POWER DISTRIBUTION BOARD (DCPDB)</v>
          </cell>
        </row>
        <row r="371">
          <cell r="A371">
            <v>8000640</v>
          </cell>
          <cell r="B371" t="str">
            <v>ZCAP</v>
          </cell>
          <cell r="C371" t="str">
            <v>DCPDB 100 AMPS -48V</v>
          </cell>
        </row>
        <row r="372">
          <cell r="A372">
            <v>8000644</v>
          </cell>
          <cell r="B372" t="str">
            <v>ZCAP</v>
          </cell>
          <cell r="C372" t="str">
            <v>EARTH CABLE1C,25SQMM MULTISTRAND</v>
          </cell>
        </row>
        <row r="373">
          <cell r="A373">
            <v>8000652</v>
          </cell>
          <cell r="B373" t="str">
            <v>ZCAP</v>
          </cell>
          <cell r="C373" t="str">
            <v>FEEDER EARTH COPPER TAPE TYPE FOR 7/8"</v>
          </cell>
        </row>
        <row r="374">
          <cell r="A374">
            <v>8000660</v>
          </cell>
          <cell r="B374" t="str">
            <v>ZCAP</v>
          </cell>
          <cell r="C374" t="str">
            <v>PULSAR BIKES</v>
          </cell>
        </row>
        <row r="375">
          <cell r="A375">
            <v>8000664</v>
          </cell>
          <cell r="B375" t="str">
            <v>ZCAP</v>
          </cell>
          <cell r="C375" t="str">
            <v>POWER SUPPLY CARD BTS 2206 PSU-DC BMR 96</v>
          </cell>
        </row>
        <row r="376">
          <cell r="A376">
            <v>8000665</v>
          </cell>
          <cell r="B376" t="str">
            <v>ZCAP</v>
          </cell>
          <cell r="C376" t="str">
            <v>POWER SUPPLY CARD BTS 2206 V/2216 PSU-DC</v>
          </cell>
        </row>
        <row r="377">
          <cell r="A377">
            <v>8000675</v>
          </cell>
          <cell r="B377" t="str">
            <v>ZCAP</v>
          </cell>
          <cell r="C377" t="str">
            <v>SMPS CHARGER,WALL MOUNT 230V AC -48V</v>
          </cell>
        </row>
        <row r="378">
          <cell r="A378">
            <v>8000686</v>
          </cell>
          <cell r="B378" t="str">
            <v>ZCAP</v>
          </cell>
          <cell r="C378" t="str">
            <v>TOWER 40M,4 LEGGED, ANGULAR</v>
          </cell>
        </row>
        <row r="379">
          <cell r="A379">
            <v>8000690</v>
          </cell>
          <cell r="B379" t="str">
            <v>ZCAP</v>
          </cell>
          <cell r="C379" t="str">
            <v>VENTILATION SYSTEM WITH TEMPERATURE -48V</v>
          </cell>
        </row>
        <row r="380">
          <cell r="A380">
            <v>8000734</v>
          </cell>
          <cell r="B380" t="str">
            <v>ZCAP</v>
          </cell>
          <cell r="C380" t="str">
            <v>RECEPTION COUNTER ART NO. 348</v>
          </cell>
        </row>
        <row r="381">
          <cell r="A381">
            <v>8000751</v>
          </cell>
          <cell r="B381" t="str">
            <v>ZCAP</v>
          </cell>
          <cell r="C381" t="str">
            <v>Stand Fan</v>
          </cell>
        </row>
        <row r="382">
          <cell r="A382">
            <v>8000757</v>
          </cell>
          <cell r="B382" t="str">
            <v>ZCAP</v>
          </cell>
          <cell r="C382" t="str">
            <v>POWER CABLE 50SQMM RED SINGLE CORE</v>
          </cell>
        </row>
        <row r="383">
          <cell r="A383">
            <v>8000761</v>
          </cell>
          <cell r="B383" t="str">
            <v>ZCAP</v>
          </cell>
          <cell r="C383" t="str">
            <v>POWER CABLE 50SQMM BLACK SINGLE CORE</v>
          </cell>
        </row>
        <row r="384">
          <cell r="A384">
            <v>8000766</v>
          </cell>
          <cell r="B384" t="str">
            <v>ZCAP</v>
          </cell>
          <cell r="C384" t="str">
            <v>DEG STARTING BATTERY 12V 150 AH MAINTNCE</v>
          </cell>
        </row>
        <row r="385">
          <cell r="A385">
            <v>8000801</v>
          </cell>
          <cell r="B385" t="str">
            <v>ZCAP</v>
          </cell>
          <cell r="C385" t="str">
            <v>FODP 12C with pigtail connector SC 5m</v>
          </cell>
        </row>
        <row r="386">
          <cell r="A386">
            <v>8000802</v>
          </cell>
          <cell r="B386" t="str">
            <v>ZCAP</v>
          </cell>
          <cell r="C386" t="str">
            <v>FODP 48C</v>
          </cell>
        </row>
        <row r="387">
          <cell r="A387">
            <v>8000804</v>
          </cell>
          <cell r="B387" t="str">
            <v>ZCAP</v>
          </cell>
          <cell r="C387" t="str">
            <v>Joint Enclosure 12C</v>
          </cell>
        </row>
        <row r="388">
          <cell r="A388">
            <v>8000850</v>
          </cell>
          <cell r="B388" t="str">
            <v>ZCAP</v>
          </cell>
          <cell r="C388" t="str">
            <v>MULTIMETER CLAMP TYPE AC DC DIGITAL</v>
          </cell>
        </row>
        <row r="389">
          <cell r="A389">
            <v>8000862</v>
          </cell>
          <cell r="B389" t="str">
            <v>ZCAP</v>
          </cell>
          <cell r="C389" t="str">
            <v>RJ11/RJ45 CRIMPING TOOL</v>
          </cell>
        </row>
        <row r="390">
          <cell r="A390">
            <v>8000865</v>
          </cell>
          <cell r="B390" t="str">
            <v>ZCAP</v>
          </cell>
          <cell r="C390" t="str">
            <v>RATCHET SOCKET WRANCH</v>
          </cell>
        </row>
        <row r="391">
          <cell r="A391">
            <v>8000884</v>
          </cell>
          <cell r="B391" t="str">
            <v>ZCAP</v>
          </cell>
          <cell r="C391" t="str">
            <v>BTS 2111V2 ( GSM 900 mhz, 2+2+2, -48VDC</v>
          </cell>
        </row>
        <row r="392">
          <cell r="A392">
            <v>8000940</v>
          </cell>
          <cell r="B392" t="str">
            <v>ZCAP</v>
          </cell>
          <cell r="C392" t="str">
            <v>19" 9U rack with PDU and glass door</v>
          </cell>
        </row>
        <row r="393">
          <cell r="A393">
            <v>8000941</v>
          </cell>
          <cell r="B393" t="str">
            <v>ZCAP</v>
          </cell>
          <cell r="C393" t="str">
            <v>HDPE Polythene 1' pipe</v>
          </cell>
        </row>
        <row r="394">
          <cell r="A394">
            <v>8000996</v>
          </cell>
          <cell r="B394" t="str">
            <v>ZCAP</v>
          </cell>
          <cell r="C394" t="str">
            <v>HALOGEN HEATER</v>
          </cell>
        </row>
        <row r="395">
          <cell r="A395">
            <v>8000997</v>
          </cell>
          <cell r="B395" t="str">
            <v>ZCAP</v>
          </cell>
          <cell r="C395" t="str">
            <v>FIBER OPTIC CABLE UG ARMOURED 96C</v>
          </cell>
        </row>
        <row r="396">
          <cell r="A396">
            <v>8001025</v>
          </cell>
          <cell r="B396" t="str">
            <v>ZCAP</v>
          </cell>
          <cell r="C396" t="str">
            <v>Earthing wire 1.5 SQMM (GREEN)</v>
          </cell>
        </row>
        <row r="397">
          <cell r="A397">
            <v>8001026</v>
          </cell>
          <cell r="B397" t="str">
            <v>ZCAP</v>
          </cell>
          <cell r="C397" t="str">
            <v>FIBER OPTIC CABLE, 6 CORE FIGURE 8</v>
          </cell>
        </row>
        <row r="398">
          <cell r="A398">
            <v>8001027</v>
          </cell>
          <cell r="B398" t="str">
            <v>ZCAP</v>
          </cell>
          <cell r="C398" t="str">
            <v>FIBER OPTIC CABLE UG ARMOURED , 24C</v>
          </cell>
        </row>
        <row r="399">
          <cell r="A399">
            <v>8001028</v>
          </cell>
          <cell r="B399" t="str">
            <v>ZCAP</v>
          </cell>
          <cell r="C399" t="str">
            <v>FIBER AERIAL CABLE 24C FIG8 G0.652D</v>
          </cell>
        </row>
        <row r="400">
          <cell r="A400">
            <v>8001030</v>
          </cell>
          <cell r="B400" t="str">
            <v>ZCAP</v>
          </cell>
          <cell r="C400" t="str">
            <v>PORTABLE INVERTER 5KVA Output-230V</v>
          </cell>
        </row>
        <row r="401">
          <cell r="A401">
            <v>8001086</v>
          </cell>
          <cell r="B401" t="str">
            <v>ZCAP</v>
          </cell>
          <cell r="C401" t="str">
            <v>BOLERO CAMPER PS 4WD</v>
          </cell>
        </row>
        <row r="402">
          <cell r="A402">
            <v>8001089</v>
          </cell>
          <cell r="B402" t="str">
            <v>ZCAP</v>
          </cell>
          <cell r="C402" t="str">
            <v>RNC Upgrade / Expansion</v>
          </cell>
        </row>
        <row r="403">
          <cell r="A403">
            <v>8001093</v>
          </cell>
          <cell r="B403" t="str">
            <v>ZCAP</v>
          </cell>
          <cell r="C403" t="str">
            <v>SINGLE SECTOR ADDITION FOR WCDMA(NODE B)</v>
          </cell>
        </row>
        <row r="404">
          <cell r="A404">
            <v>8001102</v>
          </cell>
          <cell r="B404" t="str">
            <v>ZCAP</v>
          </cell>
          <cell r="C404" t="str">
            <v>OSP PUNCHING TOOL SP</v>
          </cell>
        </row>
        <row r="405">
          <cell r="A405">
            <v>8001136</v>
          </cell>
          <cell r="B405" t="str">
            <v>ZCAP</v>
          </cell>
          <cell r="C405" t="str">
            <v>MEDIA CONVERTER CHASIS,  19"</v>
          </cell>
        </row>
        <row r="406">
          <cell r="A406">
            <v>8001142</v>
          </cell>
          <cell r="B406" t="str">
            <v>ZCAP</v>
          </cell>
          <cell r="C406" t="str">
            <v>BATTERY VRLA SMF TYPE  440 AH</v>
          </cell>
        </row>
        <row r="407">
          <cell r="A407">
            <v>8001143</v>
          </cell>
          <cell r="B407" t="str">
            <v>ZCAP</v>
          </cell>
          <cell r="C407" t="str">
            <v>BATTERY 2V  760AH VRLA SMF TYPE</v>
          </cell>
        </row>
        <row r="408">
          <cell r="A408">
            <v>8001146</v>
          </cell>
          <cell r="B408" t="str">
            <v>ZCAP</v>
          </cell>
          <cell r="C408" t="str">
            <v xml:space="preserve"> EMERSON RECTIFIER MODULE INPUT 280VAC</v>
          </cell>
        </row>
        <row r="409">
          <cell r="A409">
            <v>8001170</v>
          </cell>
          <cell r="B409" t="str">
            <v>ZCAP</v>
          </cell>
          <cell r="C409" t="str">
            <v>CAB-IND-10A POWER CABLE</v>
          </cell>
        </row>
        <row r="410">
          <cell r="A410">
            <v>8001181</v>
          </cell>
          <cell r="B410" t="str">
            <v>ZCAP</v>
          </cell>
          <cell r="C410" t="str">
            <v>BUKHARI</v>
          </cell>
        </row>
        <row r="411">
          <cell r="A411">
            <v>8001248</v>
          </cell>
          <cell r="B411" t="str">
            <v>ZCAP</v>
          </cell>
          <cell r="C411" t="str">
            <v>PW R-CLP POWER RETAINER CLIP FOR CISCO</v>
          </cell>
        </row>
        <row r="412">
          <cell r="A412">
            <v>8001288</v>
          </cell>
          <cell r="B412" t="str">
            <v>ZCAP</v>
          </cell>
          <cell r="C412" t="str">
            <v>NETWORK PRINTER</v>
          </cell>
        </row>
        <row r="413">
          <cell r="A413">
            <v>8001289</v>
          </cell>
          <cell r="B413" t="str">
            <v>ZCAP</v>
          </cell>
          <cell r="C413" t="str">
            <v>PROJECTOR</v>
          </cell>
        </row>
        <row r="414">
          <cell r="A414">
            <v>8001296</v>
          </cell>
          <cell r="B414" t="str">
            <v>ZCAP</v>
          </cell>
          <cell r="C414" t="str">
            <v>AC CABLE 2.5 SQMM 1CORE ( RED)</v>
          </cell>
        </row>
        <row r="415">
          <cell r="A415">
            <v>8001299</v>
          </cell>
          <cell r="B415" t="str">
            <v>ZCAP</v>
          </cell>
          <cell r="C415" t="str">
            <v>ALUMINUM LADDER</v>
          </cell>
        </row>
        <row r="416">
          <cell r="A416">
            <v>8001305</v>
          </cell>
          <cell r="B416" t="str">
            <v>ZCAP</v>
          </cell>
          <cell r="C416" t="str">
            <v>MONEY COUNTING MACHINE</v>
          </cell>
        </row>
        <row r="417">
          <cell r="A417">
            <v>8001311</v>
          </cell>
          <cell r="B417" t="str">
            <v>ZCAP</v>
          </cell>
          <cell r="C417" t="str">
            <v>ASR1K-INTERNET ASR1K-INT EDGE/PEERING</v>
          </cell>
        </row>
        <row r="418">
          <cell r="A418">
            <v>8001319</v>
          </cell>
          <cell r="B418" t="str">
            <v>ZCAP</v>
          </cell>
          <cell r="C418" t="str">
            <v>XFP-10GLR-OC192SR MULTIRATE XFP MODULE</v>
          </cell>
        </row>
        <row r="419">
          <cell r="A419">
            <v>8001336</v>
          </cell>
          <cell r="B419" t="str">
            <v>ZCAP</v>
          </cell>
          <cell r="C419" t="str">
            <v>AC CABLE ROLLER DOUBLE</v>
          </cell>
        </row>
        <row r="420">
          <cell r="A420">
            <v>8001338</v>
          </cell>
          <cell r="B420" t="str">
            <v>ZCAP</v>
          </cell>
          <cell r="C420" t="str">
            <v>POLE BEND</v>
          </cell>
        </row>
        <row r="421">
          <cell r="A421">
            <v>8001339</v>
          </cell>
          <cell r="B421" t="str">
            <v>ZCAP</v>
          </cell>
          <cell r="C421" t="str">
            <v>STAY ROD</v>
          </cell>
        </row>
        <row r="422">
          <cell r="A422">
            <v>8001341</v>
          </cell>
          <cell r="B422" t="str">
            <v>ZCAP</v>
          </cell>
          <cell r="C422" t="str">
            <v>AC CLOSURE 200 PAIRS</v>
          </cell>
        </row>
        <row r="423">
          <cell r="A423">
            <v>8001347</v>
          </cell>
          <cell r="B423" t="str">
            <v>ZCAP</v>
          </cell>
          <cell r="C423" t="str">
            <v>TABLE FAN</v>
          </cell>
        </row>
        <row r="424">
          <cell r="A424">
            <v>8001348</v>
          </cell>
          <cell r="B424" t="str">
            <v>ZCAP</v>
          </cell>
          <cell r="C424" t="str">
            <v>WOODEN FILE RACK</v>
          </cell>
        </row>
        <row r="425">
          <cell r="A425">
            <v>8001355</v>
          </cell>
          <cell r="B425" t="str">
            <v>ZCAP</v>
          </cell>
          <cell r="C425" t="str">
            <v>NOTICE BOARD WITH GLASS FRAME</v>
          </cell>
        </row>
        <row r="426">
          <cell r="A426">
            <v>8001361</v>
          </cell>
          <cell r="B426" t="str">
            <v>ZCAP</v>
          </cell>
          <cell r="C426" t="str">
            <v>ADJUSTABLE WRENCH</v>
          </cell>
        </row>
        <row r="427">
          <cell r="A427">
            <v>8001364</v>
          </cell>
          <cell r="B427" t="str">
            <v>ZCAP</v>
          </cell>
          <cell r="C427" t="str">
            <v>FIBER STRIPPER</v>
          </cell>
        </row>
        <row r="428">
          <cell r="A428">
            <v>8001381</v>
          </cell>
          <cell r="B428" t="str">
            <v>ZCAP</v>
          </cell>
          <cell r="C428" t="str">
            <v>POWER CABLE 10SQMM SINGLE CORE RED</v>
          </cell>
        </row>
        <row r="429">
          <cell r="A429">
            <v>8001382</v>
          </cell>
          <cell r="B429" t="str">
            <v>ZCAP</v>
          </cell>
          <cell r="C429" t="str">
            <v>POWER CABLE 10SQMM SINGLE CORE ( BLUE)</v>
          </cell>
        </row>
        <row r="430">
          <cell r="A430">
            <v>8001391</v>
          </cell>
          <cell r="B430" t="str">
            <v>ZCAP</v>
          </cell>
          <cell r="C430" t="str">
            <v>SIDE CUTTER</v>
          </cell>
        </row>
        <row r="431">
          <cell r="A431">
            <v>8001392</v>
          </cell>
          <cell r="B431" t="str">
            <v>ZCAP</v>
          </cell>
          <cell r="C431" t="str">
            <v>NETWORK TOOL SET</v>
          </cell>
        </row>
        <row r="432">
          <cell r="A432">
            <v>8001395</v>
          </cell>
          <cell r="B432" t="str">
            <v>ZCAP</v>
          </cell>
          <cell r="C432" t="str">
            <v>FIBER SPLICING MACHINE</v>
          </cell>
        </row>
        <row r="433">
          <cell r="A433">
            <v>8001396</v>
          </cell>
          <cell r="B433" t="str">
            <v>ZCAP</v>
          </cell>
          <cell r="C433" t="str">
            <v>COMBINATION PLIER</v>
          </cell>
        </row>
        <row r="434">
          <cell r="A434">
            <v>8001397</v>
          </cell>
          <cell r="B434" t="str">
            <v>ZCAP</v>
          </cell>
          <cell r="C434" t="str">
            <v>LONG NOSE PLIER</v>
          </cell>
        </row>
        <row r="435">
          <cell r="A435">
            <v>8001402</v>
          </cell>
          <cell r="B435" t="str">
            <v>ZCAP</v>
          </cell>
          <cell r="C435" t="str">
            <v>COUNTER CUBICAL</v>
          </cell>
        </row>
        <row r="436">
          <cell r="A436">
            <v>8001403</v>
          </cell>
          <cell r="B436" t="str">
            <v>ZCAP</v>
          </cell>
          <cell r="C436" t="str">
            <v>CONFERENCE TABLE</v>
          </cell>
        </row>
        <row r="437">
          <cell r="A437">
            <v>8001405</v>
          </cell>
          <cell r="B437" t="str">
            <v>ZCAP</v>
          </cell>
          <cell r="C437" t="str">
            <v>ETX-203AX/1SFP1UTP/4UTP</v>
          </cell>
        </row>
        <row r="438">
          <cell r="A438">
            <v>8001407</v>
          </cell>
          <cell r="B438" t="str">
            <v>ZCAP</v>
          </cell>
          <cell r="C438" t="str">
            <v>AIRMUX-400LC/ODU/F58F/10M/INT</v>
          </cell>
        </row>
        <row r="439">
          <cell r="A439">
            <v>8001408</v>
          </cell>
          <cell r="B439" t="str">
            <v>ZCAP</v>
          </cell>
          <cell r="C439" t="str">
            <v>AIRMUX-POE/GBE/ACUK</v>
          </cell>
        </row>
        <row r="440">
          <cell r="A440">
            <v>8001409</v>
          </cell>
          <cell r="B440" t="str">
            <v>ZCAP</v>
          </cell>
          <cell r="C440" t="str">
            <v>CBL-AIRMUX/50</v>
          </cell>
        </row>
        <row r="441">
          <cell r="A441">
            <v>8001422</v>
          </cell>
          <cell r="B441" t="str">
            <v>ZCAP</v>
          </cell>
          <cell r="C441" t="str">
            <v>MANAGED MEDIA CONVERTER SINGLE MODE</v>
          </cell>
        </row>
        <row r="442">
          <cell r="A442">
            <v>8001456</v>
          </cell>
          <cell r="B442" t="str">
            <v>ZCAP</v>
          </cell>
          <cell r="C442" t="str">
            <v>10G QUAD TRANSPONDER LH TUNABLE W/PORT</v>
          </cell>
        </row>
        <row r="443">
          <cell r="A443">
            <v>8001459</v>
          </cell>
          <cell r="B443" t="str">
            <v>ZCAP</v>
          </cell>
          <cell r="C443" t="str">
            <v>XFP MODULE I64.1/P1I1-2D1/10GBASE-L, SMF</v>
          </cell>
        </row>
        <row r="444">
          <cell r="A444">
            <v>8001460</v>
          </cell>
          <cell r="B444" t="str">
            <v>ZCAP</v>
          </cell>
          <cell r="C444" t="str">
            <v>Multi-Serv 10G Add/Drop Muxp, 8xClient</v>
          </cell>
        </row>
        <row r="445">
          <cell r="A445">
            <v>8001461</v>
          </cell>
          <cell r="B445" t="str">
            <v>ZCAP</v>
          </cell>
          <cell r="C445" t="str">
            <v>SFP 1000BASE-LX</v>
          </cell>
        </row>
        <row r="446">
          <cell r="A446">
            <v>8001555</v>
          </cell>
          <cell r="B446" t="str">
            <v>ZCAP</v>
          </cell>
          <cell r="C446" t="str">
            <v>POWERBEAM AC-PBE-5AC-500</v>
          </cell>
        </row>
        <row r="447">
          <cell r="A447">
            <v>8001556</v>
          </cell>
          <cell r="B447" t="str">
            <v>ZCAP</v>
          </cell>
          <cell r="C447" t="str">
            <v>WS-C3650-24TS-S CISCO CATALYST 3650 24</v>
          </cell>
        </row>
        <row r="448">
          <cell r="A448">
            <v>8001574</v>
          </cell>
          <cell r="B448" t="str">
            <v>ZCAP</v>
          </cell>
          <cell r="C448" t="str">
            <v>ONLINE UPS SYSTEM-3KVA UPS EMERSON MAKE</v>
          </cell>
        </row>
        <row r="449">
          <cell r="A449">
            <v>8001620</v>
          </cell>
          <cell r="B449" t="str">
            <v>ZCAP</v>
          </cell>
          <cell r="C449" t="str">
            <v>EXECUTIVE TABLE</v>
          </cell>
        </row>
        <row r="450">
          <cell r="A450">
            <v>8001622</v>
          </cell>
          <cell r="B450" t="str">
            <v>ZCAP</v>
          </cell>
          <cell r="C450" t="str">
            <v>ROXTEC (8WAY ENTRY OF CABLE 7/8").</v>
          </cell>
        </row>
        <row r="451">
          <cell r="A451">
            <v>8001646</v>
          </cell>
          <cell r="B451" t="str">
            <v>ZCAP</v>
          </cell>
          <cell r="C451" t="str">
            <v>XFP DWDM10G,LONGHAUL,C-BAND TUNABLE</v>
          </cell>
        </row>
        <row r="452">
          <cell r="A452">
            <v>8001647</v>
          </cell>
          <cell r="B452" t="str">
            <v>ZCAP</v>
          </cell>
          <cell r="C452" t="str">
            <v>R-407C REGRIGERANT GAS</v>
          </cell>
        </row>
        <row r="453">
          <cell r="A453">
            <v>8001667</v>
          </cell>
          <cell r="B453" t="str">
            <v>ZCAP</v>
          </cell>
          <cell r="C453" t="str">
            <v>DDF KRONE INSERTION TOOL</v>
          </cell>
        </row>
        <row r="454">
          <cell r="A454">
            <v>8001677</v>
          </cell>
          <cell r="B454" t="str">
            <v>ZCAP</v>
          </cell>
          <cell r="C454" t="str">
            <v>FIBER SPLICING TOOLS KITS</v>
          </cell>
        </row>
        <row r="455">
          <cell r="A455">
            <v>8001688</v>
          </cell>
          <cell r="B455" t="str">
            <v>ZCAP</v>
          </cell>
          <cell r="C455" t="str">
            <v>1/2" JUMPER CABLES(3M) DIN MALE</v>
          </cell>
        </row>
        <row r="456">
          <cell r="A456">
            <v>8001689</v>
          </cell>
          <cell r="B456" t="str">
            <v>ZCAP</v>
          </cell>
          <cell r="C456" t="str">
            <v>1/2" JUMPER CABLES(2M) DIN MALE STRAIGHT</v>
          </cell>
        </row>
        <row r="457">
          <cell r="A457">
            <v>8001720</v>
          </cell>
          <cell r="B457" t="str">
            <v>ZCAP</v>
          </cell>
          <cell r="C457" t="str">
            <v>FO ATTENUATOR LC/PC, 5DB</v>
          </cell>
        </row>
        <row r="458">
          <cell r="A458">
            <v>8001731</v>
          </cell>
          <cell r="B458" t="str">
            <v>ZCAP</v>
          </cell>
          <cell r="C458" t="str">
            <v>POWER CABLE  1.5 sqmm.</v>
          </cell>
        </row>
        <row r="459">
          <cell r="A459">
            <v>8001756</v>
          </cell>
          <cell r="B459" t="str">
            <v>ZCAP</v>
          </cell>
          <cell r="C459" t="str">
            <v>POWER CABLE 4sqmm  1C MULTISTRAND RED</v>
          </cell>
        </row>
        <row r="460">
          <cell r="A460">
            <v>8001757</v>
          </cell>
          <cell r="B460" t="str">
            <v>ZCAP</v>
          </cell>
          <cell r="C460" t="str">
            <v>POWER CABLE 2.5sqmm 1C MULTISTRAND BLACK</v>
          </cell>
        </row>
        <row r="461">
          <cell r="A461">
            <v>8001760</v>
          </cell>
          <cell r="B461" t="str">
            <v>ZCAP</v>
          </cell>
          <cell r="C461" t="str">
            <v>DG STARTING BATTERY 12V 100AH</v>
          </cell>
        </row>
        <row r="462">
          <cell r="A462">
            <v>8001771</v>
          </cell>
          <cell r="B462" t="str">
            <v>ZCAP</v>
          </cell>
          <cell r="C462" t="str">
            <v>CAB-ACU-RA POWER CORD UK, RIGHT ANGLE</v>
          </cell>
        </row>
        <row r="463">
          <cell r="A463">
            <v>8001776</v>
          </cell>
          <cell r="B463" t="str">
            <v>ZCAP</v>
          </cell>
          <cell r="C463" t="str">
            <v>INDOOR UNIT IP20GX</v>
          </cell>
        </row>
        <row r="464">
          <cell r="A464">
            <v>8001777</v>
          </cell>
          <cell r="B464" t="str">
            <v>ZCAP</v>
          </cell>
          <cell r="C464" t="str">
            <v>RADIO MODEM CARD</v>
          </cell>
        </row>
        <row r="465">
          <cell r="A465">
            <v>8001778</v>
          </cell>
          <cell r="B465" t="str">
            <v>ZCAP</v>
          </cell>
          <cell r="C465" t="str">
            <v>Capacity Activation Key IP20-200 Mbps</v>
          </cell>
        </row>
        <row r="466">
          <cell r="A466">
            <v>8001779</v>
          </cell>
          <cell r="B466" t="str">
            <v>ZCAP</v>
          </cell>
          <cell r="C466" t="str">
            <v>Capacity Activation Key IP20- 500 Mbps</v>
          </cell>
        </row>
        <row r="467">
          <cell r="A467">
            <v>8001781</v>
          </cell>
          <cell r="B467" t="str">
            <v>ZCAP</v>
          </cell>
          <cell r="C467" t="str">
            <v>2nd Modem Activation Key, IP20</v>
          </cell>
        </row>
        <row r="468">
          <cell r="A468">
            <v>8001797</v>
          </cell>
          <cell r="B468" t="str">
            <v>ZCAP</v>
          </cell>
          <cell r="C468" t="str">
            <v>SFP 1000Base-TX</v>
          </cell>
        </row>
        <row r="469">
          <cell r="A469">
            <v>8001798</v>
          </cell>
          <cell r="B469" t="str">
            <v>ZCAP</v>
          </cell>
          <cell r="C469" t="str">
            <v>Power Cable for IDU, IP20</v>
          </cell>
        </row>
        <row r="470">
          <cell r="A470">
            <v>8001801</v>
          </cell>
          <cell r="B470" t="str">
            <v>ZCAP</v>
          </cell>
          <cell r="C470" t="str">
            <v>DDF FOR 16E1</v>
          </cell>
        </row>
        <row r="471">
          <cell r="A471">
            <v>8001803</v>
          </cell>
          <cell r="B471" t="str">
            <v>ZCAP</v>
          </cell>
          <cell r="C471" t="str">
            <v>IDU-ODU CBL-RFU-C 305</v>
          </cell>
        </row>
        <row r="472">
          <cell r="A472">
            <v>8001814</v>
          </cell>
          <cell r="B472" t="str">
            <v>ZCAP</v>
          </cell>
          <cell r="C472" t="str">
            <v>CAB-TA-IN India AC Type A Power Cable</v>
          </cell>
        </row>
        <row r="473">
          <cell r="A473">
            <v>8001815</v>
          </cell>
          <cell r="B473" t="str">
            <v>ZCAP</v>
          </cell>
          <cell r="C473" t="str">
            <v>STACK-T1-50CM 50CM Type 1 Stacking Cable</v>
          </cell>
        </row>
        <row r="474">
          <cell r="A474">
            <v>8001816</v>
          </cell>
          <cell r="B474" t="str">
            <v>ZCAP</v>
          </cell>
          <cell r="C474" t="str">
            <v>CAB-SPWR-30CM Catalyst 3750X and 3850</v>
          </cell>
        </row>
        <row r="475">
          <cell r="A475">
            <v>8001830</v>
          </cell>
          <cell r="B475" t="str">
            <v>ZCAP</v>
          </cell>
          <cell r="C475" t="str">
            <v>SOUND REINFORCEMENT SYSTEM(AV EQUIPMENT)</v>
          </cell>
        </row>
        <row r="476">
          <cell r="A476">
            <v>8001845</v>
          </cell>
          <cell r="B476" t="str">
            <v>ZCAP</v>
          </cell>
          <cell r="C476" t="str">
            <v>AMF PANEL</v>
          </cell>
        </row>
        <row r="477">
          <cell r="A477">
            <v>8001868</v>
          </cell>
          <cell r="B477" t="str">
            <v>ZCAP</v>
          </cell>
          <cell r="C477" t="str">
            <v>AC POWER CABLE 2C50SQMM  ARMOURED</v>
          </cell>
        </row>
        <row r="478">
          <cell r="A478">
            <v>8001893</v>
          </cell>
          <cell r="B478" t="str">
            <v>ZCAP</v>
          </cell>
          <cell r="C478" t="str">
            <v>SM fiber patch cord ,Ǿ3mm SC/PC-SC/PC 5m</v>
          </cell>
        </row>
        <row r="479">
          <cell r="A479">
            <v>8001898</v>
          </cell>
          <cell r="B479" t="str">
            <v>ZCAP</v>
          </cell>
          <cell r="C479" t="str">
            <v>FODP:96SC port fully loaded with Adopter</v>
          </cell>
        </row>
        <row r="480">
          <cell r="A480">
            <v>8001899</v>
          </cell>
          <cell r="B480" t="str">
            <v>ZCAP</v>
          </cell>
          <cell r="C480" t="str">
            <v>FODP:48SC port fully loaded with Adopter</v>
          </cell>
        </row>
        <row r="481">
          <cell r="A481">
            <v>8001913</v>
          </cell>
          <cell r="B481" t="str">
            <v>ZCAP</v>
          </cell>
          <cell r="C481" t="str">
            <v>MRO TEK MODEL OAK13/AC/R(998-2401)</v>
          </cell>
        </row>
        <row r="482">
          <cell r="A482">
            <v>8001914</v>
          </cell>
          <cell r="B482" t="str">
            <v>ZCAP</v>
          </cell>
          <cell r="C482" t="str">
            <v>MRO TEK MODEL OAK/2FE/SM15/SC</v>
          </cell>
        </row>
        <row r="483">
          <cell r="A483">
            <v>8001915</v>
          </cell>
          <cell r="B483" t="str">
            <v>ZCAP</v>
          </cell>
          <cell r="C483" t="str">
            <v>MRO TEK MODEL FCAT01/SA/SM15/SC/AC</v>
          </cell>
        </row>
        <row r="484">
          <cell r="A484">
            <v>8001916</v>
          </cell>
          <cell r="B484" t="str">
            <v>ZCAP</v>
          </cell>
          <cell r="C484" t="str">
            <v>MRO TEK MODEL HOSTA-UG/SM15/SC/CAD</v>
          </cell>
        </row>
        <row r="485">
          <cell r="A485">
            <v>8001917</v>
          </cell>
          <cell r="B485" t="str">
            <v>ZCAP</v>
          </cell>
          <cell r="C485" t="str">
            <v>MRO TEK MODEL PINE/1E1/4FE/AC/DC</v>
          </cell>
        </row>
        <row r="486">
          <cell r="A486">
            <v>8001918</v>
          </cell>
          <cell r="B486" t="str">
            <v>ZCAP</v>
          </cell>
          <cell r="C486" t="str">
            <v>MRO TEK MODEL PINE/4E1/4FE/AC/DC</v>
          </cell>
        </row>
        <row r="487">
          <cell r="A487">
            <v>8001919</v>
          </cell>
          <cell r="B487" t="str">
            <v>ZCAP</v>
          </cell>
          <cell r="C487" t="str">
            <v>MRO TEK MODEL PINE/8E1/FE/M/S2/AC/DC</v>
          </cell>
        </row>
        <row r="488">
          <cell r="A488">
            <v>8001920</v>
          </cell>
          <cell r="B488" t="str">
            <v>ZCAP</v>
          </cell>
          <cell r="C488" t="str">
            <v>MRO TEK ECAT/4E1/FE/M/S2/AC/DC</v>
          </cell>
        </row>
        <row r="489">
          <cell r="A489">
            <v>8001921</v>
          </cell>
          <cell r="B489" t="str">
            <v>ZCAP</v>
          </cell>
          <cell r="C489" t="str">
            <v>MRO TEK ECAT/8E/FE/S2/AC/DC</v>
          </cell>
        </row>
        <row r="490">
          <cell r="A490">
            <v>8001922</v>
          </cell>
          <cell r="B490" t="str">
            <v>ZCAP</v>
          </cell>
          <cell r="C490" t="str">
            <v>MRO TEK ECAT/16E1/FE/S2/AC&amp;DC</v>
          </cell>
        </row>
        <row r="491">
          <cell r="A491">
            <v>8001923</v>
          </cell>
          <cell r="B491" t="str">
            <v>ZCAP</v>
          </cell>
          <cell r="C491" t="str">
            <v>MRO TEK MODEL OAK13/2GE/SM15/SC</v>
          </cell>
        </row>
        <row r="492">
          <cell r="A492">
            <v>8001924</v>
          </cell>
          <cell r="B492" t="str">
            <v>ZCAP</v>
          </cell>
          <cell r="C492" t="str">
            <v>FIBER OPTIC CABLE UG ARMOURED 48C</v>
          </cell>
        </row>
        <row r="493">
          <cell r="A493">
            <v>8001925</v>
          </cell>
          <cell r="B493" t="str">
            <v>ZCAP</v>
          </cell>
          <cell r="C493" t="str">
            <v>FIBER OPTICS CABLE, 4CORES</v>
          </cell>
        </row>
        <row r="494">
          <cell r="A494">
            <v>8001928</v>
          </cell>
          <cell r="B494" t="str">
            <v>ZCAP</v>
          </cell>
          <cell r="C494" t="str">
            <v>FIBER OPTIC CABLE UG ARMOURED 12C</v>
          </cell>
        </row>
        <row r="495">
          <cell r="A495">
            <v>8001930</v>
          </cell>
          <cell r="B495" t="str">
            <v>ZCAP</v>
          </cell>
          <cell r="C495" t="str">
            <v>BILLING PRINTER</v>
          </cell>
        </row>
        <row r="496">
          <cell r="A496">
            <v>8001941</v>
          </cell>
          <cell r="B496" t="str">
            <v>ZCAP</v>
          </cell>
          <cell r="C496" t="str">
            <v>TUBE C</v>
          </cell>
        </row>
        <row r="497">
          <cell r="A497">
            <v>8001946</v>
          </cell>
          <cell r="B497" t="str">
            <v>ZCAP</v>
          </cell>
          <cell r="C497" t="str">
            <v>SOCKET B</v>
          </cell>
        </row>
        <row r="498">
          <cell r="A498">
            <v>8001947</v>
          </cell>
          <cell r="B498" t="str">
            <v>ZCAP</v>
          </cell>
          <cell r="C498" t="str">
            <v>SOCKET C</v>
          </cell>
        </row>
        <row r="499">
          <cell r="A499">
            <v>8001948</v>
          </cell>
          <cell r="B499" t="str">
            <v>ZCAP</v>
          </cell>
          <cell r="C499" t="str">
            <v>TUBE B8</v>
          </cell>
        </row>
        <row r="500">
          <cell r="A500">
            <v>8001949</v>
          </cell>
          <cell r="B500" t="str">
            <v>ZCAP</v>
          </cell>
          <cell r="C500" t="str">
            <v>ANCHOR</v>
          </cell>
        </row>
        <row r="501">
          <cell r="A501">
            <v>8001950</v>
          </cell>
          <cell r="B501" t="str">
            <v>ZCAP</v>
          </cell>
          <cell r="C501" t="str">
            <v>SUSPENSION CLAMP CURVE</v>
          </cell>
        </row>
        <row r="502">
          <cell r="A502">
            <v>8001952</v>
          </cell>
          <cell r="B502" t="str">
            <v>ZCAP</v>
          </cell>
          <cell r="C502" t="str">
            <v>AERIAL CABLE 50 PAIR 0.6MM</v>
          </cell>
        </row>
        <row r="503">
          <cell r="A503">
            <v>8001953</v>
          </cell>
          <cell r="B503" t="str">
            <v>ZCAP</v>
          </cell>
          <cell r="C503" t="str">
            <v>SOLAR MODULES/PANELS WITH SOLAR MAIN AND</v>
          </cell>
        </row>
        <row r="504">
          <cell r="A504">
            <v>8001956</v>
          </cell>
          <cell r="B504" t="str">
            <v>ZCAP</v>
          </cell>
          <cell r="C504" t="str">
            <v>WHITE BOARD</v>
          </cell>
        </row>
        <row r="505">
          <cell r="A505">
            <v>8001960</v>
          </cell>
          <cell r="B505" t="str">
            <v>ZCAP</v>
          </cell>
          <cell r="C505" t="str">
            <v>MOBILE HANDSET</v>
          </cell>
        </row>
        <row r="506">
          <cell r="A506">
            <v>8001962</v>
          </cell>
          <cell r="B506" t="str">
            <v>ZCAP</v>
          </cell>
          <cell r="C506" t="str">
            <v>OTDR</v>
          </cell>
        </row>
        <row r="507">
          <cell r="A507">
            <v>8001964</v>
          </cell>
          <cell r="B507" t="str">
            <v>ZCAP</v>
          </cell>
          <cell r="C507" t="str">
            <v>LINE MAN HAND SET</v>
          </cell>
        </row>
        <row r="508">
          <cell r="A508">
            <v>8001966</v>
          </cell>
          <cell r="B508" t="str">
            <v>ZCAP</v>
          </cell>
          <cell r="C508" t="str">
            <v>GRASS CUTTER MOTOR</v>
          </cell>
        </row>
        <row r="509">
          <cell r="A509">
            <v>8001968</v>
          </cell>
          <cell r="B509" t="str">
            <v>ZCAP</v>
          </cell>
          <cell r="C509" t="str">
            <v>CHEMICAL EARTHING SET</v>
          </cell>
        </row>
        <row r="510">
          <cell r="A510">
            <v>8001969</v>
          </cell>
          <cell r="B510" t="str">
            <v>ZCAP</v>
          </cell>
          <cell r="C510" t="str">
            <v>SOLAR HYBRID SYSTEM,MODULAR TYPE 500AMPS</v>
          </cell>
        </row>
        <row r="511">
          <cell r="A511">
            <v>8001975</v>
          </cell>
          <cell r="B511" t="str">
            <v>ZCAP</v>
          </cell>
          <cell r="C511" t="str">
            <v>AIR BLOW MACHINE</v>
          </cell>
        </row>
        <row r="512">
          <cell r="A512">
            <v>8001977</v>
          </cell>
          <cell r="B512" t="str">
            <v>ZCAP</v>
          </cell>
          <cell r="C512" t="str">
            <v>FIBER JOINT SLEEVE</v>
          </cell>
        </row>
        <row r="513">
          <cell r="A513">
            <v>8001988</v>
          </cell>
          <cell r="B513" t="str">
            <v>ZCAP</v>
          </cell>
          <cell r="C513" t="str">
            <v>VACUUM CLEANER</v>
          </cell>
        </row>
        <row r="514">
          <cell r="A514">
            <v>8001997</v>
          </cell>
          <cell r="B514" t="str">
            <v>ZCAP</v>
          </cell>
          <cell r="C514" t="str">
            <v>WHITE BOARD WITHOUT STAND</v>
          </cell>
        </row>
        <row r="515">
          <cell r="A515">
            <v>8002050</v>
          </cell>
          <cell r="B515" t="str">
            <v>ZCAP</v>
          </cell>
          <cell r="C515" t="str">
            <v>GI PIPE 1"X20" 20M</v>
          </cell>
        </row>
        <row r="516">
          <cell r="A516">
            <v>8002053</v>
          </cell>
          <cell r="B516" t="str">
            <v>ZCAP</v>
          </cell>
          <cell r="C516" t="str">
            <v>RJ 45 CONNECTOR</v>
          </cell>
        </row>
        <row r="517">
          <cell r="A517">
            <v>8002054</v>
          </cell>
          <cell r="B517" t="str">
            <v>ZCAP</v>
          </cell>
          <cell r="C517" t="str">
            <v>CAT 6 (factory Crimped, indoor, 20 mtrs)</v>
          </cell>
        </row>
        <row r="518">
          <cell r="A518">
            <v>8002055</v>
          </cell>
          <cell r="B518" t="str">
            <v>ZCAP</v>
          </cell>
          <cell r="C518" t="str">
            <v>CAT 6 (factory Crimped, indoor, 3 mtrs)</v>
          </cell>
        </row>
        <row r="519">
          <cell r="A519">
            <v>8002056</v>
          </cell>
          <cell r="B519" t="str">
            <v>ZCAP</v>
          </cell>
          <cell r="C519" t="str">
            <v>CAT 6 (factory Crimped, indoor, 5 mtrs)</v>
          </cell>
        </row>
        <row r="520">
          <cell r="A520">
            <v>8002057</v>
          </cell>
          <cell r="B520" t="str">
            <v>ZCAP</v>
          </cell>
          <cell r="C520" t="str">
            <v>FODP 6  PORTS w/r mount with accessories</v>
          </cell>
        </row>
        <row r="521">
          <cell r="A521">
            <v>8002058</v>
          </cell>
          <cell r="B521" t="str">
            <v>ZCAP</v>
          </cell>
          <cell r="C521" t="str">
            <v>FODP 4 ports</v>
          </cell>
        </row>
        <row r="522">
          <cell r="A522">
            <v>8002061</v>
          </cell>
          <cell r="B522" t="str">
            <v>ZCAP</v>
          </cell>
          <cell r="C522" t="str">
            <v>Patchcord SC/APC-LC/APC , 1m 3mm</v>
          </cell>
        </row>
        <row r="523">
          <cell r="A523">
            <v>8002062</v>
          </cell>
          <cell r="B523" t="str">
            <v>ZCAP</v>
          </cell>
          <cell r="C523" t="str">
            <v>Patchcord( Pigtail), SC/PC-SC/PC, 5m. 3m</v>
          </cell>
        </row>
        <row r="524">
          <cell r="A524">
            <v>8002063</v>
          </cell>
          <cell r="B524" t="str">
            <v>ZCAP</v>
          </cell>
          <cell r="C524" t="str">
            <v>Patchcord, SC/PC-LC/PC, 10m, 3mm dia</v>
          </cell>
        </row>
        <row r="525">
          <cell r="A525">
            <v>8002064</v>
          </cell>
          <cell r="B525" t="str">
            <v>ZCAP</v>
          </cell>
          <cell r="C525" t="str">
            <v>Patch Cords LC-LC 5M 3mm</v>
          </cell>
        </row>
        <row r="526">
          <cell r="A526">
            <v>8002066</v>
          </cell>
          <cell r="B526" t="str">
            <v>ZCAP</v>
          </cell>
          <cell r="C526" t="str">
            <v>WS-C2960X-48TD-L</v>
          </cell>
        </row>
        <row r="527">
          <cell r="A527">
            <v>8002067</v>
          </cell>
          <cell r="B527" t="str">
            <v>ZCAP</v>
          </cell>
          <cell r="C527" t="str">
            <v>PWR-CLP</v>
          </cell>
        </row>
        <row r="528">
          <cell r="A528">
            <v>8002072</v>
          </cell>
          <cell r="B528" t="str">
            <v>ZCAP</v>
          </cell>
          <cell r="C528" t="str">
            <v>MCB 16AMPS SINGLE POLE</v>
          </cell>
        </row>
        <row r="529">
          <cell r="A529">
            <v>8002080</v>
          </cell>
          <cell r="B529" t="str">
            <v>ZCAP</v>
          </cell>
          <cell r="C529" t="str">
            <v>ETX-203AX/GE/2SFP/4UTP</v>
          </cell>
        </row>
        <row r="530">
          <cell r="A530">
            <v>8002086</v>
          </cell>
          <cell r="B530" t="str">
            <v>ZCAP</v>
          </cell>
          <cell r="C530" t="str">
            <v>PERFORMED GRIP CR-18</v>
          </cell>
        </row>
        <row r="531">
          <cell r="A531">
            <v>8002092</v>
          </cell>
          <cell r="B531" t="str">
            <v>ZCAP</v>
          </cell>
          <cell r="C531" t="str">
            <v>CAB-IND-RA POWER CORD INDIA,RIGHT ANGLE</v>
          </cell>
        </row>
        <row r="532">
          <cell r="A532">
            <v>8002099</v>
          </cell>
          <cell r="B532" t="str">
            <v>ZCAP</v>
          </cell>
          <cell r="C532" t="str">
            <v>JOINT ENCLOSURES WITH ACCESSORIES</v>
          </cell>
        </row>
        <row r="533">
          <cell r="A533">
            <v>8002102</v>
          </cell>
          <cell r="B533" t="str">
            <v>ZCAP</v>
          </cell>
          <cell r="C533" t="str">
            <v>ADSS FIBERCABLE 24CORE SINGLE MODE G652D</v>
          </cell>
        </row>
        <row r="534">
          <cell r="A534">
            <v>8002108</v>
          </cell>
          <cell r="B534" t="str">
            <v>ZCAP</v>
          </cell>
          <cell r="C534" t="str">
            <v>PVC INSULATION TAPE</v>
          </cell>
        </row>
        <row r="535">
          <cell r="A535">
            <v>8002114</v>
          </cell>
          <cell r="B535" t="str">
            <v>ZCAP</v>
          </cell>
          <cell r="C535" t="str">
            <v>TENSION ASSEMBLY</v>
          </cell>
        </row>
        <row r="536">
          <cell r="A536">
            <v>8002115</v>
          </cell>
          <cell r="B536" t="str">
            <v>ZCAP</v>
          </cell>
          <cell r="C536" t="str">
            <v>SUSPENSION ASSEMBLY</v>
          </cell>
        </row>
        <row r="537">
          <cell r="A537">
            <v>8002116</v>
          </cell>
          <cell r="B537" t="str">
            <v>ZCAP</v>
          </cell>
          <cell r="C537" t="str">
            <v>CROSS ARM</v>
          </cell>
        </row>
        <row r="538">
          <cell r="A538">
            <v>8002117</v>
          </cell>
          <cell r="B538" t="str">
            <v>ZCAP</v>
          </cell>
          <cell r="C538" t="str">
            <v>JOINT ENCLOSURE</v>
          </cell>
        </row>
        <row r="539">
          <cell r="A539">
            <v>8002119</v>
          </cell>
          <cell r="B539" t="str">
            <v>ZCAP</v>
          </cell>
          <cell r="C539" t="str">
            <v>SPA-1XOC48POS/RPR</v>
          </cell>
        </row>
        <row r="540">
          <cell r="A540">
            <v>8002120</v>
          </cell>
          <cell r="B540" t="str">
            <v>ZCAP</v>
          </cell>
          <cell r="C540" t="str">
            <v>SPA-1X10GE-L-V2</v>
          </cell>
        </row>
        <row r="541">
          <cell r="A541">
            <v>8002121</v>
          </cell>
          <cell r="B541" t="str">
            <v>ZCAP</v>
          </cell>
          <cell r="C541" t="str">
            <v>XFP-10GLR-OC192SR</v>
          </cell>
        </row>
        <row r="542">
          <cell r="A542">
            <v>8002122</v>
          </cell>
          <cell r="B542" t="str">
            <v>ZCAP</v>
          </cell>
          <cell r="C542" t="str">
            <v>GLC-LH-SM</v>
          </cell>
        </row>
        <row r="543">
          <cell r="A543">
            <v>8002123</v>
          </cell>
          <cell r="B543" t="str">
            <v>ZCAP</v>
          </cell>
          <cell r="C543" t="str">
            <v>SFP-10G-LR</v>
          </cell>
        </row>
        <row r="544">
          <cell r="A544">
            <v>8002124</v>
          </cell>
          <cell r="B544" t="str">
            <v>ZCAP</v>
          </cell>
          <cell r="C544" t="str">
            <v>SFP-OX48-SR</v>
          </cell>
        </row>
        <row r="545">
          <cell r="A545">
            <v>8002126</v>
          </cell>
          <cell r="B545" t="str">
            <v>ZCAP</v>
          </cell>
          <cell r="C545" t="str">
            <v>OAK13/2FE/SF15(1310TX/1550RX)SC</v>
          </cell>
        </row>
        <row r="546">
          <cell r="A546">
            <v>8002127</v>
          </cell>
          <cell r="B546" t="str">
            <v>ZCAP</v>
          </cell>
          <cell r="C546" t="str">
            <v>FCAT01/SA/SF/15(1550TX/1310RX/SC/AC</v>
          </cell>
        </row>
        <row r="547">
          <cell r="A547">
            <v>8002128</v>
          </cell>
          <cell r="B547" t="str">
            <v>ZCAP</v>
          </cell>
          <cell r="C547" t="str">
            <v>FCAT01/SA/SM15/SC/AC</v>
          </cell>
        </row>
        <row r="548">
          <cell r="A548">
            <v>8002133</v>
          </cell>
          <cell r="B548" t="str">
            <v>ZCAP</v>
          </cell>
          <cell r="C548" t="str">
            <v>PATCHCORD, 5M SC-SC</v>
          </cell>
        </row>
        <row r="549">
          <cell r="A549">
            <v>8002134</v>
          </cell>
          <cell r="B549" t="str">
            <v>ZCAP</v>
          </cell>
          <cell r="C549" t="str">
            <v>PATCHCORD,5M SC-LC</v>
          </cell>
        </row>
        <row r="550">
          <cell r="A550">
            <v>8002137</v>
          </cell>
          <cell r="B550" t="str">
            <v>ZCAP</v>
          </cell>
          <cell r="C550" t="str">
            <v>E-LOAD LICENSE ENHANCEMENTS</v>
          </cell>
        </row>
        <row r="551">
          <cell r="A551">
            <v>8002138</v>
          </cell>
          <cell r="B551" t="str">
            <v>ZCAP</v>
          </cell>
          <cell r="C551" t="str">
            <v>MAC BOOK PRO</v>
          </cell>
        </row>
        <row r="552">
          <cell r="A552">
            <v>8002146</v>
          </cell>
          <cell r="B552" t="str">
            <v>ZCAP</v>
          </cell>
          <cell r="C552" t="str">
            <v>Softx3000 version Upgradation from Rn to</v>
          </cell>
        </row>
        <row r="553">
          <cell r="A553">
            <v>8002147</v>
          </cell>
          <cell r="B553" t="str">
            <v>ZCAP</v>
          </cell>
          <cell r="C553" t="str">
            <v>MULTI TECHNOLOGY CABINET INDOOR</v>
          </cell>
        </row>
        <row r="554">
          <cell r="A554">
            <v>8002148</v>
          </cell>
          <cell r="B554" t="str">
            <v>ZCAP</v>
          </cell>
          <cell r="C554" t="str">
            <v>BBU S/W for 4G-FD-LTE</v>
          </cell>
        </row>
        <row r="555">
          <cell r="A555">
            <v>8002149</v>
          </cell>
          <cell r="B555" t="str">
            <v>ZCAP</v>
          </cell>
          <cell r="C555" t="str">
            <v>3 SECTOR SDR (SOFTWARE DEFINED RADIO)</v>
          </cell>
        </row>
        <row r="556">
          <cell r="A556">
            <v>8002150</v>
          </cell>
          <cell r="B556" t="str">
            <v>ZCAP</v>
          </cell>
          <cell r="C556" t="str">
            <v>2SECTOR SDR BASE STAION 2T-2R- HW-FD-LTE</v>
          </cell>
        </row>
        <row r="557">
          <cell r="A557">
            <v>8002151</v>
          </cell>
          <cell r="B557" t="str">
            <v>ZCAP</v>
          </cell>
          <cell r="C557" t="str">
            <v>RADIO POWER CONTROL FOR RADIO</v>
          </cell>
        </row>
        <row r="558">
          <cell r="A558">
            <v>8002152</v>
          </cell>
          <cell r="B558" t="str">
            <v>ZCAP</v>
          </cell>
          <cell r="C558" t="str">
            <v>FD-LTE 4G SOFTWARE 2T 2R 3 SECTOR</v>
          </cell>
        </row>
        <row r="559">
          <cell r="A559">
            <v>8002153</v>
          </cell>
          <cell r="B559" t="str">
            <v>ZCAP</v>
          </cell>
          <cell r="C559" t="str">
            <v>INSTALLATION &amp; COMMISSINING  OF RELATED</v>
          </cell>
        </row>
        <row r="560">
          <cell r="A560">
            <v>8002154</v>
          </cell>
          <cell r="B560" t="str">
            <v>ZCAP</v>
          </cell>
          <cell r="C560" t="str">
            <v>OSS RC</v>
          </cell>
        </row>
        <row r="561">
          <cell r="A561">
            <v>8002157</v>
          </cell>
          <cell r="B561" t="str">
            <v>ZCAP</v>
          </cell>
          <cell r="C561" t="str">
            <v>FIBER OPTIC DISTRIBUTION POINT OF 48</v>
          </cell>
        </row>
        <row r="562">
          <cell r="A562">
            <v>8002158</v>
          </cell>
          <cell r="B562" t="str">
            <v>ZCAP</v>
          </cell>
          <cell r="C562" t="str">
            <v>FIBER OPTIC DISTRIBUTION POINT OF 24</v>
          </cell>
        </row>
        <row r="563">
          <cell r="A563">
            <v>8002159</v>
          </cell>
          <cell r="B563" t="str">
            <v>ZCAP</v>
          </cell>
          <cell r="C563" t="str">
            <v>FIBER OPTIC DISTRIBUTION POINT OF 12</v>
          </cell>
        </row>
        <row r="564">
          <cell r="A564">
            <v>8002164</v>
          </cell>
          <cell r="B564" t="str">
            <v>ZCAP</v>
          </cell>
          <cell r="C564" t="str">
            <v>NEMO DRIVE TEST TOOLS</v>
          </cell>
        </row>
        <row r="565">
          <cell r="A565">
            <v>8002178</v>
          </cell>
          <cell r="B565" t="str">
            <v>ZCAP</v>
          </cell>
          <cell r="C565" t="str">
            <v>HP L3 SWITCH(FULLY MANAGEABLE24NOS OF 1G</v>
          </cell>
        </row>
        <row r="566">
          <cell r="A566">
            <v>8002231</v>
          </cell>
          <cell r="B566" t="str">
            <v>ZCAP</v>
          </cell>
          <cell r="C566" t="str">
            <v>POWER SPLITTERS,5DB(2WAY)</v>
          </cell>
        </row>
        <row r="567">
          <cell r="A567">
            <v>8002240</v>
          </cell>
          <cell r="B567" t="str">
            <v>ZCAP</v>
          </cell>
          <cell r="C567" t="str">
            <v>DC MCB 32AMPS DOUBLE POLE</v>
          </cell>
        </row>
        <row r="568">
          <cell r="A568">
            <v>8002244</v>
          </cell>
          <cell r="B568" t="str">
            <v>ZCAP</v>
          </cell>
          <cell r="C568" t="str">
            <v>CORE 7090-60 CEM, DC POWER, 65 degree</v>
          </cell>
        </row>
        <row r="569">
          <cell r="A569">
            <v>8002251</v>
          </cell>
          <cell r="B569" t="str">
            <v>ZCAP</v>
          </cell>
          <cell r="C569" t="str">
            <v>Dummy Faceplate, Module, 7090-60/80 M</v>
          </cell>
        </row>
        <row r="570">
          <cell r="A570">
            <v>8002253</v>
          </cell>
          <cell r="B570" t="str">
            <v>ZCAP</v>
          </cell>
          <cell r="C570" t="str">
            <v>FE/GE Module, el., 100m</v>
          </cell>
        </row>
        <row r="571">
          <cell r="A571">
            <v>8002255</v>
          </cell>
          <cell r="B571" t="str">
            <v>ZCAP</v>
          </cell>
          <cell r="C571" t="str">
            <v>1G FC/GE MULTIRATE SFP (1310NM,SM 10KM)</v>
          </cell>
        </row>
        <row r="572">
          <cell r="A572">
            <v>8002256</v>
          </cell>
          <cell r="B572" t="str">
            <v>ZCAP</v>
          </cell>
          <cell r="C572" t="str">
            <v>SFP 1000BASE, 1310NM SMF 10KM Optical</v>
          </cell>
        </row>
        <row r="573">
          <cell r="A573">
            <v>8002257</v>
          </cell>
          <cell r="B573" t="str">
            <v>ZCAP</v>
          </cell>
          <cell r="C573" t="str">
            <v>2 x 10GE board, 7090 SFP+</v>
          </cell>
        </row>
        <row r="574">
          <cell r="A574">
            <v>8002258</v>
          </cell>
          <cell r="B574" t="str">
            <v>ZCAP</v>
          </cell>
          <cell r="C574" t="str">
            <v>SFP+, 10G / 10GBE, 10KM SMF (1300NM)</v>
          </cell>
        </row>
        <row r="575">
          <cell r="A575">
            <v>8002259</v>
          </cell>
          <cell r="B575" t="str">
            <v>ZCAP</v>
          </cell>
          <cell r="C575" t="str">
            <v>SFP+, 10G / 10GBE, 80KM SMF (1500NM)</v>
          </cell>
        </row>
        <row r="576">
          <cell r="A576">
            <v>8002266</v>
          </cell>
          <cell r="B576" t="str">
            <v>ZCAP</v>
          </cell>
          <cell r="C576" t="str">
            <v>16 x E1-120 board, 7090,16 x E1-120</v>
          </cell>
        </row>
        <row r="577">
          <cell r="A577">
            <v>8002268</v>
          </cell>
          <cell r="B577" t="str">
            <v>ZCAP</v>
          </cell>
          <cell r="C577" t="str">
            <v>E1 Cable Assembly, 2 x E1 120 Ohm, 10m,</v>
          </cell>
        </row>
        <row r="578">
          <cell r="A578">
            <v>8002270</v>
          </cell>
          <cell r="B578" t="str">
            <v>ZCAP</v>
          </cell>
          <cell r="C578" t="str">
            <v>TNMS NE CL FOR 7090M (60G/92G/100G)</v>
          </cell>
        </row>
        <row r="579">
          <cell r="A579">
            <v>8002271</v>
          </cell>
          <cell r="B579" t="str">
            <v>ZCAP</v>
          </cell>
          <cell r="C579" t="str">
            <v>7090-60 CEM, Core License</v>
          </cell>
        </row>
        <row r="580">
          <cell r="A580">
            <v>8002272</v>
          </cell>
          <cell r="B580" t="str">
            <v>ZCAP</v>
          </cell>
          <cell r="C580" t="str">
            <v>Ins Kit for7090-60 CEM (DCDB ,Powercable</v>
          </cell>
        </row>
        <row r="581">
          <cell r="A581">
            <v>8002273</v>
          </cell>
          <cell r="B581" t="str">
            <v>ZCAP</v>
          </cell>
          <cell r="C581" t="str">
            <v>Attenuator</v>
          </cell>
        </row>
        <row r="582">
          <cell r="A582">
            <v>8002274</v>
          </cell>
          <cell r="B582" t="str">
            <v>ZCAP</v>
          </cell>
          <cell r="C582" t="str">
            <v>CORE 7090-100 CEM, DC POWER, 65 degree</v>
          </cell>
        </row>
        <row r="583">
          <cell r="A583">
            <v>8002282</v>
          </cell>
          <cell r="B583" t="str">
            <v>ZCAP</v>
          </cell>
          <cell r="C583" t="str">
            <v>DC POWER MODUL PROTECTION, 7090-100 CEM</v>
          </cell>
        </row>
        <row r="584">
          <cell r="A584">
            <v>8002290</v>
          </cell>
          <cell r="B584" t="str">
            <v>ZCAP</v>
          </cell>
          <cell r="C584" t="str">
            <v>RFU-CXem-15-420-8W15-TL/TH</v>
          </cell>
        </row>
        <row r="585">
          <cell r="A585">
            <v>8002303</v>
          </cell>
          <cell r="B585" t="str">
            <v>ZCAP</v>
          </cell>
          <cell r="C585" t="str">
            <v>7090-100 CEM, Core License</v>
          </cell>
        </row>
        <row r="586">
          <cell r="A586">
            <v>8002310</v>
          </cell>
          <cell r="B586" t="str">
            <v>ZCAP</v>
          </cell>
          <cell r="C586" t="str">
            <v>RFU-CXem-15-420-1W8-TL/TH</v>
          </cell>
        </row>
        <row r="587">
          <cell r="A587">
            <v>8002318</v>
          </cell>
          <cell r="B587" t="str">
            <v>ZCAP</v>
          </cell>
          <cell r="C587" t="str">
            <v>Ins Kit for7090-100 CEM (DCDB Powercable</v>
          </cell>
        </row>
        <row r="588">
          <cell r="A588">
            <v>8002323</v>
          </cell>
          <cell r="B588" t="str">
            <v>ZCAP</v>
          </cell>
          <cell r="C588" t="str">
            <v>UG JOINTING KITS TSF 5</v>
          </cell>
        </row>
        <row r="589">
          <cell r="A589">
            <v>8002326</v>
          </cell>
          <cell r="B589" t="str">
            <v>ZCAP</v>
          </cell>
          <cell r="C589" t="str">
            <v>STEEL CABINET 400P</v>
          </cell>
        </row>
        <row r="590">
          <cell r="A590">
            <v>8002331</v>
          </cell>
          <cell r="B590" t="str">
            <v>ZCAP</v>
          </cell>
          <cell r="C590" t="str">
            <v>FIBER AERIALCABLE 6CFIG8 G0.652D</v>
          </cell>
        </row>
        <row r="591">
          <cell r="A591">
            <v>8002332</v>
          </cell>
          <cell r="B591" t="str">
            <v>ZCAP</v>
          </cell>
          <cell r="C591" t="str">
            <v>FIBER AERIAL CABLE 12C FIG8 G0.652D</v>
          </cell>
        </row>
        <row r="592">
          <cell r="A592">
            <v>8002342</v>
          </cell>
          <cell r="B592" t="str">
            <v>ZCAP</v>
          </cell>
          <cell r="C592" t="str">
            <v>BATTERY CHARGER PORTABLE</v>
          </cell>
        </row>
        <row r="593">
          <cell r="A593">
            <v>8002348</v>
          </cell>
          <cell r="B593" t="str">
            <v>ZCAP</v>
          </cell>
          <cell r="C593" t="str">
            <v>FD-LTE 4G SOFTWARE 2T 2R 2 SECTOR</v>
          </cell>
        </row>
        <row r="594">
          <cell r="A594">
            <v>8002350</v>
          </cell>
          <cell r="B594" t="str">
            <v>ZCAP</v>
          </cell>
          <cell r="C594" t="str">
            <v>DCPDB BOX PREWIRED 16WAY WITH 6NOS OF40A</v>
          </cell>
        </row>
        <row r="595">
          <cell r="A595">
            <v>8002369</v>
          </cell>
          <cell r="B595" t="str">
            <v>ZCAP</v>
          </cell>
          <cell r="C595" t="str">
            <v>RET UNIT for Antenna</v>
          </cell>
        </row>
        <row r="596">
          <cell r="A596">
            <v>8002370</v>
          </cell>
          <cell r="B596" t="str">
            <v>ZCAP</v>
          </cell>
          <cell r="C596" t="str">
            <v>PROJECTOR SCREEN</v>
          </cell>
        </row>
        <row r="597">
          <cell r="A597">
            <v>8002371</v>
          </cell>
          <cell r="B597" t="str">
            <v>ZCAP</v>
          </cell>
          <cell r="C597" t="str">
            <v>ADSS FIBER VIBRATION DAMPER</v>
          </cell>
        </row>
        <row r="598">
          <cell r="A598">
            <v>8002378</v>
          </cell>
          <cell r="B598" t="str">
            <v>ZCAP</v>
          </cell>
          <cell r="C598" t="str">
            <v>LC/SC ADAPTER</v>
          </cell>
        </row>
        <row r="599">
          <cell r="A599">
            <v>8002381</v>
          </cell>
          <cell r="B599" t="str">
            <v>ZCAP</v>
          </cell>
          <cell r="C599" t="str">
            <v>ADSS FIBER  TENSIONOR ASSEMBLY</v>
          </cell>
        </row>
        <row r="600">
          <cell r="A600">
            <v>8002420</v>
          </cell>
          <cell r="B600" t="str">
            <v>ZCAP</v>
          </cell>
          <cell r="C600" t="str">
            <v>24F FIBER JOINT BOX,INLINE TYPE</v>
          </cell>
        </row>
        <row r="601">
          <cell r="A601">
            <v>8002421</v>
          </cell>
          <cell r="B601" t="str">
            <v>ZCAP</v>
          </cell>
          <cell r="C601" t="str">
            <v>FIBER OPTIC CABLE  ADSS 48CORE</v>
          </cell>
        </row>
        <row r="602">
          <cell r="A602">
            <v>8002424</v>
          </cell>
          <cell r="B602" t="str">
            <v>ZCAP</v>
          </cell>
          <cell r="C602" t="str">
            <v>FAN WALL MOUNTING</v>
          </cell>
        </row>
        <row r="603">
          <cell r="A603">
            <v>8002426</v>
          </cell>
          <cell r="B603" t="str">
            <v>ZCAP</v>
          </cell>
          <cell r="C603" t="str">
            <v>CUSTOMER FEEDBACK MACHINE</v>
          </cell>
        </row>
        <row r="604">
          <cell r="A604">
            <v>8002429</v>
          </cell>
          <cell r="B604" t="str">
            <v>ZCAP</v>
          </cell>
          <cell r="C604" t="str">
            <v>UPS 1100VA</v>
          </cell>
        </row>
        <row r="605">
          <cell r="A605">
            <v>8002434</v>
          </cell>
          <cell r="B605" t="str">
            <v>ZCAP</v>
          </cell>
          <cell r="C605" t="str">
            <v>MCB 63AMPS DOUBLE POLE</v>
          </cell>
        </row>
        <row r="606">
          <cell r="A606">
            <v>8002444</v>
          </cell>
          <cell r="B606" t="str">
            <v>ZCAP</v>
          </cell>
          <cell r="C606" t="str">
            <v>RET CABLE</v>
          </cell>
        </row>
        <row r="607">
          <cell r="A607">
            <v>8002450</v>
          </cell>
          <cell r="B607" t="str">
            <v>ZCAP</v>
          </cell>
          <cell r="C607" t="str">
            <v>DMS SOFTWARE</v>
          </cell>
        </row>
        <row r="608">
          <cell r="A608">
            <v>8002451</v>
          </cell>
          <cell r="B608" t="str">
            <v>ZCAP</v>
          </cell>
          <cell r="C608" t="str">
            <v>DMS LICENSE</v>
          </cell>
        </row>
        <row r="609">
          <cell r="A609">
            <v>8002452</v>
          </cell>
          <cell r="B609" t="str">
            <v>ZCAP</v>
          </cell>
          <cell r="C609" t="str">
            <v>DMS TECH SUPPORT</v>
          </cell>
        </row>
        <row r="610">
          <cell r="A610">
            <v>8002454</v>
          </cell>
          <cell r="B610" t="str">
            <v>ZCAP</v>
          </cell>
          <cell r="C610" t="str">
            <v>WOODEN CHAIR</v>
          </cell>
        </row>
        <row r="611">
          <cell r="A611">
            <v>8002455</v>
          </cell>
          <cell r="B611" t="str">
            <v>ZCAP</v>
          </cell>
          <cell r="C611" t="str">
            <v>FIBER OPTIC CABLE UG ARMOURED 6C</v>
          </cell>
        </row>
        <row r="612">
          <cell r="A612">
            <v>8002459</v>
          </cell>
          <cell r="B612" t="str">
            <v>ZCAP</v>
          </cell>
          <cell r="C612" t="str">
            <v>FIBER FAULT DETECTOR</v>
          </cell>
        </row>
        <row r="613">
          <cell r="A613">
            <v>8002460</v>
          </cell>
          <cell r="B613" t="str">
            <v>ZCAP</v>
          </cell>
          <cell r="C613" t="str">
            <v>DIGITAL EARTH RESISTANCE METR</v>
          </cell>
        </row>
        <row r="614">
          <cell r="A614">
            <v>8002461</v>
          </cell>
          <cell r="B614" t="str">
            <v>ZCAP</v>
          </cell>
          <cell r="C614" t="str">
            <v>SIMERA</v>
          </cell>
        </row>
        <row r="615">
          <cell r="A615">
            <v>8002462</v>
          </cell>
          <cell r="B615" t="str">
            <v>ZCAP</v>
          </cell>
          <cell r="C615" t="str">
            <v>SAFETY HELMET</v>
          </cell>
        </row>
        <row r="616">
          <cell r="A616">
            <v>8002463</v>
          </cell>
          <cell r="B616" t="str">
            <v>ZCAP</v>
          </cell>
          <cell r="C616" t="str">
            <v>MECHANICAL CRIMPING TOOLS</v>
          </cell>
        </row>
        <row r="617">
          <cell r="A617">
            <v>8002464</v>
          </cell>
          <cell r="B617" t="str">
            <v>ZCAP</v>
          </cell>
          <cell r="C617" t="str">
            <v>GRASS CUTTING MACHING</v>
          </cell>
        </row>
        <row r="618">
          <cell r="A618">
            <v>8002468</v>
          </cell>
          <cell r="B618" t="str">
            <v>ZCAP</v>
          </cell>
          <cell r="C618" t="str">
            <v>FIBER CLEANER WITH SCOPE</v>
          </cell>
        </row>
        <row r="619">
          <cell r="A619">
            <v>8002474</v>
          </cell>
          <cell r="B619" t="str">
            <v>ZCAP</v>
          </cell>
          <cell r="C619" t="str">
            <v>PATCH CORD SC-LC 2M</v>
          </cell>
        </row>
        <row r="620">
          <cell r="A620">
            <v>8002475</v>
          </cell>
          <cell r="B620" t="str">
            <v>ZCAP</v>
          </cell>
          <cell r="C620" t="str">
            <v>GPS</v>
          </cell>
        </row>
        <row r="621">
          <cell r="A621">
            <v>8002478</v>
          </cell>
          <cell r="B621" t="str">
            <v>ZCAP</v>
          </cell>
          <cell r="C621" t="str">
            <v>FREQUENCYREPEATER SOLUTION 33DBM GSM 900</v>
          </cell>
        </row>
        <row r="622">
          <cell r="A622">
            <v>8002479</v>
          </cell>
          <cell r="B622" t="str">
            <v>ZCAP</v>
          </cell>
          <cell r="C622" t="str">
            <v>FREQUENCYREPEATER SOLUTION33DBM WCDMA850</v>
          </cell>
        </row>
        <row r="623">
          <cell r="A623">
            <v>8002480</v>
          </cell>
          <cell r="B623" t="str">
            <v>ZCAP</v>
          </cell>
          <cell r="C623" t="str">
            <v>INDOOR REPEATER15DBM SINGLEBAND LTE1800</v>
          </cell>
        </row>
        <row r="624">
          <cell r="A624">
            <v>8002481</v>
          </cell>
          <cell r="B624" t="str">
            <v>ZCAP</v>
          </cell>
          <cell r="C624" t="str">
            <v>INDOOR REPEATER 15DBM SINGLEBAND GSM900</v>
          </cell>
        </row>
        <row r="625">
          <cell r="A625">
            <v>8002482</v>
          </cell>
          <cell r="B625" t="str">
            <v>ZCAP</v>
          </cell>
          <cell r="C625" t="str">
            <v>INDOOR REPEATER15DBM SINGLEBAND WCDMA850</v>
          </cell>
        </row>
        <row r="626">
          <cell r="A626">
            <v>8002483</v>
          </cell>
          <cell r="B626" t="str">
            <v>ZCAP</v>
          </cell>
          <cell r="C626" t="str">
            <v>INDOOR REPEATER 33DBM SINGLEBAND GSM900</v>
          </cell>
        </row>
        <row r="627">
          <cell r="A627">
            <v>8002484</v>
          </cell>
          <cell r="B627" t="str">
            <v>ZCAP</v>
          </cell>
          <cell r="C627" t="str">
            <v>7/8" LEAKY CABLE</v>
          </cell>
        </row>
        <row r="628">
          <cell r="A628">
            <v>8002485</v>
          </cell>
          <cell r="B628" t="str">
            <v>ZCAP</v>
          </cell>
          <cell r="C628" t="str">
            <v>High Power ODU RFU HP, 7 GHz</v>
          </cell>
        </row>
        <row r="629">
          <cell r="A629">
            <v>8002488</v>
          </cell>
          <cell r="B629" t="str">
            <v>ZCAP</v>
          </cell>
          <cell r="C629" t="str">
            <v>OCB-Pole Mount</v>
          </cell>
        </row>
        <row r="630">
          <cell r="A630">
            <v>8002489</v>
          </cell>
          <cell r="B630" t="str">
            <v>ZCAP</v>
          </cell>
          <cell r="C630" t="str">
            <v>1500HP 50 Ohm Termination,WR112</v>
          </cell>
        </row>
        <row r="631">
          <cell r="A631">
            <v>8002490</v>
          </cell>
          <cell r="B631" t="str">
            <v>ZCAP</v>
          </cell>
          <cell r="C631" t="str">
            <v>15HP Short for WR112</v>
          </cell>
        </row>
        <row r="632">
          <cell r="A632">
            <v>8002496</v>
          </cell>
          <cell r="B632" t="str">
            <v>ZCAP</v>
          </cell>
          <cell r="C632" t="str">
            <v>SFP optical interface 1000Base-LX*ROHS</v>
          </cell>
        </row>
        <row r="633">
          <cell r="A633">
            <v>8002498</v>
          </cell>
          <cell r="B633" t="str">
            <v>ZCAP</v>
          </cell>
          <cell r="C633" t="str">
            <v>Ant Pol mount 4-6FT</v>
          </cell>
        </row>
        <row r="634">
          <cell r="A634">
            <v>8002509</v>
          </cell>
          <cell r="B634" t="str">
            <v>ZCAP</v>
          </cell>
          <cell r="C634" t="str">
            <v>TNC angled male connector, Clamp, RG-8</v>
          </cell>
        </row>
        <row r="635">
          <cell r="A635">
            <v>8002515</v>
          </cell>
          <cell r="B635" t="str">
            <v>ZCAP</v>
          </cell>
          <cell r="C635" t="str">
            <v>FODP 24F FC/SC/LC WITH ADAPTERS SLIDING</v>
          </cell>
        </row>
        <row r="636">
          <cell r="A636">
            <v>8002516</v>
          </cell>
          <cell r="B636" t="str">
            <v>ZCAP</v>
          </cell>
          <cell r="C636" t="str">
            <v>HSS LICENSE</v>
          </cell>
        </row>
        <row r="637">
          <cell r="A637">
            <v>8002529</v>
          </cell>
          <cell r="B637" t="str">
            <v>ZCAP</v>
          </cell>
          <cell r="C637" t="str">
            <v>GLC-BX-D (1000BASE-BX SFP (Tx1550/Rx1310</v>
          </cell>
        </row>
        <row r="638">
          <cell r="A638">
            <v>8002530</v>
          </cell>
          <cell r="B638" t="str">
            <v>ZCAP</v>
          </cell>
          <cell r="C638" t="str">
            <v>GLC-BX-U (1000BASE-BX SFP, Tx1310NM/</v>
          </cell>
        </row>
        <row r="639">
          <cell r="A639">
            <v>8002534</v>
          </cell>
          <cell r="B639" t="str">
            <v>ZCAP</v>
          </cell>
          <cell r="C639" t="str">
            <v>GLC-FE-100LX-RGD (100Mbps SFP 1310nm</v>
          </cell>
        </row>
        <row r="640">
          <cell r="A640">
            <v>8002535</v>
          </cell>
          <cell r="B640" t="str">
            <v>ZCAP</v>
          </cell>
          <cell r="C640" t="str">
            <v>CONNECTORS 7-16 DIN FEMALE CONNECTORS</v>
          </cell>
        </row>
        <row r="641">
          <cell r="A641">
            <v>8002536</v>
          </cell>
          <cell r="B641" t="str">
            <v>ZCAP</v>
          </cell>
          <cell r="C641" t="str">
            <v>ASR920-S-1 CISCO ASR920 SERIES-METRO IP</v>
          </cell>
        </row>
        <row r="642">
          <cell r="A642">
            <v>8002541</v>
          </cell>
          <cell r="B642" t="str">
            <v>ZCAP</v>
          </cell>
          <cell r="C642" t="str">
            <v>ASR1001-X CISCO ASR1001-X CHASSIS,6BUILT</v>
          </cell>
        </row>
        <row r="643">
          <cell r="A643">
            <v>8002542</v>
          </cell>
          <cell r="B643" t="str">
            <v>ZCAP</v>
          </cell>
          <cell r="C643" t="str">
            <v>SLASR1-AIS CISCO ASR1000 ADVANCED IP</v>
          </cell>
        </row>
        <row r="644">
          <cell r="A644">
            <v>8002543</v>
          </cell>
          <cell r="B644" t="str">
            <v>ZCAP</v>
          </cell>
          <cell r="C644" t="str">
            <v>FLSA1-BIN-1X10GE ASR1001-X BUILT-IN 10GE</v>
          </cell>
        </row>
        <row r="645">
          <cell r="A645">
            <v>8002544</v>
          </cell>
          <cell r="B645" t="str">
            <v>ZCAP</v>
          </cell>
          <cell r="C645" t="str">
            <v>FLSA1-1X-2.5-10G 2.5G TO 10GBPS UPGRADE</v>
          </cell>
        </row>
        <row r="646">
          <cell r="A646">
            <v>8002545</v>
          </cell>
          <cell r="B646" t="str">
            <v>ZCAP</v>
          </cell>
          <cell r="C646" t="str">
            <v>ASR-920-24SZ-M CISCO ASR920 SERIES-24GE</v>
          </cell>
        </row>
        <row r="647">
          <cell r="A647">
            <v>8002546</v>
          </cell>
          <cell r="B647" t="str">
            <v>ZCAP</v>
          </cell>
          <cell r="C647" t="str">
            <v>ASR920-24G-4-10G CISCO ASR920 SERIES</v>
          </cell>
        </row>
        <row r="648">
          <cell r="A648">
            <v>8002547</v>
          </cell>
          <cell r="B648" t="str">
            <v>ZCAP</v>
          </cell>
          <cell r="C648" t="str">
            <v>ASR-920-PWR-A ASR920 AC POWER SUPPLY</v>
          </cell>
        </row>
        <row r="649">
          <cell r="A649">
            <v>8002548</v>
          </cell>
          <cell r="B649" t="str">
            <v>ZCAP</v>
          </cell>
          <cell r="C649" t="str">
            <v>ASR-920-FAN-F ASR920FAN FOR FIXEDCHASSIS</v>
          </cell>
        </row>
        <row r="650">
          <cell r="A650">
            <v>8002561</v>
          </cell>
          <cell r="B650" t="str">
            <v>ZCAP</v>
          </cell>
          <cell r="C650" t="str">
            <v>PATCHCORD SC/UPC-SC/APC 2MTRS</v>
          </cell>
        </row>
        <row r="651">
          <cell r="A651">
            <v>8002566</v>
          </cell>
          <cell r="B651" t="str">
            <v>ZCAP</v>
          </cell>
          <cell r="C651" t="str">
            <v>PATCHCORD SC-LC 1M</v>
          </cell>
        </row>
        <row r="652">
          <cell r="A652">
            <v>8002568</v>
          </cell>
          <cell r="B652" t="str">
            <v>ZCAP</v>
          </cell>
          <cell r="C652" t="str">
            <v>DC CABLE RED 4SQMM KIV-4SQ</v>
          </cell>
        </row>
        <row r="653">
          <cell r="A653">
            <v>8002569</v>
          </cell>
          <cell r="B653" t="str">
            <v>ZCAP</v>
          </cell>
          <cell r="C653" t="str">
            <v>DC CABLE BLACK 4SQMM KIV-4SQMM</v>
          </cell>
        </row>
        <row r="654">
          <cell r="A654">
            <v>8002575</v>
          </cell>
          <cell r="B654" t="str">
            <v>ZCAP</v>
          </cell>
          <cell r="C654" t="str">
            <v>LST2124-SCM-DC GPON ONU LST2124 SCM DC</v>
          </cell>
        </row>
        <row r="655">
          <cell r="A655">
            <v>8002578</v>
          </cell>
          <cell r="B655" t="str">
            <v>ZCAP</v>
          </cell>
          <cell r="C655" t="str">
            <v>LST532 VOIP GATEWAY DESKTOP MOUNTABLE</v>
          </cell>
        </row>
        <row r="656">
          <cell r="A656">
            <v>8002580</v>
          </cell>
          <cell r="B656" t="str">
            <v>ZCAP</v>
          </cell>
          <cell r="C656" t="str">
            <v>RECTIFIER BT_FTTB 48V 10A FOR ONU VOICE</v>
          </cell>
        </row>
        <row r="657">
          <cell r="A657">
            <v>8002581</v>
          </cell>
          <cell r="B657" t="str">
            <v>ZCAP</v>
          </cell>
          <cell r="C657" t="str">
            <v>RBS6601,850Mhz-wcdma,-48VDC,3x1,SW/HW</v>
          </cell>
        </row>
        <row r="658">
          <cell r="A658">
            <v>8002586</v>
          </cell>
          <cell r="B658" t="str">
            <v>ZCAP</v>
          </cell>
          <cell r="C658" t="str">
            <v>BASIC ELECTRONICS KIT PK-2086B</v>
          </cell>
        </row>
        <row r="659">
          <cell r="A659">
            <v>8002587</v>
          </cell>
          <cell r="B659" t="str">
            <v>ZCAP</v>
          </cell>
          <cell r="C659" t="str">
            <v>FIELD &amp; MAINTENANCE PK-15308BM62</v>
          </cell>
        </row>
        <row r="660">
          <cell r="A660">
            <v>8002588</v>
          </cell>
          <cell r="B660" t="str">
            <v>ZCAP</v>
          </cell>
          <cell r="C660" t="str">
            <v>COMBINATION WRENCH(METRIC HW-6514B9(14PC</v>
          </cell>
        </row>
        <row r="661">
          <cell r="A661">
            <v>8002609</v>
          </cell>
          <cell r="B661" t="str">
            <v>ZCAP</v>
          </cell>
          <cell r="C661" t="str">
            <v>PVC WEATHER PROOF INSULATION TAPE RED</v>
          </cell>
        </row>
        <row r="662">
          <cell r="A662">
            <v>8002610</v>
          </cell>
          <cell r="B662" t="str">
            <v>ZCAP</v>
          </cell>
          <cell r="C662" t="str">
            <v>PVC WEATHER PROOF INSULATION TAPE BLACK</v>
          </cell>
        </row>
        <row r="663">
          <cell r="A663">
            <v>8002611</v>
          </cell>
          <cell r="B663" t="str">
            <v>ZCAP</v>
          </cell>
          <cell r="C663" t="str">
            <v>PVC WEATHER PROOF INSULATION TAPE GREEN</v>
          </cell>
        </row>
        <row r="664">
          <cell r="A664">
            <v>8002619</v>
          </cell>
          <cell r="B664" t="str">
            <v>ZCAP</v>
          </cell>
          <cell r="C664" t="str">
            <v>LED BULB 65WATT WITH FRAME</v>
          </cell>
        </row>
        <row r="665">
          <cell r="A665">
            <v>8002620</v>
          </cell>
          <cell r="B665" t="str">
            <v>ZCAP</v>
          </cell>
          <cell r="C665" t="str">
            <v>LED BULB  48WATT WITH FRAME</v>
          </cell>
        </row>
        <row r="666">
          <cell r="A666">
            <v>8002621</v>
          </cell>
          <cell r="B666" t="str">
            <v>ZCAP</v>
          </cell>
          <cell r="C666" t="str">
            <v>LAMP HOLDER</v>
          </cell>
        </row>
        <row r="667">
          <cell r="A667">
            <v>8002626</v>
          </cell>
          <cell r="B667" t="str">
            <v>ZCAP</v>
          </cell>
          <cell r="C667" t="str">
            <v>EXTERNAL HARDDRIVE 1TB</v>
          </cell>
        </row>
        <row r="668">
          <cell r="A668">
            <v>8002631</v>
          </cell>
          <cell r="B668" t="str">
            <v>ZCAP</v>
          </cell>
          <cell r="C668" t="str">
            <v>ETX-203AX/GE/2SFP/2SFP2UTP</v>
          </cell>
        </row>
        <row r="669">
          <cell r="A669">
            <v>8002632</v>
          </cell>
          <cell r="B669" t="str">
            <v>ZCAP</v>
          </cell>
          <cell r="C669" t="str">
            <v>CBL-RJ45/D9/F/6FT</v>
          </cell>
        </row>
        <row r="670">
          <cell r="A670">
            <v>8002633</v>
          </cell>
          <cell r="B670" t="str">
            <v>ZCAP</v>
          </cell>
          <cell r="C670" t="str">
            <v>SFP-17A</v>
          </cell>
        </row>
        <row r="671">
          <cell r="A671">
            <v>8002634</v>
          </cell>
          <cell r="B671" t="str">
            <v>ZCAP</v>
          </cell>
          <cell r="C671" t="str">
            <v>SFP-17B</v>
          </cell>
        </row>
        <row r="672">
          <cell r="A672">
            <v>8002635</v>
          </cell>
          <cell r="B672" t="str">
            <v>ZCAP</v>
          </cell>
          <cell r="C672" t="str">
            <v xml:space="preserve"> AIRMUX-OUTDOOR-LPU-KIT</v>
          </cell>
        </row>
        <row r="673">
          <cell r="A673">
            <v>8002639</v>
          </cell>
          <cell r="B673" t="str">
            <v>ZCAP</v>
          </cell>
          <cell r="C673" t="str">
            <v>Circuit Emulated Service SFP+ STM-16 2km</v>
          </cell>
        </row>
        <row r="674">
          <cell r="A674">
            <v>8002640</v>
          </cell>
          <cell r="B674" t="str">
            <v>ZCAP</v>
          </cell>
          <cell r="C674" t="str">
            <v>Patch Cord- LC-LC 10Mtr</v>
          </cell>
        </row>
        <row r="675">
          <cell r="A675">
            <v>8002644</v>
          </cell>
          <cell r="B675" t="str">
            <v>ZCAP</v>
          </cell>
          <cell r="C675" t="str">
            <v>CABLE TIE 14"</v>
          </cell>
        </row>
        <row r="676">
          <cell r="A676">
            <v>8002645</v>
          </cell>
          <cell r="B676" t="str">
            <v>ZCAP</v>
          </cell>
          <cell r="C676" t="str">
            <v>BT App</v>
          </cell>
        </row>
        <row r="677">
          <cell r="A677">
            <v>8002647</v>
          </cell>
          <cell r="B677" t="str">
            <v>ZCAP</v>
          </cell>
          <cell r="C677" t="str">
            <v>Content Management</v>
          </cell>
        </row>
        <row r="678">
          <cell r="A678">
            <v>8002649</v>
          </cell>
          <cell r="B678" t="str">
            <v>ZCAP</v>
          </cell>
          <cell r="C678" t="str">
            <v>MFS ( Mobile Financial Services )</v>
          </cell>
        </row>
        <row r="679">
          <cell r="A679">
            <v>8002650</v>
          </cell>
          <cell r="B679" t="str">
            <v>ZCAP</v>
          </cell>
          <cell r="C679" t="str">
            <v>LST2124-GPM GPON ONU LST2124 GPM VER1.0</v>
          </cell>
        </row>
        <row r="680">
          <cell r="A680">
            <v>8002651</v>
          </cell>
          <cell r="B680" t="str">
            <v>ZCAP</v>
          </cell>
          <cell r="C680" t="str">
            <v>RACK FORF-C-800M-N-G 800MM RACK</v>
          </cell>
        </row>
        <row r="681">
          <cell r="A681">
            <v>8002652</v>
          </cell>
          <cell r="B681" t="str">
            <v>ZCAP</v>
          </cell>
          <cell r="C681" t="str">
            <v>FACTORY CRIMPED RJ45 CABLE AT BOTH END</v>
          </cell>
        </row>
        <row r="682">
          <cell r="A682">
            <v>8002653</v>
          </cell>
          <cell r="B682" t="str">
            <v>ZCAP</v>
          </cell>
          <cell r="C682" t="str">
            <v>RJ11 CONNECTORS</v>
          </cell>
        </row>
        <row r="683">
          <cell r="A683">
            <v>8002654</v>
          </cell>
          <cell r="B683" t="str">
            <v>ZCAP</v>
          </cell>
          <cell r="C683" t="str">
            <v>PATCH CORD LC-SC SINGLE MODE LC-SC 10M</v>
          </cell>
        </row>
        <row r="684">
          <cell r="A684">
            <v>8002655</v>
          </cell>
          <cell r="B684" t="str">
            <v>ZCAP</v>
          </cell>
          <cell r="C684" t="str">
            <v>M-ASR1001X-8GB CISCO ASR1001-X 8GB DRAM</v>
          </cell>
        </row>
        <row r="685">
          <cell r="A685">
            <v>8002656</v>
          </cell>
          <cell r="B685" t="str">
            <v>ZCAP</v>
          </cell>
          <cell r="C685" t="str">
            <v>NIM-BLANK FACEPLATE FOR NIM SLOT</v>
          </cell>
        </row>
        <row r="686">
          <cell r="A686">
            <v>8002657</v>
          </cell>
          <cell r="B686" t="str">
            <v>ZCAP</v>
          </cell>
          <cell r="C686" t="str">
            <v>SPA-BLANK BLANK COVER FOR REGULAR SPA</v>
          </cell>
        </row>
        <row r="687">
          <cell r="A687">
            <v>8002658</v>
          </cell>
          <cell r="B687" t="str">
            <v>ZCAP</v>
          </cell>
          <cell r="C687" t="str">
            <v>SASR1K1XUK9-165 CISCO ASR1001-X IOS XE</v>
          </cell>
        </row>
        <row r="688">
          <cell r="A688">
            <v>8002659</v>
          </cell>
          <cell r="B688" t="str">
            <v>ZCAP</v>
          </cell>
          <cell r="C688" t="str">
            <v>ASR1001-X-PWR-AC CISCO ASR1001-X AC</v>
          </cell>
        </row>
        <row r="689">
          <cell r="A689">
            <v>8002660</v>
          </cell>
          <cell r="B689" t="str">
            <v>ZCAP</v>
          </cell>
          <cell r="C689" t="str">
            <v>AIR-CAP17021-H-K9 802.11AC CAP, 3X3:2SS,</v>
          </cell>
        </row>
        <row r="690">
          <cell r="A690">
            <v>8002661</v>
          </cell>
          <cell r="B690" t="str">
            <v>ZCAP</v>
          </cell>
          <cell r="C690" t="str">
            <v>S3G5K9W7-15303JD Cisco 1700 Series IOS</v>
          </cell>
        </row>
        <row r="691">
          <cell r="A691">
            <v>8002662</v>
          </cell>
          <cell r="B691" t="str">
            <v>ZCAP</v>
          </cell>
          <cell r="C691" t="str">
            <v>SWAP1700-RCOVRY-K9 Cisco 1700 Series IOS</v>
          </cell>
        </row>
        <row r="692">
          <cell r="A692">
            <v>8002663</v>
          </cell>
          <cell r="B692" t="str">
            <v>ZCAP</v>
          </cell>
          <cell r="C692" t="str">
            <v>SWAP1700-CMB-A1-K9 Cisco 1700 Series</v>
          </cell>
        </row>
        <row r="693">
          <cell r="A693">
            <v>8002664</v>
          </cell>
          <cell r="B693" t="str">
            <v>ZCAP</v>
          </cell>
          <cell r="C693" t="str">
            <v>AIR-OPT60-DHCP Service Provider Option</v>
          </cell>
        </row>
        <row r="694">
          <cell r="A694">
            <v>8002665</v>
          </cell>
          <cell r="B694" t="str">
            <v>ZCAP</v>
          </cell>
          <cell r="C694" t="str">
            <v>AIR-AP-BRACKET-1 802.11n AP Low Profile</v>
          </cell>
        </row>
        <row r="695">
          <cell r="A695">
            <v>8002666</v>
          </cell>
          <cell r="B695" t="str">
            <v>ZCAP</v>
          </cell>
          <cell r="C695" t="str">
            <v>AIR-AP-T-RAIL-R Ceiling Grid Clip for</v>
          </cell>
        </row>
        <row r="696">
          <cell r="A696">
            <v>8002667</v>
          </cell>
          <cell r="B696" t="str">
            <v>ZCAP</v>
          </cell>
          <cell r="C696" t="str">
            <v>AIR-CHNL-ADAPTER T-Rail Channel Adapter</v>
          </cell>
        </row>
        <row r="697">
          <cell r="A697">
            <v>8002668</v>
          </cell>
          <cell r="B697" t="str">
            <v>ZCAP</v>
          </cell>
          <cell r="C697" t="str">
            <v>STACK-T2-BLANK Type 2 Stacking Blank</v>
          </cell>
        </row>
        <row r="698">
          <cell r="A698">
            <v>8002669</v>
          </cell>
          <cell r="B698" t="str">
            <v>ZCAP</v>
          </cell>
          <cell r="C698" t="str">
            <v>S3650UK9-163 UNIVERSAL</v>
          </cell>
        </row>
        <row r="699">
          <cell r="A699">
            <v>8002670</v>
          </cell>
          <cell r="B699" t="str">
            <v>ZCAP</v>
          </cell>
          <cell r="C699" t="str">
            <v>PWR-C2-250WAC 250W AC Config 2</v>
          </cell>
        </row>
        <row r="700">
          <cell r="A700">
            <v>8002671</v>
          </cell>
          <cell r="B700" t="str">
            <v>ZCAP</v>
          </cell>
          <cell r="C700" t="str">
            <v>PWR-C2-250WAC/2 250W AC Config 2</v>
          </cell>
        </row>
        <row r="701">
          <cell r="A701">
            <v>8002672</v>
          </cell>
          <cell r="B701" t="str">
            <v>ZCAP</v>
          </cell>
          <cell r="C701" t="str">
            <v>A900-CONS-KIT-U ASR900 USB CONSOLE</v>
          </cell>
        </row>
        <row r="702">
          <cell r="A702">
            <v>8002673</v>
          </cell>
          <cell r="B702" t="str">
            <v>ZCAP</v>
          </cell>
          <cell r="C702" t="str">
            <v>SASSASR920NPEK9167 Cisco ASR 920 Series</v>
          </cell>
        </row>
        <row r="703">
          <cell r="A703">
            <v>8002674</v>
          </cell>
          <cell r="B703" t="str">
            <v>ZCAP</v>
          </cell>
          <cell r="C703" t="str">
            <v>A920-RCKMT-19 EIA 19in Rack mount Option</v>
          </cell>
        </row>
        <row r="704">
          <cell r="A704">
            <v>8002675</v>
          </cell>
          <cell r="B704" t="str">
            <v>ZCAP</v>
          </cell>
          <cell r="C704" t="str">
            <v>A920-CBL-GUIDE ASR 920 Cable Guide</v>
          </cell>
        </row>
        <row r="705">
          <cell r="A705">
            <v>8002676</v>
          </cell>
          <cell r="B705" t="str">
            <v>ZCAP</v>
          </cell>
          <cell r="C705" t="str">
            <v>WS-C2960CX-8TC-L Cisco Catalyst 2960-CX</v>
          </cell>
        </row>
        <row r="706">
          <cell r="A706">
            <v>8002677</v>
          </cell>
          <cell r="B706" t="str">
            <v>ZCAP</v>
          </cell>
          <cell r="C706" t="str">
            <v>CMPCT-DIN-MNT DIN Rail Mount For 3560-CX</v>
          </cell>
        </row>
        <row r="707">
          <cell r="A707">
            <v>8002678</v>
          </cell>
          <cell r="B707" t="str">
            <v>ZCAP</v>
          </cell>
          <cell r="C707" t="str">
            <v>WIRELESS ROUTER</v>
          </cell>
        </row>
        <row r="708">
          <cell r="A708">
            <v>8002679</v>
          </cell>
          <cell r="B708" t="str">
            <v>ZCAP</v>
          </cell>
          <cell r="C708" t="str">
            <v>RADIO 3SECTOR SDR(SOFTWARE DEFINED RADIO</v>
          </cell>
        </row>
        <row r="709">
          <cell r="A709">
            <v>8002681</v>
          </cell>
          <cell r="B709" t="str">
            <v>ZCAP</v>
          </cell>
          <cell r="C709" t="str">
            <v>RADIO POWER CONTROL FOR RADIO(SW)</v>
          </cell>
        </row>
        <row r="710">
          <cell r="A710">
            <v>8002682</v>
          </cell>
          <cell r="B710" t="str">
            <v>ZCAP</v>
          </cell>
          <cell r="C710" t="str">
            <v>RADIO WCDMA850MHZ SINGLE CARRER SOFTWARE</v>
          </cell>
        </row>
        <row r="711">
          <cell r="A711">
            <v>8002683</v>
          </cell>
          <cell r="B711" t="str">
            <v>ZCAP</v>
          </cell>
          <cell r="C711" t="str">
            <v>4 CARRIER SOFTWARE</v>
          </cell>
        </row>
        <row r="712">
          <cell r="A712">
            <v>8002684</v>
          </cell>
          <cell r="B712" t="str">
            <v>ZCAP</v>
          </cell>
          <cell r="C712" t="str">
            <v>SECTOR ADDITION SOFWARE ONLY</v>
          </cell>
        </row>
        <row r="713">
          <cell r="A713">
            <v>8002685</v>
          </cell>
          <cell r="B713" t="str">
            <v>ZCAP</v>
          </cell>
          <cell r="C713" t="str">
            <v>30MTOWER SELFSUPPORTING COMPSUPPLY(4-LEG</v>
          </cell>
        </row>
        <row r="714">
          <cell r="A714">
            <v>8002686</v>
          </cell>
          <cell r="B714" t="str">
            <v>ZCAP</v>
          </cell>
          <cell r="C714" t="str">
            <v>40M TOWER SELFSUPPORTING COMPLETE SUPPLY</v>
          </cell>
        </row>
        <row r="715">
          <cell r="A715">
            <v>8002687</v>
          </cell>
          <cell r="B715" t="str">
            <v>ZCAP</v>
          </cell>
          <cell r="C715" t="str">
            <v>35M TOWER SELFSUPPORTING COMPLETE SUPPLY</v>
          </cell>
        </row>
        <row r="716">
          <cell r="A716">
            <v>8002688</v>
          </cell>
          <cell r="B716" t="str">
            <v>ZCAP</v>
          </cell>
          <cell r="C716" t="str">
            <v>30MTOWERSELFSUPPORTING COM.SUPPLY(3-LEGG</v>
          </cell>
        </row>
        <row r="717">
          <cell r="A717">
            <v>8002689</v>
          </cell>
          <cell r="B717" t="str">
            <v>ZCAP</v>
          </cell>
          <cell r="C717" t="str">
            <v>25MTOWERSELFSUPPORTING COM. SUPPLY(3LEG)</v>
          </cell>
        </row>
        <row r="718">
          <cell r="A718">
            <v>8002690</v>
          </cell>
          <cell r="B718" t="str">
            <v>ZCAP</v>
          </cell>
          <cell r="C718" t="str">
            <v>GSM ANTENNA MOUNTING STRUCTURE OF 3METER</v>
          </cell>
        </row>
        <row r="719">
          <cell r="A719">
            <v>8002691</v>
          </cell>
          <cell r="B719" t="str">
            <v>ZCAP</v>
          </cell>
          <cell r="C719" t="str">
            <v>MULTI TECHNOLOGY CABINET INDOOR(HW&amp;SW)</v>
          </cell>
        </row>
        <row r="720">
          <cell r="A720">
            <v>8002692</v>
          </cell>
          <cell r="B720" t="str">
            <v>ZCAP</v>
          </cell>
          <cell r="C720" t="str">
            <v>3 SECTOR SDR BASE STATION 2T-2R-HW-SW</v>
          </cell>
        </row>
        <row r="721">
          <cell r="A721">
            <v>8002693</v>
          </cell>
          <cell r="B721" t="str">
            <v>ZCAP</v>
          </cell>
          <cell r="C721" t="str">
            <v>SMPS RECTIFIER BATTERY CHARGER IPVAC=180</v>
          </cell>
        </row>
        <row r="722">
          <cell r="A722">
            <v>8002694</v>
          </cell>
          <cell r="B722" t="str">
            <v>ZCAP</v>
          </cell>
          <cell r="C722" t="str">
            <v>SMPS RECTIFIER 3PH,415V AC,4WIRES,(-48V)</v>
          </cell>
        </row>
        <row r="723">
          <cell r="A723">
            <v>8002695</v>
          </cell>
          <cell r="B723" t="str">
            <v>ZCAP</v>
          </cell>
          <cell r="C723" t="str">
            <v>INVERTER 1.5KVA INPUT45-55VDC,OUTPUT230V</v>
          </cell>
        </row>
        <row r="724">
          <cell r="A724">
            <v>8002696</v>
          </cell>
          <cell r="B724" t="str">
            <v>ZCAP</v>
          </cell>
          <cell r="C724" t="str">
            <v>OPTICAL PATCHCORD LC-FC 5MTRS</v>
          </cell>
        </row>
        <row r="725">
          <cell r="A725">
            <v>8002697</v>
          </cell>
          <cell r="B725" t="str">
            <v>ZCAP</v>
          </cell>
          <cell r="C725" t="str">
            <v>Pigtail, LC/PC type single mode 2Mtrs</v>
          </cell>
        </row>
        <row r="726">
          <cell r="A726">
            <v>8002698</v>
          </cell>
          <cell r="B726" t="str">
            <v>ZCAP</v>
          </cell>
          <cell r="C726" t="str">
            <v>FODP, 6Port with fullyloaded SC adapter,</v>
          </cell>
        </row>
        <row r="727">
          <cell r="A727">
            <v>8002699</v>
          </cell>
          <cell r="B727" t="str">
            <v>ZCAP</v>
          </cell>
          <cell r="C727" t="str">
            <v>Outdoor cabinet type Fiber Splitter  SC/</v>
          </cell>
        </row>
        <row r="728">
          <cell r="A728">
            <v>8002700</v>
          </cell>
          <cell r="B728" t="str">
            <v>ZCAP</v>
          </cell>
          <cell r="C728" t="str">
            <v>Indoor 19'' rack Fiber Splitter sliding</v>
          </cell>
        </row>
        <row r="729">
          <cell r="A729">
            <v>8002701</v>
          </cell>
          <cell r="B729" t="str">
            <v>ZCAP</v>
          </cell>
          <cell r="C729" t="str">
            <v>Adaptor SF-FC</v>
          </cell>
        </row>
        <row r="730">
          <cell r="A730">
            <v>8002702</v>
          </cell>
          <cell r="B730" t="str">
            <v>ZCAP</v>
          </cell>
          <cell r="C730" t="str">
            <v>FIBER OPTIC CABLE UG ARMOURED 120C</v>
          </cell>
        </row>
        <row r="731">
          <cell r="A731">
            <v>8002703</v>
          </cell>
          <cell r="B731" t="str">
            <v>ZCAP</v>
          </cell>
          <cell r="C731" t="str">
            <v>FIBER AERIAL CABLE 48C FIG8 G0.652D</v>
          </cell>
        </row>
        <row r="732">
          <cell r="A732">
            <v>8002704</v>
          </cell>
          <cell r="B732" t="str">
            <v>ZCAP</v>
          </cell>
          <cell r="C732" t="str">
            <v>Jelly filled SS aerial cable 20P 0.4mm</v>
          </cell>
        </row>
        <row r="733">
          <cell r="A733">
            <v>8002705</v>
          </cell>
          <cell r="B733" t="str">
            <v>ZCAP</v>
          </cell>
          <cell r="C733" t="str">
            <v>Jelly filled UG cable 20P 0.5mm</v>
          </cell>
        </row>
        <row r="734">
          <cell r="A734">
            <v>8002706</v>
          </cell>
          <cell r="B734" t="str">
            <v>ZCAP</v>
          </cell>
          <cell r="C734" t="str">
            <v>Jelly filled UG cable 50P 0.5mm</v>
          </cell>
        </row>
        <row r="735">
          <cell r="A735">
            <v>8002707</v>
          </cell>
          <cell r="B735" t="str">
            <v>ZCAP</v>
          </cell>
          <cell r="C735" t="str">
            <v>Jelly filled UG cable 100P 0.5mm</v>
          </cell>
        </row>
        <row r="736">
          <cell r="A736">
            <v>8002708</v>
          </cell>
          <cell r="B736" t="str">
            <v>ZCAP</v>
          </cell>
          <cell r="C736" t="str">
            <v>POWER CABLE 5SQMM RED</v>
          </cell>
        </row>
        <row r="737">
          <cell r="A737">
            <v>8002709</v>
          </cell>
          <cell r="B737" t="str">
            <v>ZCAP</v>
          </cell>
          <cell r="C737" t="str">
            <v>POWER CABLE 5SQMM BLACK</v>
          </cell>
        </row>
        <row r="738">
          <cell r="A738">
            <v>8002710</v>
          </cell>
          <cell r="B738" t="str">
            <v>ZCAP</v>
          </cell>
          <cell r="C738" t="str">
            <v>POWER CABLE 2.5SQMM GREEN</v>
          </cell>
        </row>
        <row r="739">
          <cell r="A739">
            <v>8002711</v>
          </cell>
          <cell r="B739" t="str">
            <v>ZCAP</v>
          </cell>
          <cell r="C739" t="str">
            <v>RADIOSPARE MULTITECHNOLOGYCABINENTINDOOR</v>
          </cell>
        </row>
        <row r="740">
          <cell r="A740">
            <v>8002712</v>
          </cell>
          <cell r="B740" t="str">
            <v>ZCAP</v>
          </cell>
          <cell r="C740" t="str">
            <v>RADIO SPARES 3SECTOR SDR BASE STATION</v>
          </cell>
        </row>
        <row r="741">
          <cell r="A741">
            <v>8002714</v>
          </cell>
          <cell r="B741" t="str">
            <v>ZCAP</v>
          </cell>
          <cell r="C741" t="str">
            <v>DC-DC CONVERTER 48V TO 12V</v>
          </cell>
        </row>
        <row r="742">
          <cell r="A742">
            <v>8002715</v>
          </cell>
          <cell r="B742" t="str">
            <v>ZCAP</v>
          </cell>
          <cell r="C742" t="str">
            <v>FIBER IDENTIFIERS</v>
          </cell>
        </row>
        <row r="743">
          <cell r="A743">
            <v>8002716</v>
          </cell>
          <cell r="B743" t="str">
            <v>ZCAP</v>
          </cell>
          <cell r="C743" t="str">
            <v>OPTICAL POWER METER</v>
          </cell>
        </row>
        <row r="744">
          <cell r="A744">
            <v>8002717</v>
          </cell>
          <cell r="B744" t="str">
            <v>ZCAP</v>
          </cell>
          <cell r="C744" t="str">
            <v>FIBER CLEAVER</v>
          </cell>
        </row>
        <row r="745">
          <cell r="A745">
            <v>8002718</v>
          </cell>
          <cell r="B745" t="str">
            <v>ZCAP</v>
          </cell>
          <cell r="C745" t="str">
            <v>GPS MOTORALLA</v>
          </cell>
        </row>
        <row r="746">
          <cell r="A746">
            <v>8002719</v>
          </cell>
          <cell r="B746" t="str">
            <v>ZCAP</v>
          </cell>
          <cell r="C746" t="str">
            <v>Electric heavy duty hand rotary hammer </v>
          </cell>
        </row>
        <row r="747">
          <cell r="A747">
            <v>8002720</v>
          </cell>
          <cell r="B747" t="str">
            <v>ZCAP</v>
          </cell>
          <cell r="C747" t="str">
            <v>IP-20N 2RU/10-SLOT IDU</v>
          </cell>
        </row>
        <row r="748">
          <cell r="A748">
            <v>8002721</v>
          </cell>
          <cell r="B748" t="str">
            <v>ZCAP</v>
          </cell>
          <cell r="C748" t="str">
            <v>IP20 TCC(TRAFFIC CONTROLLER CARD)</v>
          </cell>
        </row>
        <row r="749">
          <cell r="A749">
            <v>8002722</v>
          </cell>
          <cell r="B749" t="str">
            <v>ZCAP</v>
          </cell>
          <cell r="C749" t="str">
            <v>IP-20 EXTENDED LIC ETH-4X1GE ELEC</v>
          </cell>
        </row>
        <row r="750">
          <cell r="A750">
            <v>8002723</v>
          </cell>
          <cell r="B750" t="str">
            <v>ZCAP</v>
          </cell>
          <cell r="C750" t="str">
            <v>IP-20 LIC T-16W/16XE1/DS1 FOR BACKBONE</v>
          </cell>
        </row>
        <row r="751">
          <cell r="A751">
            <v>8002724</v>
          </cell>
          <cell r="B751" t="str">
            <v>ZCAP</v>
          </cell>
          <cell r="C751" t="str">
            <v>IP-20 ACT.KEY-CAPACITY 450M</v>
          </cell>
        </row>
        <row r="752">
          <cell r="A752">
            <v>8002725</v>
          </cell>
          <cell r="B752" t="str">
            <v>ZCAP</v>
          </cell>
          <cell r="C752" t="str">
            <v>IP-20 ACT. KEY-ACM, PER CARRIER</v>
          </cell>
        </row>
        <row r="753">
          <cell r="A753">
            <v>8002726</v>
          </cell>
          <cell r="B753" t="str">
            <v>ZCAP</v>
          </cell>
          <cell r="C753" t="str">
            <v>IP-20 ACT. KEY-XPIC</v>
          </cell>
        </row>
        <row r="754">
          <cell r="A754">
            <v>8002727</v>
          </cell>
          <cell r="B754" t="str">
            <v>ZCAP</v>
          </cell>
          <cell r="C754" t="str">
            <v>IP-20 Act.Key - MC-ABC, per carrier</v>
          </cell>
        </row>
        <row r="755">
          <cell r="A755">
            <v>8002728</v>
          </cell>
          <cell r="B755" t="str">
            <v>ZCAP</v>
          </cell>
          <cell r="C755" t="str">
            <v>IP-20 Act.Key - Header De-Dup</v>
          </cell>
        </row>
        <row r="756">
          <cell r="A756">
            <v>8002729</v>
          </cell>
          <cell r="B756" t="str">
            <v>ZCAP</v>
          </cell>
          <cell r="C756" t="str">
            <v>IP-20 Act.Key - Agg-Lvl-1-CET-Node mode</v>
          </cell>
        </row>
        <row r="757">
          <cell r="A757">
            <v>8002730</v>
          </cell>
          <cell r="B757" t="str">
            <v>ZCAP</v>
          </cell>
          <cell r="C757" t="str">
            <v>IP-20 SL - Network Resiliency</v>
          </cell>
        </row>
        <row r="758">
          <cell r="A758">
            <v>8002731</v>
          </cell>
          <cell r="B758" t="str">
            <v>ZCAP</v>
          </cell>
          <cell r="C758" t="str">
            <v>IP-20 SL - Eth. OAM - Fault Mananagement</v>
          </cell>
        </row>
        <row r="759">
          <cell r="A759">
            <v>8002732</v>
          </cell>
          <cell r="B759" t="str">
            <v>ZCAP</v>
          </cell>
          <cell r="C759" t="str">
            <v>RFU-C7_8-OMT-ADAPT</v>
          </cell>
        </row>
        <row r="760">
          <cell r="A760">
            <v>8002733</v>
          </cell>
          <cell r="B760" t="str">
            <v>ZCAP</v>
          </cell>
          <cell r="C760" t="str">
            <v>RFU-C7_8-OMT-DM-Kit</v>
          </cell>
        </row>
        <row r="761">
          <cell r="A761">
            <v>8002734</v>
          </cell>
          <cell r="B761" t="str">
            <v>ZCAP</v>
          </cell>
          <cell r="C761" t="str">
            <v>RFU-C TYPE 7_8GHz OMT Interface 1_6FT</v>
          </cell>
        </row>
        <row r="762">
          <cell r="A762">
            <v>8002735</v>
          </cell>
          <cell r="B762" t="str">
            <v>ZCAP</v>
          </cell>
          <cell r="C762" t="str">
            <v>High Power ODU, RFU HP 8 GHz</v>
          </cell>
        </row>
        <row r="763">
          <cell r="A763">
            <v>8002736</v>
          </cell>
          <cell r="B763" t="str">
            <v>ZCAP</v>
          </cell>
          <cell r="C763" t="str">
            <v>15OCB7-xxxY-56N-ZZ-H/L</v>
          </cell>
        </row>
        <row r="764">
          <cell r="A764">
            <v>8002737</v>
          </cell>
          <cell r="B764" t="str">
            <v>ZCAP</v>
          </cell>
          <cell r="C764" t="str">
            <v>15OCB8-xxxY-56N-ZZ-H/L</v>
          </cell>
        </row>
        <row r="765">
          <cell r="A765">
            <v>8002738</v>
          </cell>
          <cell r="B765" t="str">
            <v>ZCAP</v>
          </cell>
          <cell r="C765" t="str">
            <v>OCB SBend connection 7_8GHz</v>
          </cell>
        </row>
        <row r="766">
          <cell r="A766">
            <v>8002739</v>
          </cell>
          <cell r="B766" t="str">
            <v>ZCAP</v>
          </cell>
          <cell r="C766" t="str">
            <v>Power Cable for IP20 Gx IDU</v>
          </cell>
        </row>
        <row r="767">
          <cell r="A767">
            <v>8002740</v>
          </cell>
          <cell r="B767" t="str">
            <v>ZCAP</v>
          </cell>
          <cell r="C767" t="str">
            <v>IF Cable, 305 Mtr Drum for Backbone</v>
          </cell>
        </row>
        <row r="768">
          <cell r="A768">
            <v>8002741</v>
          </cell>
          <cell r="B768" t="str">
            <v>ZCAP</v>
          </cell>
          <cell r="C768" t="str">
            <v>2+2-Installation-Kit</v>
          </cell>
        </row>
        <row r="769">
          <cell r="A769">
            <v>8002742</v>
          </cell>
          <cell r="B769" t="str">
            <v>ZCAP</v>
          </cell>
          <cell r="C769" t="str">
            <v>Lightning protector kit</v>
          </cell>
        </row>
        <row r="770">
          <cell r="A770">
            <v>8002743</v>
          </cell>
          <cell r="B770" t="str">
            <v>ZCAP</v>
          </cell>
          <cell r="C770" t="str">
            <v>CBL-TNC_RA-to-N_FEM_BH-3m</v>
          </cell>
        </row>
        <row r="771">
          <cell r="A771">
            <v>8002744</v>
          </cell>
          <cell r="B771" t="str">
            <v>ZCAP</v>
          </cell>
          <cell r="C771" t="str">
            <v>WR62 Flexible twistable 4ft,CPR112G to</v>
          </cell>
        </row>
        <row r="772">
          <cell r="A772">
            <v>8002745</v>
          </cell>
          <cell r="B772" t="str">
            <v>ZCAP</v>
          </cell>
          <cell r="C772" t="str">
            <v>FDR-DP-8FT-7_8-UHP-R</v>
          </cell>
        </row>
        <row r="773">
          <cell r="A773">
            <v>8002746</v>
          </cell>
          <cell r="B773" t="str">
            <v>ZCAP</v>
          </cell>
          <cell r="C773" t="str">
            <v>E1/T1 WSC x-ed cable</v>
          </cell>
        </row>
        <row r="774">
          <cell r="A774">
            <v>8002747</v>
          </cell>
          <cell r="B774" t="str">
            <v>ZCAP</v>
          </cell>
          <cell r="C774" t="str">
            <v>Cabling 19-21" Bracket kit</v>
          </cell>
        </row>
        <row r="775">
          <cell r="A775">
            <v>8002748</v>
          </cell>
          <cell r="B775" t="str">
            <v>ZCAP</v>
          </cell>
          <cell r="C775" t="str">
            <v>Ant Pol mount 1-3FT</v>
          </cell>
        </row>
        <row r="776">
          <cell r="A776">
            <v>8002749</v>
          </cell>
          <cell r="B776" t="str">
            <v>ZCAP</v>
          </cell>
          <cell r="C776" t="str">
            <v>Network Element License</v>
          </cell>
        </row>
        <row r="777">
          <cell r="A777">
            <v>8002750</v>
          </cell>
          <cell r="B777" t="str">
            <v>ZCAP</v>
          </cell>
          <cell r="C777" t="str">
            <v>Indoor Unit, IP20 N (1RU)</v>
          </cell>
        </row>
        <row r="778">
          <cell r="A778">
            <v>8002751</v>
          </cell>
          <cell r="B778" t="str">
            <v>ZCAP</v>
          </cell>
          <cell r="C778" t="str">
            <v>IP-20 Act.Key - Capacity 250M</v>
          </cell>
        </row>
        <row r="779">
          <cell r="A779">
            <v>8002752</v>
          </cell>
          <cell r="B779" t="str">
            <v>ZCAP</v>
          </cell>
          <cell r="C779" t="str">
            <v>RFU-CXe-7-161A-4W5-TH &amp; TL</v>
          </cell>
        </row>
        <row r="780">
          <cell r="A780">
            <v>8002753</v>
          </cell>
          <cell r="B780" t="str">
            <v>ZCAP</v>
          </cell>
          <cell r="C780" t="str">
            <v>RFU-CXe-8-311A-5W8-TH &amp; TL</v>
          </cell>
        </row>
        <row r="781">
          <cell r="A781">
            <v>8002754</v>
          </cell>
          <cell r="B781" t="str">
            <v>ZCAP</v>
          </cell>
          <cell r="C781" t="str">
            <v>RFU-C15-OMT-DM-Kit</v>
          </cell>
        </row>
        <row r="782">
          <cell r="A782">
            <v>8002755</v>
          </cell>
          <cell r="B782" t="str">
            <v>ZCAP</v>
          </cell>
          <cell r="C782" t="str">
            <v>OMT Interface 15 GHz</v>
          </cell>
        </row>
        <row r="783">
          <cell r="A783">
            <v>8002756</v>
          </cell>
          <cell r="B783" t="str">
            <v>ZCAP</v>
          </cell>
          <cell r="C783" t="str">
            <v>1+0-Installation-Kit</v>
          </cell>
        </row>
        <row r="784">
          <cell r="A784">
            <v>8002757</v>
          </cell>
          <cell r="B784" t="str">
            <v>ZCAP</v>
          </cell>
          <cell r="C784" t="str">
            <v>Antenna, 2' ANT,SP,7_8GHz,Crgn&amp;Std UBR84</v>
          </cell>
        </row>
        <row r="785">
          <cell r="A785">
            <v>8002758</v>
          </cell>
          <cell r="B785" t="str">
            <v>ZCAP</v>
          </cell>
          <cell r="C785" t="str">
            <v>ANT,2FT,7/8 GHz, Single Pole Antenna</v>
          </cell>
        </row>
        <row r="786">
          <cell r="A786">
            <v>8002759</v>
          </cell>
          <cell r="B786" t="str">
            <v>ZCAP</v>
          </cell>
          <cell r="C786" t="str">
            <v>ANT,4FT,7.125-8.500GHz SP,RFU-C TYPE/UBR</v>
          </cell>
        </row>
        <row r="787">
          <cell r="A787">
            <v>8002760</v>
          </cell>
          <cell r="B787" t="str">
            <v>ZCAP</v>
          </cell>
          <cell r="C787" t="str">
            <v>ANT,3FT,7.125-8.500GHz,SP,RFU-C TYPE/UBR</v>
          </cell>
        </row>
        <row r="788">
          <cell r="A788">
            <v>8002761</v>
          </cell>
          <cell r="B788" t="str">
            <v>ZCAP</v>
          </cell>
          <cell r="C788" t="str">
            <v>1' ANT,SP,15GHz,Crgn&amp;Std UBR140 Int</v>
          </cell>
        </row>
        <row r="789">
          <cell r="A789">
            <v>8002762</v>
          </cell>
          <cell r="B789" t="str">
            <v>ZCAP</v>
          </cell>
          <cell r="C789" t="str">
            <v>2' ANT,SP,15GHz,Crgn&amp;Std UBR140 Int</v>
          </cell>
        </row>
        <row r="790">
          <cell r="A790">
            <v>8002763</v>
          </cell>
          <cell r="B790" t="str">
            <v>ZCAP</v>
          </cell>
          <cell r="C790" t="str">
            <v>ANT,3FT,14.200-15.350GHz,SP,RFU-C TYPE/U</v>
          </cell>
        </row>
        <row r="791">
          <cell r="A791">
            <v>8002764</v>
          </cell>
          <cell r="B791" t="str">
            <v>ZCAP</v>
          </cell>
          <cell r="C791" t="str">
            <v>IP-10 16E1 cable open-end, 3M</v>
          </cell>
        </row>
        <row r="792">
          <cell r="A792">
            <v>8002765</v>
          </cell>
          <cell r="B792" t="str">
            <v>ZCAP</v>
          </cell>
          <cell r="C792" t="str">
            <v>DG AUTO 20 KVA WITH AMF PANEL</v>
          </cell>
        </row>
        <row r="793">
          <cell r="A793">
            <v>8002766</v>
          </cell>
          <cell r="B793" t="str">
            <v>ZCAP</v>
          </cell>
          <cell r="C793" t="str">
            <v>AMF PANEL FOR 20 KVA WITH RMS FACILITY</v>
          </cell>
        </row>
        <row r="794">
          <cell r="A794">
            <v>8002767</v>
          </cell>
          <cell r="B794" t="str">
            <v>ZCAP</v>
          </cell>
          <cell r="C794" t="str">
            <v>AMF PANEL FOR 45 KVA WITH RMS FACILITY</v>
          </cell>
        </row>
        <row r="795">
          <cell r="A795">
            <v>8002768</v>
          </cell>
          <cell r="B795" t="str">
            <v>ZCAP</v>
          </cell>
          <cell r="C795" t="str">
            <v>AMF PANEL FOR 55 KVA WITH RMS FACILITY</v>
          </cell>
        </row>
        <row r="796">
          <cell r="A796">
            <v>8002769</v>
          </cell>
          <cell r="B796" t="str">
            <v>ZCAP</v>
          </cell>
          <cell r="C796" t="str">
            <v>ANTENNA HOLDING STRUCTURE WITH 75X40X6</v>
          </cell>
        </row>
        <row r="797">
          <cell r="A797">
            <v>8002770</v>
          </cell>
          <cell r="B797" t="str">
            <v>ZCAP</v>
          </cell>
          <cell r="C797" t="str">
            <v>ANTENNA MOUNTING STRUCTURE WITH 75X40X6</v>
          </cell>
        </row>
        <row r="798">
          <cell r="A798">
            <v>8002771</v>
          </cell>
          <cell r="B798" t="str">
            <v>ZCAP</v>
          </cell>
          <cell r="C798" t="str">
            <v>1+1-INSTALLATON KITS</v>
          </cell>
        </row>
        <row r="799">
          <cell r="A799">
            <v>8002772</v>
          </cell>
          <cell r="B799" t="str">
            <v>ZCAP</v>
          </cell>
          <cell r="C799" t="str">
            <v>CAT5 CABLE STP(OUTDOOR)305M</v>
          </cell>
        </row>
        <row r="800">
          <cell r="A800">
            <v>8002773</v>
          </cell>
          <cell r="B800" t="str">
            <v>ZCAP</v>
          </cell>
          <cell r="C800" t="str">
            <v>GI PIPE FABRICATED ESE-50-GI LENTTH 10M</v>
          </cell>
        </row>
        <row r="801">
          <cell r="A801">
            <v>8002774</v>
          </cell>
          <cell r="B801" t="str">
            <v>ZCAP</v>
          </cell>
          <cell r="C801" t="str">
            <v>SADDLE 1"</v>
          </cell>
        </row>
        <row r="802">
          <cell r="A802">
            <v>8002775</v>
          </cell>
          <cell r="B802" t="str">
            <v>ZCAP</v>
          </cell>
          <cell r="C802" t="str">
            <v>GI UNION 1"</v>
          </cell>
        </row>
        <row r="803">
          <cell r="A803">
            <v>8002776</v>
          </cell>
          <cell r="B803" t="str">
            <v>ZCAP</v>
          </cell>
          <cell r="C803" t="str">
            <v>GI ELBOW 1"</v>
          </cell>
        </row>
        <row r="804">
          <cell r="A804">
            <v>8002777</v>
          </cell>
          <cell r="B804" t="str">
            <v>ZCAP</v>
          </cell>
          <cell r="C804" t="str">
            <v>enhancement to bill pay aggretator API</v>
          </cell>
        </row>
        <row r="805">
          <cell r="A805">
            <v>8002778</v>
          </cell>
          <cell r="B805" t="str">
            <v>ZCAP</v>
          </cell>
          <cell r="C805" t="str">
            <v>LED TUBE ROD WITH FRAME</v>
          </cell>
        </row>
        <row r="806">
          <cell r="A806">
            <v>8002779</v>
          </cell>
          <cell r="B806" t="str">
            <v>ZCAP</v>
          </cell>
          <cell r="C806" t="str">
            <v>CFL BULB 18W</v>
          </cell>
        </row>
        <row r="807">
          <cell r="A807">
            <v>8002780</v>
          </cell>
          <cell r="B807" t="str">
            <v>ZCAP</v>
          </cell>
          <cell r="C807" t="str">
            <v>BULB HOLDER</v>
          </cell>
        </row>
        <row r="808">
          <cell r="A808">
            <v>8002781</v>
          </cell>
          <cell r="B808" t="str">
            <v>ZCAP</v>
          </cell>
          <cell r="C808" t="str">
            <v>POWER SOCKET 16AMPS</v>
          </cell>
        </row>
        <row r="809">
          <cell r="A809">
            <v>8002782</v>
          </cell>
          <cell r="B809" t="str">
            <v>ZCAP</v>
          </cell>
          <cell r="C809" t="str">
            <v>AC POWER DISTRIBUTION BOARD 16WAYS</v>
          </cell>
        </row>
        <row r="810">
          <cell r="A810">
            <v>8002783</v>
          </cell>
          <cell r="B810" t="str">
            <v>ZCAP</v>
          </cell>
          <cell r="C810" t="str">
            <v>MCB BOX 6 WAYS</v>
          </cell>
        </row>
        <row r="811">
          <cell r="A811">
            <v>8002784</v>
          </cell>
          <cell r="B811" t="str">
            <v>ZCAP</v>
          </cell>
          <cell r="C811" t="str">
            <v>MCB 6 AMPS SINGLE POLE</v>
          </cell>
        </row>
        <row r="812">
          <cell r="A812">
            <v>8002785</v>
          </cell>
          <cell r="B812" t="str">
            <v>ZCAP</v>
          </cell>
          <cell r="C812" t="str">
            <v>CASSING &amp; CAPPING</v>
          </cell>
        </row>
        <row r="813">
          <cell r="A813">
            <v>8002786</v>
          </cell>
          <cell r="B813" t="str">
            <v>ZCAP</v>
          </cell>
          <cell r="C813" t="str">
            <v>ELBOW &amp; TEE</v>
          </cell>
        </row>
        <row r="814">
          <cell r="A814">
            <v>8002787</v>
          </cell>
          <cell r="B814" t="str">
            <v>ZCAP</v>
          </cell>
          <cell r="C814" t="str">
            <v>SCREW &amp; DUAL</v>
          </cell>
        </row>
        <row r="815">
          <cell r="A815">
            <v>8002788</v>
          </cell>
          <cell r="B815" t="str">
            <v>ZCAP</v>
          </cell>
          <cell r="C815" t="str">
            <v>BUS BAR 100AMPS</v>
          </cell>
        </row>
        <row r="816">
          <cell r="A816">
            <v>8002789</v>
          </cell>
          <cell r="B816" t="str">
            <v>ZCAP</v>
          </cell>
          <cell r="C816" t="str">
            <v>SWITCH 3 MODULE</v>
          </cell>
        </row>
        <row r="817">
          <cell r="A817">
            <v>8002790</v>
          </cell>
          <cell r="B817" t="str">
            <v>ZCAP</v>
          </cell>
          <cell r="C817" t="str">
            <v>SWITCH 2 MODULE</v>
          </cell>
        </row>
        <row r="818">
          <cell r="A818">
            <v>8002791</v>
          </cell>
          <cell r="B818" t="str">
            <v>ZCAP</v>
          </cell>
          <cell r="C818" t="str">
            <v>SWITCH  1 MODULE</v>
          </cell>
        </row>
        <row r="819">
          <cell r="A819">
            <v>8002792</v>
          </cell>
          <cell r="B819" t="str">
            <v>ZCAP</v>
          </cell>
          <cell r="C819" t="str">
            <v>MCCB 100 AMPS 2 POLES</v>
          </cell>
        </row>
        <row r="820">
          <cell r="A820">
            <v>8002793</v>
          </cell>
          <cell r="B820" t="str">
            <v>ZCAP</v>
          </cell>
          <cell r="C820" t="str">
            <v>KEYBOARD</v>
          </cell>
        </row>
        <row r="821">
          <cell r="A821">
            <v>8002794</v>
          </cell>
          <cell r="B821" t="str">
            <v>ZCAP</v>
          </cell>
          <cell r="C821" t="str">
            <v>MOUSE</v>
          </cell>
        </row>
        <row r="822">
          <cell r="A822">
            <v>8002796</v>
          </cell>
          <cell r="B822" t="str">
            <v>ZCAP</v>
          </cell>
          <cell r="C822" t="str">
            <v>AAT30 AAT BASE UNIT</v>
          </cell>
        </row>
        <row r="823">
          <cell r="A823">
            <v>8002797</v>
          </cell>
          <cell r="B823" t="str">
            <v>ZCAP</v>
          </cell>
          <cell r="C823" t="str">
            <v>PHOTO COPY MACHINE(LIGHT DUTY)</v>
          </cell>
        </row>
        <row r="824">
          <cell r="A824">
            <v>8002798</v>
          </cell>
          <cell r="B824" t="str">
            <v>ZCAP</v>
          </cell>
          <cell r="C824" t="str">
            <v>HEADSET</v>
          </cell>
        </row>
        <row r="825">
          <cell r="A825">
            <v>8002799</v>
          </cell>
          <cell r="B825" t="str">
            <v>ZCAP</v>
          </cell>
          <cell r="C825" t="str">
            <v>POWER EXTENSION CORD</v>
          </cell>
        </row>
        <row r="826">
          <cell r="A826">
            <v>8002800</v>
          </cell>
          <cell r="B826" t="str">
            <v>ZCAP</v>
          </cell>
          <cell r="C826" t="str">
            <v>GIGA BIT TESTER FOR SDH/PTN</v>
          </cell>
        </row>
        <row r="827">
          <cell r="A827">
            <v>8002801</v>
          </cell>
          <cell r="B827" t="str">
            <v>ZCAP</v>
          </cell>
          <cell r="C827" t="str">
            <v>AERIAL CABLE MESSENGER REMOVAL TOOL</v>
          </cell>
        </row>
        <row r="828">
          <cell r="A828">
            <v>8002802</v>
          </cell>
          <cell r="B828" t="str">
            <v>ZCAP</v>
          </cell>
          <cell r="C828" t="str">
            <v>AIRCON TOOL KITS WITH BAG</v>
          </cell>
        </row>
        <row r="829">
          <cell r="A829">
            <v>8002803</v>
          </cell>
          <cell r="B829" t="str">
            <v>ZCAP</v>
          </cell>
          <cell r="C829" t="str">
            <v>HEAVY DUTY BOLT CUTTER</v>
          </cell>
        </row>
        <row r="830">
          <cell r="A830">
            <v>8002804</v>
          </cell>
          <cell r="B830" t="str">
            <v>ZCAP</v>
          </cell>
          <cell r="C830" t="str">
            <v>UY CRIMPING PLIER</v>
          </cell>
        </row>
        <row r="831">
          <cell r="A831">
            <v>8002805</v>
          </cell>
          <cell r="B831" t="str">
            <v>ZCAP</v>
          </cell>
          <cell r="C831" t="str">
            <v>UHF HANDSET</v>
          </cell>
        </row>
        <row r="832">
          <cell r="A832">
            <v>8002806</v>
          </cell>
          <cell r="B832" t="str">
            <v>ZCAP</v>
          </cell>
          <cell r="C832" t="str">
            <v>SIGNALLING MIRROR</v>
          </cell>
        </row>
        <row r="833">
          <cell r="A833">
            <v>8002807</v>
          </cell>
          <cell r="B833" t="str">
            <v>ZCAP</v>
          </cell>
          <cell r="C833" t="str">
            <v>MEDIA CONVERTER CARD 10/100</v>
          </cell>
        </row>
        <row r="834">
          <cell r="A834">
            <v>8002808</v>
          </cell>
          <cell r="B834" t="str">
            <v>ZCAP</v>
          </cell>
          <cell r="C834" t="str">
            <v>DEEWAN KHEB</v>
          </cell>
        </row>
        <row r="835">
          <cell r="A835">
            <v>8002809</v>
          </cell>
          <cell r="B835" t="str">
            <v>ZCAP</v>
          </cell>
          <cell r="C835" t="str">
            <v>CHOEDROM KHEB</v>
          </cell>
        </row>
        <row r="836">
          <cell r="A836">
            <v>8002810</v>
          </cell>
          <cell r="B836" t="str">
            <v>ZCAP</v>
          </cell>
          <cell r="C836" t="str">
            <v>TJ1400(7SLOT)-REDUNDANT PTN SYSTEM</v>
          </cell>
        </row>
        <row r="837">
          <cell r="A837">
            <v>8002820</v>
          </cell>
          <cell r="B837" t="str">
            <v>ZCAP</v>
          </cell>
          <cell r="C837" t="str">
            <v>FREQUENCY SHIFT REPEATER 40dBm (outdoor)</v>
          </cell>
        </row>
        <row r="838">
          <cell r="A838">
            <v>8002821</v>
          </cell>
          <cell r="B838" t="str">
            <v>ZCAP</v>
          </cell>
          <cell r="C838" t="str">
            <v>splitter ( 2 way) , connector type</v>
          </cell>
        </row>
        <row r="839">
          <cell r="A839">
            <v>8002822</v>
          </cell>
          <cell r="B839" t="str">
            <v>ZCAP</v>
          </cell>
          <cell r="C839" t="str">
            <v>PCRF Hardware Platform</v>
          </cell>
        </row>
        <row r="840">
          <cell r="A840">
            <v>8002823</v>
          </cell>
          <cell r="B840" t="str">
            <v>ZCAP</v>
          </cell>
          <cell r="C840" t="str">
            <v>PCRF W-UPCC Software Solution</v>
          </cell>
        </row>
        <row r="841">
          <cell r="A841">
            <v>8002830</v>
          </cell>
          <cell r="B841" t="str">
            <v>ZCAP</v>
          </cell>
          <cell r="C841" t="str">
            <v>Turf Arena Soccer XI 165-4-50mm</v>
          </cell>
        </row>
        <row r="842">
          <cell r="A842">
            <v>8002831</v>
          </cell>
          <cell r="B842" t="str">
            <v>ZCAP</v>
          </cell>
          <cell r="C842" t="str">
            <v>2 Sector SDR (Software defined radio)</v>
          </cell>
        </row>
        <row r="843">
          <cell r="A843">
            <v>8002832</v>
          </cell>
          <cell r="B843" t="str">
            <v>ZCAP</v>
          </cell>
          <cell r="C843" t="str">
            <v>WCDMA 850Mhz Single Carrier Software</v>
          </cell>
        </row>
        <row r="844">
          <cell r="A844">
            <v>8002833</v>
          </cell>
          <cell r="B844" t="str">
            <v>ZCAP</v>
          </cell>
          <cell r="C844" t="str">
            <v>BBU S/W for WCDMA(single carrier - 5MHz)</v>
          </cell>
        </row>
        <row r="845">
          <cell r="A845">
            <v>8002834</v>
          </cell>
          <cell r="B845" t="str">
            <v>ZCAP</v>
          </cell>
          <cell r="C845" t="str">
            <v>CONFERENCE TABLE FORO 24 SITTER</v>
          </cell>
        </row>
        <row r="846">
          <cell r="A846">
            <v>8002835</v>
          </cell>
          <cell r="B846" t="str">
            <v>ZCAP</v>
          </cell>
          <cell r="C846" t="str">
            <v>PULSAR BIKE 200 CC NS B IV</v>
          </cell>
        </row>
        <row r="847">
          <cell r="A847">
            <v>8002836</v>
          </cell>
          <cell r="B847" t="str">
            <v>ZCAP</v>
          </cell>
          <cell r="C847" t="str">
            <v>AIR INLET FILTER WITH MOUNTING ARRANGEME</v>
          </cell>
        </row>
        <row r="848">
          <cell r="A848">
            <v>8002837</v>
          </cell>
          <cell r="B848" t="str">
            <v>ZCAP</v>
          </cell>
          <cell r="C848" t="str">
            <v>OUTLET UNIT</v>
          </cell>
        </row>
        <row r="849">
          <cell r="A849">
            <v>8002838</v>
          </cell>
          <cell r="B849" t="str">
            <v>ZCAP</v>
          </cell>
          <cell r="C849" t="str">
            <v>CONTROLLER</v>
          </cell>
        </row>
        <row r="850">
          <cell r="A850">
            <v>8002839</v>
          </cell>
          <cell r="B850" t="str">
            <v>ZCAP</v>
          </cell>
          <cell r="C850" t="str">
            <v>AIR FILTER</v>
          </cell>
        </row>
        <row r="851">
          <cell r="A851">
            <v>8002840</v>
          </cell>
          <cell r="B851" t="str">
            <v>ZCAP</v>
          </cell>
          <cell r="C851" t="str">
            <v>INLET UNIT FITTED WITH FANS &amp; FILTER</v>
          </cell>
        </row>
        <row r="852">
          <cell r="A852">
            <v>8002841</v>
          </cell>
          <cell r="B852" t="str">
            <v>ZCAP</v>
          </cell>
          <cell r="C852" t="str">
            <v>OUTLET UNIT FITTED WITH FANS</v>
          </cell>
        </row>
        <row r="853">
          <cell r="A853">
            <v>8002842</v>
          </cell>
          <cell r="B853" t="str">
            <v>ZCAP</v>
          </cell>
          <cell r="C853" t="str">
            <v>TEMPERATURE SENSOR</v>
          </cell>
        </row>
        <row r="854">
          <cell r="A854">
            <v>8002843</v>
          </cell>
          <cell r="B854" t="str">
            <v>ZCAP</v>
          </cell>
          <cell r="C854" t="str">
            <v>CONTROLLER UNIT</v>
          </cell>
        </row>
        <row r="855">
          <cell r="A855">
            <v>8002845</v>
          </cell>
          <cell r="B855" t="str">
            <v>ZCAP</v>
          </cell>
          <cell r="C855" t="str">
            <v>RFU-CXe-7-161C-3W4-TL*TH</v>
          </cell>
        </row>
        <row r="856">
          <cell r="A856">
            <v>8002846</v>
          </cell>
          <cell r="B856" t="str">
            <v>ZCAP</v>
          </cell>
          <cell r="C856" t="str">
            <v>RFU-CXe-7-161A-3W4-TL&amp;TH</v>
          </cell>
        </row>
        <row r="857">
          <cell r="A857">
            <v>8002848</v>
          </cell>
          <cell r="B857" t="str">
            <v>ZCAP</v>
          </cell>
          <cell r="C857" t="str">
            <v>CONFERENCE TABLE FRONT ATTACHMENT</v>
          </cell>
        </row>
        <row r="858">
          <cell r="A858">
            <v>8002849</v>
          </cell>
          <cell r="B858" t="str">
            <v>ZCAP</v>
          </cell>
          <cell r="C858" t="str">
            <v>SCOOTY</v>
          </cell>
        </row>
        <row r="859">
          <cell r="A859">
            <v>8002850</v>
          </cell>
          <cell r="B859" t="str">
            <v>ZCAP</v>
          </cell>
          <cell r="C859" t="str">
            <v>BIS &amp; WAS windows server 2016 64bit</v>
          </cell>
        </row>
        <row r="860">
          <cell r="A860">
            <v>8002851</v>
          </cell>
          <cell r="B860" t="str">
            <v>ZCAP</v>
          </cell>
          <cell r="C860" t="str">
            <v>BIS &amp; WAS windows RDCall License (5user)</v>
          </cell>
        </row>
        <row r="861">
          <cell r="A861">
            <v>8002852</v>
          </cell>
          <cell r="B861" t="str">
            <v>ZCAP</v>
          </cell>
          <cell r="C861" t="str">
            <v>BIS &amp; WAS  windows Call License (5user)</v>
          </cell>
        </row>
        <row r="862">
          <cell r="A862">
            <v>8002853</v>
          </cell>
          <cell r="B862" t="str">
            <v>ZCAP</v>
          </cell>
          <cell r="C862" t="str">
            <v>SON windows server 2016 64bit standard</v>
          </cell>
        </row>
        <row r="863">
          <cell r="A863">
            <v>8002854</v>
          </cell>
          <cell r="B863" t="str">
            <v>ZCAP</v>
          </cell>
          <cell r="C863" t="str">
            <v>SON windows RD Call License (5user)</v>
          </cell>
        </row>
        <row r="864">
          <cell r="A864">
            <v>8002855</v>
          </cell>
          <cell r="B864" t="str">
            <v>ZCAP</v>
          </cell>
          <cell r="C864" t="str">
            <v>SON windows Call License (5 user)</v>
          </cell>
        </row>
        <row r="865">
          <cell r="A865">
            <v>8002856</v>
          </cell>
          <cell r="B865" t="str">
            <v>ZCAP</v>
          </cell>
          <cell r="C865" t="str">
            <v>DOOR CURTAIN W=1.2M H=2.1M</v>
          </cell>
        </row>
        <row r="866">
          <cell r="A866">
            <v>8002857</v>
          </cell>
          <cell r="B866" t="str">
            <v>ZCAP</v>
          </cell>
          <cell r="C866" t="str">
            <v>DOOR CURTAIN W=0.9 M H=2.1M</v>
          </cell>
        </row>
        <row r="867">
          <cell r="A867">
            <v>8002858</v>
          </cell>
          <cell r="B867" t="str">
            <v>ZCAP</v>
          </cell>
          <cell r="C867" t="str">
            <v>DOOR CURTAIN W=1.5M H=2.1M</v>
          </cell>
        </row>
        <row r="868">
          <cell r="A868">
            <v>8002859</v>
          </cell>
          <cell r="B868" t="str">
            <v>ZCAP</v>
          </cell>
          <cell r="C868" t="str">
            <v>DOOR CURTAIN W=1M  H=2.1M</v>
          </cell>
        </row>
        <row r="869">
          <cell r="A869">
            <v>8002860</v>
          </cell>
          <cell r="B869" t="str">
            <v>ZCAP</v>
          </cell>
          <cell r="C869" t="str">
            <v>WINDOW CURTAIN W=3.09 M, H=1.8M</v>
          </cell>
        </row>
        <row r="870">
          <cell r="A870">
            <v>8002861</v>
          </cell>
          <cell r="B870" t="str">
            <v>ZCAP</v>
          </cell>
          <cell r="C870" t="str">
            <v>WINDOW CURTAIN W=2.04M, H=1.8M</v>
          </cell>
        </row>
        <row r="871">
          <cell r="A871">
            <v>8002862</v>
          </cell>
          <cell r="B871" t="str">
            <v>ZCAP</v>
          </cell>
          <cell r="C871" t="str">
            <v>WINDOW CURTAIN W=1M, H=2.4M</v>
          </cell>
        </row>
        <row r="872">
          <cell r="A872">
            <v>8002863</v>
          </cell>
          <cell r="B872" t="str">
            <v>ZCAP</v>
          </cell>
          <cell r="C872" t="str">
            <v>WINDOW CURTAIN W=4.55M, H=3</v>
          </cell>
        </row>
        <row r="873">
          <cell r="A873">
            <v>8002864</v>
          </cell>
          <cell r="B873" t="str">
            <v>ZCAP</v>
          </cell>
          <cell r="C873" t="str">
            <v>WINDOW CURTAIN W=1.5M, H=1.3M</v>
          </cell>
        </row>
        <row r="874">
          <cell r="A874">
            <v>8002866</v>
          </cell>
          <cell r="B874" t="str">
            <v>ZCAP</v>
          </cell>
          <cell r="C874" t="str">
            <v>FIBER UNIVERSAL OUTDOOR JOINTBOX 120C</v>
          </cell>
        </row>
        <row r="875">
          <cell r="A875">
            <v>8002867</v>
          </cell>
          <cell r="B875" t="str">
            <v>ZCAP</v>
          </cell>
          <cell r="C875" t="str">
            <v>FIBER UNIVERSAL OUTDOOR JOINTBOX(R)48C</v>
          </cell>
        </row>
        <row r="876">
          <cell r="A876">
            <v>8002868</v>
          </cell>
          <cell r="B876" t="str">
            <v>ZCAP</v>
          </cell>
          <cell r="C876" t="str">
            <v>FIBER UNIVERSAL OUTDOOR JOINTBOX(R)24C</v>
          </cell>
        </row>
        <row r="877">
          <cell r="A877">
            <v>8002869</v>
          </cell>
          <cell r="B877" t="str">
            <v>ZCAP</v>
          </cell>
          <cell r="C877" t="str">
            <v>FODP 96F SC/SC FULLY LOADED WITH ADAPTER</v>
          </cell>
        </row>
        <row r="878">
          <cell r="A878">
            <v>8002870</v>
          </cell>
          <cell r="B878" t="str">
            <v>ZCAP</v>
          </cell>
          <cell r="C878" t="str">
            <v>IP PHONE CP-7821-K9</v>
          </cell>
        </row>
        <row r="879">
          <cell r="A879">
            <v>8002876</v>
          </cell>
          <cell r="B879" t="str">
            <v>ZCAP</v>
          </cell>
          <cell r="C879" t="str">
            <v>WS-C3850-24S-S CISCO CATALYST3850 24PORT</v>
          </cell>
        </row>
        <row r="880">
          <cell r="A880">
            <v>8002878</v>
          </cell>
          <cell r="B880" t="str">
            <v>ZCAP</v>
          </cell>
          <cell r="C880" t="str">
            <v>PWR-C1-440WDC/2CONFIG1 SECONDARY POWER</v>
          </cell>
        </row>
        <row r="881">
          <cell r="A881">
            <v>8002879</v>
          </cell>
          <cell r="B881" t="str">
            <v>ZCAP</v>
          </cell>
          <cell r="C881" t="str">
            <v>PWR-C1-440WDC CONFIG1 POWER SUPPLY</v>
          </cell>
        </row>
        <row r="882">
          <cell r="A882">
            <v>8002880</v>
          </cell>
          <cell r="B882" t="str">
            <v>ZCAP</v>
          </cell>
          <cell r="C882" t="str">
            <v>S3850UK9-166 UNIVERSAL</v>
          </cell>
        </row>
        <row r="883">
          <cell r="A883">
            <v>8002883</v>
          </cell>
          <cell r="B883" t="str">
            <v>ZCAP</v>
          </cell>
          <cell r="C883" t="str">
            <v>CAB-AC-IND POWERCORD-INDIA,16/10A,250V</v>
          </cell>
        </row>
        <row r="884">
          <cell r="A884">
            <v>8002886</v>
          </cell>
          <cell r="B884" t="str">
            <v>ZCAP</v>
          </cell>
          <cell r="C884" t="str">
            <v>ROUTER(MIRCOTEK)</v>
          </cell>
        </row>
        <row r="885">
          <cell r="A885">
            <v>8002889</v>
          </cell>
          <cell r="B885" t="str">
            <v>ZCAP</v>
          </cell>
          <cell r="C885" t="str">
            <v>CAT6 CABLE UTP(305m)</v>
          </cell>
        </row>
        <row r="886">
          <cell r="A886">
            <v>8002891</v>
          </cell>
          <cell r="B886" t="str">
            <v>ZCAP</v>
          </cell>
          <cell r="C886" t="str">
            <v>Installation Kit for 7090-8M (DCDB, Powe</v>
          </cell>
        </row>
        <row r="887">
          <cell r="A887">
            <v>8002892</v>
          </cell>
          <cell r="B887" t="str">
            <v>ZCAP</v>
          </cell>
          <cell r="C887" t="str">
            <v>Core 7090-8 M, 19 and 21 Inch, E1 120Ohm</v>
          </cell>
        </row>
        <row r="888">
          <cell r="A888">
            <v>8002893</v>
          </cell>
          <cell r="B888" t="str">
            <v>ZCAP</v>
          </cell>
          <cell r="C888" t="str">
            <v>7090, 8 M Extension/Prot, E1 120 Ohm,</v>
          </cell>
        </row>
        <row r="889">
          <cell r="A889">
            <v>8002894</v>
          </cell>
          <cell r="B889" t="str">
            <v>ZCAP</v>
          </cell>
          <cell r="C889" t="str">
            <v>7090-8 M, Core License</v>
          </cell>
        </row>
        <row r="890">
          <cell r="A890">
            <v>8002895</v>
          </cell>
          <cell r="B890" t="str">
            <v>ZCAP</v>
          </cell>
          <cell r="C890" t="str">
            <v>TNMS NE CL for 7090M (2G/5G/8G)</v>
          </cell>
        </row>
        <row r="891">
          <cell r="A891">
            <v>8002896</v>
          </cell>
          <cell r="B891" t="str">
            <v>ZCAP</v>
          </cell>
          <cell r="C891" t="str">
            <v>Dummy Faceplate, 7090-80 M</v>
          </cell>
        </row>
        <row r="892">
          <cell r="A892">
            <v>8002897</v>
          </cell>
          <cell r="B892" t="str">
            <v>ZCAP</v>
          </cell>
          <cell r="C892" t="str">
            <v>SWITCH RACK 6U WALL MOUNT NETWORK SERVER</v>
          </cell>
        </row>
        <row r="893">
          <cell r="A893">
            <v>8002898</v>
          </cell>
          <cell r="B893" t="str">
            <v>ZCAP</v>
          </cell>
          <cell r="C893" t="str">
            <v>IO OUTLET SURFACE MOUNT BOX WITH</v>
          </cell>
        </row>
        <row r="894">
          <cell r="A894">
            <v>8002899</v>
          </cell>
          <cell r="B894" t="str">
            <v>ZCAP</v>
          </cell>
          <cell r="C894" t="str">
            <v>PATCHCORD CAT6UTP PATCHCORD 5M</v>
          </cell>
        </row>
        <row r="895">
          <cell r="A895">
            <v>8002900</v>
          </cell>
          <cell r="B895" t="str">
            <v>ZCAP</v>
          </cell>
          <cell r="C895" t="str">
            <v>CABLE DUCT ELECTRICAL CABLE TRUNKING 3M</v>
          </cell>
        </row>
        <row r="896">
          <cell r="A896">
            <v>8002901</v>
          </cell>
          <cell r="B896" t="str">
            <v>ZCAP</v>
          </cell>
          <cell r="C896" t="str">
            <v>CABLEDUCT ACCESSORIESINSIDE CORNERFOR50M</v>
          </cell>
        </row>
        <row r="897">
          <cell r="A897">
            <v>8002902</v>
          </cell>
          <cell r="B897" t="str">
            <v>ZCAP</v>
          </cell>
          <cell r="C897" t="str">
            <v>CABLEDUCT ACSSOUTSIDE CORNERFOR50MMX25MM</v>
          </cell>
        </row>
        <row r="898">
          <cell r="A898">
            <v>8002903</v>
          </cell>
          <cell r="B898" t="str">
            <v>ZCAP</v>
          </cell>
          <cell r="C898" t="str">
            <v>CABLEDUCT ACSSSTRAIGHTJOINT FOR50MMX25MM</v>
          </cell>
        </row>
        <row r="899">
          <cell r="A899">
            <v>8002904</v>
          </cell>
          <cell r="B899" t="str">
            <v>ZCAP</v>
          </cell>
          <cell r="C899" t="str">
            <v>SCREWS&amp;DOWELS PLASTIC OR WALLPLUGS PIN</v>
          </cell>
        </row>
        <row r="900">
          <cell r="A900">
            <v>8002905</v>
          </cell>
          <cell r="B900" t="str">
            <v>ZCAP</v>
          </cell>
          <cell r="C900" t="str">
            <v>PVCCORD COVER SMALL HOLDS UPTO4 CAT6UTP</v>
          </cell>
        </row>
        <row r="901">
          <cell r="A901">
            <v>8002906</v>
          </cell>
          <cell r="B901" t="str">
            <v>ZCAP</v>
          </cell>
          <cell r="C901" t="str">
            <v>WIREMESS CABLETRAYWTACCESS W-400MMX105MM</v>
          </cell>
        </row>
        <row r="902">
          <cell r="A902">
            <v>8002907</v>
          </cell>
          <cell r="B902" t="str">
            <v>ZCAP</v>
          </cell>
          <cell r="C902" t="str">
            <v>CABLE TRAY SIZE W-300MMXD-105MM</v>
          </cell>
        </row>
        <row r="903">
          <cell r="A903">
            <v>8002908</v>
          </cell>
          <cell r="B903" t="str">
            <v>ZCAP</v>
          </cell>
          <cell r="C903" t="str">
            <v>MSMAID POWDERCOATED600MMGAP(L900MMXH150M</v>
          </cell>
        </row>
        <row r="904">
          <cell r="A904">
            <v>8002909</v>
          </cell>
          <cell r="B904" t="str">
            <v>ZCAP</v>
          </cell>
          <cell r="C904" t="str">
            <v>WIREMESS CABLETRAY WITHJOINTW-600mmX105M</v>
          </cell>
        </row>
        <row r="905">
          <cell r="A905">
            <v>8002910</v>
          </cell>
          <cell r="B905" t="str">
            <v>ZCAP</v>
          </cell>
          <cell r="C905" t="str">
            <v>MSMAIDPOWDERCOATEDWITHNUT600MMGAP</v>
          </cell>
        </row>
        <row r="906">
          <cell r="A906">
            <v>8002911</v>
          </cell>
          <cell r="B906" t="str">
            <v>ZCAP</v>
          </cell>
          <cell r="C906" t="str">
            <v>LEGARNDMAKE32A 3P+N+E MOBILE SOCKET IP44</v>
          </cell>
        </row>
        <row r="907">
          <cell r="A907">
            <v>8002912</v>
          </cell>
          <cell r="B907" t="str">
            <v>ZCAP</v>
          </cell>
          <cell r="C907" t="str">
            <v>LEGARNDMAKE32A 3P+N+E STRAIG PLUG IP44</v>
          </cell>
        </row>
        <row r="908">
          <cell r="A908">
            <v>8002913</v>
          </cell>
          <cell r="B908" t="str">
            <v>ZCAP</v>
          </cell>
          <cell r="C908" t="str">
            <v>POLYCAB/GLOSTER MAKE5CX16SQMM COPPER</v>
          </cell>
        </row>
        <row r="909">
          <cell r="A909">
            <v>10000001</v>
          </cell>
          <cell r="B909" t="str">
            <v>ZVH</v>
          </cell>
          <cell r="C909" t="str">
            <v>TYRE 700 X 16 X 12</v>
          </cell>
        </row>
        <row r="910">
          <cell r="A910">
            <v>10000002</v>
          </cell>
          <cell r="B910" t="str">
            <v>ZVH</v>
          </cell>
          <cell r="C910" t="str">
            <v>TYRE 700 X 15 X 12</v>
          </cell>
        </row>
        <row r="911">
          <cell r="A911">
            <v>10000007</v>
          </cell>
          <cell r="B911" t="str">
            <v>ZVH</v>
          </cell>
          <cell r="C911" t="str">
            <v>RE-TREADING TYRE 700X15 X12</v>
          </cell>
        </row>
        <row r="912">
          <cell r="A912">
            <v>10000009</v>
          </cell>
          <cell r="B912" t="str">
            <v>ZVH</v>
          </cell>
          <cell r="C912" t="str">
            <v>TUBE 235/75/R15 FOR BOLERO CAMPER</v>
          </cell>
        </row>
        <row r="913">
          <cell r="A913">
            <v>10000011</v>
          </cell>
          <cell r="B913" t="str">
            <v>ZVH</v>
          </cell>
          <cell r="C913" t="str">
            <v>TYRE 215/65R16/98H FOR TUCSON</v>
          </cell>
        </row>
        <row r="914">
          <cell r="A914">
            <v>10000013</v>
          </cell>
          <cell r="B914" t="str">
            <v>ZVH</v>
          </cell>
          <cell r="C914" t="str">
            <v>TYRE 155/80R13</v>
          </cell>
        </row>
        <row r="915">
          <cell r="A915">
            <v>10000016</v>
          </cell>
          <cell r="B915" t="str">
            <v>ZVH</v>
          </cell>
          <cell r="C915" t="str">
            <v>TYRE 800X15X18</v>
          </cell>
        </row>
        <row r="916">
          <cell r="A916">
            <v>10000019</v>
          </cell>
          <cell r="B916" t="str">
            <v>ZVH</v>
          </cell>
          <cell r="C916" t="str">
            <v>TYRE 3.00X18 52P REAR</v>
          </cell>
        </row>
        <row r="917">
          <cell r="A917">
            <v>10000035</v>
          </cell>
          <cell r="B917" t="str">
            <v>ZVH</v>
          </cell>
          <cell r="C917" t="str">
            <v>MOBILE FILTER FOR EICHER DCM</v>
          </cell>
        </row>
        <row r="918">
          <cell r="A918">
            <v>10000036</v>
          </cell>
          <cell r="B918" t="str">
            <v>ZVH</v>
          </cell>
          <cell r="C918" t="str">
            <v>DIESEL FILTER FOR EICHER DCM</v>
          </cell>
        </row>
        <row r="919">
          <cell r="A919">
            <v>10000037</v>
          </cell>
          <cell r="B919" t="str">
            <v>ZVH</v>
          </cell>
          <cell r="C919" t="str">
            <v>DIESEL FILTER FOR EXTEEM CAR</v>
          </cell>
        </row>
        <row r="920">
          <cell r="A920">
            <v>10000043</v>
          </cell>
          <cell r="B920" t="str">
            <v>ZVH</v>
          </cell>
          <cell r="C920" t="str">
            <v>BRAKE SHOE FOR OLD HILUX</v>
          </cell>
        </row>
        <row r="921">
          <cell r="A921">
            <v>10000044</v>
          </cell>
          <cell r="B921" t="str">
            <v>ZVH</v>
          </cell>
          <cell r="C921" t="str">
            <v>CLUTCH PLATE FOR NEW HILUX</v>
          </cell>
        </row>
        <row r="922">
          <cell r="A922">
            <v>10000051</v>
          </cell>
          <cell r="B922" t="str">
            <v>ZVH</v>
          </cell>
          <cell r="C922" t="str">
            <v>BRAKE SHOE FOR NEW  HILUXES</v>
          </cell>
        </row>
        <row r="923">
          <cell r="A923">
            <v>10000052</v>
          </cell>
          <cell r="B923" t="str">
            <v>ZVH</v>
          </cell>
          <cell r="C923" t="str">
            <v>SHOCK ABSORBER FOR NEW HILUX (REAR)</v>
          </cell>
        </row>
        <row r="924">
          <cell r="A924">
            <v>10000055</v>
          </cell>
          <cell r="B924" t="str">
            <v>ZVH</v>
          </cell>
          <cell r="C924" t="str">
            <v>BRAKE PAD FOR NEW HILUXES</v>
          </cell>
        </row>
        <row r="925">
          <cell r="A925">
            <v>10000064</v>
          </cell>
          <cell r="B925" t="str">
            <v>ZVH</v>
          </cell>
          <cell r="C925" t="str">
            <v>BRAKE PAD REAR FOR ESTEEM CAR</v>
          </cell>
        </row>
        <row r="926">
          <cell r="A926">
            <v>10000071</v>
          </cell>
          <cell r="B926" t="str">
            <v>ZVH</v>
          </cell>
          <cell r="C926" t="str">
            <v>CLUTCH PLATE FOR DCM EICHER</v>
          </cell>
        </row>
        <row r="927">
          <cell r="A927">
            <v>10000074</v>
          </cell>
          <cell r="B927" t="str">
            <v>ZVH</v>
          </cell>
          <cell r="C927" t="str">
            <v>METAL BUSH FOR NEW BOLERO</v>
          </cell>
        </row>
        <row r="928">
          <cell r="A928">
            <v>10000076</v>
          </cell>
          <cell r="B928" t="str">
            <v>ZVH</v>
          </cell>
          <cell r="C928" t="str">
            <v>TYRE 1000 X 20</v>
          </cell>
        </row>
        <row r="929">
          <cell r="A929">
            <v>10000080</v>
          </cell>
          <cell r="B929" t="str">
            <v>ZVH</v>
          </cell>
          <cell r="C929" t="str">
            <v>RE-TREADING  TYRE 235/75R15 FOR BOLERO</v>
          </cell>
        </row>
        <row r="930">
          <cell r="A930">
            <v>10000081</v>
          </cell>
          <cell r="B930" t="str">
            <v>ZVH</v>
          </cell>
          <cell r="C930" t="str">
            <v>TYRE  265/65 R17  FOR NEW PRADO</v>
          </cell>
        </row>
        <row r="931">
          <cell r="A931">
            <v>10000082</v>
          </cell>
          <cell r="B931" t="str">
            <v>ZVH</v>
          </cell>
          <cell r="C931" t="str">
            <v>RE-TREADING TYRE 750X16X16</v>
          </cell>
        </row>
        <row r="932">
          <cell r="A932">
            <v>10000083</v>
          </cell>
          <cell r="B932" t="str">
            <v>ZVH</v>
          </cell>
          <cell r="C932" t="str">
            <v>TYRE  900X20X16 FOR CRANE TRUCK</v>
          </cell>
        </row>
        <row r="933">
          <cell r="A933">
            <v>10000084</v>
          </cell>
          <cell r="B933" t="str">
            <v>ZVH</v>
          </cell>
          <cell r="C933" t="str">
            <v>TUBE FOR NEW MODEL HILUXES 205/R16</v>
          </cell>
        </row>
        <row r="934">
          <cell r="A934">
            <v>10000086</v>
          </cell>
          <cell r="B934" t="str">
            <v>ZVH</v>
          </cell>
          <cell r="C934" t="str">
            <v>RE-TREADING TYRE 920 X 16 X 16</v>
          </cell>
        </row>
        <row r="935">
          <cell r="A935">
            <v>10000089</v>
          </cell>
          <cell r="B935" t="str">
            <v>ZVH</v>
          </cell>
          <cell r="C935" t="str">
            <v>TYRE FOR NEW HILUX 255/70 R 15</v>
          </cell>
        </row>
        <row r="936">
          <cell r="A936">
            <v>10000095</v>
          </cell>
          <cell r="B936" t="str">
            <v>ZVH</v>
          </cell>
          <cell r="C936" t="str">
            <v>DO NOT USE PLASTIC SHEET 12'X18'</v>
          </cell>
        </row>
        <row r="937">
          <cell r="A937">
            <v>10000115</v>
          </cell>
          <cell r="B937" t="str">
            <v>ZVH</v>
          </cell>
          <cell r="C937" t="str">
            <v>BRAKE PAD REAR FOR TUCSON</v>
          </cell>
        </row>
        <row r="938">
          <cell r="A938">
            <v>10000137</v>
          </cell>
          <cell r="B938" t="str">
            <v>ZVH</v>
          </cell>
          <cell r="C938" t="str">
            <v>TYRE CHETAK 3.50 X 10 X 4</v>
          </cell>
        </row>
        <row r="939">
          <cell r="A939">
            <v>10000139</v>
          </cell>
          <cell r="B939" t="str">
            <v>ZVH</v>
          </cell>
          <cell r="C939" t="str">
            <v>SPRING REAR SECOND LEAF FOR NEW HILUX</v>
          </cell>
        </row>
        <row r="940">
          <cell r="A940">
            <v>10000285</v>
          </cell>
          <cell r="B940" t="str">
            <v>ZVH</v>
          </cell>
          <cell r="C940" t="str">
            <v>tyre 225/65/R14 FOR CRV</v>
          </cell>
        </row>
        <row r="941">
          <cell r="A941">
            <v>10000398</v>
          </cell>
          <cell r="B941" t="str">
            <v>ZVH</v>
          </cell>
          <cell r="C941" t="str">
            <v>TIE ROD END</v>
          </cell>
        </row>
        <row r="942">
          <cell r="A942">
            <v>10000404</v>
          </cell>
          <cell r="B942" t="str">
            <v>ZSU</v>
          </cell>
          <cell r="C942" t="str">
            <v>PANT(XL) FOR LINE STAFF</v>
          </cell>
        </row>
        <row r="943">
          <cell r="A943">
            <v>10000406</v>
          </cell>
          <cell r="B943" t="str">
            <v>ZSU</v>
          </cell>
          <cell r="C943" t="str">
            <v>PANT (MEDIUM) FOR LINE STAFF</v>
          </cell>
        </row>
        <row r="944">
          <cell r="A944">
            <v>10000408</v>
          </cell>
          <cell r="B944" t="str">
            <v>ZSU</v>
          </cell>
          <cell r="C944" t="str">
            <v>SHIRT(XL) FOR LINE STAFF</v>
          </cell>
        </row>
        <row r="945">
          <cell r="A945">
            <v>10000410</v>
          </cell>
          <cell r="B945" t="str">
            <v>ZSU</v>
          </cell>
          <cell r="C945" t="str">
            <v>SHIRT (M) FOR LINE STAFF</v>
          </cell>
        </row>
        <row r="946">
          <cell r="A946">
            <v>10000411</v>
          </cell>
          <cell r="B946" t="str">
            <v>ZSU</v>
          </cell>
          <cell r="C946" t="str">
            <v>JACKET  (XXL) FOR LINE STAFF</v>
          </cell>
        </row>
        <row r="947">
          <cell r="A947">
            <v>10000413</v>
          </cell>
          <cell r="B947" t="str">
            <v>ZSU</v>
          </cell>
          <cell r="C947" t="str">
            <v>JACKET  (LARGE) FOR LINE STAFF</v>
          </cell>
        </row>
        <row r="948">
          <cell r="A948">
            <v>10000414</v>
          </cell>
          <cell r="B948" t="str">
            <v>ZSU</v>
          </cell>
          <cell r="C948" t="str">
            <v>JACKET(MEDIUM)  FOR LINESTAFF</v>
          </cell>
        </row>
        <row r="949">
          <cell r="A949">
            <v>10000415</v>
          </cell>
          <cell r="B949" t="str">
            <v>ZSU</v>
          </cell>
          <cell r="C949" t="str">
            <v>PANT(XXL) FOR SECURITY GUARD</v>
          </cell>
        </row>
        <row r="950">
          <cell r="A950">
            <v>10000416</v>
          </cell>
          <cell r="B950" t="str">
            <v>ZSU</v>
          </cell>
          <cell r="C950" t="str">
            <v>PANT(XL) FOR SECURITY GUARDS</v>
          </cell>
        </row>
        <row r="951">
          <cell r="A951">
            <v>10000418</v>
          </cell>
          <cell r="B951" t="str">
            <v>ZSU</v>
          </cell>
          <cell r="C951" t="str">
            <v>PANT (MEDIUM) FOR SECURITY GUARD</v>
          </cell>
        </row>
        <row r="952">
          <cell r="A952">
            <v>10000419</v>
          </cell>
          <cell r="B952" t="str">
            <v>ZSU</v>
          </cell>
          <cell r="C952" t="str">
            <v>SHIRT(XXL) FOR SECURITY GUARD</v>
          </cell>
        </row>
        <row r="953">
          <cell r="A953">
            <v>10000420</v>
          </cell>
          <cell r="B953" t="str">
            <v>ZSU</v>
          </cell>
          <cell r="C953" t="str">
            <v>SHIRT(XL) FOR SECURITY GUARD</v>
          </cell>
        </row>
        <row r="954">
          <cell r="A954">
            <v>10000422</v>
          </cell>
          <cell r="B954" t="str">
            <v>ZSU</v>
          </cell>
          <cell r="C954" t="str">
            <v>SHIRT (MEDIUM) FOR SECURITY GUARD</v>
          </cell>
        </row>
        <row r="955">
          <cell r="A955">
            <v>10000427</v>
          </cell>
          <cell r="B955" t="str">
            <v>ZSU</v>
          </cell>
          <cell r="C955" t="str">
            <v>WORKING BOOT NO. 10</v>
          </cell>
        </row>
        <row r="956">
          <cell r="A956">
            <v>10000429</v>
          </cell>
          <cell r="B956" t="str">
            <v>ZSU</v>
          </cell>
          <cell r="C956" t="str">
            <v>WORKING BOOT NO. 8</v>
          </cell>
        </row>
        <row r="957">
          <cell r="A957">
            <v>10000430</v>
          </cell>
          <cell r="B957" t="str">
            <v>ZSU</v>
          </cell>
          <cell r="C957" t="str">
            <v>WORKING BOOT NO. 7</v>
          </cell>
        </row>
        <row r="958">
          <cell r="A958">
            <v>10000432</v>
          </cell>
          <cell r="B958" t="str">
            <v>ZSU</v>
          </cell>
          <cell r="C958" t="str">
            <v>WORKING BOOT NO. 5</v>
          </cell>
        </row>
        <row r="959">
          <cell r="A959">
            <v>10000433</v>
          </cell>
          <cell r="B959" t="str">
            <v>ZSU</v>
          </cell>
          <cell r="C959" t="str">
            <v>WORKING BOOT NO. 4</v>
          </cell>
        </row>
        <row r="960">
          <cell r="A960">
            <v>10000434</v>
          </cell>
          <cell r="B960" t="str">
            <v>ZSU</v>
          </cell>
          <cell r="C960" t="str">
            <v>UNIFORM GHO</v>
          </cell>
        </row>
        <row r="961">
          <cell r="A961">
            <v>10000435</v>
          </cell>
          <cell r="B961" t="str">
            <v>ZSU</v>
          </cell>
          <cell r="C961" t="str">
            <v>UNIFORM KIRA</v>
          </cell>
        </row>
        <row r="962">
          <cell r="A962">
            <v>10000436</v>
          </cell>
          <cell r="B962" t="str">
            <v>ZSU</v>
          </cell>
          <cell r="C962" t="str">
            <v>UNIFORM TEGO</v>
          </cell>
        </row>
        <row r="963">
          <cell r="A963">
            <v>10000437</v>
          </cell>
          <cell r="B963" t="str">
            <v>ZSU</v>
          </cell>
          <cell r="C963" t="str">
            <v>UNIFORM WONJU</v>
          </cell>
        </row>
        <row r="964">
          <cell r="A964">
            <v>10000515</v>
          </cell>
          <cell r="B964" t="str">
            <v>ZPRO</v>
          </cell>
          <cell r="C964" t="str">
            <v>LTE ROUTER</v>
          </cell>
        </row>
        <row r="965">
          <cell r="A965">
            <v>10000518</v>
          </cell>
          <cell r="B965" t="str">
            <v>ZPRO</v>
          </cell>
          <cell r="C965" t="str">
            <v>BT BAG</v>
          </cell>
        </row>
        <row r="966">
          <cell r="A966">
            <v>10000522</v>
          </cell>
          <cell r="B966" t="str">
            <v>ZPRO</v>
          </cell>
          <cell r="C966" t="str">
            <v>BT PEN(GOOD QUALITY)</v>
          </cell>
        </row>
        <row r="967">
          <cell r="A967">
            <v>10000523</v>
          </cell>
          <cell r="B967" t="str">
            <v>ZPRO</v>
          </cell>
          <cell r="C967" t="str">
            <v>BT PEN(AVERAGE QUALITY)</v>
          </cell>
        </row>
        <row r="968">
          <cell r="A968">
            <v>10000530</v>
          </cell>
          <cell r="B968" t="str">
            <v>ZPRO</v>
          </cell>
          <cell r="C968" t="str">
            <v>TABLE CALENDAR</v>
          </cell>
        </row>
        <row r="969">
          <cell r="A969">
            <v>10000531</v>
          </cell>
          <cell r="B969" t="str">
            <v>ZPRO</v>
          </cell>
          <cell r="C969" t="str">
            <v>DAIRY WITH PEN</v>
          </cell>
        </row>
        <row r="970">
          <cell r="A970">
            <v>10000532</v>
          </cell>
          <cell r="B970" t="str">
            <v>ZPRO</v>
          </cell>
          <cell r="C970" t="str">
            <v>WALL CALENDAR</v>
          </cell>
        </row>
        <row r="971">
          <cell r="A971">
            <v>10000574</v>
          </cell>
          <cell r="B971" t="str">
            <v>ZVH</v>
          </cell>
          <cell r="C971" t="str">
            <v>TYRE 185/65/R15 ETRIGA</v>
          </cell>
        </row>
        <row r="972">
          <cell r="A972">
            <v>10000576</v>
          </cell>
          <cell r="B972" t="str">
            <v>ZPRO</v>
          </cell>
          <cell r="C972" t="str">
            <v>DATA PLAN BROCHURES</v>
          </cell>
        </row>
        <row r="973">
          <cell r="A973">
            <v>10000580</v>
          </cell>
          <cell r="B973" t="str">
            <v>ZPRO</v>
          </cell>
          <cell r="C973" t="str">
            <v>BT OUTLET STICKERS</v>
          </cell>
        </row>
        <row r="974">
          <cell r="A974">
            <v>10000581</v>
          </cell>
          <cell r="B974" t="str">
            <v>ZPRO</v>
          </cell>
          <cell r="C974" t="str">
            <v>BROCHURE KIT</v>
          </cell>
        </row>
        <row r="975">
          <cell r="A975">
            <v>10000582</v>
          </cell>
          <cell r="B975" t="str">
            <v>ZPRO</v>
          </cell>
          <cell r="C975" t="str">
            <v>CAPACITY/P1025/AIRMUX-400LC/10M-25M</v>
          </cell>
        </row>
        <row r="976">
          <cell r="A976">
            <v>10000583</v>
          </cell>
          <cell r="B976" t="str">
            <v>ZVH</v>
          </cell>
          <cell r="C976" t="str">
            <v>RE-TREADING TYRE 255/70 R15</v>
          </cell>
        </row>
        <row r="977">
          <cell r="A977">
            <v>10000585</v>
          </cell>
          <cell r="B977" t="str">
            <v>ZPRO</v>
          </cell>
          <cell r="C977" t="str">
            <v>POWER BANK</v>
          </cell>
        </row>
        <row r="978">
          <cell r="A978">
            <v>10000586</v>
          </cell>
          <cell r="B978" t="str">
            <v>ZPRO</v>
          </cell>
          <cell r="C978" t="str">
            <v>USB STICK</v>
          </cell>
        </row>
        <row r="979">
          <cell r="A979">
            <v>10000587</v>
          </cell>
          <cell r="B979" t="str">
            <v>ZPRO</v>
          </cell>
          <cell r="C979" t="str">
            <v>CANOPY TENT</v>
          </cell>
        </row>
        <row r="980">
          <cell r="A980">
            <v>10000588</v>
          </cell>
          <cell r="B980" t="str">
            <v>ZPRO</v>
          </cell>
          <cell r="C980" t="str">
            <v>USB CASE</v>
          </cell>
        </row>
        <row r="981">
          <cell r="A981">
            <v>10000590</v>
          </cell>
          <cell r="B981" t="str">
            <v>ZPRO</v>
          </cell>
          <cell r="C981" t="str">
            <v>IPAD 9.7"</v>
          </cell>
        </row>
        <row r="982">
          <cell r="A982">
            <v>20000000</v>
          </cell>
          <cell r="B982" t="str">
            <v>ZOE</v>
          </cell>
          <cell r="C982" t="str">
            <v>PHOTO COPY TONER SHARP AR5516</v>
          </cell>
        </row>
        <row r="983">
          <cell r="A983">
            <v>20000001</v>
          </cell>
          <cell r="B983" t="str">
            <v>ZOE</v>
          </cell>
          <cell r="C983" t="str">
            <v>PHOTO COPY TONER FOR KONICA 1216</v>
          </cell>
        </row>
        <row r="984">
          <cell r="A984">
            <v>20000003</v>
          </cell>
          <cell r="B984" t="str">
            <v>ZOE</v>
          </cell>
          <cell r="C984" t="str">
            <v>HP COLOR LASER JET TONER Q7562A</v>
          </cell>
        </row>
        <row r="985">
          <cell r="A985">
            <v>20000005</v>
          </cell>
          <cell r="B985" t="str">
            <v>ZOE</v>
          </cell>
          <cell r="C985" t="str">
            <v>HP LASERJET CARTRIDGE NO. Q-2612A</v>
          </cell>
        </row>
        <row r="986">
          <cell r="A986">
            <v>20000011</v>
          </cell>
          <cell r="B986" t="str">
            <v>ZOE</v>
          </cell>
          <cell r="C986" t="str">
            <v>HP LASERJET TONER Q-5942A</v>
          </cell>
        </row>
        <row r="987">
          <cell r="A987">
            <v>20000014</v>
          </cell>
          <cell r="B987" t="str">
            <v>ZOE</v>
          </cell>
          <cell r="C987" t="str">
            <v>PHOTO COPY TONER DSM 616</v>
          </cell>
        </row>
        <row r="988">
          <cell r="A988">
            <v>20000015</v>
          </cell>
          <cell r="B988" t="str">
            <v>ZOE</v>
          </cell>
          <cell r="C988" t="str">
            <v>BLACK TONER CARTRIDGE NO. 006R-90321</v>
          </cell>
        </row>
        <row r="989">
          <cell r="A989">
            <v>20000020</v>
          </cell>
          <cell r="B989" t="str">
            <v>ZOE</v>
          </cell>
          <cell r="C989" t="str">
            <v>TONER FOR MACHINE SP 9100DN</v>
          </cell>
        </row>
        <row r="990">
          <cell r="A990">
            <v>20000021</v>
          </cell>
          <cell r="B990" t="str">
            <v>ZOE</v>
          </cell>
          <cell r="C990" t="str">
            <v>HP LASERJET CARTRIDGE Q6511A</v>
          </cell>
        </row>
        <row r="991">
          <cell r="A991">
            <v>20000023</v>
          </cell>
          <cell r="B991" t="str">
            <v>ZOE</v>
          </cell>
          <cell r="C991" t="str">
            <v>RIBBON CARTRIDGE</v>
          </cell>
        </row>
        <row r="992">
          <cell r="A992">
            <v>20000024</v>
          </cell>
          <cell r="B992" t="str">
            <v>ZOE</v>
          </cell>
          <cell r="C992" t="str">
            <v>EPSON RIBBON 8000/5000 (DFX)</v>
          </cell>
        </row>
        <row r="993">
          <cell r="A993">
            <v>20000025</v>
          </cell>
          <cell r="B993" t="str">
            <v>ZOE</v>
          </cell>
          <cell r="C993" t="str">
            <v>HP LASERJET TONER CARTIRDGE C 4127X</v>
          </cell>
        </row>
        <row r="994">
          <cell r="A994">
            <v>20000026</v>
          </cell>
          <cell r="B994" t="str">
            <v>ZOE</v>
          </cell>
          <cell r="C994" t="str">
            <v>HP LASERJET CARTRIDGE C-4092A</v>
          </cell>
        </row>
        <row r="995">
          <cell r="A995">
            <v>20000028</v>
          </cell>
          <cell r="B995" t="str">
            <v>ZOE</v>
          </cell>
          <cell r="C995" t="str">
            <v>HP LASERJET TONER CARTRIDGE NO. Q 2613A</v>
          </cell>
        </row>
        <row r="996">
          <cell r="A996">
            <v>20000029</v>
          </cell>
          <cell r="B996" t="str">
            <v>ZOE</v>
          </cell>
          <cell r="C996" t="str">
            <v>HP LASERJET CARTRIDGE NO. Q 2610A</v>
          </cell>
        </row>
        <row r="997">
          <cell r="A997">
            <v>20000032</v>
          </cell>
          <cell r="B997" t="str">
            <v>ZOE</v>
          </cell>
          <cell r="C997" t="str">
            <v>PHOTO COPY TONER SHARP AR020ST</v>
          </cell>
        </row>
        <row r="998">
          <cell r="A998">
            <v>20000033</v>
          </cell>
          <cell r="B998" t="str">
            <v>ZOE</v>
          </cell>
          <cell r="C998" t="str">
            <v>XEROX GRAPHIC MODULE(DRUM)</v>
          </cell>
        </row>
        <row r="999">
          <cell r="A999">
            <v>20000034</v>
          </cell>
          <cell r="B999" t="str">
            <v>ZOE</v>
          </cell>
          <cell r="C999" t="str">
            <v>TONER CARTRIDGE(006R01552)</v>
          </cell>
        </row>
        <row r="1000">
          <cell r="A1000">
            <v>20000038</v>
          </cell>
          <cell r="B1000" t="str">
            <v>ZOE</v>
          </cell>
          <cell r="C1000" t="str">
            <v>Telephone Instrument PANASONIC (Speaker)</v>
          </cell>
        </row>
        <row r="1001">
          <cell r="A1001">
            <v>20000039</v>
          </cell>
          <cell r="B1001" t="str">
            <v>ZOE</v>
          </cell>
          <cell r="C1001" t="str">
            <v>USB TO SERIAL PORT CONVERTER</v>
          </cell>
        </row>
        <row r="1002">
          <cell r="A1002">
            <v>20000053</v>
          </cell>
          <cell r="B1002" t="str">
            <v>ZOE</v>
          </cell>
          <cell r="C1002" t="str">
            <v>TONER FOR MINOLTA COPIER 102A</v>
          </cell>
        </row>
        <row r="1003">
          <cell r="A1003">
            <v>20000054</v>
          </cell>
          <cell r="B1003" t="str">
            <v>ZOE</v>
          </cell>
          <cell r="C1003" t="str">
            <v>EPSON RIBBON LQ580 SERIES 7753</v>
          </cell>
        </row>
        <row r="1004">
          <cell r="A1004">
            <v>20000057</v>
          </cell>
          <cell r="B1004" t="str">
            <v>ZOE</v>
          </cell>
          <cell r="C1004" t="str">
            <v>PHOTO COPY NASHUATEC TONER DSM 615/616</v>
          </cell>
        </row>
        <row r="1005">
          <cell r="A1005">
            <v>20000070</v>
          </cell>
          <cell r="B1005" t="str">
            <v>ZOE</v>
          </cell>
          <cell r="C1005" t="str">
            <v>DRUM UNIT</v>
          </cell>
        </row>
        <row r="1006">
          <cell r="A1006">
            <v>20000076</v>
          </cell>
          <cell r="B1006" t="str">
            <v>ZOE</v>
          </cell>
          <cell r="C1006" t="str">
            <v>FUSER ASSEMBLY FOR PHASER 4620</v>
          </cell>
        </row>
        <row r="1007">
          <cell r="A1007">
            <v>20000080</v>
          </cell>
          <cell r="B1007" t="str">
            <v>ZOE</v>
          </cell>
          <cell r="C1007" t="str">
            <v>PRESSURE ROLLER</v>
          </cell>
        </row>
        <row r="1008">
          <cell r="A1008">
            <v>20000081</v>
          </cell>
          <cell r="B1008" t="str">
            <v>ZOE</v>
          </cell>
          <cell r="C1008" t="str">
            <v>HOT ROLLER</v>
          </cell>
        </row>
        <row r="1009">
          <cell r="A1009">
            <v>20000082</v>
          </cell>
          <cell r="B1009" t="str">
            <v>ZOE</v>
          </cell>
          <cell r="C1009" t="str">
            <v>MAIN MOTOR</v>
          </cell>
        </row>
        <row r="1010">
          <cell r="A1010">
            <v>20000086</v>
          </cell>
          <cell r="B1010" t="str">
            <v>ZOE</v>
          </cell>
          <cell r="C1010" t="str">
            <v>MYLER FOR COPIER MACHINE</v>
          </cell>
        </row>
        <row r="1011">
          <cell r="A1011">
            <v>20000103</v>
          </cell>
          <cell r="B1011" t="str">
            <v>ZOE</v>
          </cell>
          <cell r="C1011" t="str">
            <v>TELEPHONE INSTRUMENT KXTX500MX</v>
          </cell>
        </row>
        <row r="1012">
          <cell r="A1012">
            <v>20000109</v>
          </cell>
          <cell r="B1012" t="str">
            <v>ZOE</v>
          </cell>
          <cell r="C1012" t="str">
            <v>GSM-TIT310 FWT SUPPORT G3 FAX</v>
          </cell>
        </row>
        <row r="1013">
          <cell r="A1013">
            <v>20000110</v>
          </cell>
          <cell r="B1013" t="str">
            <v>ZOE</v>
          </cell>
          <cell r="C1013" t="str">
            <v>GSM FIXED WIRELESS TERMINAL-335U</v>
          </cell>
        </row>
        <row r="1014">
          <cell r="A1014">
            <v>20000113</v>
          </cell>
          <cell r="B1014" t="str">
            <v>ZOE</v>
          </cell>
          <cell r="C1014" t="str">
            <v>EPSON RIBBON 5337</v>
          </cell>
        </row>
        <row r="1015">
          <cell r="A1015">
            <v>20000115</v>
          </cell>
          <cell r="B1015" t="str">
            <v>ZOE</v>
          </cell>
          <cell r="C1015" t="str">
            <v>WRF WRAPPER 240V</v>
          </cell>
        </row>
        <row r="1016">
          <cell r="A1016">
            <v>20000120</v>
          </cell>
          <cell r="B1016" t="str">
            <v>ZOE</v>
          </cell>
          <cell r="C1016" t="str">
            <v>LAPTOP BATTERY</v>
          </cell>
        </row>
        <row r="1017">
          <cell r="A1017">
            <v>20000150</v>
          </cell>
          <cell r="B1017" t="str">
            <v>ZOE</v>
          </cell>
          <cell r="C1017" t="str">
            <v>TONER FOR WC-5875 PRINTER</v>
          </cell>
        </row>
        <row r="1018">
          <cell r="A1018">
            <v>20000152</v>
          </cell>
          <cell r="B1018" t="str">
            <v>ZOE</v>
          </cell>
          <cell r="C1018" t="str">
            <v>XEROXGRAPHY MODULE FOR WE-5875 PRINTER</v>
          </cell>
        </row>
        <row r="1019">
          <cell r="A1019">
            <v>20000184</v>
          </cell>
          <cell r="B1019" t="str">
            <v>ZOE</v>
          </cell>
          <cell r="C1019" t="str">
            <v>Xerox Toner Cartridge for phaser 3250</v>
          </cell>
        </row>
        <row r="1020">
          <cell r="A1020">
            <v>20000202</v>
          </cell>
          <cell r="B1020" t="str">
            <v>ZOE</v>
          </cell>
          <cell r="C1020" t="str">
            <v>ROLLS FOR COPIER MACHINE</v>
          </cell>
        </row>
        <row r="1021">
          <cell r="A1021">
            <v>20000206</v>
          </cell>
          <cell r="B1021" t="str">
            <v>ZOE</v>
          </cell>
          <cell r="C1021" t="str">
            <v>FUSER FILM FOR PRINTER</v>
          </cell>
        </row>
        <row r="1022">
          <cell r="A1022">
            <v>20000213</v>
          </cell>
          <cell r="B1022" t="str">
            <v>ZOE</v>
          </cell>
          <cell r="C1022" t="str">
            <v>HPColorLaserJetProM452nw(CF388A)</v>
          </cell>
        </row>
        <row r="1023">
          <cell r="A1023">
            <v>20000220</v>
          </cell>
          <cell r="B1023" t="str">
            <v>ZOE</v>
          </cell>
          <cell r="C1023" t="str">
            <v>VGA TO USB CONVERTER</v>
          </cell>
        </row>
        <row r="1024">
          <cell r="A1024">
            <v>20000221</v>
          </cell>
          <cell r="B1024" t="str">
            <v>ZOE</v>
          </cell>
          <cell r="C1024" t="str">
            <v>LAPTOP ADAPTER</v>
          </cell>
        </row>
        <row r="1025">
          <cell r="A1025">
            <v>20000222</v>
          </cell>
          <cell r="B1025" t="str">
            <v>ZOE</v>
          </cell>
          <cell r="C1025" t="str">
            <v>LASER POINTER</v>
          </cell>
        </row>
        <row r="1026">
          <cell r="A1026">
            <v>20000223</v>
          </cell>
          <cell r="B1026" t="str">
            <v>ZOE</v>
          </cell>
          <cell r="C1026" t="str">
            <v>TRAYFEED ROLLER FOR BILLPRINTING MACHINE</v>
          </cell>
        </row>
        <row r="1027">
          <cell r="A1027">
            <v>20000241</v>
          </cell>
          <cell r="B1027" t="str">
            <v>ZOE</v>
          </cell>
          <cell r="C1027" t="str">
            <v>VGA CABLE</v>
          </cell>
        </row>
        <row r="1028">
          <cell r="A1028">
            <v>20000243</v>
          </cell>
          <cell r="B1028" t="str">
            <v>ZOE</v>
          </cell>
          <cell r="C1028" t="str">
            <v>CARTRIDGE FORXEROXPRINTER ALTALINK B8065</v>
          </cell>
        </row>
        <row r="1029">
          <cell r="A1029">
            <v>20000245</v>
          </cell>
          <cell r="B1029" t="str">
            <v>ZOE</v>
          </cell>
          <cell r="C1029" t="str">
            <v>STAPLER FOR WC5875</v>
          </cell>
        </row>
        <row r="1030">
          <cell r="A1030">
            <v>30000002</v>
          </cell>
          <cell r="B1030" t="str">
            <v>ZES</v>
          </cell>
          <cell r="C1030" t="str">
            <v>WARNING TAPE</v>
          </cell>
        </row>
        <row r="1031">
          <cell r="A1031">
            <v>30000003</v>
          </cell>
          <cell r="B1031" t="str">
            <v>ZES</v>
          </cell>
          <cell r="C1031" t="str">
            <v>BACKPLANE AMM 6P C BFD 599 030/3</v>
          </cell>
        </row>
        <row r="1032">
          <cell r="A1032">
            <v>30000007</v>
          </cell>
          <cell r="B1032" t="str">
            <v>ZES</v>
          </cell>
          <cell r="C1032" t="str">
            <v>RAU 2X7/31</v>
          </cell>
        </row>
        <row r="1033">
          <cell r="A1033">
            <v>30000010</v>
          </cell>
          <cell r="B1033" t="str">
            <v>ZES</v>
          </cell>
          <cell r="C1033" t="str">
            <v>LTU 16/1</v>
          </cell>
        </row>
        <row r="1034">
          <cell r="A1034">
            <v>30000017</v>
          </cell>
          <cell r="B1034" t="str">
            <v>ZES</v>
          </cell>
          <cell r="C1034" t="str">
            <v>NPU3 C</v>
          </cell>
        </row>
        <row r="1035">
          <cell r="A1035">
            <v>30000021</v>
          </cell>
          <cell r="B1035" t="str">
            <v>ZES</v>
          </cell>
          <cell r="C1035" t="str">
            <v>LTU3 12/1</v>
          </cell>
        </row>
        <row r="1036">
          <cell r="A1036">
            <v>30000029</v>
          </cell>
          <cell r="B1036" t="str">
            <v>ZES</v>
          </cell>
          <cell r="C1036" t="str">
            <v>MMU2 D ROJ 208 1305/1 RELEASE R1C</v>
          </cell>
        </row>
        <row r="1037">
          <cell r="A1037">
            <v>30000030</v>
          </cell>
          <cell r="B1037" t="str">
            <v>ZES</v>
          </cell>
          <cell r="C1037" t="str">
            <v>MMU2D (R3A) SOFT RELEASE BASE</v>
          </cell>
        </row>
        <row r="1038">
          <cell r="A1038">
            <v>30000037</v>
          </cell>
          <cell r="B1038" t="str">
            <v>ZES</v>
          </cell>
          <cell r="C1038" t="str">
            <v>AIRMUX-PS-E-AC/ACUK</v>
          </cell>
        </row>
        <row r="1039">
          <cell r="A1039">
            <v>30000045</v>
          </cell>
          <cell r="B1039" t="str">
            <v>ZES</v>
          </cell>
          <cell r="C1039" t="str">
            <v>AIRMUX-5000/SU/F58F/50M/INT</v>
          </cell>
        </row>
        <row r="1040">
          <cell r="A1040">
            <v>30000070</v>
          </cell>
          <cell r="B1040" t="str">
            <v>ZES</v>
          </cell>
          <cell r="C1040" t="str">
            <v>BALUN 75/120 OHMS BALUN BNC TYPE STRAIGH</v>
          </cell>
        </row>
        <row r="1041">
          <cell r="A1041">
            <v>30000073</v>
          </cell>
          <cell r="B1041" t="str">
            <v>ZES</v>
          </cell>
          <cell r="C1041" t="str">
            <v>WEATHER PROOFING KIT</v>
          </cell>
        </row>
        <row r="1042">
          <cell r="A1042">
            <v>30000082</v>
          </cell>
          <cell r="B1042" t="str">
            <v>ZES</v>
          </cell>
          <cell r="C1042" t="str">
            <v>AMF CONTROLLER CARD</v>
          </cell>
        </row>
        <row r="1043">
          <cell r="A1043">
            <v>30000083</v>
          </cell>
          <cell r="B1043" t="str">
            <v>ZES</v>
          </cell>
          <cell r="C1043" t="str">
            <v>SVR RELAY 4PIN WITH BASE</v>
          </cell>
        </row>
        <row r="1044">
          <cell r="A1044">
            <v>30000084</v>
          </cell>
          <cell r="B1044" t="str">
            <v>ZES</v>
          </cell>
          <cell r="C1044" t="str">
            <v>DG RELAY 3PIN WITH BASE</v>
          </cell>
        </row>
        <row r="1045">
          <cell r="A1045">
            <v>30000086</v>
          </cell>
          <cell r="B1045" t="str">
            <v>ZES</v>
          </cell>
          <cell r="C1045" t="str">
            <v>IGBT 106</v>
          </cell>
        </row>
        <row r="1046">
          <cell r="A1046">
            <v>30000095</v>
          </cell>
          <cell r="B1046" t="str">
            <v>ZES</v>
          </cell>
          <cell r="C1046" t="str">
            <v>FUEL FILTER ELEMENT (PART NO. 901-248)</v>
          </cell>
        </row>
        <row r="1047">
          <cell r="A1047">
            <v>30000096</v>
          </cell>
          <cell r="B1047" t="str">
            <v>ZES</v>
          </cell>
          <cell r="C1047" t="str">
            <v>LUBE OIL FILTER(PART NO. 901-102)</v>
          </cell>
        </row>
        <row r="1048">
          <cell r="A1048">
            <v>30000098</v>
          </cell>
          <cell r="B1048" t="str">
            <v>ZES</v>
          </cell>
          <cell r="C1048" t="str">
            <v>PRIME PUMB PART NO. 10000-07612</v>
          </cell>
        </row>
        <row r="1049">
          <cell r="A1049">
            <v>30000099</v>
          </cell>
          <cell r="B1049" t="str">
            <v>ZES</v>
          </cell>
          <cell r="C1049" t="str">
            <v>THERMOSTATE PART NO. 936-038</v>
          </cell>
        </row>
        <row r="1050">
          <cell r="A1050">
            <v>30000100</v>
          </cell>
          <cell r="B1050" t="str">
            <v>ZES</v>
          </cell>
          <cell r="C1050" t="str">
            <v>PRIME PUMP PART NO. 10000-46312</v>
          </cell>
        </row>
        <row r="1051">
          <cell r="A1051">
            <v>30000101</v>
          </cell>
          <cell r="B1051" t="str">
            <v>ZES</v>
          </cell>
          <cell r="C1051" t="str">
            <v>STARTER MOTOR PART NO. 10000-48830</v>
          </cell>
        </row>
        <row r="1052">
          <cell r="A1052">
            <v>30000103</v>
          </cell>
          <cell r="B1052" t="str">
            <v>ZES</v>
          </cell>
          <cell r="C1052" t="str">
            <v>PRIME/LIFT PUMP 913-022</v>
          </cell>
        </row>
        <row r="1053">
          <cell r="A1053">
            <v>30000105</v>
          </cell>
          <cell r="B1053" t="str">
            <v>ZES</v>
          </cell>
          <cell r="C1053" t="str">
            <v>FUEL FILTER (SECONDARY) PART NO. 901-249</v>
          </cell>
        </row>
        <row r="1054">
          <cell r="A1054">
            <v>30000126</v>
          </cell>
          <cell r="B1054" t="str">
            <v>ZES</v>
          </cell>
          <cell r="C1054" t="str">
            <v>FUEL FILTER ELEMENT(SECONDARY) 996-454</v>
          </cell>
        </row>
        <row r="1055">
          <cell r="A1055">
            <v>30000127</v>
          </cell>
          <cell r="B1055" t="str">
            <v>ZES</v>
          </cell>
          <cell r="C1055" t="str">
            <v>AIR FILTER ELEMENT PART NO. 10000-51240</v>
          </cell>
        </row>
        <row r="1056">
          <cell r="A1056">
            <v>30000128</v>
          </cell>
          <cell r="B1056" t="str">
            <v>ZES</v>
          </cell>
          <cell r="C1056" t="str">
            <v>FAN BELT PART NO. 998-104</v>
          </cell>
        </row>
        <row r="1057">
          <cell r="A1057">
            <v>30000130</v>
          </cell>
          <cell r="B1057" t="str">
            <v>ZES</v>
          </cell>
          <cell r="C1057" t="str">
            <v>THERMOSTAT PART NO. 934-857</v>
          </cell>
        </row>
        <row r="1058">
          <cell r="A1058">
            <v>30000131</v>
          </cell>
          <cell r="B1058" t="str">
            <v>ZES</v>
          </cell>
          <cell r="C1058" t="str">
            <v>WATER TEMP. SWITCH PART NO. 934-682</v>
          </cell>
        </row>
        <row r="1059">
          <cell r="A1059">
            <v>30000132</v>
          </cell>
          <cell r="B1059" t="str">
            <v>ZES</v>
          </cell>
          <cell r="C1059" t="str">
            <v>OIL PRESSURE SENSOR PART NO. 923-024</v>
          </cell>
        </row>
        <row r="1060">
          <cell r="A1060">
            <v>30000133</v>
          </cell>
          <cell r="B1060" t="str">
            <v>ZES</v>
          </cell>
          <cell r="C1060" t="str">
            <v>OIL PRESSURE SENSOR KIT NO. 10000-06968</v>
          </cell>
        </row>
        <row r="1061">
          <cell r="A1061">
            <v>30000137</v>
          </cell>
          <cell r="B1061" t="str">
            <v>ZES</v>
          </cell>
          <cell r="C1061" t="str">
            <v>PRE-FUEL FILTER (10000-06412)</v>
          </cell>
        </row>
        <row r="1062">
          <cell r="A1062">
            <v>30000152</v>
          </cell>
          <cell r="B1062" t="str">
            <v>ZES</v>
          </cell>
          <cell r="C1062" t="str">
            <v>AIR FILTER 10000-02942</v>
          </cell>
        </row>
        <row r="1063">
          <cell r="A1063">
            <v>30000154</v>
          </cell>
          <cell r="B1063" t="str">
            <v>ZES</v>
          </cell>
          <cell r="C1063" t="str">
            <v>OIL FILTER 901-103</v>
          </cell>
        </row>
        <row r="1064">
          <cell r="A1064">
            <v>30000204</v>
          </cell>
          <cell r="B1064" t="str">
            <v>ZES</v>
          </cell>
          <cell r="C1064" t="str">
            <v>CLOSURE 50 PAIR</v>
          </cell>
        </row>
        <row r="1065">
          <cell r="A1065">
            <v>30000208</v>
          </cell>
          <cell r="B1065" t="str">
            <v>ZES</v>
          </cell>
          <cell r="C1065" t="str">
            <v>POLE BEND</v>
          </cell>
        </row>
        <row r="1066">
          <cell r="A1066">
            <v>30000211</v>
          </cell>
          <cell r="B1066" t="str">
            <v>ZES</v>
          </cell>
          <cell r="C1066" t="str">
            <v>AC CLOSURE 200 PAIRS</v>
          </cell>
        </row>
        <row r="1067">
          <cell r="A1067">
            <v>30000212</v>
          </cell>
          <cell r="B1067" t="str">
            <v>ZES</v>
          </cell>
          <cell r="C1067" t="str">
            <v>OSP SIMIRA</v>
          </cell>
        </row>
        <row r="1068">
          <cell r="A1068">
            <v>30000217</v>
          </cell>
          <cell r="B1068" t="str">
            <v>ZES</v>
          </cell>
          <cell r="C1068" t="str">
            <v>SAFETY HELMET</v>
          </cell>
        </row>
        <row r="1069">
          <cell r="A1069">
            <v>30000219</v>
          </cell>
          <cell r="B1069" t="str">
            <v>ZES</v>
          </cell>
          <cell r="C1069" t="str">
            <v>CABINET PUNCHING TOOL KRONE</v>
          </cell>
        </row>
        <row r="1070">
          <cell r="A1070">
            <v>30000254</v>
          </cell>
          <cell r="B1070" t="str">
            <v>ZES</v>
          </cell>
          <cell r="C1070" t="str">
            <v>ASA5510-AIP10-K9</v>
          </cell>
        </row>
        <row r="1071">
          <cell r="A1071">
            <v>30000256</v>
          </cell>
          <cell r="B1071" t="str">
            <v>ZES</v>
          </cell>
          <cell r="C1071" t="str">
            <v>CONSOLE CABLE 6FT WITH USBTYPE A+MINI B</v>
          </cell>
        </row>
        <row r="1072">
          <cell r="A1072">
            <v>30000257</v>
          </cell>
          <cell r="B1072" t="str">
            <v>ZES</v>
          </cell>
          <cell r="C1072" t="str">
            <v>WS-C2960X-24PS-L with LAN/WAN</v>
          </cell>
        </row>
        <row r="1073">
          <cell r="A1073">
            <v>30000262</v>
          </cell>
          <cell r="B1073" t="str">
            <v>ZES</v>
          </cell>
          <cell r="C1073" t="str">
            <v>HWIC-1T</v>
          </cell>
        </row>
        <row r="1074">
          <cell r="A1074">
            <v>30000270</v>
          </cell>
          <cell r="B1074" t="str">
            <v>ZES</v>
          </cell>
          <cell r="C1074" t="str">
            <v>RICI-8E1/U</v>
          </cell>
        </row>
        <row r="1075">
          <cell r="A1075">
            <v>30000273</v>
          </cell>
          <cell r="B1075" t="str">
            <v>ZES</v>
          </cell>
          <cell r="C1075" t="str">
            <v>CBL-DB26-8SHDSL</v>
          </cell>
        </row>
        <row r="1076">
          <cell r="A1076">
            <v>30000275</v>
          </cell>
          <cell r="B1076" t="str">
            <v>ZES</v>
          </cell>
          <cell r="C1076" t="str">
            <v>ALARM CARD</v>
          </cell>
        </row>
        <row r="1077">
          <cell r="A1077">
            <v>30000276</v>
          </cell>
          <cell r="B1077" t="str">
            <v>ZES</v>
          </cell>
          <cell r="C1077" t="str">
            <v>4 MODULE RELAY</v>
          </cell>
        </row>
        <row r="1078">
          <cell r="A1078">
            <v>30000277</v>
          </cell>
          <cell r="B1078" t="str">
            <v>ZES</v>
          </cell>
          <cell r="C1078" t="str">
            <v>MCU 1000</v>
          </cell>
        </row>
        <row r="1079">
          <cell r="A1079">
            <v>30000278</v>
          </cell>
          <cell r="B1079" t="str">
            <v>ZES</v>
          </cell>
          <cell r="C1079" t="str">
            <v>MCU 1000/2000+ DISPLAY WITH CORD</v>
          </cell>
        </row>
        <row r="1080">
          <cell r="A1080">
            <v>30000279</v>
          </cell>
          <cell r="B1080" t="str">
            <v>ZES</v>
          </cell>
          <cell r="C1080" t="str">
            <v>EMS 98</v>
          </cell>
        </row>
        <row r="1081">
          <cell r="A1081">
            <v>30000280</v>
          </cell>
          <cell r="B1081" t="str">
            <v>ZES</v>
          </cell>
          <cell r="C1081" t="str">
            <v>INTERFACE UNIT</v>
          </cell>
        </row>
        <row r="1082">
          <cell r="A1082">
            <v>30000281</v>
          </cell>
          <cell r="B1082" t="str">
            <v>ZES</v>
          </cell>
          <cell r="C1082" t="str">
            <v>ROTARY SWITCH ,2PIN 2W WITH OFF</v>
          </cell>
        </row>
        <row r="1083">
          <cell r="A1083">
            <v>30000282</v>
          </cell>
          <cell r="B1083" t="str">
            <v>ZES</v>
          </cell>
          <cell r="C1083" t="str">
            <v>ROTARY SWITCH,4PIN 2W WITH OFF</v>
          </cell>
        </row>
        <row r="1084">
          <cell r="A1084">
            <v>30000283</v>
          </cell>
          <cell r="B1084" t="str">
            <v>ZES</v>
          </cell>
          <cell r="C1084" t="str">
            <v>SVR CARD SVR-4</v>
          </cell>
        </row>
        <row r="1085">
          <cell r="A1085">
            <v>30000285</v>
          </cell>
          <cell r="B1085" t="str">
            <v>ZES</v>
          </cell>
          <cell r="C1085" t="str">
            <v>BLD CARD</v>
          </cell>
        </row>
        <row r="1086">
          <cell r="A1086">
            <v>30000286</v>
          </cell>
          <cell r="B1086" t="str">
            <v>ZES</v>
          </cell>
          <cell r="C1086" t="str">
            <v>HIVD CARD</v>
          </cell>
        </row>
        <row r="1087">
          <cell r="A1087">
            <v>30000287</v>
          </cell>
          <cell r="B1087" t="str">
            <v>ZES</v>
          </cell>
          <cell r="C1087" t="str">
            <v>DC TO  DC CONVERTER , 24V/12V CARD</v>
          </cell>
        </row>
        <row r="1088">
          <cell r="A1088">
            <v>30000288</v>
          </cell>
          <cell r="B1088" t="str">
            <v>ZES</v>
          </cell>
          <cell r="C1088" t="str">
            <v>AC CONTACTOR, 60A, LCI D25004,4POLE</v>
          </cell>
        </row>
        <row r="1089">
          <cell r="A1089">
            <v>30000289</v>
          </cell>
          <cell r="B1089" t="str">
            <v>ZES</v>
          </cell>
          <cell r="C1089" t="str">
            <v>AC CONTACTOR, ADD ON BLOCK TA1 DN22</v>
          </cell>
        </row>
        <row r="1090">
          <cell r="A1090">
            <v>30000292</v>
          </cell>
          <cell r="B1090" t="str">
            <v>ZES</v>
          </cell>
          <cell r="C1090" t="str">
            <v>MCU 2500</v>
          </cell>
        </row>
        <row r="1091">
          <cell r="A1091">
            <v>30000293</v>
          </cell>
          <cell r="B1091" t="str">
            <v>ZES</v>
          </cell>
          <cell r="C1091" t="str">
            <v>MCU 2500 DISPLAY</v>
          </cell>
        </row>
        <row r="1092">
          <cell r="A1092">
            <v>30000294</v>
          </cell>
          <cell r="B1092" t="str">
            <v>ZES</v>
          </cell>
          <cell r="C1092" t="str">
            <v>AVR CARD, 20KVA</v>
          </cell>
        </row>
        <row r="1093">
          <cell r="A1093">
            <v>30000295</v>
          </cell>
          <cell r="B1093" t="str">
            <v>ZES</v>
          </cell>
          <cell r="C1093" t="str">
            <v>LLOP SENSOR FOR  15-25KVA DG, 3PIN</v>
          </cell>
        </row>
        <row r="1094">
          <cell r="A1094">
            <v>30000297</v>
          </cell>
          <cell r="B1094" t="str">
            <v>ZES</v>
          </cell>
          <cell r="C1094" t="str">
            <v>AIR FILTER  915-851</v>
          </cell>
        </row>
        <row r="1095">
          <cell r="A1095">
            <v>30000298</v>
          </cell>
          <cell r="B1095" t="str">
            <v>ZES</v>
          </cell>
          <cell r="C1095" t="str">
            <v>EIM 917-422</v>
          </cell>
        </row>
        <row r="1096">
          <cell r="A1096">
            <v>30000299</v>
          </cell>
          <cell r="B1096" t="str">
            <v>ZES</v>
          </cell>
          <cell r="C1096" t="str">
            <v>EIM 10000-00970</v>
          </cell>
        </row>
        <row r="1097">
          <cell r="A1097">
            <v>30000300</v>
          </cell>
          <cell r="B1097" t="str">
            <v>ZES</v>
          </cell>
          <cell r="C1097" t="str">
            <v>FAN BELT WATER PUMP  932-136</v>
          </cell>
        </row>
        <row r="1098">
          <cell r="A1098">
            <v>30000301</v>
          </cell>
          <cell r="B1098" t="str">
            <v>ZES</v>
          </cell>
          <cell r="C1098" t="str">
            <v>FAN BELT  981-211</v>
          </cell>
        </row>
        <row r="1099">
          <cell r="A1099">
            <v>30000302</v>
          </cell>
          <cell r="B1099" t="str">
            <v>ZES</v>
          </cell>
          <cell r="C1099" t="str">
            <v>FAN BELT  10000-06096</v>
          </cell>
        </row>
        <row r="1100">
          <cell r="A1100">
            <v>30000303</v>
          </cell>
          <cell r="B1100" t="str">
            <v>ZES</v>
          </cell>
          <cell r="C1100" t="str">
            <v>GASKET SET  10000-06096/916-400</v>
          </cell>
        </row>
        <row r="1101">
          <cell r="A1101">
            <v>30000304</v>
          </cell>
          <cell r="B1101" t="str">
            <v>ZES</v>
          </cell>
          <cell r="C1101" t="str">
            <v>HWT 10000-02806</v>
          </cell>
        </row>
        <row r="1102">
          <cell r="A1102">
            <v>30000305</v>
          </cell>
          <cell r="B1102" t="str">
            <v>ZES</v>
          </cell>
          <cell r="C1102" t="str">
            <v>HWT 622-817</v>
          </cell>
        </row>
        <row r="1103">
          <cell r="A1103">
            <v>30000306</v>
          </cell>
          <cell r="B1103" t="str">
            <v>ZES</v>
          </cell>
          <cell r="C1103" t="str">
            <v>HWT 622-337</v>
          </cell>
        </row>
        <row r="1104">
          <cell r="A1104">
            <v>30000307</v>
          </cell>
          <cell r="B1104" t="str">
            <v>ZES</v>
          </cell>
          <cell r="C1104" t="str">
            <v>LUBE OIL PUMP 10000-00551</v>
          </cell>
        </row>
        <row r="1105">
          <cell r="A1105">
            <v>30000308</v>
          </cell>
          <cell r="B1105" t="str">
            <v>ZES</v>
          </cell>
          <cell r="C1105" t="str">
            <v>LUBE OIL PUMP 913-305</v>
          </cell>
        </row>
        <row r="1106">
          <cell r="A1106">
            <v>30000309</v>
          </cell>
          <cell r="B1106" t="str">
            <v>ZES</v>
          </cell>
          <cell r="C1106" t="str">
            <v>LLOP 10000-17461</v>
          </cell>
        </row>
        <row r="1107">
          <cell r="A1107">
            <v>30000310</v>
          </cell>
          <cell r="B1107" t="str">
            <v>ZES</v>
          </cell>
          <cell r="C1107" t="str">
            <v>Mannual Change over Switch63A singlephas</v>
          </cell>
        </row>
        <row r="1108">
          <cell r="A1108">
            <v>30000311</v>
          </cell>
          <cell r="B1108" t="str">
            <v>ZES</v>
          </cell>
          <cell r="C1108" t="str">
            <v>THERMOSTAT  10000-05462</v>
          </cell>
        </row>
        <row r="1109">
          <cell r="A1109">
            <v>30000312</v>
          </cell>
          <cell r="B1109" t="str">
            <v>ZES</v>
          </cell>
          <cell r="C1109" t="str">
            <v>THERMOSTAT 914-004</v>
          </cell>
        </row>
        <row r="1110">
          <cell r="A1110">
            <v>30000356</v>
          </cell>
          <cell r="B1110" t="str">
            <v>ZES</v>
          </cell>
          <cell r="C1110" t="str">
            <v>WS-C3650-48TS-L 48PORTS CISCO SWITCH</v>
          </cell>
        </row>
        <row r="1111">
          <cell r="A1111">
            <v>30000372</v>
          </cell>
          <cell r="B1111" t="str">
            <v>ZES</v>
          </cell>
          <cell r="C1111" t="str">
            <v>TAM-MS SALC Subscriber Card ( 32 channel</v>
          </cell>
        </row>
        <row r="1112">
          <cell r="A1112">
            <v>30000395</v>
          </cell>
          <cell r="B1112" t="str">
            <v>ZES</v>
          </cell>
          <cell r="C1112" t="str">
            <v>FUEL FILTER MITSUI-DEUTZ(F3L)</v>
          </cell>
        </row>
        <row r="1113">
          <cell r="A1113">
            <v>30000396</v>
          </cell>
          <cell r="B1113" t="str">
            <v>ZES</v>
          </cell>
          <cell r="C1113" t="str">
            <v>FUEL FILTER MITSUI-DEUTZ(F4L)</v>
          </cell>
        </row>
        <row r="1114">
          <cell r="A1114">
            <v>30000397</v>
          </cell>
          <cell r="B1114" t="str">
            <v>ZES</v>
          </cell>
          <cell r="C1114" t="str">
            <v>FUEL FILTER MITSUI-DEUTZ(F6L)</v>
          </cell>
        </row>
        <row r="1115">
          <cell r="A1115">
            <v>30000399</v>
          </cell>
          <cell r="B1115" t="str">
            <v>ZES</v>
          </cell>
          <cell r="C1115" t="str">
            <v>GSM-TIT609 3G FIXED WIRELESS TERMAINAL</v>
          </cell>
        </row>
        <row r="1116">
          <cell r="A1116">
            <v>30000400</v>
          </cell>
          <cell r="B1116" t="str">
            <v>ZES</v>
          </cell>
          <cell r="C1116" t="str">
            <v>GSM-TIT904D GSM FIXED WIRELESS TELEPHONE</v>
          </cell>
        </row>
        <row r="1117">
          <cell r="A1117">
            <v>30000404</v>
          </cell>
          <cell r="B1117" t="str">
            <v>ZES</v>
          </cell>
          <cell r="C1117" t="str">
            <v>OIL FILTER MITSUI-DEUTZ(F3L)</v>
          </cell>
        </row>
        <row r="1118">
          <cell r="A1118">
            <v>30000405</v>
          </cell>
          <cell r="B1118" t="str">
            <v>ZES</v>
          </cell>
          <cell r="C1118" t="str">
            <v>OIL FILTER MITSUI-DEUTZ(F4L)</v>
          </cell>
        </row>
        <row r="1119">
          <cell r="A1119">
            <v>30000406</v>
          </cell>
          <cell r="B1119" t="str">
            <v>ZES</v>
          </cell>
          <cell r="C1119" t="str">
            <v>OIL FILTER MITSUI-DEUTZ(F6L)</v>
          </cell>
        </row>
        <row r="1120">
          <cell r="A1120">
            <v>30000440</v>
          </cell>
          <cell r="B1120" t="str">
            <v>ZES</v>
          </cell>
          <cell r="C1120" t="str">
            <v>DO NOT USE( Cartridge CE278A)</v>
          </cell>
        </row>
        <row r="1121">
          <cell r="A1121">
            <v>30000528</v>
          </cell>
          <cell r="B1121" t="str">
            <v>ZES</v>
          </cell>
          <cell r="C1121" t="str">
            <v>Spare parts for Rectifier</v>
          </cell>
        </row>
        <row r="1122">
          <cell r="A1122">
            <v>30000541</v>
          </cell>
          <cell r="B1122" t="str">
            <v>ZES</v>
          </cell>
          <cell r="C1122" t="str">
            <v>DELL LAPTOP ADAPTER</v>
          </cell>
        </row>
        <row r="1123">
          <cell r="A1123">
            <v>30000596</v>
          </cell>
          <cell r="B1123" t="str">
            <v>ZES</v>
          </cell>
          <cell r="C1123" t="str">
            <v>Optical Patch Cords SC-LC 5 mtrs</v>
          </cell>
        </row>
        <row r="1124">
          <cell r="A1124">
            <v>30000624</v>
          </cell>
          <cell r="B1124" t="str">
            <v>ZES</v>
          </cell>
          <cell r="C1124" t="str">
            <v>Joint Slips</v>
          </cell>
        </row>
        <row r="1125">
          <cell r="A1125">
            <v>30000630</v>
          </cell>
          <cell r="B1125" t="str">
            <v>ZES</v>
          </cell>
          <cell r="C1125" t="str">
            <v>CONTROL CABLE 2.5SQMM 4CORE</v>
          </cell>
        </row>
        <row r="1126">
          <cell r="A1126">
            <v>30000686</v>
          </cell>
          <cell r="B1126" t="str">
            <v>ZES</v>
          </cell>
          <cell r="C1126" t="str">
            <v>GPB7 RNC 3820 ROJ 1192106/75</v>
          </cell>
        </row>
        <row r="1127">
          <cell r="A1127">
            <v>30000690</v>
          </cell>
          <cell r="B1127" t="str">
            <v>ZES</v>
          </cell>
          <cell r="C1127" t="str">
            <v>FUEL FILTER for 15/20KV 03.92</v>
          </cell>
        </row>
        <row r="1128">
          <cell r="A1128">
            <v>30000691</v>
          </cell>
          <cell r="B1128" t="str">
            <v>ZES</v>
          </cell>
          <cell r="C1128" t="str">
            <v>AIR filter for kiloskar15/20 KVA (AIR-00</v>
          </cell>
        </row>
        <row r="1129">
          <cell r="A1129">
            <v>30000694</v>
          </cell>
          <cell r="B1129" t="str">
            <v>ZES</v>
          </cell>
          <cell r="C1129" t="str">
            <v>LAPTOP ADAPTER FOR ACER</v>
          </cell>
        </row>
        <row r="1130">
          <cell r="A1130">
            <v>30000771</v>
          </cell>
          <cell r="B1130" t="str">
            <v>ZES</v>
          </cell>
          <cell r="C1130" t="str">
            <v>PDU 0202 ( BMC 980 336/5)</v>
          </cell>
        </row>
        <row r="1131">
          <cell r="A1131">
            <v>30000778</v>
          </cell>
          <cell r="B1131" t="str">
            <v>ZES</v>
          </cell>
          <cell r="C1131" t="str">
            <v>RFU-C</v>
          </cell>
        </row>
        <row r="1132">
          <cell r="A1132">
            <v>30000795</v>
          </cell>
          <cell r="B1132" t="str">
            <v>ZES</v>
          </cell>
          <cell r="C1132" t="str">
            <v>POWER WIZARD CARD 2.1</v>
          </cell>
        </row>
        <row r="1133">
          <cell r="A1133">
            <v>30000809</v>
          </cell>
          <cell r="B1133" t="str">
            <v>ZES</v>
          </cell>
          <cell r="C1133" t="str">
            <v>WS-C2960-24TC-S</v>
          </cell>
        </row>
        <row r="1134">
          <cell r="A1134">
            <v>30000824</v>
          </cell>
          <cell r="B1134" t="str">
            <v>ZES</v>
          </cell>
          <cell r="C1134" t="str">
            <v>VGA TO USB CONVERTER</v>
          </cell>
        </row>
        <row r="1135">
          <cell r="A1135">
            <v>30000895</v>
          </cell>
          <cell r="B1135" t="str">
            <v>ZES</v>
          </cell>
          <cell r="C1135" t="str">
            <v>MRO TEK MODEL HOSTA-UG/SM15/SC/CAD</v>
          </cell>
        </row>
        <row r="1136">
          <cell r="A1136">
            <v>30000898</v>
          </cell>
          <cell r="B1136" t="str">
            <v>ZES</v>
          </cell>
          <cell r="C1136" t="str">
            <v>MRO TEK MODEL PINE/8E1/FE/M/S2/AC/DC</v>
          </cell>
        </row>
        <row r="1137">
          <cell r="A1137">
            <v>30000899</v>
          </cell>
          <cell r="B1137" t="str">
            <v>ZES</v>
          </cell>
          <cell r="C1137" t="str">
            <v>MRO TEK MODEL PINE/4E1/4FE/AC/DC</v>
          </cell>
        </row>
        <row r="1138">
          <cell r="A1138">
            <v>30000900</v>
          </cell>
          <cell r="B1138" t="str">
            <v>ZES</v>
          </cell>
          <cell r="C1138" t="str">
            <v>MRO TEK ECAT/4E1/FE/M/S2/AC/DC</v>
          </cell>
        </row>
        <row r="1139">
          <cell r="A1139">
            <v>30000904</v>
          </cell>
          <cell r="B1139" t="str">
            <v>ZES</v>
          </cell>
          <cell r="C1139" t="str">
            <v>BOE 602 14/1 DISTRIBUTION SWITCH(DXU-21)</v>
          </cell>
        </row>
        <row r="1140">
          <cell r="A1140">
            <v>30000905</v>
          </cell>
          <cell r="B1140" t="str">
            <v>ZES</v>
          </cell>
          <cell r="C1140" t="str">
            <v>BOE 602 21/1 DISTRIBUTION SWITCH UNIT</v>
          </cell>
        </row>
        <row r="1141">
          <cell r="A1141">
            <v>30000906</v>
          </cell>
          <cell r="B1141" t="str">
            <v>ZES</v>
          </cell>
          <cell r="C1141" t="str">
            <v>GSM 900MHZ BTS BAND PASS FILTER</v>
          </cell>
        </row>
        <row r="1142">
          <cell r="A1142">
            <v>30000913</v>
          </cell>
          <cell r="B1142" t="str">
            <v>ZES</v>
          </cell>
          <cell r="C1142" t="str">
            <v>POWER ADAPTER FOR MACBOOK</v>
          </cell>
        </row>
        <row r="1143">
          <cell r="A1143">
            <v>30000932</v>
          </cell>
          <cell r="B1143" t="str">
            <v>ZES</v>
          </cell>
          <cell r="C1143" t="str">
            <v>RJ11 CONNECTOR</v>
          </cell>
        </row>
        <row r="1144">
          <cell r="A1144">
            <v>30000962</v>
          </cell>
          <cell r="B1144" t="str">
            <v>ZES</v>
          </cell>
          <cell r="C1144" t="str">
            <v>PSU-DC-32 (BMR 911 47/1)</v>
          </cell>
        </row>
        <row r="1145">
          <cell r="A1145">
            <v>30000967</v>
          </cell>
          <cell r="B1145" t="str">
            <v>ZES</v>
          </cell>
          <cell r="C1145" t="str">
            <v>Transceiver 900Mhz RRUN9P-22</v>
          </cell>
        </row>
        <row r="1146">
          <cell r="A1146">
            <v>30000969</v>
          </cell>
          <cell r="B1146" t="str">
            <v>ZES</v>
          </cell>
          <cell r="C1146" t="str">
            <v>DUW card31 (RBS 6202), KDU127174/3</v>
          </cell>
        </row>
        <row r="1147">
          <cell r="A1147">
            <v>30000970</v>
          </cell>
          <cell r="B1147" t="str">
            <v>ZES</v>
          </cell>
          <cell r="C1147" t="str">
            <v>DXU 23A (with memory card),  BOE 602 21/</v>
          </cell>
        </row>
        <row r="1148">
          <cell r="A1148">
            <v>30000971</v>
          </cell>
          <cell r="B1148" t="str">
            <v>ZES</v>
          </cell>
          <cell r="C1148" t="str">
            <v>DXU21 (with Memory card), BOE 602 14/1</v>
          </cell>
        </row>
        <row r="1149">
          <cell r="A1149">
            <v>30000975</v>
          </cell>
          <cell r="B1149" t="str">
            <v>ZES</v>
          </cell>
          <cell r="C1149" t="str">
            <v>MAUB, ROJ 208 460/2</v>
          </cell>
        </row>
        <row r="1150">
          <cell r="A1150">
            <v>30000976</v>
          </cell>
          <cell r="B1150" t="str">
            <v>ZES</v>
          </cell>
          <cell r="C1150" t="str">
            <v>SCB-RP,ROJ 208 323/4</v>
          </cell>
        </row>
        <row r="1151">
          <cell r="A1151">
            <v>30000977</v>
          </cell>
          <cell r="B1151" t="str">
            <v>ZES</v>
          </cell>
          <cell r="C1151" t="str">
            <v>MAU, ROJ 208 442/2</v>
          </cell>
        </row>
        <row r="1152">
          <cell r="A1152">
            <v>30000979</v>
          </cell>
          <cell r="B1152" t="str">
            <v>ZES</v>
          </cell>
          <cell r="C1152" t="str">
            <v>MEDIA CONVERTERS 10/100/1000</v>
          </cell>
        </row>
        <row r="1153">
          <cell r="A1153">
            <v>30000990</v>
          </cell>
          <cell r="B1153" t="str">
            <v>ZES</v>
          </cell>
          <cell r="C1153" t="str">
            <v>IP-IDU-10G/16E1 WITH 100MBPS</v>
          </cell>
        </row>
        <row r="1154">
          <cell r="A1154">
            <v>30000991</v>
          </cell>
          <cell r="B1154" t="str">
            <v>ZES</v>
          </cell>
          <cell r="C1154" t="str">
            <v>IP-IDU-10G WITH400MBPS LICENSE WITH XPIC</v>
          </cell>
        </row>
        <row r="1155">
          <cell r="A1155">
            <v>30000992</v>
          </cell>
          <cell r="B1155" t="str">
            <v>ZES</v>
          </cell>
          <cell r="C1155" t="str">
            <v>IP-IDU-20GX/16E1 WITH 200MBPS</v>
          </cell>
        </row>
        <row r="1156">
          <cell r="A1156">
            <v>30000993</v>
          </cell>
          <cell r="B1156" t="str">
            <v>ZES</v>
          </cell>
          <cell r="C1156" t="str">
            <v>300 GB HARD DISK</v>
          </cell>
        </row>
        <row r="1157">
          <cell r="A1157">
            <v>30000994</v>
          </cell>
          <cell r="B1157" t="str">
            <v>ZES</v>
          </cell>
          <cell r="C1157" t="str">
            <v>146 GB HARD DISK</v>
          </cell>
        </row>
        <row r="1158">
          <cell r="A1158">
            <v>30000995</v>
          </cell>
          <cell r="B1158" t="str">
            <v>ZES</v>
          </cell>
          <cell r="C1158" t="str">
            <v>600 GB HARD DISK</v>
          </cell>
        </row>
        <row r="1159">
          <cell r="A1159">
            <v>30000997</v>
          </cell>
          <cell r="B1159" t="str">
            <v>ZES</v>
          </cell>
          <cell r="C1159" t="str">
            <v>IP-20GXIDU WITH 3 DIRECTIONS 500MBPS</v>
          </cell>
        </row>
        <row r="1160">
          <cell r="A1160">
            <v>30000998</v>
          </cell>
          <cell r="B1160" t="str">
            <v>ZES</v>
          </cell>
          <cell r="C1160" t="str">
            <v>IP-20-RMC CARD</v>
          </cell>
        </row>
        <row r="1161">
          <cell r="A1161">
            <v>30000999</v>
          </cell>
          <cell r="B1161" t="str">
            <v>ZES</v>
          </cell>
          <cell r="C1161" t="str">
            <v>IP-20-ODU-RFU-CXE-7-161P-1W2 TL</v>
          </cell>
        </row>
        <row r="1162">
          <cell r="A1162">
            <v>30001000</v>
          </cell>
          <cell r="B1162" t="str">
            <v>ZES</v>
          </cell>
          <cell r="C1162" t="str">
            <v>IP-20-ODU-RFU-CXE-7-161P-1W2 TH</v>
          </cell>
        </row>
        <row r="1163">
          <cell r="A1163">
            <v>30001002</v>
          </cell>
          <cell r="B1163" t="str">
            <v>ZES</v>
          </cell>
          <cell r="C1163" t="str">
            <v>IP-20-ODU-RFU-CXE-8-311A-1W4 TH</v>
          </cell>
        </row>
        <row r="1164">
          <cell r="A1164">
            <v>30001007</v>
          </cell>
          <cell r="B1164" t="str">
            <v>ZES</v>
          </cell>
          <cell r="C1164" t="str">
            <v>IP-20-ODU-RFU-CXM-8-311A-5W8 TH</v>
          </cell>
        </row>
        <row r="1165">
          <cell r="A1165">
            <v>30001008</v>
          </cell>
          <cell r="B1165" t="str">
            <v>ZES</v>
          </cell>
          <cell r="C1165" t="str">
            <v>IP-20-ODU-RFU-CXM-8-311A-5W8 TL</v>
          </cell>
        </row>
        <row r="1166">
          <cell r="A1166">
            <v>30001010</v>
          </cell>
          <cell r="B1166" t="str">
            <v>ZES</v>
          </cell>
          <cell r="C1166" t="str">
            <v>IP-20-ODU-RFU-CXEM-15-420-8WI5-TL</v>
          </cell>
        </row>
        <row r="1167">
          <cell r="A1167">
            <v>30001011</v>
          </cell>
          <cell r="B1167" t="str">
            <v>ZES</v>
          </cell>
          <cell r="C1167" t="str">
            <v>ODU-IP-10G-RFU 15 GHZ TH</v>
          </cell>
        </row>
        <row r="1168">
          <cell r="A1168">
            <v>30001013</v>
          </cell>
          <cell r="B1168" t="str">
            <v>ZES</v>
          </cell>
          <cell r="C1168" t="str">
            <v>ODU-IP-10G-RFU 7 GHZ TL</v>
          </cell>
        </row>
        <row r="1169">
          <cell r="A1169">
            <v>30001015</v>
          </cell>
          <cell r="B1169" t="str">
            <v>ZES</v>
          </cell>
          <cell r="C1169" t="str">
            <v>ODU-IP-10G-RFU 7 GHZ TH</v>
          </cell>
        </row>
        <row r="1170">
          <cell r="A1170">
            <v>30001017</v>
          </cell>
          <cell r="B1170" t="str">
            <v>ZES</v>
          </cell>
          <cell r="C1170" t="str">
            <v>RFU-CX-8-311A-IW4-TH</v>
          </cell>
        </row>
        <row r="1171">
          <cell r="A1171">
            <v>30001019</v>
          </cell>
          <cell r="B1171" t="str">
            <v>ZES</v>
          </cell>
          <cell r="C1171" t="str">
            <v>RFU-CX-8-311A-IW4-TL</v>
          </cell>
        </row>
        <row r="1172">
          <cell r="A1172">
            <v>30001021</v>
          </cell>
          <cell r="B1172" t="str">
            <v>ZES</v>
          </cell>
          <cell r="C1172" t="str">
            <v>RFU-CX-8-311A-5W 8-TH</v>
          </cell>
        </row>
        <row r="1173">
          <cell r="A1173">
            <v>30001024</v>
          </cell>
          <cell r="B1173" t="str">
            <v>ZES</v>
          </cell>
          <cell r="C1173" t="str">
            <v>RFU-CX-8-311A-5W 8-TL</v>
          </cell>
        </row>
        <row r="1174">
          <cell r="A1174">
            <v>30001026</v>
          </cell>
          <cell r="B1174" t="str">
            <v>ZES</v>
          </cell>
          <cell r="C1174" t="str">
            <v>RFU-CX-7-16IP-W 2-TH(B05)(VER C2.13 B7)</v>
          </cell>
        </row>
        <row r="1175">
          <cell r="A1175">
            <v>30001027</v>
          </cell>
          <cell r="B1175" t="str">
            <v>ZES</v>
          </cell>
          <cell r="C1175" t="str">
            <v>BLANK PANNEL GPON OLT LST20016 BLK</v>
          </cell>
        </row>
        <row r="1176">
          <cell r="A1176">
            <v>30001028</v>
          </cell>
          <cell r="B1176" t="str">
            <v>ZES</v>
          </cell>
          <cell r="C1176" t="str">
            <v>RFU-CX-7-I6IP-W 2-TH(VER C2.13 B7)</v>
          </cell>
        </row>
        <row r="1177">
          <cell r="A1177">
            <v>30001031</v>
          </cell>
          <cell r="B1177" t="str">
            <v>ZES</v>
          </cell>
          <cell r="C1177" t="str">
            <v>RFU-CX-7-I6IP-W 4-TH(VER C2.13 B5)</v>
          </cell>
        </row>
        <row r="1178">
          <cell r="A1178">
            <v>30001032</v>
          </cell>
          <cell r="B1178" t="str">
            <v>ZES</v>
          </cell>
          <cell r="C1178" t="str">
            <v>RFU-CX-7-I6IP-W 4-TH(B05)(VER C2.13 B7)</v>
          </cell>
        </row>
        <row r="1179">
          <cell r="A1179">
            <v>30001033</v>
          </cell>
          <cell r="B1179" t="str">
            <v>ZES</v>
          </cell>
          <cell r="C1179" t="str">
            <v>RFU-CX-7-I6IP-W 4-TL(B05)(VER C2.13 B7)</v>
          </cell>
        </row>
        <row r="1180">
          <cell r="A1180">
            <v>30001034</v>
          </cell>
          <cell r="B1180" t="str">
            <v>ZES</v>
          </cell>
          <cell r="C1180" t="str">
            <v>RFU-CX-7-16IP-W 3-TH(VER C2.13 B7)</v>
          </cell>
        </row>
        <row r="1181">
          <cell r="A1181">
            <v>30001035</v>
          </cell>
          <cell r="B1181" t="str">
            <v>ZES</v>
          </cell>
          <cell r="C1181" t="str">
            <v>RFU-CX-7-16IP-W 3-TL(VER C2.13 B7)</v>
          </cell>
        </row>
        <row r="1182">
          <cell r="A1182">
            <v>30001036</v>
          </cell>
          <cell r="B1182" t="str">
            <v>ZES</v>
          </cell>
          <cell r="C1182" t="str">
            <v>RFU-CX-7-16IP-W 4-TL(VER C2.13 B5)</v>
          </cell>
        </row>
        <row r="1183">
          <cell r="A1183">
            <v>30001037</v>
          </cell>
          <cell r="B1183" t="str">
            <v>ZES</v>
          </cell>
          <cell r="C1183" t="str">
            <v>RFU-CX-7-16IP-W-5-TH(B05)(VER C2.13 B7)</v>
          </cell>
        </row>
        <row r="1184">
          <cell r="A1184">
            <v>30001038</v>
          </cell>
          <cell r="B1184" t="str">
            <v>ZES</v>
          </cell>
          <cell r="C1184" t="str">
            <v>RFU-CX-7-16IP-W 5-TL(B05)VER C2.13 B7)</v>
          </cell>
        </row>
        <row r="1185">
          <cell r="A1185">
            <v>30001039</v>
          </cell>
          <cell r="B1185" t="str">
            <v>ZES</v>
          </cell>
          <cell r="C1185" t="str">
            <v>CISCO SPA-5XGE LINE CARD FOR ASR1004</v>
          </cell>
        </row>
        <row r="1186">
          <cell r="A1186">
            <v>30001040</v>
          </cell>
          <cell r="B1186" t="str">
            <v>ZES</v>
          </cell>
          <cell r="C1186" t="str">
            <v>CCIB ROJ208468/1</v>
          </cell>
        </row>
        <row r="1187">
          <cell r="A1187">
            <v>30001041</v>
          </cell>
          <cell r="B1187" t="str">
            <v>ZES</v>
          </cell>
          <cell r="C1187" t="str">
            <v>ET-IPG,IGB/S 4PR XAUI ROJ1192345/1</v>
          </cell>
        </row>
        <row r="1188">
          <cell r="A1188">
            <v>30001044</v>
          </cell>
          <cell r="B1188" t="str">
            <v>ZES</v>
          </cell>
          <cell r="C1188" t="str">
            <v>PRINTEDBOARDASSEMB/GARP2-GPH B2/ROJ20849</v>
          </cell>
        </row>
        <row r="1189">
          <cell r="A1189">
            <v>30001045</v>
          </cell>
          <cell r="B1189" t="str">
            <v>ZES</v>
          </cell>
          <cell r="C1189" t="str">
            <v>PRINTEDBOARDASSEMB/XBD-2 ROJ208304/2</v>
          </cell>
        </row>
        <row r="1190">
          <cell r="A1190">
            <v>30001048</v>
          </cell>
          <cell r="B1190" t="str">
            <v>ZES</v>
          </cell>
          <cell r="C1190" t="str">
            <v>POWC(APZ 212 33C) ROJ208437/1</v>
          </cell>
        </row>
        <row r="1191">
          <cell r="A1191">
            <v>30001049</v>
          </cell>
          <cell r="B1191" t="str">
            <v>ZES</v>
          </cell>
          <cell r="C1191" t="str">
            <v>SPU (APZ 212 33C) ROJ208438/1</v>
          </cell>
        </row>
        <row r="1192">
          <cell r="A1192">
            <v>30001053</v>
          </cell>
          <cell r="B1192" t="str">
            <v>ZES</v>
          </cell>
          <cell r="C1192" t="str">
            <v>STAPLE PIN FOR BIL PRINTING MACHINE</v>
          </cell>
        </row>
        <row r="1193">
          <cell r="A1193">
            <v>30001062</v>
          </cell>
          <cell r="B1193" t="str">
            <v>ZES</v>
          </cell>
          <cell r="C1193" t="str">
            <v>FAN BELT T80109107</v>
          </cell>
        </row>
        <row r="1194">
          <cell r="A1194">
            <v>30001065</v>
          </cell>
          <cell r="B1194" t="str">
            <v>ZES</v>
          </cell>
          <cell r="C1194" t="str">
            <v>FUEL FILTER ELEMENT 934-181</v>
          </cell>
        </row>
        <row r="1195">
          <cell r="A1195">
            <v>30001066</v>
          </cell>
          <cell r="B1195" t="str">
            <v>ZES</v>
          </cell>
          <cell r="C1195" t="str">
            <v>PRE-FUEL FILTER 10000-06412</v>
          </cell>
        </row>
        <row r="1196">
          <cell r="A1196">
            <v>30001067</v>
          </cell>
          <cell r="B1196" t="str">
            <v>ZES</v>
          </cell>
          <cell r="C1196" t="str">
            <v xml:space="preserve"> OIL FILTER 901-103</v>
          </cell>
        </row>
        <row r="1197">
          <cell r="A1197">
            <v>30001068</v>
          </cell>
          <cell r="B1197" t="str">
            <v>ZES</v>
          </cell>
          <cell r="C1197" t="str">
            <v>FUEL PUMP 10000-46303</v>
          </cell>
        </row>
        <row r="1198">
          <cell r="A1198">
            <v>30001069</v>
          </cell>
          <cell r="B1198" t="str">
            <v>ZES</v>
          </cell>
          <cell r="C1198" t="str">
            <v>STARTER MOTOR 10000-48830</v>
          </cell>
        </row>
        <row r="1199">
          <cell r="A1199">
            <v>30001070</v>
          </cell>
          <cell r="B1199" t="str">
            <v>ZES</v>
          </cell>
          <cell r="C1199" t="str">
            <v>CHARGING ALTERNATOR 10000-18159</v>
          </cell>
        </row>
        <row r="1200">
          <cell r="A1200">
            <v>30001071</v>
          </cell>
          <cell r="B1200" t="str">
            <v>ZES</v>
          </cell>
          <cell r="C1200" t="str">
            <v>FUEL FILTER PRIMARY 901-248</v>
          </cell>
        </row>
        <row r="1201">
          <cell r="A1201">
            <v>30001072</v>
          </cell>
          <cell r="B1201" t="str">
            <v>ZES</v>
          </cell>
          <cell r="C1201" t="str">
            <v>PRIME PUMP/LIFT PUMP 913-102</v>
          </cell>
        </row>
        <row r="1202">
          <cell r="A1202">
            <v>30001073</v>
          </cell>
          <cell r="B1202" t="str">
            <v>ZES</v>
          </cell>
          <cell r="C1202" t="str">
            <v>LUBE OIL FILTER 996-452</v>
          </cell>
        </row>
        <row r="1203">
          <cell r="A1203">
            <v>30001074</v>
          </cell>
          <cell r="B1203" t="str">
            <v>ZES</v>
          </cell>
          <cell r="C1203" t="str">
            <v>FUSE 500V 10A</v>
          </cell>
        </row>
        <row r="1204">
          <cell r="A1204">
            <v>30001075</v>
          </cell>
          <cell r="B1204" t="str">
            <v>ZES</v>
          </cell>
          <cell r="C1204" t="str">
            <v>FUSE 500V 2A</v>
          </cell>
        </row>
        <row r="1205">
          <cell r="A1205">
            <v>30001076</v>
          </cell>
          <cell r="B1205" t="str">
            <v>ZES</v>
          </cell>
          <cell r="C1205" t="str">
            <v>FUSE 500V 6A</v>
          </cell>
        </row>
        <row r="1206">
          <cell r="A1206">
            <v>30001077</v>
          </cell>
          <cell r="B1206" t="str">
            <v>ZES</v>
          </cell>
          <cell r="C1206" t="str">
            <v>FUSE 500V 6.3A</v>
          </cell>
        </row>
        <row r="1207">
          <cell r="A1207">
            <v>30001078</v>
          </cell>
          <cell r="B1207" t="str">
            <v>ZES</v>
          </cell>
          <cell r="C1207" t="str">
            <v>MPU 635KVA DG</v>
          </cell>
        </row>
        <row r="1208">
          <cell r="A1208">
            <v>30001079</v>
          </cell>
          <cell r="B1208" t="str">
            <v>ZES</v>
          </cell>
          <cell r="C1208" t="str">
            <v>WATER HEATER 240VAC 3000WATTS 288-7232</v>
          </cell>
        </row>
        <row r="1209">
          <cell r="A1209">
            <v>30001080</v>
          </cell>
          <cell r="B1209" t="str">
            <v>ZES</v>
          </cell>
          <cell r="C1209" t="str">
            <v>LIFT PUMP/PRIME PUMP 10000-46312</v>
          </cell>
        </row>
        <row r="1210">
          <cell r="A1210">
            <v>30001081</v>
          </cell>
          <cell r="B1210" t="str">
            <v>ZES</v>
          </cell>
          <cell r="C1210" t="str">
            <v>4G MIFI</v>
          </cell>
        </row>
        <row r="1211">
          <cell r="A1211">
            <v>30001084</v>
          </cell>
          <cell r="B1211" t="str">
            <v>ZES</v>
          </cell>
          <cell r="C1211" t="str">
            <v>PAC FAN</v>
          </cell>
        </row>
        <row r="1212">
          <cell r="A1212">
            <v>30001085</v>
          </cell>
          <cell r="B1212" t="str">
            <v>ZES</v>
          </cell>
          <cell r="C1212" t="str">
            <v>RRU-N-9P, KRC 161 031/2</v>
          </cell>
        </row>
        <row r="1213">
          <cell r="A1213">
            <v>30001086</v>
          </cell>
          <cell r="B1213" t="str">
            <v>ZES</v>
          </cell>
          <cell r="C1213" t="str">
            <v>Y-Link Cable, RPM 119 0202/00900</v>
          </cell>
        </row>
        <row r="1214">
          <cell r="A1214">
            <v>30001087</v>
          </cell>
          <cell r="B1214" t="str">
            <v>ZES</v>
          </cell>
          <cell r="C1214" t="str">
            <v>DUS5201,  KDU137925/3</v>
          </cell>
        </row>
        <row r="1215">
          <cell r="A1215">
            <v>30001088</v>
          </cell>
          <cell r="B1215" t="str">
            <v>ZES</v>
          </cell>
          <cell r="C1215" t="str">
            <v>RRU 2219 B5</v>
          </cell>
        </row>
        <row r="1216">
          <cell r="A1216">
            <v>30001089</v>
          </cell>
          <cell r="B1216" t="str">
            <v>ZES</v>
          </cell>
          <cell r="C1216" t="str">
            <v>Flash card for DXU-23</v>
          </cell>
        </row>
        <row r="1217">
          <cell r="A1217">
            <v>30001090</v>
          </cell>
          <cell r="B1217" t="str">
            <v>ZES</v>
          </cell>
          <cell r="C1217" t="str">
            <v>RRU 2219 B3</v>
          </cell>
        </row>
        <row r="1218">
          <cell r="A1218">
            <v>30001092</v>
          </cell>
          <cell r="B1218" t="str">
            <v>ZES</v>
          </cell>
          <cell r="C1218" t="str">
            <v>ETX-5300A-ETH/20XGE/SFP</v>
          </cell>
        </row>
        <row r="1219">
          <cell r="A1219">
            <v>30001093</v>
          </cell>
          <cell r="B1219" t="str">
            <v>ZES</v>
          </cell>
          <cell r="C1219" t="str">
            <v>ETX-205A/DC/19/8E1T1/PTP</v>
          </cell>
        </row>
        <row r="1220">
          <cell r="A1220">
            <v>30001095</v>
          </cell>
          <cell r="B1220" t="str">
            <v>ZES</v>
          </cell>
          <cell r="C1220" t="str">
            <v>FAN MODULE FOR TAM-MS</v>
          </cell>
        </row>
        <row r="1221">
          <cell r="A1221">
            <v>30001096</v>
          </cell>
          <cell r="B1221" t="str">
            <v>ZES</v>
          </cell>
          <cell r="C1221" t="str">
            <v>MAIN SHELF FOR TAM-MS</v>
          </cell>
        </row>
        <row r="1222">
          <cell r="A1222">
            <v>30001097</v>
          </cell>
          <cell r="B1222" t="str">
            <v>ZES</v>
          </cell>
          <cell r="C1222" t="str">
            <v>CONTROL UNIT FOR MAIN SHELF OF TAM-MS</v>
          </cell>
        </row>
        <row r="1223">
          <cell r="A1223">
            <v>30001098</v>
          </cell>
          <cell r="B1223" t="str">
            <v>ZES</v>
          </cell>
          <cell r="C1223" t="str">
            <v>RING GENERATOR FOR TAM-MS</v>
          </cell>
        </row>
        <row r="1224">
          <cell r="A1224">
            <v>30001118</v>
          </cell>
          <cell r="B1224" t="str">
            <v>ZES</v>
          </cell>
          <cell r="C1224" t="str">
            <v>L3 MANAGEABLE SWITCH,24PORT(2Nos10G PORT</v>
          </cell>
        </row>
        <row r="1225">
          <cell r="A1225">
            <v>30001119</v>
          </cell>
          <cell r="B1225" t="str">
            <v>ZES</v>
          </cell>
          <cell r="C1225" t="str">
            <v>L3MANAGEABLE SWITCH,24Port( 12 port 1G)</v>
          </cell>
        </row>
        <row r="1226">
          <cell r="A1226">
            <v>30001120</v>
          </cell>
          <cell r="B1226" t="str">
            <v>ZES</v>
          </cell>
          <cell r="C1226" t="str">
            <v>ROJ208866/5 MSS/UIB/CCN-GEP5-64</v>
          </cell>
        </row>
        <row r="1227">
          <cell r="A1227">
            <v>30001121</v>
          </cell>
          <cell r="B1227" t="str">
            <v>ZES</v>
          </cell>
          <cell r="C1227" t="str">
            <v>ROJ208867/5 MSS/UIB/CCN-GEP5-64-1200</v>
          </cell>
        </row>
        <row r="1228">
          <cell r="A1228">
            <v>30001122</v>
          </cell>
          <cell r="B1228" t="str">
            <v>ZES</v>
          </cell>
          <cell r="C1228" t="str">
            <v>BFD538002/1 EGEM2 SUBRACK+BACKPLANE</v>
          </cell>
        </row>
        <row r="1229">
          <cell r="A1229">
            <v>30001123</v>
          </cell>
          <cell r="B1229" t="str">
            <v>ZES</v>
          </cell>
          <cell r="C1229" t="str">
            <v>ROJ208868/5 GEP5-64-400</v>
          </cell>
        </row>
        <row r="1230">
          <cell r="A1230">
            <v>30001124</v>
          </cell>
          <cell r="B1230" t="str">
            <v>ZES</v>
          </cell>
          <cell r="C1230" t="str">
            <v>ROJ1192109/3 SXB3</v>
          </cell>
        </row>
        <row r="1231">
          <cell r="A1231">
            <v>30001125</v>
          </cell>
          <cell r="B1231" t="str">
            <v>ZES</v>
          </cell>
          <cell r="C1231" t="str">
            <v>ROA1284190/2 RPSW(CONTROLLER) CARD,64G</v>
          </cell>
        </row>
        <row r="1232">
          <cell r="A1232">
            <v>30001126</v>
          </cell>
          <cell r="B1232" t="str">
            <v>ZES</v>
          </cell>
          <cell r="C1232" t="str">
            <v>ROJ208392/1 CMXB3 EGEM2</v>
          </cell>
        </row>
        <row r="1233">
          <cell r="A1233">
            <v>30001127</v>
          </cell>
          <cell r="B1233" t="str">
            <v>ZES</v>
          </cell>
          <cell r="C1233" t="str">
            <v>ROJ208395/1 SCXB3</v>
          </cell>
        </row>
        <row r="1234">
          <cell r="A1234">
            <v>30001128</v>
          </cell>
          <cell r="B1234" t="str">
            <v>ZES</v>
          </cell>
          <cell r="C1234" t="str">
            <v>ROJ1192104/4 TUB; TIMING BOARD</v>
          </cell>
        </row>
        <row r="1235">
          <cell r="A1235">
            <v>30001131</v>
          </cell>
          <cell r="B1235" t="str">
            <v>ZES</v>
          </cell>
          <cell r="C1235" t="str">
            <v>SRX-XFP-10GE Transceiver Juniper</v>
          </cell>
        </row>
        <row r="1236">
          <cell r="A1236">
            <v>30001132</v>
          </cell>
          <cell r="B1236" t="str">
            <v>ZES</v>
          </cell>
          <cell r="C1236" t="str">
            <v>Juniper SRX-IOC-4XGE Line Card for SRX</v>
          </cell>
        </row>
        <row r="1237">
          <cell r="A1237">
            <v>40000064</v>
          </cell>
          <cell r="B1237" t="str">
            <v>ZGN</v>
          </cell>
          <cell r="C1237" t="str">
            <v>SLEEPING MAT</v>
          </cell>
        </row>
        <row r="1238">
          <cell r="A1238">
            <v>40000065</v>
          </cell>
          <cell r="B1238" t="str">
            <v>ZGN</v>
          </cell>
          <cell r="C1238" t="str">
            <v>SLEEPING BAG</v>
          </cell>
        </row>
        <row r="1239">
          <cell r="A1239">
            <v>40000127</v>
          </cell>
          <cell r="B1239" t="str">
            <v>ZGN</v>
          </cell>
          <cell r="C1239" t="str">
            <v>RJ 45 (best quality)</v>
          </cell>
        </row>
        <row r="1240">
          <cell r="A1240">
            <v>40000323</v>
          </cell>
          <cell r="B1240" t="str">
            <v>ZGN</v>
          </cell>
          <cell r="C1240" t="str">
            <v>UY CONNECTOR 0.4-0.6MM</v>
          </cell>
        </row>
        <row r="1241">
          <cell r="A1241">
            <v>900000001</v>
          </cell>
          <cell r="B1241" t="str">
            <v>ZTRD</v>
          </cell>
          <cell r="C1241" t="str">
            <v>SIM CARD POSTPAID</v>
          </cell>
        </row>
        <row r="1242">
          <cell r="A1242">
            <v>900000002</v>
          </cell>
          <cell r="B1242" t="str">
            <v>ZTRD</v>
          </cell>
          <cell r="C1242" t="str">
            <v>SIM CARD PREPAID</v>
          </cell>
        </row>
        <row r="1243">
          <cell r="A1243">
            <v>900000003</v>
          </cell>
          <cell r="B1243" t="str">
            <v>ZTRD</v>
          </cell>
          <cell r="C1243" t="str">
            <v>PREPAID VOUCHER NU.399</v>
          </cell>
        </row>
        <row r="1244">
          <cell r="A1244">
            <v>900000004</v>
          </cell>
          <cell r="B1244" t="str">
            <v>ZTRD</v>
          </cell>
          <cell r="C1244" t="str">
            <v>VOUCHER MOBILE NU.300</v>
          </cell>
        </row>
        <row r="1245">
          <cell r="A1245">
            <v>900000005</v>
          </cell>
          <cell r="B1245" t="str">
            <v>ZTRD</v>
          </cell>
          <cell r="C1245" t="str">
            <v>VOUCHER MOBILE NU.500</v>
          </cell>
        </row>
        <row r="1246">
          <cell r="A1246">
            <v>900000006</v>
          </cell>
          <cell r="B1246" t="str">
            <v>ZTRD</v>
          </cell>
          <cell r="C1246" t="str">
            <v>VOUCHER MOBILE NU.200</v>
          </cell>
        </row>
        <row r="1247">
          <cell r="A1247">
            <v>900000008</v>
          </cell>
          <cell r="B1247" t="str">
            <v>ZTRD</v>
          </cell>
          <cell r="C1247" t="str">
            <v>3G DATA CARD</v>
          </cell>
        </row>
        <row r="1248">
          <cell r="A1248">
            <v>900000009</v>
          </cell>
          <cell r="B1248" t="str">
            <v>ZTRD</v>
          </cell>
          <cell r="C1248" t="str">
            <v>ADSL2+ IPV6 WIRED</v>
          </cell>
        </row>
        <row r="1249">
          <cell r="A1249">
            <v>900000011</v>
          </cell>
          <cell r="B1249" t="str">
            <v>ZTRD</v>
          </cell>
          <cell r="C1249" t="str">
            <v>PREPAID VOUCHER FOR NU. 2499</v>
          </cell>
        </row>
        <row r="1250">
          <cell r="A1250">
            <v>900000012</v>
          </cell>
          <cell r="B1250" t="str">
            <v>ZTRD</v>
          </cell>
          <cell r="C1250" t="str">
            <v>PREPAID VOUCHER  NU. 1499</v>
          </cell>
        </row>
        <row r="1251">
          <cell r="A1251">
            <v>900000013</v>
          </cell>
          <cell r="B1251" t="str">
            <v>ZTRD</v>
          </cell>
          <cell r="C1251" t="str">
            <v>VOUCHER MOBILE NU.100</v>
          </cell>
        </row>
        <row r="1252">
          <cell r="A1252">
            <v>900000014</v>
          </cell>
          <cell r="B1252" t="str">
            <v>ZTRD</v>
          </cell>
          <cell r="C1252" t="str">
            <v>VOUCHER MOBILE NU.50</v>
          </cell>
        </row>
        <row r="1253">
          <cell r="A1253">
            <v>900000015</v>
          </cell>
          <cell r="B1253" t="str">
            <v>ZTRD</v>
          </cell>
          <cell r="C1253" t="str">
            <v>ADSL MODEM</v>
          </cell>
        </row>
        <row r="1254">
          <cell r="A1254">
            <v>900000017</v>
          </cell>
          <cell r="B1254" t="str">
            <v>ZTRD</v>
          </cell>
          <cell r="C1254" t="str">
            <v>4G LTE HUAWEI E3272WIRELESS  AIRCARD320U</v>
          </cell>
        </row>
        <row r="1255">
          <cell r="A1255">
            <v>900000018</v>
          </cell>
          <cell r="B1255" t="str">
            <v>ZTRD</v>
          </cell>
          <cell r="C1255" t="str">
            <v>4G LTE TELSTRA WIRELESS LTE AIRCARD 320U</v>
          </cell>
        </row>
        <row r="1256">
          <cell r="A1256">
            <v>900000020</v>
          </cell>
          <cell r="B1256" t="str">
            <v>ZTRD</v>
          </cell>
          <cell r="C1256" t="str">
            <v>Tourist SIM, 4G Prepaid</v>
          </cell>
        </row>
        <row r="1257">
          <cell r="A1257">
            <v>900000026</v>
          </cell>
          <cell r="B1257" t="str">
            <v>ZTRD</v>
          </cell>
          <cell r="C1257" t="str">
            <v>ADSL MODEM/CPE (WIRELESS) DSL-2730-U</v>
          </cell>
        </row>
        <row r="1258">
          <cell r="A1258">
            <v>900000027</v>
          </cell>
          <cell r="B1258" t="str">
            <v>ZTRD</v>
          </cell>
          <cell r="C1258" t="str">
            <v>ADSL MODEM/CPE(WIRED WITHJ IPV6 SUPPORT)</v>
          </cell>
        </row>
        <row r="1259">
          <cell r="A1259">
            <v>900000051</v>
          </cell>
          <cell r="B1259" t="str">
            <v>ZTRD</v>
          </cell>
          <cell r="C1259" t="str">
            <v>MOTOROLLA E PHONES</v>
          </cell>
        </row>
        <row r="1260">
          <cell r="A1260">
            <v>900000052</v>
          </cell>
          <cell r="B1260" t="str">
            <v>ZTRD</v>
          </cell>
          <cell r="C1260" t="str">
            <v>MOBILE POUCH</v>
          </cell>
        </row>
        <row r="1261">
          <cell r="A1261">
            <v>900000053</v>
          </cell>
          <cell r="B1261" t="str">
            <v>ZTRD</v>
          </cell>
          <cell r="C1261" t="str">
            <v>IP Camera + Wireless, Indoor</v>
          </cell>
        </row>
        <row r="1262">
          <cell r="A1262">
            <v>900000055</v>
          </cell>
          <cell r="B1262" t="str">
            <v>ZTRD</v>
          </cell>
          <cell r="C1262" t="str">
            <v>IP Camera, Outdoor</v>
          </cell>
        </row>
        <row r="1263">
          <cell r="A1263">
            <v>900000056</v>
          </cell>
          <cell r="B1263" t="str">
            <v>ZTRD</v>
          </cell>
          <cell r="C1263" t="str">
            <v>NVR ( do not use0</v>
          </cell>
        </row>
        <row r="1264">
          <cell r="A1264">
            <v>900000062</v>
          </cell>
          <cell r="B1264" t="str">
            <v>ZTRD</v>
          </cell>
          <cell r="C1264" t="str">
            <v>16 CHANNEL NVR(NETWORK VEDIO RECORDER)</v>
          </cell>
        </row>
        <row r="1265">
          <cell r="A1265">
            <v>900000073</v>
          </cell>
          <cell r="B1265" t="str">
            <v>ZTRD</v>
          </cell>
          <cell r="C1265" t="str">
            <v>MEDIA CONVERTER 10/100M,SINGLE FIBER1310</v>
          </cell>
        </row>
        <row r="1266">
          <cell r="A1266">
            <v>900000078</v>
          </cell>
          <cell r="B1266" t="str">
            <v>ZTRD</v>
          </cell>
          <cell r="C1266" t="str">
            <v>SIMCARD PREPAID 64KCOMBI(2FF,3FF&amp;4FF)</v>
          </cell>
        </row>
        <row r="1267">
          <cell r="A1267">
            <v>900000080</v>
          </cell>
          <cell r="B1267" t="str">
            <v>ZTRD</v>
          </cell>
          <cell r="C1267" t="str">
            <v>8 CHANNEL NVR(NETWORK VEDIO RECORDER)</v>
          </cell>
        </row>
        <row r="1268">
          <cell r="A1268">
            <v>900000090</v>
          </cell>
          <cell r="B1268" t="str">
            <v>ZTRD</v>
          </cell>
          <cell r="C1268" t="str">
            <v>3MP INDOOR CAM10X ZOOM MINI PTZ WITH POE</v>
          </cell>
        </row>
        <row r="1269">
          <cell r="A1269">
            <v>900000092</v>
          </cell>
          <cell r="B1269" t="str">
            <v>ZTRD</v>
          </cell>
          <cell r="C1269" t="str">
            <v>SET-TOP BOX</v>
          </cell>
        </row>
        <row r="1270">
          <cell r="A1270">
            <v>900000095</v>
          </cell>
          <cell r="B1270" t="str">
            <v>ZTRD</v>
          </cell>
          <cell r="C1270" t="str">
            <v>ROUTR C841M-4X/K9 WITH ACCESSORIES</v>
          </cell>
        </row>
        <row r="1271">
          <cell r="A1271">
            <v>900000097</v>
          </cell>
          <cell r="B1271" t="str">
            <v>ZTRD</v>
          </cell>
          <cell r="C1271" t="str">
            <v>WIFI VOUCHER NU.20</v>
          </cell>
        </row>
        <row r="1272">
          <cell r="A1272">
            <v>900000098</v>
          </cell>
          <cell r="B1272" t="str">
            <v>ZTRD</v>
          </cell>
          <cell r="C1272" t="str">
            <v>WIFI VOUCHER NU.60</v>
          </cell>
        </row>
        <row r="1273">
          <cell r="A1273">
            <v>900000099</v>
          </cell>
          <cell r="B1273" t="str">
            <v>ZTRD</v>
          </cell>
          <cell r="C1273" t="str">
            <v>WIFI VOUCHER NU.100</v>
          </cell>
        </row>
        <row r="1274">
          <cell r="A1274">
            <v>900000100</v>
          </cell>
          <cell r="B1274" t="str">
            <v>ZTRD</v>
          </cell>
          <cell r="C1274" t="str">
            <v>WIFI VOUCHER NU.200</v>
          </cell>
        </row>
        <row r="1275">
          <cell r="A1275">
            <v>900000101</v>
          </cell>
          <cell r="B1275" t="str">
            <v>ZTRD</v>
          </cell>
          <cell r="C1275" t="str">
            <v>WIFI VOUCHER NU.500</v>
          </cell>
        </row>
        <row r="1276">
          <cell r="A1276">
            <v>900000102</v>
          </cell>
          <cell r="B1276" t="str">
            <v>ZTRD</v>
          </cell>
          <cell r="C1276" t="str">
            <v>WIFI DATA PASS VOUCHER Nu.100</v>
          </cell>
        </row>
        <row r="1277">
          <cell r="A1277">
            <v>900000110</v>
          </cell>
          <cell r="B1277" t="str">
            <v>ZTRD</v>
          </cell>
          <cell r="C1277" t="str">
            <v>NUU MOBILE X4</v>
          </cell>
        </row>
        <row r="1278">
          <cell r="A1278">
            <v>900000111</v>
          </cell>
          <cell r="B1278" t="str">
            <v>ZTRD</v>
          </cell>
          <cell r="C1278" t="str">
            <v>NUU MOBILE N4L</v>
          </cell>
        </row>
        <row r="1279">
          <cell r="A1279">
            <v>900000112</v>
          </cell>
          <cell r="B1279" t="str">
            <v>ZTRD</v>
          </cell>
          <cell r="C1279" t="str">
            <v>TEMPERED GLASS  for IPHONE 5/5S</v>
          </cell>
        </row>
        <row r="1280">
          <cell r="A1280">
            <v>900000113</v>
          </cell>
          <cell r="B1280" t="str">
            <v>ZTRD</v>
          </cell>
          <cell r="C1280" t="str">
            <v>TEMPERED GLASS for  IPHONE 6/6S</v>
          </cell>
        </row>
        <row r="1281">
          <cell r="A1281">
            <v>900000114</v>
          </cell>
          <cell r="B1281" t="str">
            <v>ZTRD</v>
          </cell>
          <cell r="C1281" t="str">
            <v>TEMPERED GLASS for IPHONE 6+/6S+</v>
          </cell>
        </row>
        <row r="1282">
          <cell r="A1282">
            <v>900000115</v>
          </cell>
          <cell r="B1282" t="str">
            <v>ZTRD</v>
          </cell>
          <cell r="C1282" t="str">
            <v>TEMPERED GLASS for S.GALAXY S7 EDGE</v>
          </cell>
        </row>
        <row r="1283">
          <cell r="A1283">
            <v>900000116</v>
          </cell>
          <cell r="B1283" t="str">
            <v>ZTRD</v>
          </cell>
          <cell r="C1283" t="str">
            <v>TEMPERED CLASS S.GALAXY S6 EDGE</v>
          </cell>
        </row>
        <row r="1284">
          <cell r="A1284">
            <v>900000117</v>
          </cell>
          <cell r="B1284" t="str">
            <v>ZTRD</v>
          </cell>
          <cell r="C1284" t="str">
            <v>TEMPERED CLASS for S.GALAXY S6</v>
          </cell>
        </row>
        <row r="1285">
          <cell r="A1285">
            <v>900000118</v>
          </cell>
          <cell r="B1285" t="str">
            <v>ZTRD</v>
          </cell>
          <cell r="C1285" t="str">
            <v>TEMPERED GLASS S.GALAXY A5(2016)</v>
          </cell>
        </row>
        <row r="1286">
          <cell r="A1286">
            <v>900000119</v>
          </cell>
          <cell r="B1286" t="str">
            <v>ZTRD</v>
          </cell>
          <cell r="C1286" t="str">
            <v>TEMPERED GLASS for S.GALAXY A7(2016)</v>
          </cell>
        </row>
        <row r="1287">
          <cell r="A1287">
            <v>900000120</v>
          </cell>
          <cell r="B1287" t="str">
            <v>ZTRD</v>
          </cell>
          <cell r="C1287" t="str">
            <v>TEMPERED GLASS for S.GALAXY J7(2016)</v>
          </cell>
        </row>
        <row r="1288">
          <cell r="A1288">
            <v>900000121</v>
          </cell>
          <cell r="B1288" t="str">
            <v>ZTRD</v>
          </cell>
          <cell r="C1288" t="str">
            <v>TEMPERED GLASS for S.GALAXY E7(2016)</v>
          </cell>
        </row>
        <row r="1289">
          <cell r="A1289">
            <v>900000122</v>
          </cell>
          <cell r="B1289" t="str">
            <v>ZTRD</v>
          </cell>
          <cell r="C1289" t="str">
            <v>TEMPERED GLASS forS.GRAND PRIME VE(G531)</v>
          </cell>
        </row>
        <row r="1290">
          <cell r="A1290">
            <v>900000123</v>
          </cell>
          <cell r="B1290" t="str">
            <v>ZTRD</v>
          </cell>
          <cell r="C1290" t="str">
            <v>LEATHER BOOK CASE for IPHONE6/6S</v>
          </cell>
        </row>
        <row r="1291">
          <cell r="A1291">
            <v>900000124</v>
          </cell>
          <cell r="B1291" t="str">
            <v>ZTRD</v>
          </cell>
          <cell r="C1291" t="str">
            <v>LEATHER BOOK CASE for IPHONE6+/6S+</v>
          </cell>
        </row>
        <row r="1292">
          <cell r="A1292">
            <v>900000125</v>
          </cell>
          <cell r="B1292" t="str">
            <v>ZTRD</v>
          </cell>
          <cell r="C1292" t="str">
            <v>360 TRANSPARENT TPU CASE IPHONE 5/5S</v>
          </cell>
        </row>
        <row r="1293">
          <cell r="A1293">
            <v>900000126</v>
          </cell>
          <cell r="B1293" t="str">
            <v>ZTRD</v>
          </cell>
          <cell r="C1293" t="str">
            <v>360 TRANSPARENT TPU CASE IPHONE 6/6S</v>
          </cell>
        </row>
        <row r="1294">
          <cell r="A1294">
            <v>900000127</v>
          </cell>
          <cell r="B1294" t="str">
            <v>ZTRD</v>
          </cell>
          <cell r="C1294" t="str">
            <v>360 TRANSPARENT TPU CASE IPHONE 6+/6S+</v>
          </cell>
        </row>
        <row r="1295">
          <cell r="A1295">
            <v>900000128</v>
          </cell>
          <cell r="B1295" t="str">
            <v>ZTRD</v>
          </cell>
          <cell r="C1295" t="str">
            <v>360 TRANSPARENT TPU CASE S.GALAXY S7Edge</v>
          </cell>
        </row>
        <row r="1296">
          <cell r="A1296">
            <v>900000129</v>
          </cell>
          <cell r="B1296" t="str">
            <v>ZTRD</v>
          </cell>
          <cell r="C1296" t="str">
            <v>360 TRANSPARENT TPU CASE S. GALAXY S7</v>
          </cell>
        </row>
        <row r="1297">
          <cell r="A1297">
            <v>900000130</v>
          </cell>
          <cell r="B1297" t="str">
            <v>ZTRD</v>
          </cell>
          <cell r="C1297" t="str">
            <v>360 TRANSPARENT TPU CASES.GALAXYS6edge</v>
          </cell>
        </row>
        <row r="1298">
          <cell r="A1298">
            <v>900000131</v>
          </cell>
          <cell r="B1298" t="str">
            <v>ZTRD</v>
          </cell>
          <cell r="C1298" t="str">
            <v>360 TRANSPARENT TPU CASE S. GALAXY S6</v>
          </cell>
        </row>
        <row r="1299">
          <cell r="A1299">
            <v>900000132</v>
          </cell>
          <cell r="B1299" t="str">
            <v>ZTRD</v>
          </cell>
          <cell r="C1299" t="str">
            <v>360 TRANSPARENT TPU CASE  S. GALAXY A5</v>
          </cell>
        </row>
        <row r="1300">
          <cell r="A1300">
            <v>900000133</v>
          </cell>
          <cell r="B1300" t="str">
            <v>ZTRD</v>
          </cell>
          <cell r="C1300" t="str">
            <v>PLAIN LEATHER MAGNETBOOKCASE IPHONE 6/6S</v>
          </cell>
        </row>
        <row r="1301">
          <cell r="A1301">
            <v>900000134</v>
          </cell>
          <cell r="B1301" t="str">
            <v>ZTRD</v>
          </cell>
          <cell r="C1301" t="str">
            <v>PLAIN LEATHERMAGNETBOOKCASEIPHONE6+/6S+</v>
          </cell>
        </row>
        <row r="1302">
          <cell r="A1302">
            <v>900000135</v>
          </cell>
          <cell r="B1302" t="str">
            <v>ZTRD</v>
          </cell>
          <cell r="C1302" t="str">
            <v>TRANSPARENT TPU CASE IPHONE6/6SGOLD/PInk</v>
          </cell>
        </row>
        <row r="1303">
          <cell r="A1303">
            <v>900000136</v>
          </cell>
          <cell r="B1303" t="str">
            <v>ZTRD</v>
          </cell>
          <cell r="C1303" t="str">
            <v>TRANSPARENTTPUCASEPHONE 6+/6S+ GOLD/PINK</v>
          </cell>
        </row>
        <row r="1304">
          <cell r="A1304">
            <v>900000138</v>
          </cell>
          <cell r="B1304" t="str">
            <v>ZTRD</v>
          </cell>
          <cell r="C1304" t="str">
            <v>TRANSPARENT TPU CASE S.GALAXY J7(2016)</v>
          </cell>
        </row>
        <row r="1305">
          <cell r="A1305">
            <v>900000139</v>
          </cell>
          <cell r="B1305" t="str">
            <v>ZTRD</v>
          </cell>
          <cell r="C1305" t="str">
            <v>DIAMON-DESIGN TPU CASE 6/6S BLACK/SILVER</v>
          </cell>
        </row>
        <row r="1306">
          <cell r="A1306">
            <v>900000140</v>
          </cell>
          <cell r="B1306" t="str">
            <v>ZTRD</v>
          </cell>
          <cell r="C1306" t="str">
            <v>DENIM BOOKCASE IPHONE 6+/6S+ BLACK/BLUE/</v>
          </cell>
        </row>
        <row r="1307">
          <cell r="A1307">
            <v>900000141</v>
          </cell>
          <cell r="B1307" t="str">
            <v>ZTRD</v>
          </cell>
          <cell r="C1307" t="str">
            <v>DENIM BOOKCASE IPHONE 6/6S BLACK/BLUE/</v>
          </cell>
        </row>
        <row r="1308">
          <cell r="A1308">
            <v>900000142</v>
          </cell>
          <cell r="B1308" t="str">
            <v>ZTRD</v>
          </cell>
          <cell r="C1308" t="str">
            <v>PLAINLEATHER MAGNETBOOKCASE S.GALAXY A5</v>
          </cell>
        </row>
        <row r="1309">
          <cell r="A1309">
            <v>900000143</v>
          </cell>
          <cell r="B1309" t="str">
            <v>ZTRD</v>
          </cell>
          <cell r="C1309" t="str">
            <v>TRANSPARENT SLIM TPU IPHONE 5/5S</v>
          </cell>
        </row>
        <row r="1310">
          <cell r="A1310">
            <v>900000144</v>
          </cell>
          <cell r="B1310" t="str">
            <v>ZTRD</v>
          </cell>
          <cell r="C1310" t="str">
            <v>TRANSPARENT SLIM TPU IPHONE 6/6S</v>
          </cell>
        </row>
        <row r="1311">
          <cell r="A1311">
            <v>900000145</v>
          </cell>
          <cell r="B1311" t="str">
            <v>ZTRD</v>
          </cell>
          <cell r="C1311" t="str">
            <v>TRANSPARENT SLIM TPU IPHONE 6+/6S+</v>
          </cell>
        </row>
        <row r="1312">
          <cell r="A1312">
            <v>900000146</v>
          </cell>
          <cell r="B1312" t="str">
            <v>ZTRD</v>
          </cell>
          <cell r="C1312" t="str">
            <v>TRANSPARENT SLIM TPU S.GALAXY S7 EDGE</v>
          </cell>
        </row>
        <row r="1313">
          <cell r="A1313">
            <v>900000147</v>
          </cell>
          <cell r="B1313" t="str">
            <v>ZTRD</v>
          </cell>
          <cell r="C1313" t="str">
            <v>TRANSPARENT SLIM TPU S.GALAXY S7</v>
          </cell>
        </row>
        <row r="1314">
          <cell r="A1314">
            <v>900000148</v>
          </cell>
          <cell r="B1314" t="str">
            <v>ZTRD</v>
          </cell>
          <cell r="C1314" t="str">
            <v>TRANSPARENT SLIM TPU S.GALAXY S6 EDGE</v>
          </cell>
        </row>
        <row r="1315">
          <cell r="A1315">
            <v>900000149</v>
          </cell>
          <cell r="B1315" t="str">
            <v>ZTRD</v>
          </cell>
          <cell r="C1315" t="str">
            <v>TRANSPARENT SLIM TPU S.GALAXY S6</v>
          </cell>
        </row>
        <row r="1316">
          <cell r="A1316">
            <v>900000150</v>
          </cell>
          <cell r="B1316" t="str">
            <v>ZTRD</v>
          </cell>
          <cell r="C1316" t="str">
            <v>TRANSPARENT SLIM TPU S.GALAXY A5(2016)</v>
          </cell>
        </row>
        <row r="1317">
          <cell r="A1317">
            <v>900000151</v>
          </cell>
          <cell r="B1317" t="str">
            <v>ZTRD</v>
          </cell>
          <cell r="C1317" t="str">
            <v>TRANSPARENT SLIM TPU S.GALAXY A7(2016)</v>
          </cell>
        </row>
        <row r="1318">
          <cell r="A1318">
            <v>900000152</v>
          </cell>
          <cell r="B1318" t="str">
            <v>ZTRD</v>
          </cell>
          <cell r="C1318" t="str">
            <v>TRANSPARENT SLIM TPU S.GALAXY J7(2016)</v>
          </cell>
        </row>
        <row r="1319">
          <cell r="A1319">
            <v>900000153</v>
          </cell>
          <cell r="B1319" t="str">
            <v>ZTRD</v>
          </cell>
          <cell r="C1319" t="str">
            <v>TRANSPARENT SLIMTPU S.GRAND PRIME</v>
          </cell>
        </row>
        <row r="1320">
          <cell r="A1320">
            <v>900000154</v>
          </cell>
          <cell r="B1320" t="str">
            <v>ZTRD</v>
          </cell>
          <cell r="C1320" t="str">
            <v>CROCODILE SKIN for PC CASE IPHONE 6/6S</v>
          </cell>
        </row>
        <row r="1321">
          <cell r="A1321">
            <v>900000155</v>
          </cell>
          <cell r="B1321" t="str">
            <v>ZTRD</v>
          </cell>
          <cell r="C1321" t="str">
            <v>CROCODILE SKIN for PC CASE IPHONE 6+/6S+</v>
          </cell>
        </row>
        <row r="1322">
          <cell r="A1322">
            <v>900000156</v>
          </cell>
          <cell r="B1322" t="str">
            <v>ZTRD</v>
          </cell>
          <cell r="C1322" t="str">
            <v>MERCURY BOOK CASE IPHONE 5/5S</v>
          </cell>
        </row>
        <row r="1323">
          <cell r="A1323">
            <v>900000157</v>
          </cell>
          <cell r="B1323" t="str">
            <v>ZTRD</v>
          </cell>
          <cell r="C1323" t="str">
            <v>MERCURY BOOK CASE IPHONE 6/6S</v>
          </cell>
        </row>
        <row r="1324">
          <cell r="A1324">
            <v>900000158</v>
          </cell>
          <cell r="B1324" t="str">
            <v>ZTRD</v>
          </cell>
          <cell r="C1324" t="str">
            <v>MERCURY BOOK CASE IPHONE 6+/6S+</v>
          </cell>
        </row>
        <row r="1325">
          <cell r="A1325">
            <v>900000159</v>
          </cell>
          <cell r="B1325" t="str">
            <v>ZTRD</v>
          </cell>
          <cell r="C1325" t="str">
            <v>MERCURY BOOK CASE S.GALAXY S6 EDGE</v>
          </cell>
        </row>
        <row r="1326">
          <cell r="A1326">
            <v>900000160</v>
          </cell>
          <cell r="B1326" t="str">
            <v>ZTRD</v>
          </cell>
          <cell r="C1326" t="str">
            <v>MERCURY BOOK CASE S.GALAXY A5(2016)</v>
          </cell>
        </row>
        <row r="1327">
          <cell r="A1327">
            <v>900000161</v>
          </cell>
          <cell r="B1327" t="str">
            <v>ZTRD</v>
          </cell>
          <cell r="C1327" t="str">
            <v>MERCURY BOOK CASE S.GALAXY A7(2016)</v>
          </cell>
        </row>
        <row r="1328">
          <cell r="A1328">
            <v>900000162</v>
          </cell>
          <cell r="B1328" t="str">
            <v>ZTRD</v>
          </cell>
          <cell r="C1328" t="str">
            <v>3D ETCHEDHARDPCCASE CUSTOMIZEDIPHONE5/6S</v>
          </cell>
        </row>
        <row r="1329">
          <cell r="A1329">
            <v>900000163</v>
          </cell>
          <cell r="B1329" t="str">
            <v>ZTRD</v>
          </cell>
          <cell r="C1329" t="str">
            <v>UNIVERSAL TABLET ROTATABLE BOOKCASE 9.0"</v>
          </cell>
        </row>
        <row r="1330">
          <cell r="A1330">
            <v>900000165</v>
          </cell>
          <cell r="B1330" t="str">
            <v>ZTRD</v>
          </cell>
          <cell r="C1330" t="str">
            <v>BLING BLING CASE IPHONE 6/6S</v>
          </cell>
        </row>
        <row r="1331">
          <cell r="A1331">
            <v>900000166</v>
          </cell>
          <cell r="B1331" t="str">
            <v>ZTRD</v>
          </cell>
          <cell r="C1331" t="str">
            <v>BLING BLING CASE IPHONE 6+/6S+</v>
          </cell>
        </row>
        <row r="1332">
          <cell r="A1332">
            <v>900000167</v>
          </cell>
          <cell r="B1332" t="str">
            <v>ZTRD</v>
          </cell>
          <cell r="C1332" t="str">
            <v>MICRO USB</v>
          </cell>
        </row>
        <row r="1333">
          <cell r="A1333">
            <v>900000168</v>
          </cell>
          <cell r="B1333" t="str">
            <v>ZTRD</v>
          </cell>
          <cell r="C1333" t="str">
            <v>LIGHTENING CABLE</v>
          </cell>
        </row>
        <row r="1334">
          <cell r="A1334">
            <v>900000169</v>
          </cell>
          <cell r="B1334" t="str">
            <v>ZTRD</v>
          </cell>
          <cell r="C1334" t="str">
            <v>3 IN 1 CHARGING CABLE (BROWN/WHITE/BLUE)</v>
          </cell>
        </row>
        <row r="1335">
          <cell r="A1335">
            <v>900000170</v>
          </cell>
          <cell r="B1335" t="str">
            <v>ZTRD</v>
          </cell>
          <cell r="C1335" t="str">
            <v>WIRELESS CHARGER</v>
          </cell>
        </row>
        <row r="1336">
          <cell r="A1336">
            <v>900000171</v>
          </cell>
          <cell r="B1336" t="str">
            <v>ZTRD</v>
          </cell>
          <cell r="C1336" t="str">
            <v>INSULATION STICKER IPHONE 5/5S MIX COLOR</v>
          </cell>
        </row>
        <row r="1337">
          <cell r="A1337">
            <v>900000172</v>
          </cell>
          <cell r="B1337" t="str">
            <v>ZTRD</v>
          </cell>
          <cell r="C1337" t="str">
            <v>INSULATION STICKER IPHONE 6/6S MIX COLOR</v>
          </cell>
        </row>
        <row r="1338">
          <cell r="A1338">
            <v>900000173</v>
          </cell>
          <cell r="B1338" t="str">
            <v>ZTRD</v>
          </cell>
          <cell r="C1338" t="str">
            <v>INSULATION STICKER IPHONE 6+/6S+ MIX</v>
          </cell>
        </row>
        <row r="1339">
          <cell r="A1339">
            <v>900000174</v>
          </cell>
          <cell r="B1339" t="str">
            <v>ZTRD</v>
          </cell>
          <cell r="C1339" t="str">
            <v>APPLE EARPODS WHITE</v>
          </cell>
        </row>
        <row r="1340">
          <cell r="A1340">
            <v>900000175</v>
          </cell>
          <cell r="B1340" t="str">
            <v>ZTRD</v>
          </cell>
          <cell r="C1340" t="str">
            <v>SELFIE STICKS DESIGN A</v>
          </cell>
        </row>
        <row r="1341">
          <cell r="A1341">
            <v>900000176</v>
          </cell>
          <cell r="B1341" t="str">
            <v>ZTRD</v>
          </cell>
          <cell r="C1341" t="str">
            <v>SELFIE STICKS DESIGN B</v>
          </cell>
        </row>
        <row r="1342">
          <cell r="A1342">
            <v>900000177</v>
          </cell>
          <cell r="B1342" t="str">
            <v>ZTRD</v>
          </cell>
          <cell r="C1342" t="str">
            <v>SIM CARD CUTTER</v>
          </cell>
        </row>
        <row r="1343">
          <cell r="A1343">
            <v>900000178</v>
          </cell>
          <cell r="B1343" t="str">
            <v>ZTRD</v>
          </cell>
          <cell r="C1343" t="str">
            <v>SIM CARD ADAPTOR SET</v>
          </cell>
        </row>
        <row r="1344">
          <cell r="A1344">
            <v>900000181</v>
          </cell>
          <cell r="B1344" t="str">
            <v>ZTRD</v>
          </cell>
          <cell r="C1344" t="str">
            <v>BIKE PHONE HOLDER</v>
          </cell>
        </row>
        <row r="1345">
          <cell r="A1345">
            <v>900000184</v>
          </cell>
          <cell r="B1345" t="str">
            <v>ZTRD</v>
          </cell>
          <cell r="C1345" t="str">
            <v>OTG ADAPTOR</v>
          </cell>
        </row>
        <row r="1346">
          <cell r="A1346">
            <v>900000185</v>
          </cell>
          <cell r="B1346" t="str">
            <v>ZTRD</v>
          </cell>
          <cell r="C1346" t="str">
            <v>3 IN 1 CHARGING SET</v>
          </cell>
        </row>
        <row r="1347">
          <cell r="A1347">
            <v>900000186</v>
          </cell>
          <cell r="B1347" t="str">
            <v>ZTRD</v>
          </cell>
          <cell r="C1347" t="str">
            <v>BUZER IPHONE 5</v>
          </cell>
        </row>
        <row r="1348">
          <cell r="A1348">
            <v>900000187</v>
          </cell>
          <cell r="B1348" t="str">
            <v>ZTRD</v>
          </cell>
          <cell r="C1348" t="str">
            <v>BUZZER IPHONE 5S</v>
          </cell>
        </row>
        <row r="1349">
          <cell r="A1349">
            <v>900000188</v>
          </cell>
          <cell r="B1349" t="str">
            <v>ZTRD</v>
          </cell>
          <cell r="C1349" t="str">
            <v>BUZZER IPHONE 6</v>
          </cell>
        </row>
        <row r="1350">
          <cell r="A1350">
            <v>900000189</v>
          </cell>
          <cell r="B1350" t="str">
            <v>ZTRD</v>
          </cell>
          <cell r="C1350" t="str">
            <v>IPHONE6 RECEIVER (EAR PIECE)</v>
          </cell>
        </row>
        <row r="1351">
          <cell r="A1351">
            <v>900000190</v>
          </cell>
          <cell r="B1351" t="str">
            <v>ZTRD</v>
          </cell>
          <cell r="C1351" t="str">
            <v>IPHONE 5S POWER FLEX CABLE</v>
          </cell>
        </row>
        <row r="1352">
          <cell r="A1352">
            <v>900000191</v>
          </cell>
          <cell r="B1352" t="str">
            <v>ZTRD</v>
          </cell>
          <cell r="C1352" t="str">
            <v>IPHONE 6 POWER FLEX CABLE</v>
          </cell>
        </row>
        <row r="1353">
          <cell r="A1353">
            <v>900000192</v>
          </cell>
          <cell r="B1353" t="str">
            <v>ZTRD</v>
          </cell>
          <cell r="C1353" t="str">
            <v>IPHONE 6S POWER FLEX CABLE</v>
          </cell>
        </row>
        <row r="1354">
          <cell r="A1354">
            <v>900000193</v>
          </cell>
          <cell r="B1354" t="str">
            <v>ZTRD</v>
          </cell>
          <cell r="C1354" t="str">
            <v>IPHONE 5S CHARGER CONNECTOR</v>
          </cell>
        </row>
        <row r="1355">
          <cell r="A1355">
            <v>900000194</v>
          </cell>
          <cell r="B1355" t="str">
            <v>ZTRD</v>
          </cell>
          <cell r="C1355" t="str">
            <v>IPHONE6 SIM CARD TRAY</v>
          </cell>
        </row>
        <row r="1356">
          <cell r="A1356">
            <v>900000195</v>
          </cell>
          <cell r="B1356" t="str">
            <v>ZTRD</v>
          </cell>
          <cell r="C1356" t="str">
            <v>IPHONE6S SIM CARD TRAY</v>
          </cell>
        </row>
        <row r="1357">
          <cell r="A1357">
            <v>900000196</v>
          </cell>
          <cell r="B1357" t="str">
            <v>ZTRD</v>
          </cell>
          <cell r="C1357" t="str">
            <v>PLAIN LEATHER MAGNET  BOOKCASES.GALAXYA7</v>
          </cell>
        </row>
        <row r="1358">
          <cell r="A1358">
            <v>900000197</v>
          </cell>
          <cell r="B1358" t="str">
            <v>ZTRD</v>
          </cell>
          <cell r="C1358" t="str">
            <v>PLAIN LEATHER MAGNET BOOKCASES.GALAXY J7</v>
          </cell>
        </row>
        <row r="1359">
          <cell r="A1359">
            <v>900000198</v>
          </cell>
          <cell r="B1359" t="str">
            <v>ZTRD</v>
          </cell>
          <cell r="C1359" t="str">
            <v>UNIVERSAL TABLET ROTATABLE BOOKCASE 8.0"</v>
          </cell>
        </row>
        <row r="1360">
          <cell r="A1360">
            <v>900000199</v>
          </cell>
          <cell r="B1360" t="str">
            <v>ZTRD</v>
          </cell>
          <cell r="C1360" t="str">
            <v>REAR VIEW MOUNT HOLDER</v>
          </cell>
        </row>
        <row r="1361">
          <cell r="A1361">
            <v>900000218</v>
          </cell>
          <cell r="B1361" t="str">
            <v>ZTRD</v>
          </cell>
          <cell r="C1361" t="str">
            <v>3G &amp; GSM FWT ETROSS 8818</v>
          </cell>
        </row>
        <row r="1362">
          <cell r="A1362">
            <v>900000219</v>
          </cell>
          <cell r="B1362" t="str">
            <v>ZTRD</v>
          </cell>
          <cell r="C1362" t="str">
            <v>USIM CARD 128K  ( POSTPAID) COMBI</v>
          </cell>
        </row>
        <row r="1363">
          <cell r="A1363">
            <v>900000232</v>
          </cell>
          <cell r="B1363" t="str">
            <v>ZTRD</v>
          </cell>
          <cell r="C1363" t="str">
            <v>IPHONE 7 32GB ROSE GOLD</v>
          </cell>
        </row>
        <row r="1364">
          <cell r="A1364">
            <v>900000233</v>
          </cell>
          <cell r="B1364" t="str">
            <v>ZTRD</v>
          </cell>
          <cell r="C1364" t="str">
            <v>ALUMINIUM TPU CASE IPHONE 6/6S</v>
          </cell>
        </row>
        <row r="1365">
          <cell r="A1365">
            <v>900000234</v>
          </cell>
          <cell r="B1365" t="str">
            <v>ZTRD</v>
          </cell>
          <cell r="C1365" t="str">
            <v>ALUMINIUM TPU CASE IPHONE 6+/6S+</v>
          </cell>
        </row>
        <row r="1366">
          <cell r="A1366">
            <v>900000235</v>
          </cell>
          <cell r="B1366" t="str">
            <v>ZTRD</v>
          </cell>
          <cell r="C1366" t="str">
            <v>ALUMINIUM TPU CASE GALAXY S6</v>
          </cell>
        </row>
        <row r="1367">
          <cell r="A1367">
            <v>900000237</v>
          </cell>
          <cell r="B1367" t="str">
            <v>ZTRD</v>
          </cell>
          <cell r="C1367" t="str">
            <v>DUALPRO CASE GALAXY J7(2016)</v>
          </cell>
        </row>
        <row r="1368">
          <cell r="A1368">
            <v>900000238</v>
          </cell>
          <cell r="B1368" t="str">
            <v>ZTRD</v>
          </cell>
          <cell r="C1368" t="str">
            <v>DUALPRO CASE GALAXY J5(2016)</v>
          </cell>
        </row>
        <row r="1369">
          <cell r="A1369">
            <v>900000239</v>
          </cell>
          <cell r="B1369" t="str">
            <v>ZTRD</v>
          </cell>
          <cell r="C1369" t="str">
            <v>DUALPRO CASE GALAXY J2(2015)</v>
          </cell>
        </row>
        <row r="1370">
          <cell r="A1370">
            <v>900000240</v>
          </cell>
          <cell r="B1370" t="str">
            <v>ZTRD</v>
          </cell>
          <cell r="C1370" t="str">
            <v>DUALPRO CASE GALAXY S6</v>
          </cell>
        </row>
        <row r="1371">
          <cell r="A1371">
            <v>900000241</v>
          </cell>
          <cell r="B1371" t="str">
            <v>ZTRD</v>
          </cell>
          <cell r="C1371" t="str">
            <v>DUALPRO CASE IPHONE 6/6S</v>
          </cell>
        </row>
        <row r="1372">
          <cell r="A1372">
            <v>900000242</v>
          </cell>
          <cell r="B1372" t="str">
            <v>ZTRD</v>
          </cell>
          <cell r="C1372" t="str">
            <v>DUALPRO CASE IPHONE 5/5S/5SE</v>
          </cell>
        </row>
        <row r="1373">
          <cell r="A1373">
            <v>900000243</v>
          </cell>
          <cell r="B1373" t="str">
            <v>ZTRD</v>
          </cell>
          <cell r="C1373" t="str">
            <v>DUALPRO CASE IPHONE 6+/6S+</v>
          </cell>
        </row>
        <row r="1374">
          <cell r="A1374">
            <v>900000244</v>
          </cell>
          <cell r="B1374" t="str">
            <v>ZTRD</v>
          </cell>
          <cell r="C1374" t="str">
            <v>MATTE HARD CASE GALAXY J7(2016)</v>
          </cell>
        </row>
        <row r="1375">
          <cell r="A1375">
            <v>900000245</v>
          </cell>
          <cell r="B1375" t="str">
            <v>ZTRD</v>
          </cell>
          <cell r="C1375" t="str">
            <v>MATTE HARD CASE GALAXY J5(2016)</v>
          </cell>
        </row>
        <row r="1376">
          <cell r="A1376">
            <v>900000246</v>
          </cell>
          <cell r="B1376" t="str">
            <v>ZTRD</v>
          </cell>
          <cell r="C1376" t="str">
            <v>MATTE HARD CASE GALAXY J2(2016)</v>
          </cell>
        </row>
        <row r="1377">
          <cell r="A1377">
            <v>900000247</v>
          </cell>
          <cell r="B1377" t="str">
            <v>ZTRD</v>
          </cell>
          <cell r="C1377" t="str">
            <v>MATTE HARD CASE GALAXY S6</v>
          </cell>
        </row>
        <row r="1378">
          <cell r="A1378">
            <v>900000248</v>
          </cell>
          <cell r="B1378" t="str">
            <v>ZTRD</v>
          </cell>
          <cell r="C1378" t="str">
            <v>MATTE HARD CASE GALAXY NOTE 3</v>
          </cell>
        </row>
        <row r="1379">
          <cell r="A1379">
            <v>900000249</v>
          </cell>
          <cell r="B1379" t="str">
            <v>ZTRD</v>
          </cell>
          <cell r="C1379" t="str">
            <v>MATTE HARD CASE IIPHONE 6/6S</v>
          </cell>
        </row>
        <row r="1380">
          <cell r="A1380">
            <v>900000250</v>
          </cell>
          <cell r="B1380" t="str">
            <v>ZTRD</v>
          </cell>
          <cell r="C1380" t="str">
            <v>MATTE HARD CASE IIPHONE 5/5S/5SE</v>
          </cell>
        </row>
        <row r="1381">
          <cell r="A1381">
            <v>900000251</v>
          </cell>
          <cell r="B1381" t="str">
            <v>ZTRD</v>
          </cell>
          <cell r="C1381" t="str">
            <v>MATTE HARD CASE IIPHONE 6+/6S+</v>
          </cell>
        </row>
        <row r="1382">
          <cell r="A1382">
            <v>900000252</v>
          </cell>
          <cell r="B1382" t="str">
            <v>ZTRD</v>
          </cell>
          <cell r="C1382" t="str">
            <v>RUGGED CASE WITH STAND GALAXY J7(2016)</v>
          </cell>
        </row>
        <row r="1383">
          <cell r="A1383">
            <v>900000253</v>
          </cell>
          <cell r="B1383" t="str">
            <v>ZTRD</v>
          </cell>
          <cell r="C1383" t="str">
            <v>RUGGED CASE WITH STAND GALAXY J5(2016)</v>
          </cell>
        </row>
        <row r="1384">
          <cell r="A1384">
            <v>900000254</v>
          </cell>
          <cell r="B1384" t="str">
            <v>ZTRD</v>
          </cell>
          <cell r="C1384" t="str">
            <v>RUGGED CASE WITH STAND GALAXY J2(2015)</v>
          </cell>
        </row>
        <row r="1385">
          <cell r="A1385">
            <v>900000255</v>
          </cell>
          <cell r="B1385" t="str">
            <v>ZTRD</v>
          </cell>
          <cell r="C1385" t="str">
            <v>RUGGED CASE WITH STAND GALAXY S6</v>
          </cell>
        </row>
        <row r="1386">
          <cell r="A1386">
            <v>900000256</v>
          </cell>
          <cell r="B1386" t="str">
            <v>ZTRD</v>
          </cell>
          <cell r="C1386" t="str">
            <v>RUGGED CASE WITH STAND IPHONE 6/6S</v>
          </cell>
        </row>
        <row r="1387">
          <cell r="A1387">
            <v>900000257</v>
          </cell>
          <cell r="B1387" t="str">
            <v>ZTRD</v>
          </cell>
          <cell r="C1387" t="str">
            <v>RUGGED CASE WITH STAND IPHONE 5/5S/5SE</v>
          </cell>
        </row>
        <row r="1388">
          <cell r="A1388">
            <v>900000258</v>
          </cell>
          <cell r="B1388" t="str">
            <v>ZTRD</v>
          </cell>
          <cell r="C1388" t="str">
            <v>RUGGED CASE WITH STAND IPHONE 6+/6S+</v>
          </cell>
        </row>
        <row r="1389">
          <cell r="A1389">
            <v>900000259</v>
          </cell>
          <cell r="B1389" t="str">
            <v>ZTRD</v>
          </cell>
          <cell r="C1389" t="str">
            <v>TEMPERED GLASS SAMSUNG GALAXY J5</v>
          </cell>
        </row>
        <row r="1390">
          <cell r="A1390">
            <v>900000260</v>
          </cell>
          <cell r="B1390" t="str">
            <v>ZTRD</v>
          </cell>
          <cell r="C1390" t="str">
            <v>TEMPERED GLASS SAMSUNG SAMSUNG J2 BACK</v>
          </cell>
        </row>
        <row r="1391">
          <cell r="A1391">
            <v>900000261</v>
          </cell>
          <cell r="B1391" t="str">
            <v>ZTRD</v>
          </cell>
          <cell r="C1391" t="str">
            <v>TEMPERED GLASS SAMSUNG SAMSUNG NOTE 2</v>
          </cell>
        </row>
        <row r="1392">
          <cell r="A1392">
            <v>900000262</v>
          </cell>
          <cell r="B1392" t="str">
            <v>ZTRD</v>
          </cell>
          <cell r="C1392" t="str">
            <v>MEMORY CARD/SAMSUNG RETAIL BACK 16GB</v>
          </cell>
        </row>
        <row r="1393">
          <cell r="A1393">
            <v>900000263</v>
          </cell>
          <cell r="B1393" t="str">
            <v>ZTRD</v>
          </cell>
          <cell r="C1393" t="str">
            <v>MEMORY CARD/SAMSUNG RETAIL BACK 64GB</v>
          </cell>
        </row>
        <row r="1394">
          <cell r="A1394">
            <v>900000264</v>
          </cell>
          <cell r="B1394" t="str">
            <v>ZTRD</v>
          </cell>
          <cell r="C1394" t="str">
            <v>SAMSUNG CHARGER 5V-1.5A</v>
          </cell>
        </row>
        <row r="1395">
          <cell r="A1395">
            <v>900000265</v>
          </cell>
          <cell r="B1395" t="str">
            <v>ZTRD</v>
          </cell>
          <cell r="C1395" t="str">
            <v>SAMSUNG CHARGER 5V-2.0A</v>
          </cell>
        </row>
        <row r="1396">
          <cell r="A1396">
            <v>900000266</v>
          </cell>
          <cell r="B1396" t="str">
            <v>ZTRD</v>
          </cell>
          <cell r="C1396" t="str">
            <v>SMART WATCH(WITH SIM CARDS AND LCD)</v>
          </cell>
        </row>
        <row r="1397">
          <cell r="A1397">
            <v>900000267</v>
          </cell>
          <cell r="B1397" t="str">
            <v>ZTRD</v>
          </cell>
          <cell r="C1397" t="str">
            <v>WRIST BAND(FOR STEPS COUNTING&amp;HEART RATE</v>
          </cell>
        </row>
        <row r="1398">
          <cell r="A1398">
            <v>900000268</v>
          </cell>
          <cell r="B1398" t="str">
            <v>ZTRD</v>
          </cell>
          <cell r="C1398" t="str">
            <v>BLUETOOTH HEADPHONES</v>
          </cell>
        </row>
        <row r="1399">
          <cell r="A1399">
            <v>900000269</v>
          </cell>
          <cell r="B1399" t="str">
            <v>ZTRD</v>
          </cell>
          <cell r="C1399" t="str">
            <v>BLUETOOTH SPEAKER DESIGN A</v>
          </cell>
        </row>
        <row r="1400">
          <cell r="A1400">
            <v>900000270</v>
          </cell>
          <cell r="B1400" t="str">
            <v>ZTRD</v>
          </cell>
          <cell r="C1400" t="str">
            <v>BLUETOOTH SPEAKER DESIGN B</v>
          </cell>
        </row>
        <row r="1401">
          <cell r="A1401">
            <v>900000271</v>
          </cell>
          <cell r="B1401" t="str">
            <v>ZTRD</v>
          </cell>
          <cell r="C1401" t="str">
            <v>BLUETOOTH SPEAKER DESIGN C</v>
          </cell>
        </row>
        <row r="1402">
          <cell r="A1402">
            <v>900000272</v>
          </cell>
          <cell r="B1402" t="str">
            <v>ZTRD</v>
          </cell>
          <cell r="C1402" t="str">
            <v>SAMSUNG EARPHONES SAMSUNG COPY</v>
          </cell>
        </row>
        <row r="1403">
          <cell r="A1403">
            <v>900000274</v>
          </cell>
          <cell r="B1403" t="str">
            <v>ZTRD</v>
          </cell>
          <cell r="C1403" t="str">
            <v>ACTION CAMERA HD WITH WIFI</v>
          </cell>
        </row>
        <row r="1404">
          <cell r="A1404">
            <v>900000275</v>
          </cell>
          <cell r="B1404" t="str">
            <v>ZTRD</v>
          </cell>
          <cell r="C1404" t="str">
            <v>ALUMINIUM TPU CASE IPHONE 5</v>
          </cell>
        </row>
        <row r="1405">
          <cell r="A1405">
            <v>900000276</v>
          </cell>
          <cell r="B1405" t="str">
            <v>ZTRD</v>
          </cell>
          <cell r="C1405" t="str">
            <v>BLING BLING BUMPER GALAXY S6</v>
          </cell>
        </row>
        <row r="1406">
          <cell r="A1406">
            <v>900000277</v>
          </cell>
          <cell r="B1406" t="str">
            <v>ZTRD</v>
          </cell>
          <cell r="C1406" t="str">
            <v>GLITTER TPU CASE IPHONE 6/6S</v>
          </cell>
        </row>
        <row r="1407">
          <cell r="A1407">
            <v>900000278</v>
          </cell>
          <cell r="B1407" t="str">
            <v>ZTRD</v>
          </cell>
          <cell r="C1407" t="str">
            <v>GLITTER TPU CASE IPHONE 6+/6S+</v>
          </cell>
        </row>
        <row r="1408">
          <cell r="A1408">
            <v>900000279</v>
          </cell>
          <cell r="B1408" t="str">
            <v>ZTRD</v>
          </cell>
          <cell r="C1408" t="str">
            <v>SAMSUNG CHARGER ADAPTIVE FAST CHARGER</v>
          </cell>
        </row>
        <row r="1409">
          <cell r="A1409">
            <v>900000280</v>
          </cell>
          <cell r="B1409" t="str">
            <v>ZTRD</v>
          </cell>
          <cell r="C1409" t="str">
            <v>IPHONE 7 JET BLACK ( 128GB)</v>
          </cell>
        </row>
        <row r="1410">
          <cell r="A1410">
            <v>900000282</v>
          </cell>
          <cell r="B1410" t="str">
            <v>ZTRD</v>
          </cell>
          <cell r="C1410" t="str">
            <v>IPHONE 7 PLUS BLACK ( 32GB)</v>
          </cell>
        </row>
        <row r="1411">
          <cell r="A1411">
            <v>900000287</v>
          </cell>
          <cell r="B1411" t="str">
            <v>ZTRD</v>
          </cell>
          <cell r="C1411" t="str">
            <v>AIRMUX-OUTDOOR-LPU-KIT</v>
          </cell>
        </row>
        <row r="1412">
          <cell r="A1412">
            <v>900000292</v>
          </cell>
          <cell r="B1412" t="str">
            <v>ZTRD</v>
          </cell>
          <cell r="C1412" t="str">
            <v>1.3MP PTZ TYPE CAMERA  INDOOR WITH POE</v>
          </cell>
        </row>
        <row r="1413">
          <cell r="A1413">
            <v>900000294</v>
          </cell>
          <cell r="B1413" t="str">
            <v>ZTRD</v>
          </cell>
          <cell r="C1413" t="str">
            <v>2MP DOME TYPE CAMERA WITH POE INDOOR</v>
          </cell>
        </row>
        <row r="1414">
          <cell r="A1414">
            <v>900000295</v>
          </cell>
          <cell r="B1414" t="str">
            <v>ZTRD</v>
          </cell>
          <cell r="C1414" t="str">
            <v>2MP BULLET TYPE CAMRA WITH POE OUTDOOR</v>
          </cell>
        </row>
        <row r="1415">
          <cell r="A1415">
            <v>900000297</v>
          </cell>
          <cell r="B1415" t="str">
            <v>ZTRD</v>
          </cell>
          <cell r="C1415" t="str">
            <v>4 CHANNEL NVR</v>
          </cell>
        </row>
        <row r="1416">
          <cell r="A1416">
            <v>900000303</v>
          </cell>
          <cell r="B1416" t="str">
            <v>ZTRD</v>
          </cell>
          <cell r="C1416" t="str">
            <v>SWITCH POE PORT 8</v>
          </cell>
        </row>
        <row r="1417">
          <cell r="A1417">
            <v>900000308</v>
          </cell>
          <cell r="B1417" t="str">
            <v>ZTRD</v>
          </cell>
          <cell r="C1417" t="str">
            <v>MICROTEK ROUTER hEX SERIES</v>
          </cell>
        </row>
        <row r="1418">
          <cell r="A1418">
            <v>900000309</v>
          </cell>
          <cell r="B1418" t="str">
            <v>ZTRD</v>
          </cell>
          <cell r="C1418" t="str">
            <v>TENDA SWITCH 8 PORT 10/100 mpbs MODL:S16</v>
          </cell>
        </row>
        <row r="1419">
          <cell r="A1419">
            <v>900000311</v>
          </cell>
          <cell r="B1419" t="str">
            <v>ZTRD</v>
          </cell>
          <cell r="C1419" t="str">
            <v>TENDA SWITCH 5PORT 10/100 mpbs MODL:S16</v>
          </cell>
        </row>
        <row r="1420">
          <cell r="A1420">
            <v>900000312</v>
          </cell>
          <cell r="B1420" t="str">
            <v>ZTRD</v>
          </cell>
          <cell r="C1420" t="str">
            <v>RJ45 CONNECTOR D-LINK</v>
          </cell>
        </row>
        <row r="1421">
          <cell r="A1421">
            <v>900000313</v>
          </cell>
          <cell r="B1421" t="str">
            <v>ZTRD</v>
          </cell>
          <cell r="C1421" t="str">
            <v>MEDIA CONVERTERS 10/100/1000 SINGLE MODE</v>
          </cell>
        </row>
        <row r="1422">
          <cell r="A1422">
            <v>900000315</v>
          </cell>
          <cell r="B1422" t="str">
            <v>ZTRD</v>
          </cell>
          <cell r="C1422" t="str">
            <v>OPTICAL PATCH CODS 0.3MM 5METERS SIMPLEX</v>
          </cell>
        </row>
        <row r="1423">
          <cell r="A1423">
            <v>900000318</v>
          </cell>
          <cell r="B1423" t="str">
            <v>ZTRD</v>
          </cell>
          <cell r="C1423" t="str">
            <v>OPTICAL PATCHCORD 0.3MM 5M SC-FC SIMPLEX</v>
          </cell>
        </row>
        <row r="1424">
          <cell r="A1424">
            <v>900000322</v>
          </cell>
          <cell r="B1424" t="str">
            <v>ZTRD</v>
          </cell>
          <cell r="C1424" t="str">
            <v>ECAT/4E1/FE/M/S2/AC/DC - upto 60 KM)</v>
          </cell>
        </row>
        <row r="1425">
          <cell r="A1425">
            <v>900000324</v>
          </cell>
          <cell r="B1425" t="str">
            <v>ZTRD</v>
          </cell>
          <cell r="C1425" t="str">
            <v>4MP IP HD CAMERA HI351D+OVA4 OUTDOOR</v>
          </cell>
        </row>
        <row r="1426">
          <cell r="A1426">
            <v>900000325</v>
          </cell>
          <cell r="B1426" t="str">
            <v>ZTRD</v>
          </cell>
          <cell r="C1426" t="str">
            <v>GPON ONT (4FE+2POT+1PON)</v>
          </cell>
        </row>
        <row r="1427">
          <cell r="A1427">
            <v>900000328</v>
          </cell>
          <cell r="B1427" t="str">
            <v>ZTRD</v>
          </cell>
          <cell r="C1427" t="str">
            <v>ETHERNET CONVERTOR</v>
          </cell>
        </row>
        <row r="1428">
          <cell r="A1428">
            <v>900000331</v>
          </cell>
          <cell r="B1428" t="str">
            <v>ZTRD</v>
          </cell>
          <cell r="C1428" t="str">
            <v>49 DATA PLAN VOUCHER</v>
          </cell>
        </row>
        <row r="1429">
          <cell r="A1429">
            <v>900000333</v>
          </cell>
          <cell r="B1429" t="str">
            <v>ZTRD</v>
          </cell>
          <cell r="C1429" t="str">
            <v>99 DATA PLAN VOUCHER</v>
          </cell>
        </row>
        <row r="1430">
          <cell r="A1430">
            <v>900000340</v>
          </cell>
          <cell r="B1430" t="str">
            <v>ZTRD</v>
          </cell>
          <cell r="C1430" t="str">
            <v>UTP CABLE CAT5(305)M</v>
          </cell>
        </row>
        <row r="1431">
          <cell r="A1431">
            <v>900000342</v>
          </cell>
          <cell r="B1431" t="str">
            <v>ZTRD</v>
          </cell>
          <cell r="C1431" t="str">
            <v>POLE BEND</v>
          </cell>
        </row>
        <row r="1432">
          <cell r="A1432">
            <v>900000344</v>
          </cell>
          <cell r="B1432" t="str">
            <v>ZTRD</v>
          </cell>
          <cell r="C1432" t="str">
            <v>SUSPENSION CLAMP STRAIGHT</v>
          </cell>
        </row>
        <row r="1433">
          <cell r="A1433">
            <v>900000345</v>
          </cell>
          <cell r="B1433" t="str">
            <v>ZTRD</v>
          </cell>
          <cell r="C1433" t="str">
            <v>PREFORM GRIP CR18</v>
          </cell>
        </row>
        <row r="1434">
          <cell r="A1434">
            <v>900000346</v>
          </cell>
          <cell r="B1434" t="str">
            <v>ZTRD</v>
          </cell>
          <cell r="C1434" t="str">
            <v>ROUTER SR4221/K9 WITH ACCESSORIES</v>
          </cell>
        </row>
        <row r="1435">
          <cell r="A1435">
            <v>900000347</v>
          </cell>
          <cell r="B1435" t="str">
            <v>ZTRD</v>
          </cell>
          <cell r="C1435" t="str">
            <v>PATCHCORD SC-LC 3METERS</v>
          </cell>
        </row>
        <row r="1436">
          <cell r="A1436">
            <v>900000348</v>
          </cell>
          <cell r="B1436" t="str">
            <v>ZTRD</v>
          </cell>
          <cell r="C1436" t="str">
            <v>FODP SLIDNING 12CORE WIT ADAPTER</v>
          </cell>
        </row>
        <row r="1437">
          <cell r="A1437">
            <v>900000349</v>
          </cell>
          <cell r="B1437" t="str">
            <v>ZTRD</v>
          </cell>
          <cell r="C1437" t="str">
            <v>FIBER CABLE UNARMORED 4 CORE</v>
          </cell>
        </row>
        <row r="1438">
          <cell r="A1438">
            <v>900000351</v>
          </cell>
          <cell r="B1438" t="str">
            <v>ZTRD</v>
          </cell>
          <cell r="C1438" t="str">
            <v>CISCO ISR 4331 ROUTER</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heetName val="P&amp;L"/>
      <sheetName val="Trial Conso IND AS 31.03.18"/>
      <sheetName val="SOCE"/>
      <sheetName val="Additional Notes"/>
      <sheetName val="Note 3 Cow Disclosure (In lakh)"/>
      <sheetName val="Cash Flow (F)"/>
      <sheetName val="Note-17 (Share Capital)"/>
      <sheetName val="Note 2 Investment Property"/>
      <sheetName val="Accounting policies (F)"/>
      <sheetName val="Working for Cash Flow (F)"/>
      <sheetName val="Sub Schedule"/>
      <sheetName val="UNIT WISE TRIAL 31.03.18"/>
    </sheetNames>
    <sheetDataSet>
      <sheetData sheetId="0" refreshError="1"/>
      <sheetData sheetId="1" refreshError="1"/>
      <sheetData sheetId="2">
        <row r="1682">
          <cell r="C1682">
            <v>245575</v>
          </cell>
          <cell r="D1682">
            <v>0</v>
          </cell>
        </row>
        <row r="1683">
          <cell r="C1683">
            <v>25392.230000000003</v>
          </cell>
          <cell r="D1683">
            <v>34.869999999999997</v>
          </cell>
          <cell r="L1683">
            <v>7</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
      <sheetName val="Regrouping"/>
      <sheetName val="BS"/>
      <sheetName val="P&amp;L"/>
      <sheetName val="Notes"/>
    </sheetNames>
    <sheetDataSet>
      <sheetData sheetId="0" refreshError="1">
        <row r="38">
          <cell r="E38">
            <v>44096955.799999997</v>
          </cell>
        </row>
        <row r="41">
          <cell r="E41">
            <v>45871447.250000015</v>
          </cell>
        </row>
        <row r="54">
          <cell r="F54">
            <v>12297387</v>
          </cell>
        </row>
        <row r="77">
          <cell r="F77">
            <v>12950000</v>
          </cell>
        </row>
        <row r="78">
          <cell r="F78">
            <v>12950000</v>
          </cell>
        </row>
        <row r="83">
          <cell r="E83">
            <v>777000000</v>
          </cell>
        </row>
        <row r="85">
          <cell r="F85">
            <v>518000000</v>
          </cell>
        </row>
        <row r="113">
          <cell r="F113">
            <v>241502.94999999925</v>
          </cell>
        </row>
        <row r="133">
          <cell r="E133">
            <v>333243226.17999983</v>
          </cell>
        </row>
        <row r="138">
          <cell r="F138">
            <v>7272443.75</v>
          </cell>
        </row>
        <row r="153">
          <cell r="E153">
            <v>45335766.469415516</v>
          </cell>
        </row>
        <row r="157">
          <cell r="F157">
            <v>1653563.3166136986</v>
          </cell>
        </row>
      </sheetData>
      <sheetData sheetId="1" refreshError="1">
        <row r="9">
          <cell r="E9">
            <v>703939</v>
          </cell>
        </row>
        <row r="10">
          <cell r="F10">
            <v>703939</v>
          </cell>
        </row>
        <row r="12">
          <cell r="E12">
            <v>576186</v>
          </cell>
        </row>
        <row r="13">
          <cell r="F13">
            <v>576186</v>
          </cell>
        </row>
        <row r="39">
          <cell r="F39">
            <v>51800000</v>
          </cell>
        </row>
        <row r="45">
          <cell r="F45">
            <v>4215469.49</v>
          </cell>
        </row>
      </sheetData>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
      <sheetName val="Regrouping"/>
      <sheetName val="SAP "/>
      <sheetName val="Trial"/>
      <sheetName val="2SFP"/>
      <sheetName val="3SOCI"/>
      <sheetName val="10N_22-33"/>
      <sheetName val="4CF"/>
      <sheetName val="5SOCE"/>
      <sheetName val="6N_PPE"/>
      <sheetName val="7N_3-11"/>
      <sheetName val="8N_12-13"/>
      <sheetName val="9N_14-21"/>
      <sheetName val="10FV"/>
      <sheetName val="11FRM"/>
      <sheetName val="12CapMgt"/>
      <sheetName val="Tax"/>
      <sheetName val="Ratio"/>
      <sheetName val="13IFRS"/>
      <sheetName val="CFs"/>
      <sheetName val="D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4"/>
  <sheetViews>
    <sheetView showGridLines="0" topLeftCell="A2" workbookViewId="0">
      <selection activeCell="A2" sqref="A2"/>
    </sheetView>
  </sheetViews>
  <sheetFormatPr defaultColWidth="8.85546875" defaultRowHeight="15" x14ac:dyDescent="0.25"/>
  <cols>
    <col min="3" max="3" width="13.28515625" bestFit="1" customWidth="1"/>
    <col min="4" max="4" width="76.42578125" bestFit="1" customWidth="1"/>
    <col min="5" max="5" width="16.28515625" customWidth="1"/>
    <col min="6" max="6" width="17.140625" customWidth="1"/>
    <col min="7" max="7" width="76" bestFit="1" customWidth="1"/>
    <col min="8" max="8" width="26.28515625" bestFit="1" customWidth="1"/>
    <col min="9" max="9" width="29.42578125" customWidth="1"/>
    <col min="15" max="15" width="11" bestFit="1" customWidth="1"/>
    <col min="16" max="16" width="66.7109375" bestFit="1" customWidth="1"/>
  </cols>
  <sheetData>
    <row r="1" spans="1:9" x14ac:dyDescent="0.25">
      <c r="A1" t="s">
        <v>1229</v>
      </c>
    </row>
    <row r="2" spans="1:9" x14ac:dyDescent="0.25">
      <c r="A2" s="239" t="s">
        <v>1175</v>
      </c>
      <c r="B2" s="239" t="s">
        <v>1216</v>
      </c>
      <c r="C2" s="240" t="s">
        <v>1176</v>
      </c>
      <c r="D2" s="241" t="s">
        <v>22</v>
      </c>
      <c r="E2" s="240" t="s">
        <v>1177</v>
      </c>
      <c r="F2" s="242" t="s">
        <v>1178</v>
      </c>
    </row>
    <row r="3" spans="1:9" ht="6.75" customHeight="1" x14ac:dyDescent="0.25">
      <c r="A3" s="243"/>
      <c r="B3" s="243"/>
      <c r="C3" s="244"/>
      <c r="D3" s="245"/>
      <c r="E3" s="246"/>
      <c r="F3" s="247"/>
    </row>
    <row r="4" spans="1:9" x14ac:dyDescent="0.25">
      <c r="A4" s="345">
        <v>1</v>
      </c>
      <c r="B4" s="345"/>
      <c r="C4" s="346">
        <v>5104106001</v>
      </c>
      <c r="D4" s="347" t="s">
        <v>661</v>
      </c>
      <c r="E4" s="348">
        <v>213466</v>
      </c>
      <c r="F4" s="349"/>
    </row>
    <row r="5" spans="1:9" x14ac:dyDescent="0.25">
      <c r="A5" s="350"/>
      <c r="B5" s="350"/>
      <c r="C5" s="351">
        <v>2103501001</v>
      </c>
      <c r="D5" s="347" t="s">
        <v>1179</v>
      </c>
      <c r="E5" s="352"/>
      <c r="F5" s="353">
        <v>213466</v>
      </c>
    </row>
    <row r="6" spans="1:9" x14ac:dyDescent="0.25">
      <c r="A6" s="354"/>
      <c r="B6" s="354"/>
      <c r="C6" s="355"/>
      <c r="D6" s="356" t="s">
        <v>1180</v>
      </c>
      <c r="E6" s="357"/>
      <c r="F6" s="358"/>
    </row>
    <row r="7" spans="1:9" ht="4.5" customHeight="1" x14ac:dyDescent="0.25">
      <c r="A7" s="345"/>
      <c r="B7" s="345"/>
      <c r="C7" s="359"/>
      <c r="D7" s="360"/>
      <c r="E7" s="348"/>
      <c r="F7" s="349"/>
    </row>
    <row r="8" spans="1:9" x14ac:dyDescent="0.25">
      <c r="A8" s="350"/>
      <c r="B8" s="350"/>
      <c r="C8" s="351">
        <v>4102110005</v>
      </c>
      <c r="D8" s="347" t="s">
        <v>1054</v>
      </c>
      <c r="E8" s="361">
        <v>10827849.939999999</v>
      </c>
      <c r="F8" s="353"/>
    </row>
    <row r="9" spans="1:9" x14ac:dyDescent="0.25">
      <c r="A9" s="354"/>
      <c r="B9" s="354"/>
      <c r="C9" s="355"/>
      <c r="D9" s="362" t="s">
        <v>1181</v>
      </c>
      <c r="E9" s="357"/>
      <c r="F9" s="363">
        <v>10827849.939999999</v>
      </c>
    </row>
    <row r="10" spans="1:9" ht="4.5" customHeight="1" x14ac:dyDescent="0.25">
      <c r="A10" s="345"/>
      <c r="B10" s="345"/>
      <c r="C10" s="359"/>
      <c r="D10" s="360"/>
      <c r="E10" s="348"/>
      <c r="F10" s="349"/>
    </row>
    <row r="11" spans="1:9" x14ac:dyDescent="0.25">
      <c r="A11" s="350"/>
      <c r="B11" s="350"/>
      <c r="C11" s="364"/>
      <c r="D11" s="365" t="s">
        <v>1182</v>
      </c>
      <c r="E11" s="352"/>
      <c r="F11" s="353"/>
    </row>
    <row r="12" spans="1:9" x14ac:dyDescent="0.25">
      <c r="A12" s="350"/>
      <c r="B12" s="350"/>
      <c r="C12" s="364"/>
      <c r="D12" s="365" t="s">
        <v>1183</v>
      </c>
      <c r="E12" s="352"/>
      <c r="F12" s="353"/>
    </row>
    <row r="13" spans="1:9" x14ac:dyDescent="0.25">
      <c r="A13" s="354"/>
      <c r="B13" s="354"/>
      <c r="C13" s="355"/>
      <c r="D13" s="356" t="s">
        <v>1184</v>
      </c>
      <c r="E13" s="357"/>
      <c r="F13" s="358"/>
    </row>
    <row r="14" spans="1:9" x14ac:dyDescent="0.25">
      <c r="A14" s="306">
        <v>2</v>
      </c>
      <c r="B14" s="345"/>
      <c r="C14" s="359"/>
      <c r="D14" s="306" t="s">
        <v>1190</v>
      </c>
      <c r="E14" s="345">
        <v>427576.32000000001</v>
      </c>
      <c r="F14" s="345"/>
      <c r="G14" s="248"/>
    </row>
    <row r="15" spans="1:9" x14ac:dyDescent="0.25">
      <c r="A15" s="350"/>
      <c r="B15" s="350"/>
      <c r="C15" s="364"/>
      <c r="D15" s="306" t="s">
        <v>1192</v>
      </c>
      <c r="E15" s="350">
        <v>1282728.96</v>
      </c>
      <c r="F15" s="350"/>
      <c r="G15" s="249"/>
    </row>
    <row r="16" spans="1:9" x14ac:dyDescent="0.25">
      <c r="A16" s="350"/>
      <c r="B16" s="350"/>
      <c r="C16" s="351">
        <v>5102109000</v>
      </c>
      <c r="D16" s="365" t="s">
        <v>654</v>
      </c>
      <c r="E16" s="350">
        <v>427576.32000000001</v>
      </c>
      <c r="F16" s="350"/>
      <c r="G16" s="249"/>
      <c r="H16">
        <v>5000040</v>
      </c>
      <c r="I16" s="252" t="str">
        <f>VLOOKUP(H16,[1]Sheet1!$A$2:$C$1438,3,0)</f>
        <v>DROP WIRE SELF SUPPORTING TWIN CORE</v>
      </c>
    </row>
    <row r="17" spans="1:18" x14ac:dyDescent="0.25">
      <c r="A17" s="350"/>
      <c r="B17" s="350"/>
      <c r="C17" s="351">
        <v>5102109000</v>
      </c>
      <c r="D17" s="365" t="s">
        <v>1186</v>
      </c>
      <c r="E17" s="350"/>
      <c r="F17" s="350">
        <v>89594.29</v>
      </c>
      <c r="G17" s="249"/>
      <c r="I17" s="252"/>
    </row>
    <row r="18" spans="1:18" x14ac:dyDescent="0.25">
      <c r="A18" s="350"/>
      <c r="B18" s="350"/>
      <c r="C18" s="351">
        <v>5102109000</v>
      </c>
      <c r="D18" s="365" t="s">
        <v>1186</v>
      </c>
      <c r="E18" s="350"/>
      <c r="F18" s="350">
        <v>1206442</v>
      </c>
      <c r="G18" s="249"/>
      <c r="H18">
        <v>5000040</v>
      </c>
      <c r="I18" s="252" t="str">
        <f>VLOOKUP(H18,[1]Sheet1!$A$2:$C$1438,3,0)</f>
        <v>DROP WIRE SELF SUPPORTING TWIN CORE</v>
      </c>
    </row>
    <row r="19" spans="1:18" x14ac:dyDescent="0.25">
      <c r="A19" s="354"/>
      <c r="B19" s="354"/>
      <c r="C19" s="366">
        <v>5102105000</v>
      </c>
      <c r="D19" s="365" t="s">
        <v>1187</v>
      </c>
      <c r="E19" s="354"/>
      <c r="F19" s="354">
        <v>841845.31</v>
      </c>
      <c r="G19" s="249"/>
    </row>
    <row r="20" spans="1:18" ht="14.25" customHeight="1" x14ac:dyDescent="0.25">
      <c r="A20" s="345"/>
      <c r="B20" s="345"/>
      <c r="C20" s="359"/>
      <c r="D20" s="360"/>
      <c r="E20" s="348"/>
      <c r="F20" s="367"/>
      <c r="G20" s="243"/>
    </row>
    <row r="21" spans="1:18" ht="14.25" customHeight="1" x14ac:dyDescent="0.25">
      <c r="A21" s="350">
        <v>3</v>
      </c>
      <c r="B21" s="350"/>
      <c r="C21" s="364"/>
      <c r="D21" s="365" t="s">
        <v>1196</v>
      </c>
      <c r="E21" s="352">
        <v>8708854</v>
      </c>
      <c r="F21" s="353"/>
    </row>
    <row r="22" spans="1:18" x14ac:dyDescent="0.25">
      <c r="A22" s="350"/>
      <c r="B22" s="350"/>
      <c r="C22" s="364">
        <v>1111301002</v>
      </c>
      <c r="D22" s="365" t="s">
        <v>1197</v>
      </c>
      <c r="E22" s="352"/>
      <c r="F22" s="353">
        <v>3968586.5160000008</v>
      </c>
    </row>
    <row r="23" spans="1:18" ht="15.75" thickBot="1" x14ac:dyDescent="0.3">
      <c r="A23" s="350"/>
      <c r="B23" s="350"/>
      <c r="C23" s="364">
        <v>1111301007</v>
      </c>
      <c r="D23" s="365" t="s">
        <v>1198</v>
      </c>
      <c r="E23" s="352"/>
      <c r="F23" s="353">
        <v>3709137.33</v>
      </c>
    </row>
    <row r="24" spans="1:18" x14ac:dyDescent="0.25">
      <c r="A24" s="350"/>
      <c r="B24" s="350"/>
      <c r="C24" s="364">
        <v>1111301008</v>
      </c>
      <c r="D24" s="365" t="s">
        <v>1199</v>
      </c>
      <c r="E24" s="352"/>
      <c r="F24" s="353">
        <v>1031129.829000001</v>
      </c>
      <c r="H24" t="s">
        <v>1185</v>
      </c>
      <c r="I24" s="253">
        <f>+R26</f>
        <v>89594.29</v>
      </c>
      <c r="J24" t="s">
        <v>1200</v>
      </c>
      <c r="O24" s="266"/>
      <c r="P24" s="267"/>
      <c r="Q24" s="267"/>
      <c r="R24" s="268"/>
    </row>
    <row r="25" spans="1:18" x14ac:dyDescent="0.25">
      <c r="A25" s="354"/>
      <c r="B25" s="354"/>
      <c r="C25" s="355"/>
      <c r="D25" s="356" t="s">
        <v>1201</v>
      </c>
      <c r="E25" s="357"/>
      <c r="F25" s="358"/>
      <c r="H25" t="s">
        <v>1185</v>
      </c>
      <c r="I25" s="253">
        <f>+R27</f>
        <v>1206442</v>
      </c>
      <c r="J25" t="s">
        <v>1202</v>
      </c>
      <c r="O25" s="269"/>
      <c r="P25" s="250" t="s">
        <v>1185</v>
      </c>
      <c r="Q25" s="250">
        <v>2137881.6000000001</v>
      </c>
      <c r="R25" s="270"/>
    </row>
    <row r="26" spans="1:18" x14ac:dyDescent="0.25">
      <c r="A26" s="345"/>
      <c r="B26" s="345"/>
      <c r="C26" s="359"/>
      <c r="D26" s="360"/>
      <c r="E26" s="348"/>
      <c r="F26" s="349"/>
      <c r="H26" t="s">
        <v>1203</v>
      </c>
      <c r="I26" s="253">
        <f>+Regrouping!F6</f>
        <v>15691493.829999717</v>
      </c>
      <c r="J26" t="s">
        <v>1204</v>
      </c>
      <c r="O26" s="269">
        <v>5102109000</v>
      </c>
      <c r="P26" s="250" t="s">
        <v>1186</v>
      </c>
      <c r="Q26" s="250"/>
      <c r="R26" s="270">
        <v>89594.29</v>
      </c>
    </row>
    <row r="27" spans="1:18" ht="13.5" customHeight="1" x14ac:dyDescent="0.25">
      <c r="A27" s="350">
        <v>4</v>
      </c>
      <c r="B27" s="350"/>
      <c r="C27" s="364">
        <v>4101105001</v>
      </c>
      <c r="D27" s="368" t="s">
        <v>617</v>
      </c>
      <c r="E27" s="352">
        <v>54405</v>
      </c>
      <c r="F27" s="353"/>
      <c r="O27" s="269">
        <v>5102109000</v>
      </c>
      <c r="P27" s="250" t="s">
        <v>1186</v>
      </c>
      <c r="Q27" s="250"/>
      <c r="R27" s="270">
        <v>1206442</v>
      </c>
    </row>
    <row r="28" spans="1:18" ht="15.75" thickBot="1" x14ac:dyDescent="0.3">
      <c r="A28" s="350"/>
      <c r="B28" s="350"/>
      <c r="C28" s="364">
        <v>4101104001</v>
      </c>
      <c r="D28" s="368" t="s">
        <v>610</v>
      </c>
      <c r="E28" s="352">
        <v>22977208</v>
      </c>
      <c r="F28" s="353"/>
      <c r="I28" s="254">
        <f>SUM(I24:I26)</f>
        <v>16987530.119999718</v>
      </c>
      <c r="O28" s="269">
        <v>5102105000</v>
      </c>
      <c r="P28" s="250" t="s">
        <v>1187</v>
      </c>
      <c r="Q28" s="250"/>
      <c r="R28" s="270">
        <v>841845.31</v>
      </c>
    </row>
    <row r="29" spans="1:18" ht="15.75" thickTop="1" x14ac:dyDescent="0.25">
      <c r="A29" s="350"/>
      <c r="B29" s="350"/>
      <c r="C29" s="364">
        <v>4101104000</v>
      </c>
      <c r="D29" s="368" t="s">
        <v>609</v>
      </c>
      <c r="E29" s="352">
        <v>40000</v>
      </c>
      <c r="F29" s="353"/>
      <c r="H29" t="s">
        <v>1205</v>
      </c>
      <c r="I29" s="255">
        <v>28895868.819999695</v>
      </c>
      <c r="O29" s="269"/>
      <c r="P29" s="250" t="s">
        <v>1188</v>
      </c>
      <c r="Q29" s="250"/>
      <c r="R29" s="270"/>
    </row>
    <row r="30" spans="1:18" ht="15.75" thickBot="1" x14ac:dyDescent="0.3">
      <c r="A30" s="350"/>
      <c r="B30" s="350"/>
      <c r="C30" s="351">
        <v>2106703000</v>
      </c>
      <c r="D30" s="365" t="s">
        <v>1206</v>
      </c>
      <c r="E30" s="352"/>
      <c r="F30" s="353">
        <f>SUM(E27:E29)</f>
        <v>23071613</v>
      </c>
      <c r="H30" s="256" t="s">
        <v>1207</v>
      </c>
      <c r="I30" s="254">
        <f>+I29-I28</f>
        <v>11908338.699999977</v>
      </c>
      <c r="O30" s="269"/>
      <c r="P30" s="250"/>
      <c r="Q30" s="250"/>
      <c r="R30" s="270"/>
    </row>
    <row r="31" spans="1:18" ht="30.75" thickTop="1" x14ac:dyDescent="0.25">
      <c r="A31" s="354"/>
      <c r="B31" s="354"/>
      <c r="C31" s="355"/>
      <c r="D31" s="369" t="s">
        <v>1208</v>
      </c>
      <c r="E31" s="355"/>
      <c r="F31" s="370"/>
      <c r="H31" s="251" t="s">
        <v>1209</v>
      </c>
      <c r="I31" s="257">
        <v>15298047.35</v>
      </c>
      <c r="O31" s="269">
        <v>5102109000</v>
      </c>
      <c r="P31" s="250" t="s">
        <v>654</v>
      </c>
      <c r="Q31" s="250">
        <v>427576.32000000001</v>
      </c>
      <c r="R31" s="270"/>
    </row>
    <row r="32" spans="1:18" x14ac:dyDescent="0.25">
      <c r="A32" s="345"/>
      <c r="B32" s="345"/>
      <c r="C32" s="359"/>
      <c r="D32" s="360"/>
      <c r="E32" s="359"/>
      <c r="F32" s="371"/>
      <c r="H32" s="251" t="s">
        <v>1210</v>
      </c>
      <c r="I32" s="258">
        <f>+I31-I30</f>
        <v>3389708.6500000227</v>
      </c>
      <c r="O32" s="269"/>
      <c r="P32" s="250" t="s">
        <v>1189</v>
      </c>
      <c r="Q32" s="250"/>
      <c r="R32" s="270">
        <v>427576.32000000001</v>
      </c>
    </row>
    <row r="33" spans="1:18" x14ac:dyDescent="0.25">
      <c r="A33" s="350">
        <v>5</v>
      </c>
      <c r="B33" s="350"/>
      <c r="C33" s="372">
        <v>4101104001</v>
      </c>
      <c r="D33" s="373" t="s">
        <v>610</v>
      </c>
      <c r="E33" s="374">
        <v>0</v>
      </c>
      <c r="F33" s="375"/>
      <c r="H33" s="252" t="s">
        <v>653</v>
      </c>
      <c r="I33" s="259">
        <v>1140474.8999999999</v>
      </c>
      <c r="J33" s="252">
        <v>5102108000</v>
      </c>
      <c r="O33" s="269"/>
      <c r="P33" s="250" t="s">
        <v>1191</v>
      </c>
      <c r="Q33" s="250"/>
      <c r="R33" s="270"/>
    </row>
    <row r="34" spans="1:18" ht="15.75" thickBot="1" x14ac:dyDescent="0.3">
      <c r="A34" s="350"/>
      <c r="B34" s="350"/>
      <c r="C34" s="351">
        <v>5105120000</v>
      </c>
      <c r="D34" s="347" t="s">
        <v>1214</v>
      </c>
      <c r="E34" s="364"/>
      <c r="F34" s="376">
        <v>0</v>
      </c>
      <c r="G34" t="s">
        <v>1211</v>
      </c>
      <c r="H34" s="260" t="s">
        <v>1212</v>
      </c>
      <c r="I34" s="261">
        <f>+I32-I33</f>
        <v>2249233.7500000228</v>
      </c>
      <c r="O34" s="269"/>
      <c r="P34" s="250" t="s">
        <v>1193</v>
      </c>
      <c r="Q34" s="250"/>
      <c r="R34" s="270"/>
    </row>
    <row r="35" spans="1:18" ht="15.75" thickTop="1" x14ac:dyDescent="0.25">
      <c r="A35" s="350"/>
      <c r="B35" s="350"/>
      <c r="C35" s="364"/>
      <c r="D35" s="365" t="s">
        <v>1215</v>
      </c>
      <c r="E35" s="364"/>
      <c r="F35" s="375"/>
      <c r="O35" s="269"/>
      <c r="P35" s="250"/>
      <c r="Q35" s="250"/>
      <c r="R35" s="270"/>
    </row>
    <row r="36" spans="1:18" x14ac:dyDescent="0.25">
      <c r="A36" s="354"/>
      <c r="B36" s="354"/>
      <c r="C36" s="355"/>
      <c r="D36" s="356"/>
      <c r="E36" s="355"/>
      <c r="F36" s="370"/>
      <c r="O36" s="269"/>
      <c r="P36" s="250"/>
      <c r="Q36" s="250"/>
      <c r="R36" s="270"/>
    </row>
    <row r="37" spans="1:18" x14ac:dyDescent="0.25">
      <c r="O37" s="269"/>
      <c r="P37" s="250" t="s">
        <v>1190</v>
      </c>
      <c r="Q37" s="250">
        <v>427576.32000000001</v>
      </c>
      <c r="R37" s="270"/>
    </row>
    <row r="38" spans="1:18" x14ac:dyDescent="0.25">
      <c r="A38" s="287">
        <v>6</v>
      </c>
      <c r="B38" s="287">
        <v>2017</v>
      </c>
      <c r="C38" s="288"/>
      <c r="D38" s="288" t="s">
        <v>1220</v>
      </c>
      <c r="E38" s="289">
        <v>44096955.799999997</v>
      </c>
      <c r="F38" s="289">
        <v>0</v>
      </c>
      <c r="G38" s="1593" t="s">
        <v>1245</v>
      </c>
      <c r="H38" s="251"/>
      <c r="O38" s="269"/>
      <c r="P38" s="250" t="s">
        <v>1194</v>
      </c>
      <c r="Q38" s="250">
        <v>1282728.96</v>
      </c>
      <c r="R38" s="270"/>
    </row>
    <row r="39" spans="1:18" x14ac:dyDescent="0.25">
      <c r="A39" s="287"/>
      <c r="B39" s="287"/>
      <c r="C39" s="288">
        <v>5104104000</v>
      </c>
      <c r="D39" s="288" t="s">
        <v>1221</v>
      </c>
      <c r="E39" s="289">
        <v>0</v>
      </c>
      <c r="F39" s="289">
        <v>44096955.799999997</v>
      </c>
      <c r="G39" s="1594"/>
      <c r="H39" s="251"/>
      <c r="O39" s="269"/>
      <c r="P39" s="250" t="s">
        <v>1189</v>
      </c>
      <c r="Q39" s="250"/>
      <c r="R39" s="270">
        <v>1710305.28</v>
      </c>
    </row>
    <row r="40" spans="1:18" x14ac:dyDescent="0.25">
      <c r="A40" s="262"/>
      <c r="B40" s="262"/>
      <c r="C40" s="263"/>
      <c r="D40" s="263"/>
      <c r="E40" s="264"/>
      <c r="F40" s="264"/>
      <c r="G40" s="282"/>
      <c r="H40" s="251"/>
      <c r="O40" s="269"/>
      <c r="P40" s="250" t="s">
        <v>1195</v>
      </c>
      <c r="Q40" s="250"/>
      <c r="R40" s="270"/>
    </row>
    <row r="41" spans="1:18" x14ac:dyDescent="0.25">
      <c r="A41" s="287">
        <v>7</v>
      </c>
      <c r="B41" s="287">
        <v>2017</v>
      </c>
      <c r="C41" s="288">
        <v>5104104000</v>
      </c>
      <c r="D41" s="288" t="s">
        <v>1221</v>
      </c>
      <c r="E41" s="289">
        <v>45871447.250000015</v>
      </c>
      <c r="F41" s="289">
        <v>0</v>
      </c>
      <c r="G41" s="1593" t="s">
        <v>1246</v>
      </c>
      <c r="H41" s="251"/>
      <c r="O41" s="269"/>
      <c r="P41" s="250"/>
      <c r="Q41" s="250"/>
      <c r="R41" s="270"/>
    </row>
    <row r="42" spans="1:18" ht="15.75" thickBot="1" x14ac:dyDescent="0.3">
      <c r="A42" s="287"/>
      <c r="B42" s="287"/>
      <c r="C42" s="288"/>
      <c r="D42" s="288" t="s">
        <v>1222</v>
      </c>
      <c r="E42" s="289">
        <v>0</v>
      </c>
      <c r="F42" s="289">
        <v>45871447.250000015</v>
      </c>
      <c r="G42" s="1594"/>
      <c r="H42" s="251" t="s">
        <v>1247</v>
      </c>
      <c r="O42" s="271"/>
      <c r="P42" s="272"/>
      <c r="Q42" s="272"/>
      <c r="R42" s="273"/>
    </row>
    <row r="43" spans="1:18" x14ac:dyDescent="0.25">
      <c r="A43" s="262"/>
      <c r="B43" s="262"/>
      <c r="C43" s="263"/>
      <c r="D43" s="263"/>
      <c r="E43" s="264"/>
      <c r="F43" s="264"/>
      <c r="G43" s="282"/>
      <c r="H43" s="251"/>
    </row>
    <row r="44" spans="1:18" x14ac:dyDescent="0.25">
      <c r="A44" s="287">
        <v>8</v>
      </c>
      <c r="B44" s="287">
        <v>2018</v>
      </c>
      <c r="C44" s="288"/>
      <c r="D44" s="288" t="s">
        <v>1273</v>
      </c>
      <c r="E44" s="289">
        <v>45871447.250000015</v>
      </c>
      <c r="F44" s="289">
        <v>0</v>
      </c>
      <c r="G44" s="1593" t="s">
        <v>1248</v>
      </c>
      <c r="H44" s="251" t="s">
        <v>1247</v>
      </c>
    </row>
    <row r="45" spans="1:18" x14ac:dyDescent="0.25">
      <c r="A45" s="287"/>
      <c r="B45" s="287"/>
      <c r="C45" s="288">
        <v>5104104000</v>
      </c>
      <c r="D45" s="288" t="s">
        <v>1221</v>
      </c>
      <c r="E45" s="289">
        <v>0</v>
      </c>
      <c r="F45" s="289">
        <v>45871447.250000015</v>
      </c>
      <c r="G45" s="1594"/>
      <c r="H45" s="251"/>
    </row>
    <row r="46" spans="1:18" x14ac:dyDescent="0.25">
      <c r="A46" s="262"/>
      <c r="B46" s="262"/>
      <c r="C46" s="263"/>
      <c r="D46" s="263"/>
      <c r="E46" s="264"/>
      <c r="F46" s="264"/>
      <c r="G46" s="282"/>
      <c r="H46" s="251"/>
    </row>
    <row r="47" spans="1:18" x14ac:dyDescent="0.25">
      <c r="A47" s="287">
        <v>9</v>
      </c>
      <c r="B47" s="287">
        <v>2018</v>
      </c>
      <c r="C47" s="288">
        <v>5104104000</v>
      </c>
      <c r="D47" s="288" t="s">
        <v>1221</v>
      </c>
      <c r="E47" s="289">
        <v>44914640.189779527</v>
      </c>
      <c r="F47" s="289">
        <v>0</v>
      </c>
      <c r="G47" s="1593" t="s">
        <v>1249</v>
      </c>
      <c r="H47" s="251"/>
    </row>
    <row r="48" spans="1:18" x14ac:dyDescent="0.25">
      <c r="A48" s="287"/>
      <c r="B48" s="287"/>
      <c r="C48" s="288"/>
      <c r="D48" s="288" t="s">
        <v>1222</v>
      </c>
      <c r="E48" s="289">
        <v>0</v>
      </c>
      <c r="F48" s="289">
        <v>44914640.189779527</v>
      </c>
      <c r="G48" s="1594"/>
      <c r="H48" s="251" t="s">
        <v>1247</v>
      </c>
    </row>
    <row r="49" spans="1:8" x14ac:dyDescent="0.25">
      <c r="A49" s="262"/>
      <c r="B49" s="262"/>
      <c r="C49" s="263"/>
      <c r="D49" s="263"/>
      <c r="E49" s="264"/>
      <c r="F49" s="264"/>
      <c r="G49" s="282"/>
      <c r="H49" s="251"/>
    </row>
    <row r="50" spans="1:8" x14ac:dyDescent="0.25">
      <c r="A50" s="296">
        <v>10</v>
      </c>
      <c r="B50" s="296">
        <v>2017</v>
      </c>
      <c r="C50" s="297">
        <v>2207101001</v>
      </c>
      <c r="D50" s="297" t="s">
        <v>1223</v>
      </c>
      <c r="E50" s="265">
        <v>0</v>
      </c>
      <c r="F50" s="265"/>
      <c r="G50" s="1593" t="s">
        <v>1250</v>
      </c>
      <c r="H50" s="251" t="s">
        <v>1251</v>
      </c>
    </row>
    <row r="51" spans="1:8" x14ac:dyDescent="0.25">
      <c r="A51" s="296"/>
      <c r="B51" s="296"/>
      <c r="C51" s="297"/>
      <c r="D51" s="297" t="s">
        <v>1220</v>
      </c>
      <c r="E51" s="265"/>
      <c r="F51" s="265">
        <v>0</v>
      </c>
      <c r="G51" s="1594"/>
      <c r="H51" s="251"/>
    </row>
    <row r="52" spans="1:8" x14ac:dyDescent="0.25">
      <c r="A52" s="296"/>
      <c r="B52" s="296"/>
      <c r="C52" s="297"/>
      <c r="D52" s="297"/>
      <c r="E52" s="265"/>
      <c r="F52" s="265"/>
      <c r="G52" s="282"/>
      <c r="H52" s="251"/>
    </row>
    <row r="53" spans="1:8" x14ac:dyDescent="0.25">
      <c r="A53" s="296">
        <v>11</v>
      </c>
      <c r="B53" s="296">
        <v>2017</v>
      </c>
      <c r="C53" s="297">
        <v>2107101000</v>
      </c>
      <c r="D53" s="297" t="s">
        <v>1224</v>
      </c>
      <c r="E53" s="265">
        <v>12297387</v>
      </c>
      <c r="F53" s="265"/>
      <c r="G53" s="1593" t="s">
        <v>1252</v>
      </c>
      <c r="H53" s="251"/>
    </row>
    <row r="54" spans="1:8" x14ac:dyDescent="0.25">
      <c r="A54" s="296"/>
      <c r="B54" s="296"/>
      <c r="C54" s="297">
        <v>5104203000</v>
      </c>
      <c r="D54" s="297" t="s">
        <v>1275</v>
      </c>
      <c r="E54" s="265"/>
      <c r="F54" s="265">
        <v>12297387</v>
      </c>
      <c r="G54" s="1594"/>
      <c r="H54" s="251"/>
    </row>
    <row r="55" spans="1:8" x14ac:dyDescent="0.25">
      <c r="A55" s="296"/>
      <c r="B55" s="296"/>
      <c r="C55" s="297"/>
      <c r="D55" s="297"/>
      <c r="E55" s="265"/>
      <c r="F55" s="265"/>
      <c r="G55" s="282"/>
      <c r="H55" s="251"/>
    </row>
    <row r="56" spans="1:8" x14ac:dyDescent="0.25">
      <c r="A56" s="296">
        <v>12</v>
      </c>
      <c r="B56" s="296">
        <v>2018</v>
      </c>
      <c r="C56" s="297">
        <v>2207101001</v>
      </c>
      <c r="D56" s="297" t="s">
        <v>1223</v>
      </c>
      <c r="E56" s="265">
        <v>0</v>
      </c>
      <c r="F56" s="265"/>
      <c r="G56" s="1593" t="s">
        <v>1253</v>
      </c>
      <c r="H56" s="251"/>
    </row>
    <row r="57" spans="1:8" x14ac:dyDescent="0.25">
      <c r="A57" s="296"/>
      <c r="B57" s="296"/>
      <c r="C57" s="297"/>
      <c r="D57" s="297" t="s">
        <v>1273</v>
      </c>
      <c r="E57" s="265"/>
      <c r="F57" s="265">
        <v>0</v>
      </c>
      <c r="G57" s="1594"/>
      <c r="H57" s="251" t="s">
        <v>1254</v>
      </c>
    </row>
    <row r="58" spans="1:8" x14ac:dyDescent="0.25">
      <c r="A58" s="296"/>
      <c r="B58" s="296"/>
      <c r="C58" s="297"/>
      <c r="D58" s="297"/>
      <c r="E58" s="265"/>
      <c r="F58" s="265"/>
      <c r="G58" s="282"/>
      <c r="H58" s="251"/>
    </row>
    <row r="59" spans="1:8" x14ac:dyDescent="0.25">
      <c r="A59" s="296">
        <v>13</v>
      </c>
      <c r="B59" s="296">
        <v>2018</v>
      </c>
      <c r="C59" s="297">
        <v>2107101000</v>
      </c>
      <c r="D59" s="297" t="s">
        <v>1224</v>
      </c>
      <c r="E59" s="265">
        <v>32210.360000004992</v>
      </c>
      <c r="F59" s="265"/>
      <c r="G59" s="1593" t="s">
        <v>1255</v>
      </c>
      <c r="H59" s="251"/>
    </row>
    <row r="60" spans="1:8" x14ac:dyDescent="0.25">
      <c r="A60" s="296"/>
      <c r="B60" s="296"/>
      <c r="C60" s="297">
        <v>5104203000</v>
      </c>
      <c r="D60" s="297" t="s">
        <v>1225</v>
      </c>
      <c r="E60" s="265"/>
      <c r="F60" s="265">
        <v>32210.360000004992</v>
      </c>
      <c r="G60" s="1594"/>
      <c r="H60" s="251"/>
    </row>
    <row r="61" spans="1:8" x14ac:dyDescent="0.25">
      <c r="A61" s="296"/>
      <c r="B61" s="296"/>
      <c r="C61" s="297"/>
      <c r="D61" s="297"/>
      <c r="E61" s="265"/>
      <c r="F61" s="265"/>
      <c r="G61" s="282"/>
      <c r="H61" s="251"/>
    </row>
    <row r="62" spans="1:8" x14ac:dyDescent="0.25">
      <c r="A62" s="296">
        <v>14</v>
      </c>
      <c r="B62" s="296">
        <v>2018</v>
      </c>
      <c r="C62" s="297">
        <v>2107101000</v>
      </c>
      <c r="D62" s="297" t="s">
        <v>1224</v>
      </c>
      <c r="E62" s="265">
        <v>12297387</v>
      </c>
      <c r="F62" s="265">
        <v>0</v>
      </c>
      <c r="G62" s="1593"/>
      <c r="H62" s="251"/>
    </row>
    <row r="63" spans="1:8" x14ac:dyDescent="0.25">
      <c r="A63" s="296"/>
      <c r="B63" s="296"/>
      <c r="C63" s="297"/>
      <c r="D63" s="297" t="s">
        <v>1273</v>
      </c>
      <c r="E63" s="265">
        <v>0</v>
      </c>
      <c r="F63" s="265">
        <v>12297387</v>
      </c>
      <c r="G63" s="1594"/>
      <c r="H63" t="s">
        <v>1254</v>
      </c>
    </row>
    <row r="64" spans="1:8" x14ac:dyDescent="0.25">
      <c r="A64" s="262"/>
      <c r="B64" s="262"/>
      <c r="C64" s="263"/>
      <c r="D64" s="263"/>
      <c r="E64" s="264"/>
      <c r="F64" s="264"/>
      <c r="G64" s="282"/>
      <c r="H64" s="251"/>
    </row>
    <row r="65" spans="1:8" x14ac:dyDescent="0.25">
      <c r="A65" s="298">
        <v>15</v>
      </c>
      <c r="B65" s="298">
        <v>2018</v>
      </c>
      <c r="C65" s="299"/>
      <c r="D65" s="299" t="s">
        <v>1226</v>
      </c>
      <c r="E65" s="300"/>
      <c r="F65" s="300"/>
      <c r="G65" s="1591" t="s">
        <v>1256</v>
      </c>
      <c r="H65" s="251"/>
    </row>
    <row r="66" spans="1:8" x14ac:dyDescent="0.25">
      <c r="A66" s="298"/>
      <c r="B66" s="298"/>
      <c r="C66" s="299">
        <v>5106101000</v>
      </c>
      <c r="D66" s="299" t="s">
        <v>1227</v>
      </c>
      <c r="E66" s="300"/>
      <c r="F66" s="300"/>
      <c r="G66" s="1592"/>
      <c r="H66" s="251"/>
    </row>
    <row r="67" spans="1:8" x14ac:dyDescent="0.25">
      <c r="A67" s="298"/>
      <c r="B67" s="298"/>
      <c r="C67" s="299"/>
      <c r="D67" s="299"/>
      <c r="E67" s="300"/>
      <c r="F67" s="300"/>
      <c r="G67" s="282"/>
      <c r="H67" s="251"/>
    </row>
    <row r="68" spans="1:8" x14ac:dyDescent="0.25">
      <c r="A68" s="298">
        <v>16</v>
      </c>
      <c r="B68" s="298">
        <v>2018</v>
      </c>
      <c r="C68" s="299">
        <v>2103701000</v>
      </c>
      <c r="D68" s="299" t="s">
        <v>1217</v>
      </c>
      <c r="E68" s="300"/>
      <c r="F68" s="300"/>
      <c r="G68" s="1595" t="s">
        <v>1257</v>
      </c>
      <c r="H68" s="251"/>
    </row>
    <row r="69" spans="1:8" x14ac:dyDescent="0.25">
      <c r="A69" s="298"/>
      <c r="B69" s="298"/>
      <c r="C69" s="299">
        <v>4102119999</v>
      </c>
      <c r="D69" s="299" t="s">
        <v>1218</v>
      </c>
      <c r="E69" s="343"/>
      <c r="F69" s="344"/>
      <c r="G69" s="1596"/>
      <c r="H69" s="251"/>
    </row>
    <row r="70" spans="1:8" x14ac:dyDescent="0.25">
      <c r="A70" s="298"/>
      <c r="B70" s="298"/>
      <c r="C70" s="299"/>
      <c r="D70" s="299"/>
      <c r="E70" s="343"/>
      <c r="F70" s="344"/>
      <c r="G70" s="282"/>
      <c r="H70" s="251"/>
    </row>
    <row r="71" spans="1:8" x14ac:dyDescent="0.25">
      <c r="A71" s="298">
        <v>17</v>
      </c>
      <c r="B71" s="298">
        <v>2018</v>
      </c>
      <c r="C71" s="299">
        <v>1107215000</v>
      </c>
      <c r="D71" s="299" t="s">
        <v>1219</v>
      </c>
      <c r="E71" s="344"/>
      <c r="F71" s="344"/>
      <c r="G71" s="1591" t="s">
        <v>1258</v>
      </c>
      <c r="H71" s="251"/>
    </row>
    <row r="72" spans="1:8" x14ac:dyDescent="0.25">
      <c r="A72" s="339"/>
      <c r="B72" s="339"/>
      <c r="C72" s="299">
        <v>4104102000</v>
      </c>
      <c r="D72" s="339" t="s">
        <v>1228</v>
      </c>
      <c r="E72" s="339"/>
      <c r="F72" s="339"/>
      <c r="G72" s="1592"/>
      <c r="H72" s="251"/>
    </row>
    <row r="73" spans="1:8" x14ac:dyDescent="0.25">
      <c r="G73" s="282"/>
      <c r="H73" s="251"/>
    </row>
    <row r="74" spans="1:8" x14ac:dyDescent="0.25">
      <c r="A74" s="306">
        <v>18</v>
      </c>
      <c r="B74" s="306">
        <v>2017</v>
      </c>
      <c r="C74" s="306"/>
      <c r="D74" s="306" t="s">
        <v>1276</v>
      </c>
      <c r="E74" s="307">
        <v>777000000</v>
      </c>
      <c r="F74" s="307"/>
    </row>
    <row r="75" spans="1:8" x14ac:dyDescent="0.25">
      <c r="A75" s="306"/>
      <c r="B75" s="306"/>
      <c r="C75" s="306"/>
      <c r="D75" s="306" t="s">
        <v>1277</v>
      </c>
      <c r="E75" s="307"/>
      <c r="F75" s="307">
        <v>233100000</v>
      </c>
    </row>
    <row r="76" spans="1:8" x14ac:dyDescent="0.25">
      <c r="A76" s="306"/>
      <c r="B76" s="306"/>
      <c r="C76" s="306"/>
      <c r="D76" s="306" t="s">
        <v>1278</v>
      </c>
      <c r="E76" s="307"/>
      <c r="F76" s="307">
        <v>518000000</v>
      </c>
    </row>
    <row r="77" spans="1:8" x14ac:dyDescent="0.25">
      <c r="A77" s="306"/>
      <c r="B77" s="306"/>
      <c r="C77" s="306">
        <v>1206105000</v>
      </c>
      <c r="D77" s="306" t="s">
        <v>1279</v>
      </c>
      <c r="E77" s="307"/>
      <c r="F77" s="307">
        <v>12950000</v>
      </c>
    </row>
    <row r="78" spans="1:8" x14ac:dyDescent="0.25">
      <c r="A78" s="306"/>
      <c r="B78" s="306"/>
      <c r="C78" s="306">
        <v>1109105000</v>
      </c>
      <c r="D78" s="306" t="s">
        <v>1280</v>
      </c>
      <c r="E78" s="307"/>
      <c r="F78" s="307">
        <v>12950000</v>
      </c>
    </row>
    <row r="80" spans="1:8" x14ac:dyDescent="0.25">
      <c r="A80" s="306">
        <v>19</v>
      </c>
      <c r="B80" s="306"/>
      <c r="C80" s="306"/>
      <c r="D80" s="306" t="s">
        <v>1286</v>
      </c>
      <c r="E80" s="307">
        <v>51800000</v>
      </c>
      <c r="F80" s="307"/>
    </row>
    <row r="81" spans="1:7" x14ac:dyDescent="0.25">
      <c r="A81" s="306"/>
      <c r="B81" s="306"/>
      <c r="C81" s="306"/>
      <c r="D81" s="306" t="s">
        <v>1278</v>
      </c>
      <c r="E81" s="307"/>
      <c r="F81" s="307">
        <v>51800000</v>
      </c>
    </row>
    <row r="82" spans="1:7" x14ac:dyDescent="0.25">
      <c r="E82" s="302"/>
      <c r="F82" s="302"/>
    </row>
    <row r="83" spans="1:7" x14ac:dyDescent="0.25">
      <c r="A83" s="306">
        <v>20</v>
      </c>
      <c r="B83" s="306"/>
      <c r="C83" s="306"/>
      <c r="D83" s="310" t="s">
        <v>1276</v>
      </c>
      <c r="E83" s="307">
        <v>777000000</v>
      </c>
      <c r="F83" s="307"/>
    </row>
    <row r="84" spans="1:7" x14ac:dyDescent="0.25">
      <c r="A84" s="306"/>
      <c r="B84" s="306"/>
      <c r="C84" s="306"/>
      <c r="D84" s="306" t="s">
        <v>1277</v>
      </c>
      <c r="E84" s="307"/>
      <c r="F84" s="307">
        <v>194250000</v>
      </c>
    </row>
    <row r="85" spans="1:7" x14ac:dyDescent="0.25">
      <c r="A85" s="306"/>
      <c r="B85" s="306"/>
      <c r="C85" s="306"/>
      <c r="D85" s="306" t="s">
        <v>1278</v>
      </c>
      <c r="E85" s="307"/>
      <c r="F85" s="307">
        <v>518000000</v>
      </c>
    </row>
    <row r="86" spans="1:7" x14ac:dyDescent="0.25">
      <c r="A86" s="306"/>
      <c r="B86" s="306"/>
      <c r="C86" s="306">
        <v>1109105000</v>
      </c>
      <c r="D86" s="306" t="s">
        <v>1280</v>
      </c>
      <c r="E86" s="307"/>
      <c r="F86" s="307">
        <v>12950000</v>
      </c>
    </row>
    <row r="87" spans="1:7" ht="15.75" x14ac:dyDescent="0.25">
      <c r="A87" s="306"/>
      <c r="B87" s="306"/>
      <c r="C87" s="308">
        <v>5105107000</v>
      </c>
      <c r="D87" s="306" t="s">
        <v>1291</v>
      </c>
      <c r="E87" s="307"/>
      <c r="F87" s="307">
        <v>51800000</v>
      </c>
    </row>
    <row r="89" spans="1:7" x14ac:dyDescent="0.25">
      <c r="D89" s="311" t="s">
        <v>1292</v>
      </c>
    </row>
    <row r="90" spans="1:7" x14ac:dyDescent="0.25">
      <c r="A90" s="303">
        <v>21</v>
      </c>
      <c r="B90" s="303"/>
      <c r="C90" s="303"/>
      <c r="D90" s="303" t="s">
        <v>1293</v>
      </c>
      <c r="E90" s="304">
        <f>3569475.06-60000</f>
        <v>3509475.06</v>
      </c>
      <c r="F90" s="304"/>
    </row>
    <row r="91" spans="1:7" ht="15.75" x14ac:dyDescent="0.25">
      <c r="A91" s="303"/>
      <c r="B91" s="303"/>
      <c r="C91" s="313">
        <v>5105117003</v>
      </c>
      <c r="D91" s="303" t="s">
        <v>1294</v>
      </c>
      <c r="E91" s="304"/>
      <c r="F91" s="304">
        <f>E90</f>
        <v>3509475.06</v>
      </c>
    </row>
    <row r="92" spans="1:7" x14ac:dyDescent="0.25">
      <c r="A92" s="303"/>
      <c r="B92" s="303"/>
      <c r="C92" s="303"/>
      <c r="D92" s="303"/>
      <c r="E92" s="304"/>
      <c r="F92" s="304"/>
    </row>
    <row r="93" spans="1:7" x14ac:dyDescent="0.25">
      <c r="A93" s="303" t="s">
        <v>1313</v>
      </c>
      <c r="B93" s="303"/>
      <c r="C93" s="303"/>
      <c r="D93" s="303" t="s">
        <v>1310</v>
      </c>
      <c r="E93" s="304">
        <v>1921063.3</v>
      </c>
      <c r="F93" s="304"/>
      <c r="G93" s="305"/>
    </row>
    <row r="94" spans="1:7" ht="15.75" x14ac:dyDescent="0.25">
      <c r="A94" s="303"/>
      <c r="B94" s="303"/>
      <c r="C94" s="313">
        <v>5105117003</v>
      </c>
      <c r="D94" s="303" t="s">
        <v>1311</v>
      </c>
      <c r="E94" s="304">
        <f>1648411.76-60000</f>
        <v>1588411.76</v>
      </c>
      <c r="F94" s="304"/>
    </row>
    <row r="95" spans="1:7" x14ac:dyDescent="0.25">
      <c r="A95" s="303"/>
      <c r="B95" s="303"/>
      <c r="C95" s="303"/>
      <c r="D95" s="303" t="s">
        <v>1312</v>
      </c>
      <c r="E95" s="304"/>
      <c r="F95" s="304">
        <f>3569475.06-60000</f>
        <v>3509475.06</v>
      </c>
      <c r="G95" s="305"/>
    </row>
    <row r="96" spans="1:7" x14ac:dyDescent="0.25">
      <c r="E96" s="302"/>
      <c r="F96" s="302"/>
    </row>
    <row r="97" spans="1:6" x14ac:dyDescent="0.25">
      <c r="D97" s="311" t="s">
        <v>1295</v>
      </c>
      <c r="E97" s="302"/>
      <c r="F97" s="302"/>
    </row>
    <row r="98" spans="1:6" x14ac:dyDescent="0.25">
      <c r="A98" s="306">
        <v>22</v>
      </c>
      <c r="B98" s="306"/>
      <c r="C98" s="306"/>
      <c r="D98" s="314" t="s">
        <v>1292</v>
      </c>
      <c r="E98" s="307"/>
      <c r="F98" s="307"/>
    </row>
    <row r="99" spans="1:6" x14ac:dyDescent="0.25">
      <c r="A99" s="306"/>
      <c r="B99" s="306"/>
      <c r="C99" s="306"/>
      <c r="D99" s="306" t="s">
        <v>1296</v>
      </c>
      <c r="E99" s="307">
        <v>1673005</v>
      </c>
      <c r="F99" s="307"/>
    </row>
    <row r="100" spans="1:6" x14ac:dyDescent="0.25">
      <c r="A100" s="306"/>
      <c r="B100" s="306"/>
      <c r="C100" s="306"/>
      <c r="D100" s="306" t="s">
        <v>1297</v>
      </c>
      <c r="E100" s="307"/>
      <c r="F100" s="307">
        <v>1673005</v>
      </c>
    </row>
    <row r="101" spans="1:6" x14ac:dyDescent="0.25">
      <c r="E101" s="302"/>
      <c r="F101" s="302"/>
    </row>
    <row r="102" spans="1:6" x14ac:dyDescent="0.25">
      <c r="D102" s="311" t="s">
        <v>1298</v>
      </c>
      <c r="E102" s="302"/>
      <c r="F102" s="302"/>
    </row>
    <row r="103" spans="1:6" x14ac:dyDescent="0.25">
      <c r="A103" s="306">
        <v>23</v>
      </c>
      <c r="B103" s="306"/>
      <c r="C103" s="306"/>
      <c r="D103" s="306" t="s">
        <v>1299</v>
      </c>
      <c r="E103" s="307">
        <v>0</v>
      </c>
      <c r="F103" s="307"/>
    </row>
    <row r="104" spans="1:6" x14ac:dyDescent="0.25">
      <c r="A104" s="306"/>
      <c r="B104" s="306"/>
      <c r="C104" s="306"/>
      <c r="D104" s="306" t="s">
        <v>1300</v>
      </c>
      <c r="E104" s="307"/>
      <c r="F104" s="307">
        <v>0</v>
      </c>
    </row>
    <row r="105" spans="1:6" x14ac:dyDescent="0.25">
      <c r="A105" s="306"/>
      <c r="B105" s="306"/>
      <c r="C105" s="306"/>
      <c r="D105" s="306" t="s">
        <v>1301</v>
      </c>
      <c r="E105" s="307"/>
      <c r="F105" s="307">
        <v>0</v>
      </c>
    </row>
    <row r="106" spans="1:6" x14ac:dyDescent="0.25">
      <c r="A106" s="306"/>
      <c r="B106" s="306"/>
      <c r="C106" s="306"/>
      <c r="D106" s="306" t="s">
        <v>1302</v>
      </c>
      <c r="E106" s="307"/>
      <c r="F106" s="307">
        <v>0</v>
      </c>
    </row>
    <row r="107" spans="1:6" x14ac:dyDescent="0.25">
      <c r="E107" s="302"/>
      <c r="F107" s="302"/>
    </row>
    <row r="108" spans="1:6" x14ac:dyDescent="0.25">
      <c r="D108" s="311" t="s">
        <v>1303</v>
      </c>
      <c r="E108" s="302"/>
      <c r="F108" s="302"/>
    </row>
    <row r="109" spans="1:6" x14ac:dyDescent="0.25">
      <c r="D109" s="311" t="s">
        <v>1304</v>
      </c>
      <c r="E109" s="302"/>
      <c r="F109" s="302"/>
    </row>
    <row r="110" spans="1:6" x14ac:dyDescent="0.25">
      <c r="E110" s="302"/>
      <c r="F110" s="302"/>
    </row>
    <row r="111" spans="1:6" x14ac:dyDescent="0.25">
      <c r="A111" s="306">
        <v>24</v>
      </c>
      <c r="B111" s="306">
        <v>2017</v>
      </c>
      <c r="C111" s="306"/>
      <c r="D111" s="306" t="s">
        <v>74</v>
      </c>
      <c r="E111" s="309">
        <v>19435675</v>
      </c>
      <c r="F111" s="306"/>
    </row>
    <row r="112" spans="1:6" x14ac:dyDescent="0.25">
      <c r="A112" s="306"/>
      <c r="B112" s="306"/>
      <c r="C112" s="306"/>
      <c r="D112" s="306" t="s">
        <v>1305</v>
      </c>
      <c r="E112" s="306"/>
      <c r="F112" s="309">
        <v>19194172.050000001</v>
      </c>
    </row>
    <row r="113" spans="1:7" x14ac:dyDescent="0.25">
      <c r="A113" s="306"/>
      <c r="B113" s="306"/>
      <c r="C113" s="306"/>
      <c r="D113" s="306" t="s">
        <v>1306</v>
      </c>
      <c r="E113" s="306"/>
      <c r="F113" s="309">
        <v>241502.94999999925</v>
      </c>
    </row>
    <row r="114" spans="1:7" x14ac:dyDescent="0.25">
      <c r="E114" s="302"/>
      <c r="F114" s="302"/>
    </row>
    <row r="115" spans="1:7" x14ac:dyDescent="0.25">
      <c r="D115" s="311" t="s">
        <v>1292</v>
      </c>
      <c r="E115" s="302"/>
      <c r="F115" s="302"/>
    </row>
    <row r="116" spans="1:7" x14ac:dyDescent="0.25">
      <c r="A116" s="306">
        <v>25</v>
      </c>
      <c r="B116" s="306"/>
      <c r="C116" s="306"/>
      <c r="D116" s="306" t="s">
        <v>1307</v>
      </c>
      <c r="E116" s="304">
        <v>19194172</v>
      </c>
      <c r="F116" s="304"/>
    </row>
    <row r="117" spans="1:7" x14ac:dyDescent="0.25">
      <c r="A117" s="306"/>
      <c r="B117" s="306"/>
      <c r="C117" s="306"/>
      <c r="D117" s="306" t="s">
        <v>1308</v>
      </c>
      <c r="E117" s="304"/>
      <c r="F117" s="304">
        <v>19194172</v>
      </c>
    </row>
    <row r="118" spans="1:7" x14ac:dyDescent="0.25">
      <c r="E118" s="302"/>
      <c r="F118" s="312"/>
    </row>
    <row r="119" spans="1:7" x14ac:dyDescent="0.25">
      <c r="A119" s="306">
        <v>26</v>
      </c>
      <c r="B119" s="306"/>
      <c r="C119" s="306"/>
      <c r="D119" s="306" t="s">
        <v>1309</v>
      </c>
      <c r="E119" s="307">
        <v>19194172</v>
      </c>
      <c r="F119" s="306"/>
    </row>
    <row r="120" spans="1:7" x14ac:dyDescent="0.25">
      <c r="A120" s="306"/>
      <c r="B120" s="306"/>
      <c r="C120" s="306"/>
      <c r="D120" s="306" t="s">
        <v>1306</v>
      </c>
      <c r="E120" s="306"/>
      <c r="F120" s="309">
        <v>19194172</v>
      </c>
    </row>
    <row r="122" spans="1:7" x14ac:dyDescent="0.25">
      <c r="A122" s="306">
        <v>27</v>
      </c>
      <c r="B122" s="322">
        <v>2018</v>
      </c>
      <c r="C122" s="322"/>
      <c r="D122" s="323" t="s">
        <v>1315</v>
      </c>
      <c r="E122" s="324"/>
      <c r="F122" s="324"/>
      <c r="G122" s="317"/>
    </row>
    <row r="123" spans="1:7" x14ac:dyDescent="0.25">
      <c r="A123" s="306"/>
      <c r="B123" s="324"/>
      <c r="C123" s="324"/>
      <c r="D123" s="323" t="s">
        <v>1316</v>
      </c>
      <c r="E123" s="325">
        <v>532443</v>
      </c>
      <c r="F123" s="324"/>
      <c r="G123" s="317"/>
    </row>
    <row r="124" spans="1:7" x14ac:dyDescent="0.25">
      <c r="A124" s="306"/>
      <c r="B124" s="324"/>
      <c r="C124" s="324"/>
      <c r="D124" s="323" t="s">
        <v>1317</v>
      </c>
      <c r="E124" s="323"/>
      <c r="F124" s="326">
        <f>+E123</f>
        <v>532443</v>
      </c>
      <c r="G124" s="319" t="s">
        <v>1318</v>
      </c>
    </row>
    <row r="125" spans="1:7" x14ac:dyDescent="0.25">
      <c r="B125" s="316"/>
      <c r="C125" s="316"/>
      <c r="D125" s="316"/>
      <c r="E125" s="316"/>
      <c r="F125" s="316"/>
      <c r="G125" s="317"/>
    </row>
    <row r="126" spans="1:7" x14ac:dyDescent="0.25">
      <c r="B126" s="316"/>
      <c r="C126" s="316"/>
      <c r="D126" s="316"/>
      <c r="E126" s="316"/>
      <c r="F126" s="316"/>
      <c r="G126" s="317"/>
    </row>
    <row r="127" spans="1:7" x14ac:dyDescent="0.25">
      <c r="A127" s="306">
        <v>28</v>
      </c>
      <c r="B127" s="322">
        <v>2018</v>
      </c>
      <c r="C127" s="322"/>
      <c r="D127" s="323" t="s">
        <v>1319</v>
      </c>
      <c r="E127" s="324"/>
      <c r="F127" s="324"/>
      <c r="G127" s="317"/>
    </row>
    <row r="128" spans="1:7" x14ac:dyDescent="0.25">
      <c r="A128" s="306"/>
      <c r="B128" s="324"/>
      <c r="C128" s="324"/>
      <c r="D128" s="323" t="s">
        <v>1320</v>
      </c>
      <c r="E128" s="325">
        <v>1890747.4295890413</v>
      </c>
      <c r="F128" s="324"/>
      <c r="G128" s="317"/>
    </row>
    <row r="129" spans="1:7" x14ac:dyDescent="0.25">
      <c r="A129" s="306"/>
      <c r="B129" s="324"/>
      <c r="C129" s="324"/>
      <c r="D129" s="323" t="s">
        <v>137</v>
      </c>
      <c r="E129" s="324"/>
      <c r="F129" s="325">
        <f>+E128</f>
        <v>1890747.4295890413</v>
      </c>
      <c r="G129" s="317"/>
    </row>
    <row r="130" spans="1:7" x14ac:dyDescent="0.25">
      <c r="B130" s="316"/>
      <c r="C130" s="316"/>
      <c r="D130" s="316"/>
      <c r="E130" s="316"/>
      <c r="F130" s="316"/>
      <c r="G130" s="319" t="s">
        <v>1321</v>
      </c>
    </row>
    <row r="131" spans="1:7" x14ac:dyDescent="0.25">
      <c r="B131" s="316"/>
      <c r="C131" s="316"/>
      <c r="D131" s="316"/>
      <c r="E131" s="316"/>
      <c r="F131" s="316"/>
      <c r="G131" s="317"/>
    </row>
    <row r="132" spans="1:7" x14ac:dyDescent="0.25">
      <c r="A132" s="306">
        <v>29</v>
      </c>
      <c r="B132" s="322">
        <v>2017</v>
      </c>
      <c r="C132" s="322"/>
      <c r="D132" s="323" t="s">
        <v>1322</v>
      </c>
      <c r="E132" s="324"/>
      <c r="F132" s="324"/>
      <c r="G132" s="327"/>
    </row>
    <row r="133" spans="1:7" x14ac:dyDescent="0.25">
      <c r="A133" s="306"/>
      <c r="B133" s="324"/>
      <c r="C133" s="324"/>
      <c r="D133" s="323" t="s">
        <v>1323</v>
      </c>
      <c r="E133" s="326">
        <v>333243226.17999983</v>
      </c>
      <c r="F133" s="323"/>
      <c r="G133" s="328"/>
    </row>
    <row r="134" spans="1:7" x14ac:dyDescent="0.25">
      <c r="A134" s="306"/>
      <c r="B134" s="324"/>
      <c r="C134" s="324"/>
      <c r="D134" s="323" t="s">
        <v>21</v>
      </c>
      <c r="E134" s="323"/>
      <c r="F134" s="325">
        <v>27722525.050000012</v>
      </c>
      <c r="G134" s="329" t="s">
        <v>1324</v>
      </c>
    </row>
    <row r="135" spans="1:7" x14ac:dyDescent="0.25">
      <c r="A135" s="306"/>
      <c r="B135" s="324"/>
      <c r="C135" s="324"/>
      <c r="D135" s="323" t="s">
        <v>1325</v>
      </c>
      <c r="E135" s="323"/>
      <c r="F135" s="325">
        <v>179200.19999999998</v>
      </c>
      <c r="G135" s="329" t="s">
        <v>1324</v>
      </c>
    </row>
    <row r="136" spans="1:7" x14ac:dyDescent="0.25">
      <c r="A136" s="306"/>
      <c r="B136" s="324"/>
      <c r="C136" s="324"/>
      <c r="D136" s="323" t="s">
        <v>1326</v>
      </c>
      <c r="E136" s="323"/>
      <c r="F136" s="325">
        <v>10760900.559999993</v>
      </c>
      <c r="G136" s="329" t="s">
        <v>1324</v>
      </c>
    </row>
    <row r="137" spans="1:7" x14ac:dyDescent="0.25">
      <c r="A137" s="306"/>
      <c r="B137" s="324"/>
      <c r="C137" s="324"/>
      <c r="D137" s="323" t="s">
        <v>1327</v>
      </c>
      <c r="E137" s="323"/>
      <c r="F137" s="325">
        <v>107075463.41000004</v>
      </c>
      <c r="G137" s="329" t="s">
        <v>1324</v>
      </c>
    </row>
    <row r="138" spans="1:7" x14ac:dyDescent="0.25">
      <c r="A138" s="306"/>
      <c r="B138" s="324"/>
      <c r="C138" s="324"/>
      <c r="D138" s="323" t="s">
        <v>1328</v>
      </c>
      <c r="E138" s="323"/>
      <c r="F138" s="325">
        <v>7272443.75</v>
      </c>
      <c r="G138" s="329" t="s">
        <v>1324</v>
      </c>
    </row>
    <row r="139" spans="1:7" x14ac:dyDescent="0.25">
      <c r="A139" s="306"/>
      <c r="B139" s="324"/>
      <c r="C139" s="324"/>
      <c r="D139" s="323" t="s">
        <v>1329</v>
      </c>
      <c r="E139" s="323"/>
      <c r="F139" s="325">
        <v>169555496.93999982</v>
      </c>
      <c r="G139" s="329" t="s">
        <v>1324</v>
      </c>
    </row>
    <row r="140" spans="1:7" x14ac:dyDescent="0.25">
      <c r="A140" s="306"/>
      <c r="B140" s="324"/>
      <c r="C140" s="324"/>
      <c r="D140" s="323" t="s">
        <v>1330</v>
      </c>
      <c r="E140" s="323"/>
      <c r="F140" s="325">
        <v>10677196.27</v>
      </c>
      <c r="G140" s="329" t="s">
        <v>1324</v>
      </c>
    </row>
    <row r="141" spans="1:7" x14ac:dyDescent="0.25">
      <c r="A141" s="306"/>
      <c r="B141" s="324"/>
      <c r="C141" s="324"/>
      <c r="D141" s="323"/>
      <c r="E141" s="326"/>
      <c r="F141" s="326"/>
      <c r="G141" s="329" t="s">
        <v>1331</v>
      </c>
    </row>
    <row r="142" spans="1:7" x14ac:dyDescent="0.25">
      <c r="A142" s="306"/>
      <c r="B142" s="324"/>
      <c r="C142" s="324"/>
      <c r="D142" s="323"/>
      <c r="E142" s="326"/>
      <c r="F142" s="326"/>
      <c r="G142" s="329"/>
    </row>
    <row r="143" spans="1:7" x14ac:dyDescent="0.25">
      <c r="A143" s="306">
        <v>30</v>
      </c>
      <c r="B143" s="322">
        <v>2018</v>
      </c>
      <c r="C143" s="324"/>
      <c r="D143" s="323" t="s">
        <v>1346</v>
      </c>
      <c r="E143" s="326">
        <f>+SUM(F144:F150)</f>
        <v>333243226.17999983</v>
      </c>
      <c r="F143" s="323"/>
      <c r="G143" s="329" t="s">
        <v>1332</v>
      </c>
    </row>
    <row r="144" spans="1:7" x14ac:dyDescent="0.25">
      <c r="A144" s="306"/>
      <c r="B144" s="324"/>
      <c r="C144" s="324"/>
      <c r="D144" s="323" t="s">
        <v>21</v>
      </c>
      <c r="E144" s="323"/>
      <c r="F144" s="325">
        <v>27722525.050000012</v>
      </c>
      <c r="G144" s="329"/>
    </row>
    <row r="145" spans="1:7" x14ac:dyDescent="0.25">
      <c r="A145" s="306"/>
      <c r="B145" s="324"/>
      <c r="C145" s="324"/>
      <c r="D145" s="323" t="s">
        <v>1325</v>
      </c>
      <c r="E145" s="323"/>
      <c r="F145" s="325">
        <v>179200.19999999998</v>
      </c>
      <c r="G145" s="329"/>
    </row>
    <row r="146" spans="1:7" x14ac:dyDescent="0.25">
      <c r="A146" s="306"/>
      <c r="B146" s="324"/>
      <c r="C146" s="324"/>
      <c r="D146" s="323" t="s">
        <v>1326</v>
      </c>
      <c r="E146" s="323"/>
      <c r="F146" s="325">
        <v>10760900.559999993</v>
      </c>
      <c r="G146" s="329"/>
    </row>
    <row r="147" spans="1:7" x14ac:dyDescent="0.25">
      <c r="A147" s="306"/>
      <c r="B147" s="324"/>
      <c r="C147" s="324"/>
      <c r="D147" s="323" t="s">
        <v>1327</v>
      </c>
      <c r="E147" s="323"/>
      <c r="F147" s="325">
        <v>107075463.41000004</v>
      </c>
      <c r="G147" s="329"/>
    </row>
    <row r="148" spans="1:7" x14ac:dyDescent="0.25">
      <c r="A148" s="306"/>
      <c r="B148" s="324"/>
      <c r="C148" s="324"/>
      <c r="D148" s="323" t="s">
        <v>1328</v>
      </c>
      <c r="E148" s="323"/>
      <c r="F148" s="325">
        <v>7272443.75</v>
      </c>
      <c r="G148" s="329"/>
    </row>
    <row r="149" spans="1:7" x14ac:dyDescent="0.25">
      <c r="A149" s="306"/>
      <c r="B149" s="324"/>
      <c r="C149" s="324"/>
      <c r="D149" s="323" t="s">
        <v>1329</v>
      </c>
      <c r="E149" s="323"/>
      <c r="F149" s="325">
        <v>169555496.93999982</v>
      </c>
      <c r="G149" s="329"/>
    </row>
    <row r="150" spans="1:7" x14ac:dyDescent="0.25">
      <c r="A150" s="306"/>
      <c r="B150" s="324"/>
      <c r="C150" s="324"/>
      <c r="D150" s="323" t="s">
        <v>1330</v>
      </c>
      <c r="E150" s="323"/>
      <c r="F150" s="325">
        <v>10677196.27</v>
      </c>
      <c r="G150" s="329" t="s">
        <v>1331</v>
      </c>
    </row>
    <row r="151" spans="1:7" x14ac:dyDescent="0.25">
      <c r="B151" s="316"/>
      <c r="C151" s="316"/>
      <c r="D151" s="316"/>
      <c r="E151" s="320"/>
      <c r="F151" s="320"/>
      <c r="G151" s="321"/>
    </row>
    <row r="152" spans="1:7" x14ac:dyDescent="0.25">
      <c r="A152" s="306">
        <v>31</v>
      </c>
      <c r="B152" s="322">
        <v>2017</v>
      </c>
      <c r="C152" s="322"/>
      <c r="D152" s="323" t="s">
        <v>1333</v>
      </c>
      <c r="E152" s="331"/>
      <c r="F152" s="331"/>
      <c r="G152" s="332"/>
    </row>
    <row r="153" spans="1:7" x14ac:dyDescent="0.25">
      <c r="A153" s="306"/>
      <c r="B153" s="324"/>
      <c r="C153" s="324"/>
      <c r="D153" s="323" t="s">
        <v>1323</v>
      </c>
      <c r="E153" s="325">
        <v>45335766.469415516</v>
      </c>
      <c r="F153" s="324"/>
      <c r="G153" s="327"/>
    </row>
    <row r="154" spans="1:7" x14ac:dyDescent="0.25">
      <c r="A154" s="306"/>
      <c r="B154" s="324"/>
      <c r="C154" s="324"/>
      <c r="D154" s="323" t="s">
        <v>21</v>
      </c>
      <c r="E154" s="324"/>
      <c r="F154" s="325">
        <v>2047913.2606319636</v>
      </c>
      <c r="G154" s="329" t="s">
        <v>1139</v>
      </c>
    </row>
    <row r="155" spans="1:7" x14ac:dyDescent="0.25">
      <c r="A155" s="306"/>
      <c r="B155" s="324"/>
      <c r="C155" s="324"/>
      <c r="D155" s="323" t="s">
        <v>1326</v>
      </c>
      <c r="E155" s="324"/>
      <c r="F155" s="325">
        <v>302181.83107397269</v>
      </c>
      <c r="G155" s="329" t="s">
        <v>1139</v>
      </c>
    </row>
    <row r="156" spans="1:7" x14ac:dyDescent="0.25">
      <c r="A156" s="306"/>
      <c r="B156" s="324"/>
      <c r="C156" s="324"/>
      <c r="D156" s="323" t="s">
        <v>1327</v>
      </c>
      <c r="E156" s="324"/>
      <c r="F156" s="325">
        <v>40972895.052876711</v>
      </c>
      <c r="G156" s="329" t="s">
        <v>1139</v>
      </c>
    </row>
    <row r="157" spans="1:7" x14ac:dyDescent="0.25">
      <c r="A157" s="306"/>
      <c r="B157" s="324"/>
      <c r="C157" s="324"/>
      <c r="D157" s="323" t="s">
        <v>1328</v>
      </c>
      <c r="E157" s="324"/>
      <c r="F157" s="325">
        <v>1653563.3166136986</v>
      </c>
      <c r="G157" s="329" t="s">
        <v>1139</v>
      </c>
    </row>
    <row r="158" spans="1:7" x14ac:dyDescent="0.25">
      <c r="A158" s="306"/>
      <c r="B158" s="324"/>
      <c r="C158" s="324"/>
      <c r="D158" s="323" t="s">
        <v>1329</v>
      </c>
      <c r="E158" s="324"/>
      <c r="F158" s="325">
        <v>359213.00821917783</v>
      </c>
      <c r="G158" s="329" t="s">
        <v>1139</v>
      </c>
    </row>
    <row r="159" spans="1:7" x14ac:dyDescent="0.25">
      <c r="A159" s="306"/>
      <c r="B159" s="324"/>
      <c r="C159" s="324"/>
      <c r="D159" s="324"/>
      <c r="E159" s="324"/>
      <c r="F159" s="324"/>
      <c r="G159" s="329" t="s">
        <v>1334</v>
      </c>
    </row>
    <row r="160" spans="1:7" x14ac:dyDescent="0.25">
      <c r="A160" s="306"/>
      <c r="B160" s="324"/>
      <c r="C160" s="324"/>
      <c r="D160" s="324"/>
      <c r="E160" s="324"/>
      <c r="F160" s="324"/>
      <c r="G160" s="329"/>
    </row>
    <row r="161" spans="1:7" x14ac:dyDescent="0.25">
      <c r="A161" s="306">
        <v>32</v>
      </c>
      <c r="B161" s="322">
        <v>2018</v>
      </c>
      <c r="C161" s="324"/>
      <c r="D161" s="323" t="s">
        <v>1346</v>
      </c>
      <c r="E161" s="325">
        <v>45335766.469415516</v>
      </c>
      <c r="F161" s="324"/>
      <c r="G161" s="329" t="s">
        <v>1332</v>
      </c>
    </row>
    <row r="162" spans="1:7" x14ac:dyDescent="0.25">
      <c r="A162" s="306"/>
      <c r="B162" s="324"/>
      <c r="C162" s="324"/>
      <c r="D162" s="323" t="s">
        <v>21</v>
      </c>
      <c r="E162" s="324"/>
      <c r="F162" s="325">
        <v>2047913.2606319636</v>
      </c>
      <c r="G162" s="329"/>
    </row>
    <row r="163" spans="1:7" x14ac:dyDescent="0.25">
      <c r="A163" s="306"/>
      <c r="B163" s="324"/>
      <c r="C163" s="324"/>
      <c r="D163" s="323" t="s">
        <v>1326</v>
      </c>
      <c r="E163" s="324"/>
      <c r="F163" s="325">
        <v>302181.83107397269</v>
      </c>
      <c r="G163" s="329"/>
    </row>
    <row r="164" spans="1:7" x14ac:dyDescent="0.25">
      <c r="A164" s="306"/>
      <c r="B164" s="324"/>
      <c r="C164" s="324"/>
      <c r="D164" s="323" t="s">
        <v>1327</v>
      </c>
      <c r="E164" s="324"/>
      <c r="F164" s="325">
        <v>40972895.052876711</v>
      </c>
      <c r="G164" s="329"/>
    </row>
    <row r="165" spans="1:7" x14ac:dyDescent="0.25">
      <c r="A165" s="306"/>
      <c r="B165" s="324"/>
      <c r="C165" s="324"/>
      <c r="D165" s="323" t="s">
        <v>1328</v>
      </c>
      <c r="E165" s="324"/>
      <c r="F165" s="325">
        <v>1653563.3166136986</v>
      </c>
      <c r="G165" s="329"/>
    </row>
    <row r="166" spans="1:7" x14ac:dyDescent="0.25">
      <c r="A166" s="306"/>
      <c r="B166" s="324"/>
      <c r="C166" s="324"/>
      <c r="D166" s="323" t="s">
        <v>1329</v>
      </c>
      <c r="E166" s="324"/>
      <c r="F166" s="325">
        <v>359213.00821917783</v>
      </c>
      <c r="G166" s="329"/>
    </row>
    <row r="167" spans="1:7" x14ac:dyDescent="0.25">
      <c r="A167" s="306"/>
      <c r="B167" s="324"/>
      <c r="C167" s="324"/>
      <c r="D167" s="324"/>
      <c r="E167" s="324"/>
      <c r="F167" s="324"/>
      <c r="G167" s="329" t="s">
        <v>1334</v>
      </c>
    </row>
    <row r="168" spans="1:7" x14ac:dyDescent="0.25">
      <c r="A168" s="306"/>
      <c r="B168" s="324"/>
      <c r="C168" s="324"/>
      <c r="D168" s="324"/>
      <c r="E168" s="324"/>
      <c r="F168" s="324"/>
      <c r="G168" s="329"/>
    </row>
    <row r="169" spans="1:7" x14ac:dyDescent="0.25">
      <c r="A169" s="306">
        <v>33</v>
      </c>
      <c r="B169" s="322">
        <v>2018</v>
      </c>
      <c r="C169" s="322"/>
      <c r="D169" s="323" t="s">
        <v>1335</v>
      </c>
      <c r="E169" s="324"/>
      <c r="F169" s="324"/>
      <c r="G169" s="327"/>
    </row>
    <row r="170" spans="1:7" x14ac:dyDescent="0.25">
      <c r="A170" s="306"/>
      <c r="B170" s="324"/>
      <c r="C170" s="324"/>
      <c r="D170" s="323" t="s">
        <v>1336</v>
      </c>
      <c r="E170" s="325">
        <f>+F171</f>
        <v>99285178.310000002</v>
      </c>
      <c r="F170" s="324"/>
      <c r="G170" s="327"/>
    </row>
    <row r="171" spans="1:7" x14ac:dyDescent="0.25">
      <c r="A171" s="306"/>
      <c r="B171" s="324"/>
      <c r="C171" s="324"/>
      <c r="D171" s="323" t="s">
        <v>20</v>
      </c>
      <c r="E171" s="324"/>
      <c r="F171" s="325">
        <v>99285178.310000002</v>
      </c>
      <c r="G171" s="327"/>
    </row>
    <row r="172" spans="1:7" x14ac:dyDescent="0.25">
      <c r="A172" s="306"/>
      <c r="B172" s="333"/>
      <c r="C172" s="333"/>
      <c r="D172" s="333"/>
      <c r="E172" s="333"/>
      <c r="F172" s="333"/>
      <c r="G172" s="335" t="s">
        <v>1337</v>
      </c>
    </row>
    <row r="173" spans="1:7" x14ac:dyDescent="0.25">
      <c r="A173" s="306">
        <v>34</v>
      </c>
      <c r="B173" s="322">
        <v>2018</v>
      </c>
      <c r="C173" s="324"/>
      <c r="D173" s="323" t="s">
        <v>1323</v>
      </c>
      <c r="E173" s="325">
        <f>+E170</f>
        <v>99285178.310000002</v>
      </c>
      <c r="F173" s="324"/>
      <c r="G173" s="324"/>
    </row>
    <row r="174" spans="1:7" x14ac:dyDescent="0.25">
      <c r="A174" s="306"/>
      <c r="B174" s="333"/>
      <c r="C174" s="333"/>
      <c r="D174" s="334" t="s">
        <v>1338</v>
      </c>
      <c r="E174" s="333"/>
      <c r="F174" s="325">
        <f>+E173</f>
        <v>99285178.310000002</v>
      </c>
      <c r="G174" s="337"/>
    </row>
    <row r="175" spans="1:7" x14ac:dyDescent="0.25">
      <c r="A175" s="306"/>
      <c r="B175" s="333"/>
      <c r="C175" s="333"/>
      <c r="D175" s="334"/>
      <c r="E175" s="333"/>
      <c r="F175" s="333"/>
      <c r="G175" s="335" t="s">
        <v>1339</v>
      </c>
    </row>
    <row r="176" spans="1:7" x14ac:dyDescent="0.25">
      <c r="A176" s="306">
        <v>35</v>
      </c>
      <c r="B176" s="322">
        <v>2018</v>
      </c>
      <c r="C176" s="333"/>
      <c r="D176" s="334" t="s">
        <v>1340</v>
      </c>
      <c r="E176" s="325">
        <f>+SUM(F177:F181)</f>
        <v>10827849.543637624</v>
      </c>
      <c r="F176" s="333"/>
      <c r="G176" s="335"/>
    </row>
    <row r="177" spans="1:7" x14ac:dyDescent="0.25">
      <c r="A177" s="306"/>
      <c r="B177" s="333"/>
      <c r="C177" s="333"/>
      <c r="D177" s="334" t="s">
        <v>1328</v>
      </c>
      <c r="E177" s="333"/>
      <c r="F177" s="325">
        <f>3421351.8293498+113644</f>
        <v>3534995.8293498</v>
      </c>
      <c r="G177" s="335"/>
    </row>
    <row r="178" spans="1:7" x14ac:dyDescent="0.25">
      <c r="A178" s="306"/>
      <c r="B178" s="333"/>
      <c r="C178" s="333"/>
      <c r="D178" s="323" t="s">
        <v>1341</v>
      </c>
      <c r="E178" s="333"/>
      <c r="F178" s="325">
        <v>5618956.7567896452</v>
      </c>
      <c r="G178" s="335"/>
    </row>
    <row r="179" spans="1:7" x14ac:dyDescent="0.25">
      <c r="A179" s="306"/>
      <c r="B179" s="333"/>
      <c r="C179" s="333"/>
      <c r="D179" s="334" t="s">
        <v>1342</v>
      </c>
      <c r="E179" s="333"/>
      <c r="F179" s="325">
        <v>781527.82339555467</v>
      </c>
      <c r="G179" s="335"/>
    </row>
    <row r="180" spans="1:7" x14ac:dyDescent="0.25">
      <c r="A180" s="306"/>
      <c r="B180" s="333"/>
      <c r="C180" s="333"/>
      <c r="D180" s="334" t="s">
        <v>1343</v>
      </c>
      <c r="E180" s="333"/>
      <c r="F180" s="336">
        <v>854404.79346225807</v>
      </c>
      <c r="G180" s="335"/>
    </row>
    <row r="181" spans="1:7" x14ac:dyDescent="0.25">
      <c r="A181" s="306"/>
      <c r="B181" s="324"/>
      <c r="C181" s="324"/>
      <c r="D181" s="323" t="s">
        <v>1344</v>
      </c>
      <c r="E181" s="324"/>
      <c r="F181" s="325">
        <v>37964.340640367562</v>
      </c>
      <c r="G181" s="329" t="s">
        <v>1345</v>
      </c>
    </row>
    <row r="183" spans="1:7" x14ac:dyDescent="0.25">
      <c r="A183">
        <v>36</v>
      </c>
      <c r="D183" s="382" t="s">
        <v>1410</v>
      </c>
      <c r="E183" s="302">
        <f>+DT!C32</f>
        <v>-36344476.458999999</v>
      </c>
      <c r="F183" s="302"/>
      <c r="G183" t="s">
        <v>1409</v>
      </c>
    </row>
    <row r="184" spans="1:7" x14ac:dyDescent="0.25">
      <c r="D184" s="382" t="s">
        <v>1411</v>
      </c>
      <c r="E184" s="302"/>
      <c r="F184" s="302">
        <f>+E183</f>
        <v>-36344476.458999999</v>
      </c>
    </row>
  </sheetData>
  <mergeCells count="12">
    <mergeCell ref="G71:G72"/>
    <mergeCell ref="G38:G39"/>
    <mergeCell ref="G41:G42"/>
    <mergeCell ref="G44:G45"/>
    <mergeCell ref="G47:G48"/>
    <mergeCell ref="G50:G51"/>
    <mergeCell ref="G53:G54"/>
    <mergeCell ref="G56:G57"/>
    <mergeCell ref="G59:G60"/>
    <mergeCell ref="G62:G63"/>
    <mergeCell ref="G65:G66"/>
    <mergeCell ref="G68:G69"/>
  </mergeCells>
  <conditionalFormatting sqref="C33">
    <cfRule type="duplicateValues" dxfId="1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19" workbookViewId="0">
      <selection activeCell="D40" sqref="D40"/>
    </sheetView>
  </sheetViews>
  <sheetFormatPr defaultColWidth="8.85546875" defaultRowHeight="15" x14ac:dyDescent="0.25"/>
  <cols>
    <col min="3" max="3" width="13.28515625" customWidth="1"/>
    <col min="4" max="4" width="74.28515625" bestFit="1" customWidth="1"/>
    <col min="5" max="5" width="14.28515625" bestFit="1" customWidth="1"/>
    <col min="6" max="6" width="12.42578125" bestFit="1" customWidth="1"/>
    <col min="7" max="7" width="78.85546875" bestFit="1" customWidth="1"/>
  </cols>
  <sheetData>
    <row r="1" spans="1:8" x14ac:dyDescent="0.25">
      <c r="A1" t="s">
        <v>1230</v>
      </c>
    </row>
    <row r="3" spans="1:8" x14ac:dyDescent="0.25">
      <c r="A3" s="240" t="s">
        <v>1175</v>
      </c>
      <c r="B3" s="240" t="s">
        <v>1216</v>
      </c>
      <c r="C3" s="240" t="s">
        <v>1176</v>
      </c>
      <c r="D3" s="240" t="s">
        <v>22</v>
      </c>
      <c r="E3" s="240" t="s">
        <v>1177</v>
      </c>
      <c r="F3" s="240" t="s">
        <v>1178</v>
      </c>
      <c r="G3" s="240" t="s">
        <v>1268</v>
      </c>
    </row>
    <row r="4" spans="1:8" x14ac:dyDescent="0.25">
      <c r="A4" s="274"/>
      <c r="B4" s="274"/>
      <c r="C4" s="274"/>
      <c r="D4" s="274"/>
      <c r="E4" s="274"/>
      <c r="F4" s="274"/>
      <c r="G4" s="274"/>
    </row>
    <row r="5" spans="1:8" x14ac:dyDescent="0.25">
      <c r="A5" s="339">
        <v>1</v>
      </c>
      <c r="B5" s="339">
        <v>2018</v>
      </c>
      <c r="C5" s="340">
        <v>5102103000</v>
      </c>
      <c r="D5" s="339" t="s">
        <v>649</v>
      </c>
      <c r="E5" s="341">
        <v>15691493.829999717</v>
      </c>
      <c r="F5" s="341"/>
      <c r="G5" s="1598"/>
    </row>
    <row r="6" spans="1:8" x14ac:dyDescent="0.25">
      <c r="A6" s="339"/>
      <c r="B6" s="339"/>
      <c r="C6" s="340">
        <v>5102109000</v>
      </c>
      <c r="D6" s="339" t="s">
        <v>1186</v>
      </c>
      <c r="E6" s="341"/>
      <c r="F6" s="341">
        <f>+E5</f>
        <v>15691493.829999717</v>
      </c>
      <c r="G6" s="1599"/>
    </row>
    <row r="7" spans="1:8" x14ac:dyDescent="0.25">
      <c r="A7" s="339"/>
      <c r="B7" s="339"/>
      <c r="C7" s="339"/>
      <c r="D7" s="339" t="s">
        <v>1213</v>
      </c>
      <c r="E7" s="339"/>
      <c r="F7" s="339"/>
      <c r="G7" s="1600"/>
    </row>
    <row r="8" spans="1:8" x14ac:dyDescent="0.25">
      <c r="A8" s="274"/>
      <c r="B8" s="274"/>
      <c r="C8" s="274"/>
      <c r="D8" s="274"/>
      <c r="E8" s="274"/>
      <c r="F8" s="274"/>
      <c r="G8" s="274"/>
    </row>
    <row r="9" spans="1:8" x14ac:dyDescent="0.25">
      <c r="A9" s="378">
        <v>2</v>
      </c>
      <c r="B9" s="287">
        <v>2017</v>
      </c>
      <c r="C9" s="288"/>
      <c r="D9" s="288" t="s">
        <v>1260</v>
      </c>
      <c r="E9" s="289">
        <v>703939</v>
      </c>
      <c r="F9" s="289"/>
      <c r="G9" s="1597" t="s">
        <v>1231</v>
      </c>
      <c r="H9" t="s">
        <v>1259</v>
      </c>
    </row>
    <row r="10" spans="1:8" x14ac:dyDescent="0.25">
      <c r="A10" s="287"/>
      <c r="B10" s="287"/>
      <c r="C10" s="288">
        <v>5104203000</v>
      </c>
      <c r="D10" s="288" t="s">
        <v>1232</v>
      </c>
      <c r="E10" s="289"/>
      <c r="F10" s="289">
        <f>+E9</f>
        <v>703939</v>
      </c>
      <c r="G10" s="1597"/>
    </row>
    <row r="11" spans="1:8" x14ac:dyDescent="0.25">
      <c r="A11" s="262"/>
      <c r="B11" s="262"/>
      <c r="C11" s="263"/>
      <c r="D11" s="263"/>
      <c r="E11" s="264"/>
      <c r="F11" s="264"/>
      <c r="G11" s="283"/>
    </row>
    <row r="12" spans="1:8" x14ac:dyDescent="0.25">
      <c r="A12" s="287">
        <v>3</v>
      </c>
      <c r="B12" s="287">
        <v>2017</v>
      </c>
      <c r="C12" s="288"/>
      <c r="D12" s="288" t="s">
        <v>1260</v>
      </c>
      <c r="E12" s="289">
        <v>576186</v>
      </c>
      <c r="F12" s="289"/>
      <c r="G12" s="1597" t="s">
        <v>1233</v>
      </c>
      <c r="H12" t="s">
        <v>1259</v>
      </c>
    </row>
    <row r="13" spans="1:8" x14ac:dyDescent="0.25">
      <c r="A13" s="287"/>
      <c r="B13" s="287"/>
      <c r="C13" s="288">
        <v>5104205000</v>
      </c>
      <c r="D13" s="288" t="s">
        <v>1234</v>
      </c>
      <c r="E13" s="289"/>
      <c r="F13" s="289">
        <f>+E12</f>
        <v>576186</v>
      </c>
      <c r="G13" s="1597"/>
    </row>
    <row r="14" spans="1:8" x14ac:dyDescent="0.25">
      <c r="A14" s="262"/>
      <c r="B14" s="262"/>
      <c r="C14" s="263"/>
      <c r="D14" s="263"/>
      <c r="E14" s="264"/>
      <c r="F14" s="264"/>
      <c r="G14" s="283"/>
    </row>
    <row r="15" spans="1:8" x14ac:dyDescent="0.25">
      <c r="A15" s="287">
        <v>4</v>
      </c>
      <c r="B15" s="287">
        <v>2018</v>
      </c>
      <c r="C15" s="288"/>
      <c r="D15" s="288" t="s">
        <v>1260</v>
      </c>
      <c r="E15" s="289">
        <v>748423</v>
      </c>
      <c r="F15" s="289"/>
      <c r="G15" s="1597" t="s">
        <v>1231</v>
      </c>
      <c r="H15" t="s">
        <v>1259</v>
      </c>
    </row>
    <row r="16" spans="1:8" x14ac:dyDescent="0.25">
      <c r="A16" s="287"/>
      <c r="B16" s="287"/>
      <c r="C16" s="288">
        <v>5104203000</v>
      </c>
      <c r="D16" s="288" t="s">
        <v>1232</v>
      </c>
      <c r="E16" s="289"/>
      <c r="F16" s="289">
        <v>748423</v>
      </c>
      <c r="G16" s="1597"/>
      <c r="H16" s="251"/>
    </row>
    <row r="17" spans="1:8" x14ac:dyDescent="0.25">
      <c r="A17" s="262"/>
      <c r="B17" s="262"/>
      <c r="C17" s="263"/>
      <c r="D17" s="263"/>
      <c r="E17" s="264"/>
      <c r="F17" s="264"/>
      <c r="G17" s="275"/>
      <c r="H17" s="251"/>
    </row>
    <row r="18" spans="1:8" x14ac:dyDescent="0.25">
      <c r="A18" s="287">
        <v>5</v>
      </c>
      <c r="B18" s="287">
        <v>2018</v>
      </c>
      <c r="C18" s="288"/>
      <c r="D18" s="288" t="s">
        <v>1260</v>
      </c>
      <c r="E18" s="289">
        <v>680718</v>
      </c>
      <c r="F18" s="289"/>
      <c r="G18" s="1597" t="s">
        <v>1233</v>
      </c>
      <c r="H18" t="s">
        <v>1259</v>
      </c>
    </row>
    <row r="19" spans="1:8" x14ac:dyDescent="0.25">
      <c r="A19" s="287"/>
      <c r="B19" s="287"/>
      <c r="C19" s="288">
        <v>5104205000</v>
      </c>
      <c r="D19" s="288" t="s">
        <v>1234</v>
      </c>
      <c r="E19" s="289"/>
      <c r="F19" s="289">
        <v>680718</v>
      </c>
      <c r="G19" s="1597"/>
      <c r="H19" s="251"/>
    </row>
    <row r="20" spans="1:8" x14ac:dyDescent="0.25">
      <c r="A20" s="262"/>
      <c r="B20" s="262"/>
      <c r="C20" s="263"/>
      <c r="D20" s="263"/>
      <c r="E20" s="264"/>
      <c r="F20" s="264"/>
      <c r="G20" s="275"/>
      <c r="H20" s="251"/>
    </row>
    <row r="21" spans="1:8" x14ac:dyDescent="0.25">
      <c r="A21" s="287">
        <v>6</v>
      </c>
      <c r="B21" s="287">
        <v>2018</v>
      </c>
      <c r="C21" s="288">
        <v>1107214000</v>
      </c>
      <c r="D21" s="288" t="s">
        <v>1235</v>
      </c>
      <c r="E21" s="289">
        <v>2085963.0199999998</v>
      </c>
      <c r="F21" s="289"/>
      <c r="G21" s="1597" t="s">
        <v>1236</v>
      </c>
      <c r="H21" s="251"/>
    </row>
    <row r="22" spans="1:8" x14ac:dyDescent="0.25">
      <c r="A22" s="287"/>
      <c r="B22" s="287"/>
      <c r="C22" s="288">
        <v>2103103000</v>
      </c>
      <c r="D22" s="288" t="s">
        <v>1261</v>
      </c>
      <c r="E22" s="289"/>
      <c r="F22" s="289">
        <v>2085963.0199999998</v>
      </c>
      <c r="G22" s="1597"/>
      <c r="H22" s="251"/>
    </row>
    <row r="23" spans="1:8" x14ac:dyDescent="0.25">
      <c r="A23" s="262"/>
      <c r="B23" s="262"/>
      <c r="C23" s="263"/>
      <c r="D23" s="263"/>
      <c r="E23" s="264"/>
      <c r="F23" s="264"/>
      <c r="G23" s="276"/>
      <c r="H23" s="251"/>
    </row>
    <row r="24" spans="1:8" x14ac:dyDescent="0.25">
      <c r="A24" s="287">
        <v>7</v>
      </c>
      <c r="B24" s="287">
        <v>2018</v>
      </c>
      <c r="C24" s="288">
        <v>2103103000</v>
      </c>
      <c r="D24" s="288" t="s">
        <v>1262</v>
      </c>
      <c r="E24" s="289">
        <v>967575</v>
      </c>
      <c r="F24" s="289"/>
      <c r="G24" s="1597" t="s">
        <v>1237</v>
      </c>
      <c r="H24" s="251"/>
    </row>
    <row r="25" spans="1:8" x14ac:dyDescent="0.25">
      <c r="A25" s="287"/>
      <c r="B25" s="287"/>
      <c r="C25" s="288">
        <v>1107214000</v>
      </c>
      <c r="D25" s="288" t="s">
        <v>1238</v>
      </c>
      <c r="E25" s="289"/>
      <c r="F25" s="289">
        <v>967575</v>
      </c>
      <c r="G25" s="1597"/>
      <c r="H25" s="251"/>
    </row>
    <row r="26" spans="1:8" x14ac:dyDescent="0.25">
      <c r="A26" s="262"/>
      <c r="B26" s="262"/>
      <c r="C26" s="263"/>
      <c r="D26" s="263"/>
      <c r="E26" s="264"/>
      <c r="F26" s="264"/>
      <c r="G26" s="276"/>
      <c r="H26" s="251"/>
    </row>
    <row r="27" spans="1:8" x14ac:dyDescent="0.25">
      <c r="A27" s="287">
        <v>8</v>
      </c>
      <c r="B27" s="287">
        <v>2018</v>
      </c>
      <c r="C27" s="288">
        <v>2103101000</v>
      </c>
      <c r="D27" s="288" t="s">
        <v>1263</v>
      </c>
      <c r="E27" s="289">
        <v>300000</v>
      </c>
      <c r="F27" s="289"/>
      <c r="G27" s="1597" t="s">
        <v>1237</v>
      </c>
      <c r="H27" s="251"/>
    </row>
    <row r="28" spans="1:8" x14ac:dyDescent="0.25">
      <c r="A28" s="287"/>
      <c r="B28" s="287"/>
      <c r="C28" s="288">
        <v>1107214000</v>
      </c>
      <c r="D28" s="288" t="s">
        <v>1238</v>
      </c>
      <c r="E28" s="289"/>
      <c r="F28" s="289">
        <v>300000</v>
      </c>
      <c r="G28" s="1597"/>
      <c r="H28" s="251"/>
    </row>
    <row r="29" spans="1:8" x14ac:dyDescent="0.25">
      <c r="A29" s="262"/>
      <c r="B29" s="262"/>
      <c r="C29" s="263"/>
      <c r="D29" s="263"/>
      <c r="E29" s="264"/>
      <c r="F29" s="264"/>
      <c r="G29" s="276"/>
      <c r="H29" s="251"/>
    </row>
    <row r="30" spans="1:8" x14ac:dyDescent="0.25">
      <c r="A30" s="287">
        <v>9</v>
      </c>
      <c r="B30" s="287">
        <v>2018</v>
      </c>
      <c r="C30" s="288">
        <v>2103103000</v>
      </c>
      <c r="D30" s="288" t="s">
        <v>1264</v>
      </c>
      <c r="E30" s="289">
        <v>17100000</v>
      </c>
      <c r="F30" s="289"/>
      <c r="G30" s="1597" t="s">
        <v>1237</v>
      </c>
      <c r="H30" s="251"/>
    </row>
    <row r="31" spans="1:8" x14ac:dyDescent="0.25">
      <c r="A31" s="378"/>
      <c r="B31" s="378"/>
      <c r="C31" s="378">
        <v>1107214000</v>
      </c>
      <c r="D31" s="378" t="s">
        <v>1238</v>
      </c>
      <c r="E31" s="378"/>
      <c r="F31" s="378">
        <v>17100000</v>
      </c>
      <c r="G31" s="1597"/>
      <c r="H31" s="251"/>
    </row>
    <row r="32" spans="1:8" x14ac:dyDescent="0.25">
      <c r="A32" s="274"/>
      <c r="B32" s="274"/>
      <c r="C32" s="274"/>
      <c r="D32" s="274"/>
      <c r="E32" s="274"/>
      <c r="F32" s="274"/>
      <c r="G32" s="283"/>
      <c r="H32" s="251"/>
    </row>
    <row r="33" spans="1:8" x14ac:dyDescent="0.25">
      <c r="A33" s="378">
        <v>10</v>
      </c>
      <c r="B33" s="378">
        <v>2018</v>
      </c>
      <c r="C33" s="378"/>
      <c r="D33" s="378" t="s">
        <v>1239</v>
      </c>
      <c r="E33" s="378">
        <v>1055444.95</v>
      </c>
      <c r="F33" s="378"/>
      <c r="G33" s="1597" t="s">
        <v>1240</v>
      </c>
      <c r="H33" t="s">
        <v>1267</v>
      </c>
    </row>
    <row r="34" spans="1:8" x14ac:dyDescent="0.25">
      <c r="A34" s="378"/>
      <c r="B34" s="378"/>
      <c r="C34" s="378">
        <v>1107203000</v>
      </c>
      <c r="D34" s="378" t="s">
        <v>1265</v>
      </c>
      <c r="E34" s="378"/>
      <c r="F34" s="378">
        <v>51000</v>
      </c>
      <c r="G34" s="1597"/>
      <c r="H34" s="251"/>
    </row>
    <row r="35" spans="1:8" x14ac:dyDescent="0.25">
      <c r="A35" s="378"/>
      <c r="B35" s="378"/>
      <c r="C35" s="378">
        <v>1107214000</v>
      </c>
      <c r="D35" s="378" t="s">
        <v>1266</v>
      </c>
      <c r="E35" s="378"/>
      <c r="F35" s="379">
        <v>992407.95</v>
      </c>
      <c r="G35" s="1597"/>
      <c r="H35" s="251"/>
    </row>
    <row r="36" spans="1:8" x14ac:dyDescent="0.25">
      <c r="A36" s="378"/>
      <c r="B36" s="378"/>
      <c r="C36" s="378">
        <v>2103101000</v>
      </c>
      <c r="D36" s="378" t="s">
        <v>1241</v>
      </c>
      <c r="E36" s="378"/>
      <c r="F36" s="378">
        <v>12037</v>
      </c>
      <c r="G36" s="1597"/>
      <c r="H36" s="251"/>
    </row>
    <row r="38" spans="1:8" x14ac:dyDescent="0.25">
      <c r="A38" s="306">
        <v>11</v>
      </c>
      <c r="B38" s="306">
        <v>2017</v>
      </c>
      <c r="C38" s="306"/>
      <c r="D38" s="306" t="s">
        <v>1286</v>
      </c>
      <c r="E38" s="307">
        <v>51800000</v>
      </c>
      <c r="F38" s="306"/>
    </row>
    <row r="39" spans="1:8" ht="15.75" x14ac:dyDescent="0.25">
      <c r="A39" s="306"/>
      <c r="B39" s="306"/>
      <c r="C39" s="308">
        <v>5105107000</v>
      </c>
      <c r="D39" s="306" t="s">
        <v>1287</v>
      </c>
      <c r="E39" s="306"/>
      <c r="F39" s="309">
        <f>E38</f>
        <v>51800000</v>
      </c>
    </row>
    <row r="41" spans="1:8" x14ac:dyDescent="0.25">
      <c r="A41" s="322">
        <v>12</v>
      </c>
      <c r="B41" s="322">
        <v>2018</v>
      </c>
      <c r="C41" s="342"/>
      <c r="D41" s="323" t="s">
        <v>1320</v>
      </c>
      <c r="E41" s="325">
        <v>1948683.5511</v>
      </c>
      <c r="F41" s="323"/>
      <c r="G41" s="342"/>
    </row>
    <row r="42" spans="1:8" x14ac:dyDescent="0.25">
      <c r="A42" s="342"/>
      <c r="B42" s="342"/>
      <c r="C42" s="342"/>
      <c r="D42" s="323" t="s">
        <v>1351</v>
      </c>
      <c r="E42" s="323"/>
      <c r="F42" s="326">
        <f>+E41</f>
        <v>1948683.5511</v>
      </c>
      <c r="G42" s="323" t="s">
        <v>1352</v>
      </c>
    </row>
    <row r="43" spans="1:8" x14ac:dyDescent="0.25">
      <c r="A43" s="338"/>
      <c r="B43" s="338"/>
      <c r="C43" s="338"/>
      <c r="D43" s="315"/>
      <c r="E43" s="315"/>
      <c r="F43" s="318"/>
      <c r="G43" s="315"/>
    </row>
    <row r="44" spans="1:8" x14ac:dyDescent="0.25">
      <c r="A44" s="322">
        <v>13</v>
      </c>
      <c r="B44" s="322">
        <v>2017</v>
      </c>
      <c r="C44" s="342"/>
      <c r="D44" s="323" t="s">
        <v>1320</v>
      </c>
      <c r="E44" s="325">
        <v>4215469.49</v>
      </c>
      <c r="F44" s="342"/>
      <c r="G44" s="342"/>
    </row>
    <row r="45" spans="1:8" x14ac:dyDescent="0.25">
      <c r="A45" s="342"/>
      <c r="B45" s="342"/>
      <c r="C45" s="342"/>
      <c r="D45" s="323" t="s">
        <v>1351</v>
      </c>
      <c r="E45" s="342"/>
      <c r="F45" s="326">
        <f>+E44</f>
        <v>4215469.49</v>
      </c>
      <c r="G45" s="323" t="s">
        <v>1352</v>
      </c>
    </row>
    <row r="46" spans="1:8" x14ac:dyDescent="0.25">
      <c r="A46" s="338"/>
      <c r="B46" s="338"/>
      <c r="C46" s="338"/>
      <c r="D46" s="315"/>
      <c r="E46" s="338"/>
      <c r="F46" s="318"/>
      <c r="G46" s="315"/>
    </row>
  </sheetData>
  <mergeCells count="10">
    <mergeCell ref="G27:G28"/>
    <mergeCell ref="G30:G31"/>
    <mergeCell ref="G33:G36"/>
    <mergeCell ref="G5:G7"/>
    <mergeCell ref="G9:G10"/>
    <mergeCell ref="G12:G13"/>
    <mergeCell ref="G15:G16"/>
    <mergeCell ref="G18:G19"/>
    <mergeCell ref="G21:G22"/>
    <mergeCell ref="G24:G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O414"/>
  <sheetViews>
    <sheetView showGridLines="0" workbookViewId="0">
      <pane ySplit="6" topLeftCell="A7" activePane="bottomLeft" state="frozen"/>
      <selection activeCell="B632" sqref="B632"/>
      <selection pane="bottomLeft" activeCell="B1" sqref="B1:B1048576"/>
    </sheetView>
  </sheetViews>
  <sheetFormatPr defaultColWidth="9.140625" defaultRowHeight="15.75" x14ac:dyDescent="0.25"/>
  <cols>
    <col min="1" max="1" width="13.85546875" style="29" bestFit="1" customWidth="1"/>
    <col min="2" max="2" width="37.140625" style="29" customWidth="1"/>
    <col min="3" max="4" width="19.42578125" style="46" bestFit="1" customWidth="1"/>
    <col min="5" max="5" width="20.28515625" style="290" hidden="1" customWidth="1"/>
    <col min="6" max="6" width="19.28515625" style="290" hidden="1" customWidth="1"/>
    <col min="7" max="7" width="20.28515625" style="290" hidden="1" customWidth="1"/>
    <col min="8" max="8" width="15.7109375" style="290" hidden="1" customWidth="1"/>
    <col min="9" max="9" width="19.42578125" style="290" hidden="1" customWidth="1"/>
    <col min="10" max="10" width="14.42578125" style="290" hidden="1" customWidth="1"/>
    <col min="11" max="11" width="17" style="290" hidden="1" customWidth="1"/>
    <col min="12" max="12" width="13.28515625" style="290" hidden="1" customWidth="1"/>
    <col min="13" max="13" width="14.42578125" style="29" customWidth="1"/>
    <col min="14" max="14" width="22.28515625" style="29" bestFit="1" customWidth="1"/>
    <col min="15" max="15" width="21" style="29" bestFit="1" customWidth="1"/>
    <col min="16" max="16384" width="9.140625" style="29"/>
  </cols>
  <sheetData>
    <row r="1" spans="1:15" ht="6.75" customHeight="1" x14ac:dyDescent="0.25"/>
    <row r="2" spans="1:15" x14ac:dyDescent="0.25">
      <c r="F2" s="291" t="s">
        <v>22</v>
      </c>
      <c r="G2" s="291">
        <v>2018</v>
      </c>
      <c r="H2" s="291">
        <v>2017</v>
      </c>
    </row>
    <row r="3" spans="1:15" ht="16.5" thickBot="1" x14ac:dyDescent="0.3">
      <c r="B3" s="280" t="s">
        <v>1244</v>
      </c>
      <c r="C3" s="281">
        <f>SUM(C8:C414)</f>
        <v>-70351797.97999987</v>
      </c>
      <c r="D3" s="281">
        <f>SUM(D8:D414)</f>
        <v>2893574.7700004578</v>
      </c>
      <c r="F3" s="284" t="s">
        <v>1173</v>
      </c>
      <c r="G3" s="284">
        <f>+'2SFP'!D27-'2SFP'!D56</f>
        <v>1869924632.750104</v>
      </c>
      <c r="H3" s="284">
        <f>+'2SFP'!E27-'2SFP'!E56</f>
        <v>1393347381.4563508</v>
      </c>
      <c r="I3" s="295"/>
    </row>
    <row r="4" spans="1:15" ht="13.5" customHeight="1" thickTop="1" x14ac:dyDescent="0.25">
      <c r="E4" s="292"/>
      <c r="F4" s="285" t="s">
        <v>1174</v>
      </c>
      <c r="G4" s="285">
        <f>+'4CF'!D54</f>
        <v>0</v>
      </c>
      <c r="H4" s="285">
        <f>+'4CF'!F54</f>
        <v>0</v>
      </c>
      <c r="I4" s="292"/>
      <c r="J4" s="292"/>
      <c r="K4" s="292"/>
      <c r="L4" s="292"/>
    </row>
    <row r="5" spans="1:15" hidden="1" x14ac:dyDescent="0.25">
      <c r="E5" s="1601" t="s">
        <v>1170</v>
      </c>
      <c r="F5" s="1602"/>
      <c r="G5" s="1602"/>
      <c r="H5" s="1603"/>
      <c r="I5" s="1601" t="s">
        <v>1171</v>
      </c>
      <c r="J5" s="1602"/>
      <c r="K5" s="1602"/>
      <c r="L5" s="1603"/>
    </row>
    <row r="6" spans="1:15" x14ac:dyDescent="0.25">
      <c r="A6" s="278" t="s">
        <v>158</v>
      </c>
      <c r="B6" s="278" t="s">
        <v>160</v>
      </c>
      <c r="C6" s="279">
        <v>2019</v>
      </c>
      <c r="D6" s="279">
        <v>2018</v>
      </c>
      <c r="E6" s="293" t="s">
        <v>1167</v>
      </c>
      <c r="F6" s="293" t="s">
        <v>1168</v>
      </c>
      <c r="G6" s="293" t="s">
        <v>1169</v>
      </c>
      <c r="H6" s="293" t="s">
        <v>1166</v>
      </c>
      <c r="I6" s="293" t="s">
        <v>1172</v>
      </c>
      <c r="J6" s="293" t="s">
        <v>1168</v>
      </c>
      <c r="K6" s="293" t="s">
        <v>1169</v>
      </c>
      <c r="L6" s="293" t="s">
        <v>1166</v>
      </c>
    </row>
    <row r="7" spans="1:15" x14ac:dyDescent="0.25">
      <c r="A7" s="199"/>
      <c r="B7" s="187"/>
      <c r="C7" s="277"/>
      <c r="D7" s="277"/>
      <c r="E7" s="284"/>
      <c r="F7" s="284"/>
      <c r="G7" s="284"/>
      <c r="H7" s="284"/>
      <c r="I7" s="284"/>
      <c r="J7" s="284"/>
      <c r="K7" s="284"/>
      <c r="L7" s="284"/>
    </row>
    <row r="8" spans="1:15" x14ac:dyDescent="0.25">
      <c r="A8" s="199">
        <v>4101102000</v>
      </c>
      <c r="B8" s="187" t="s">
        <v>1682</v>
      </c>
      <c r="C8" s="277">
        <v>-6476653.9100000001</v>
      </c>
      <c r="D8" s="277">
        <v>-7157366.1900000004</v>
      </c>
      <c r="E8" s="284"/>
      <c r="F8" s="284"/>
      <c r="G8" s="284"/>
      <c r="H8" s="284"/>
      <c r="I8" s="284"/>
      <c r="J8" s="284"/>
      <c r="K8" s="284"/>
      <c r="L8" s="284"/>
    </row>
    <row r="9" spans="1:15" x14ac:dyDescent="0.25">
      <c r="A9" s="199">
        <v>4101102001</v>
      </c>
      <c r="B9" s="187" t="s">
        <v>1683</v>
      </c>
      <c r="C9" s="277">
        <v>-131572</v>
      </c>
      <c r="D9" s="277">
        <v>-115931</v>
      </c>
      <c r="E9" s="284"/>
      <c r="F9" s="284"/>
      <c r="G9" s="284"/>
      <c r="H9" s="284"/>
      <c r="I9" s="284"/>
      <c r="J9" s="284"/>
      <c r="K9" s="284"/>
      <c r="L9" s="284"/>
    </row>
    <row r="10" spans="1:15" x14ac:dyDescent="0.25">
      <c r="A10" s="199">
        <v>4101104000</v>
      </c>
      <c r="B10" s="187" t="s">
        <v>1684</v>
      </c>
      <c r="C10" s="277">
        <v>-1505150</v>
      </c>
      <c r="D10" s="277">
        <v>-1069150</v>
      </c>
      <c r="E10" s="284"/>
      <c r="F10" s="284"/>
      <c r="G10" s="284"/>
      <c r="H10" s="284"/>
      <c r="I10" s="284"/>
      <c r="J10" s="284"/>
      <c r="K10" s="284"/>
      <c r="L10" s="284"/>
    </row>
    <row r="11" spans="1:15" x14ac:dyDescent="0.25">
      <c r="A11" s="199">
        <v>4101104001</v>
      </c>
      <c r="B11" s="187" t="s">
        <v>1685</v>
      </c>
      <c r="C11" s="277">
        <v>-118532545.55</v>
      </c>
      <c r="D11" s="277">
        <v>-91485095.890000001</v>
      </c>
      <c r="E11" s="284"/>
      <c r="F11" s="284"/>
      <c r="G11" s="284"/>
      <c r="H11" s="284"/>
      <c r="I11" s="284"/>
      <c r="J11" s="284"/>
      <c r="K11" s="284"/>
      <c r="L11" s="284"/>
    </row>
    <row r="12" spans="1:15" x14ac:dyDescent="0.25">
      <c r="A12" s="199">
        <v>4101104002</v>
      </c>
      <c r="B12" s="187" t="s">
        <v>1686</v>
      </c>
      <c r="C12" s="277">
        <v>-13435920.039999999</v>
      </c>
      <c r="D12" s="277">
        <v>-13890054.27</v>
      </c>
      <c r="E12" s="284"/>
      <c r="F12" s="284"/>
      <c r="G12" s="284"/>
      <c r="H12" s="284"/>
      <c r="I12" s="284"/>
      <c r="J12" s="284"/>
      <c r="K12" s="284"/>
      <c r="L12" s="284"/>
      <c r="N12" s="29" t="s">
        <v>2057</v>
      </c>
      <c r="O12" s="29" t="s">
        <v>2058</v>
      </c>
    </row>
    <row r="13" spans="1:15" x14ac:dyDescent="0.25">
      <c r="A13" s="199">
        <v>4101104003</v>
      </c>
      <c r="B13" s="187" t="s">
        <v>1687</v>
      </c>
      <c r="C13" s="277">
        <v>-52299978.549999997</v>
      </c>
      <c r="D13" s="277">
        <v>-67929597.290000007</v>
      </c>
      <c r="E13" s="284"/>
      <c r="F13" s="284"/>
      <c r="G13" s="284"/>
      <c r="H13" s="284"/>
      <c r="I13" s="284"/>
      <c r="J13" s="284"/>
      <c r="K13" s="284"/>
      <c r="L13" s="284"/>
      <c r="N13" s="1590">
        <f>SUM(C11+C13+C14+C17)</f>
        <v>-263232893.38</v>
      </c>
      <c r="O13" s="1590">
        <f>C12</f>
        <v>-13435920.039999999</v>
      </c>
    </row>
    <row r="14" spans="1:15" x14ac:dyDescent="0.25">
      <c r="A14" s="199">
        <v>4101104004</v>
      </c>
      <c r="B14" s="187" t="s">
        <v>1688</v>
      </c>
      <c r="C14" s="277">
        <v>-276864.45</v>
      </c>
      <c r="D14" s="277">
        <v>-326550.8</v>
      </c>
      <c r="E14" s="284"/>
      <c r="F14" s="284"/>
      <c r="G14" s="284"/>
      <c r="H14" s="284"/>
      <c r="I14" s="284"/>
      <c r="J14" s="284"/>
      <c r="K14" s="284"/>
      <c r="L14" s="284"/>
      <c r="N14" s="1590">
        <v>263232893.38</v>
      </c>
      <c r="O14" s="1590">
        <v>13435920.039999999</v>
      </c>
    </row>
    <row r="15" spans="1:15" x14ac:dyDescent="0.25">
      <c r="A15" s="199">
        <v>4101104005</v>
      </c>
      <c r="B15" s="187" t="s">
        <v>1689</v>
      </c>
      <c r="C15" s="277">
        <v>-5427.05</v>
      </c>
      <c r="D15" s="277">
        <v>-91342.42</v>
      </c>
      <c r="E15" s="284"/>
      <c r="F15" s="284"/>
      <c r="G15" s="284"/>
      <c r="H15" s="284"/>
      <c r="I15" s="284"/>
      <c r="J15" s="284"/>
      <c r="K15" s="284"/>
      <c r="L15" s="284"/>
      <c r="N15" s="1590">
        <v>382174.6451612903</v>
      </c>
      <c r="O15" s="1590">
        <v>11817.709677419354</v>
      </c>
    </row>
    <row r="16" spans="1:15" x14ac:dyDescent="0.25">
      <c r="A16" s="199">
        <v>4101104006</v>
      </c>
      <c r="B16" s="187" t="s">
        <v>1690</v>
      </c>
      <c r="C16" s="277">
        <v>-103200</v>
      </c>
      <c r="D16" s="277">
        <v>-56100</v>
      </c>
      <c r="E16" s="284"/>
      <c r="F16" s="284"/>
      <c r="G16" s="284"/>
      <c r="H16" s="284"/>
      <c r="I16" s="284"/>
      <c r="J16" s="284"/>
      <c r="K16" s="284"/>
      <c r="L16" s="284"/>
      <c r="N16" s="1590">
        <f>N14/N15</f>
        <v>688.77644478195839</v>
      </c>
      <c r="O16" s="1590">
        <f>O14/O15</f>
        <v>1136.9309626612874</v>
      </c>
    </row>
    <row r="17" spans="1:12" x14ac:dyDescent="0.25">
      <c r="A17" s="199">
        <v>4101104007</v>
      </c>
      <c r="B17" s="187" t="s">
        <v>1691</v>
      </c>
      <c r="C17" s="277">
        <v>-92123504.829999998</v>
      </c>
      <c r="D17" s="277">
        <v>-65565484.829999998</v>
      </c>
      <c r="E17" s="284"/>
      <c r="F17" s="284"/>
      <c r="G17" s="284"/>
      <c r="H17" s="284"/>
      <c r="I17" s="284"/>
      <c r="J17" s="284"/>
      <c r="K17" s="284"/>
      <c r="L17" s="284"/>
    </row>
    <row r="18" spans="1:12" x14ac:dyDescent="0.25">
      <c r="A18" s="199">
        <v>4101105000</v>
      </c>
      <c r="B18" s="187" t="s">
        <v>1692</v>
      </c>
      <c r="C18" s="277">
        <v>-1557492.29</v>
      </c>
      <c r="D18" s="277">
        <v>-4604849.24</v>
      </c>
      <c r="E18" s="284"/>
      <c r="F18" s="284"/>
      <c r="G18" s="284"/>
      <c r="H18" s="284"/>
      <c r="I18" s="284"/>
      <c r="J18" s="284"/>
      <c r="K18" s="284"/>
      <c r="L18" s="284"/>
    </row>
    <row r="19" spans="1:12" x14ac:dyDescent="0.25">
      <c r="A19" s="199">
        <v>4101105001</v>
      </c>
      <c r="B19" s="187" t="s">
        <v>1693</v>
      </c>
      <c r="C19" s="277">
        <v>-9347013.2400000002</v>
      </c>
      <c r="D19" s="277">
        <v>-5734537.6500000004</v>
      </c>
      <c r="E19" s="284"/>
      <c r="F19" s="284"/>
      <c r="G19" s="284"/>
      <c r="H19" s="284"/>
      <c r="I19" s="284"/>
      <c r="J19" s="284"/>
      <c r="K19" s="284"/>
      <c r="L19" s="284"/>
    </row>
    <row r="20" spans="1:12" x14ac:dyDescent="0.25">
      <c r="A20" s="199">
        <v>4101105002</v>
      </c>
      <c r="B20" s="187" t="s">
        <v>1694</v>
      </c>
      <c r="C20" s="277">
        <v>-21592605.98</v>
      </c>
      <c r="D20" s="277">
        <v>-32739156.140000001</v>
      </c>
      <c r="E20" s="284"/>
      <c r="F20" s="284"/>
      <c r="G20" s="284"/>
      <c r="H20" s="284"/>
      <c r="I20" s="284"/>
      <c r="J20" s="284"/>
      <c r="K20" s="284"/>
      <c r="L20" s="284"/>
    </row>
    <row r="21" spans="1:12" x14ac:dyDescent="0.25">
      <c r="A21" s="199">
        <v>4101105003</v>
      </c>
      <c r="B21" s="187" t="s">
        <v>1695</v>
      </c>
      <c r="C21" s="277">
        <v>-139196.65</v>
      </c>
      <c r="D21" s="277">
        <v>-309850</v>
      </c>
      <c r="E21" s="284"/>
      <c r="F21" s="284"/>
      <c r="G21" s="284"/>
      <c r="H21" s="284"/>
      <c r="I21" s="284"/>
      <c r="J21" s="284"/>
      <c r="K21" s="284"/>
      <c r="L21" s="284"/>
    </row>
    <row r="22" spans="1:12" x14ac:dyDescent="0.25">
      <c r="A22" s="199">
        <v>4101105004</v>
      </c>
      <c r="B22" s="187" t="s">
        <v>1696</v>
      </c>
      <c r="C22" s="277">
        <v>0</v>
      </c>
      <c r="D22" s="277">
        <v>-131272</v>
      </c>
      <c r="E22" s="284"/>
      <c r="F22" s="284"/>
      <c r="G22" s="284"/>
      <c r="H22" s="284"/>
      <c r="I22" s="284"/>
      <c r="J22" s="284"/>
      <c r="K22" s="284"/>
      <c r="L22" s="284"/>
    </row>
    <row r="23" spans="1:12" x14ac:dyDescent="0.25">
      <c r="A23" s="199">
        <v>4101105005</v>
      </c>
      <c r="B23" s="187" t="s">
        <v>1697</v>
      </c>
      <c r="C23" s="277">
        <v>-155468.78</v>
      </c>
      <c r="D23" s="277">
        <v>-103470.02</v>
      </c>
      <c r="E23" s="284"/>
      <c r="F23" s="284"/>
      <c r="G23" s="284"/>
      <c r="H23" s="284"/>
      <c r="I23" s="284"/>
      <c r="J23" s="284"/>
      <c r="K23" s="284"/>
      <c r="L23" s="284"/>
    </row>
    <row r="24" spans="1:12" x14ac:dyDescent="0.25">
      <c r="A24" s="199">
        <v>4101105007</v>
      </c>
      <c r="B24" s="187" t="s">
        <v>1698</v>
      </c>
      <c r="C24" s="277">
        <v>-74085</v>
      </c>
      <c r="D24" s="277">
        <v>-78955</v>
      </c>
      <c r="E24" s="284"/>
      <c r="F24" s="284"/>
      <c r="G24" s="284"/>
      <c r="H24" s="284"/>
      <c r="I24" s="284"/>
      <c r="J24" s="284"/>
      <c r="K24" s="284"/>
      <c r="L24" s="284"/>
    </row>
    <row r="25" spans="1:12" x14ac:dyDescent="0.25">
      <c r="A25" s="199">
        <v>4101105008</v>
      </c>
      <c r="B25" s="187" t="s">
        <v>1699</v>
      </c>
      <c r="C25" s="277">
        <v>-506262.6</v>
      </c>
      <c r="D25" s="277">
        <v>-610515.6</v>
      </c>
      <c r="E25" s="284"/>
      <c r="F25" s="284"/>
      <c r="G25" s="284"/>
      <c r="H25" s="284"/>
      <c r="I25" s="284"/>
      <c r="J25" s="284"/>
      <c r="K25" s="284"/>
      <c r="L25" s="284"/>
    </row>
    <row r="26" spans="1:12" x14ac:dyDescent="0.25">
      <c r="A26" s="199">
        <v>4101105009</v>
      </c>
      <c r="B26" s="187" t="s">
        <v>1700</v>
      </c>
      <c r="C26" s="277">
        <v>-95</v>
      </c>
      <c r="D26" s="277">
        <v>-2565</v>
      </c>
      <c r="E26" s="284"/>
      <c r="F26" s="284"/>
      <c r="G26" s="284"/>
      <c r="H26" s="284"/>
      <c r="I26" s="284"/>
      <c r="J26" s="284"/>
      <c r="K26" s="284"/>
      <c r="L26" s="284"/>
    </row>
    <row r="27" spans="1:12" x14ac:dyDescent="0.25">
      <c r="A27" s="199">
        <v>4101105011</v>
      </c>
      <c r="B27" s="187" t="s">
        <v>1701</v>
      </c>
      <c r="C27" s="277">
        <v>-564053</v>
      </c>
      <c r="D27" s="277">
        <v>-290034.23</v>
      </c>
      <c r="E27" s="284"/>
      <c r="F27" s="284"/>
      <c r="G27" s="284"/>
      <c r="H27" s="284"/>
      <c r="I27" s="284"/>
      <c r="J27" s="284"/>
      <c r="K27" s="284"/>
      <c r="L27" s="284"/>
    </row>
    <row r="28" spans="1:12" x14ac:dyDescent="0.25">
      <c r="A28" s="199">
        <v>4101105013</v>
      </c>
      <c r="B28" s="187" t="s">
        <v>1702</v>
      </c>
      <c r="C28" s="277">
        <v>0</v>
      </c>
      <c r="D28" s="277">
        <v>-8089711.3600000003</v>
      </c>
      <c r="E28" s="284"/>
      <c r="F28" s="284"/>
      <c r="G28" s="284"/>
      <c r="H28" s="284"/>
      <c r="I28" s="284"/>
      <c r="J28" s="284"/>
      <c r="K28" s="284"/>
      <c r="L28" s="284"/>
    </row>
    <row r="29" spans="1:12" x14ac:dyDescent="0.25">
      <c r="A29" s="199">
        <v>4101105014</v>
      </c>
      <c r="B29" s="187" t="s">
        <v>1703</v>
      </c>
      <c r="C29" s="277">
        <v>-759215.5</v>
      </c>
      <c r="D29" s="277">
        <v>-3903857.03</v>
      </c>
      <c r="E29" s="284"/>
      <c r="F29" s="284"/>
      <c r="G29" s="284"/>
      <c r="H29" s="284"/>
      <c r="I29" s="284"/>
      <c r="J29" s="284"/>
      <c r="K29" s="284"/>
      <c r="L29" s="284"/>
    </row>
    <row r="30" spans="1:12" x14ac:dyDescent="0.25">
      <c r="A30" s="199">
        <v>4101105015</v>
      </c>
      <c r="B30" s="187" t="s">
        <v>1704</v>
      </c>
      <c r="C30" s="277">
        <v>-200000</v>
      </c>
      <c r="D30" s="277">
        <v>0</v>
      </c>
      <c r="E30" s="284"/>
      <c r="F30" s="284"/>
      <c r="G30" s="284"/>
      <c r="H30" s="284"/>
      <c r="I30" s="284"/>
      <c r="J30" s="284"/>
      <c r="K30" s="284"/>
      <c r="L30" s="284"/>
    </row>
    <row r="31" spans="1:12" x14ac:dyDescent="0.25">
      <c r="A31" s="199">
        <v>4101108001</v>
      </c>
      <c r="B31" s="187" t="s">
        <v>1705</v>
      </c>
      <c r="C31" s="277">
        <v>-164598</v>
      </c>
      <c r="D31" s="277">
        <v>-181139</v>
      </c>
      <c r="E31" s="284"/>
      <c r="F31" s="284"/>
      <c r="G31" s="284"/>
      <c r="H31" s="284"/>
      <c r="I31" s="284"/>
      <c r="J31" s="284"/>
      <c r="K31" s="284"/>
      <c r="L31" s="284"/>
    </row>
    <row r="32" spans="1:12" x14ac:dyDescent="0.25">
      <c r="A32" s="199">
        <v>4101101000</v>
      </c>
      <c r="B32" s="187" t="s">
        <v>1706</v>
      </c>
      <c r="C32" s="277">
        <v>-589248.22</v>
      </c>
      <c r="D32" s="277">
        <v>-658026.05000000005</v>
      </c>
      <c r="E32" s="284"/>
      <c r="F32" s="284"/>
      <c r="G32" s="284"/>
      <c r="H32" s="284"/>
      <c r="I32" s="284"/>
      <c r="J32" s="284"/>
      <c r="K32" s="284"/>
      <c r="L32" s="284"/>
    </row>
    <row r="33" spans="1:12" x14ac:dyDescent="0.25">
      <c r="A33" s="199">
        <v>4101103000</v>
      </c>
      <c r="B33" s="187" t="s">
        <v>1707</v>
      </c>
      <c r="C33" s="277">
        <v>0</v>
      </c>
      <c r="D33" s="277">
        <v>-1129688.74</v>
      </c>
      <c r="E33" s="284"/>
      <c r="F33" s="284"/>
      <c r="G33" s="284"/>
      <c r="H33" s="284"/>
      <c r="I33" s="284"/>
      <c r="J33" s="284"/>
      <c r="K33" s="284"/>
      <c r="L33" s="284"/>
    </row>
    <row r="34" spans="1:12" x14ac:dyDescent="0.25">
      <c r="A34" s="199">
        <v>4101106000</v>
      </c>
      <c r="B34" s="187" t="s">
        <v>1708</v>
      </c>
      <c r="C34" s="277">
        <v>0</v>
      </c>
      <c r="D34" s="277">
        <v>-289324.49</v>
      </c>
      <c r="E34" s="284"/>
      <c r="F34" s="284"/>
      <c r="G34" s="284"/>
      <c r="H34" s="284"/>
      <c r="I34" s="284"/>
      <c r="J34" s="284"/>
      <c r="K34" s="284"/>
      <c r="L34" s="284"/>
    </row>
    <row r="35" spans="1:12" x14ac:dyDescent="0.25">
      <c r="A35" s="199">
        <v>4101106001</v>
      </c>
      <c r="B35" s="187" t="s">
        <v>1709</v>
      </c>
      <c r="C35" s="277">
        <v>0</v>
      </c>
      <c r="D35" s="277">
        <v>-61742.8</v>
      </c>
      <c r="E35" s="284"/>
      <c r="F35" s="284"/>
      <c r="G35" s="284"/>
      <c r="H35" s="284"/>
      <c r="I35" s="284"/>
      <c r="J35" s="284"/>
      <c r="K35" s="284"/>
      <c r="L35" s="284"/>
    </row>
    <row r="36" spans="1:12" x14ac:dyDescent="0.25">
      <c r="A36" s="199">
        <v>4101106002</v>
      </c>
      <c r="B36" s="187" t="s">
        <v>1710</v>
      </c>
      <c r="C36" s="277">
        <v>0</v>
      </c>
      <c r="D36" s="277">
        <v>-28044.1</v>
      </c>
      <c r="E36" s="284"/>
      <c r="F36" s="284"/>
      <c r="G36" s="284"/>
      <c r="H36" s="284"/>
      <c r="I36" s="284"/>
      <c r="J36" s="284"/>
      <c r="K36" s="284"/>
      <c r="L36" s="284"/>
    </row>
    <row r="37" spans="1:12" x14ac:dyDescent="0.25">
      <c r="A37" s="199">
        <v>4102102000</v>
      </c>
      <c r="B37" s="187" t="s">
        <v>1711</v>
      </c>
      <c r="C37" s="277">
        <v>-208089.8</v>
      </c>
      <c r="D37" s="277">
        <v>-258458.9</v>
      </c>
      <c r="E37" s="284"/>
      <c r="F37" s="284"/>
      <c r="G37" s="284"/>
      <c r="H37" s="284"/>
      <c r="I37" s="284"/>
      <c r="J37" s="284"/>
      <c r="K37" s="284"/>
      <c r="L37" s="284"/>
    </row>
    <row r="38" spans="1:12" x14ac:dyDescent="0.25">
      <c r="A38" s="199">
        <v>4102103000</v>
      </c>
      <c r="B38" s="187" t="s">
        <v>1712</v>
      </c>
      <c r="C38" s="277">
        <v>-59504</v>
      </c>
      <c r="D38" s="277">
        <v>0</v>
      </c>
      <c r="E38" s="284"/>
      <c r="F38" s="284"/>
      <c r="G38" s="284"/>
      <c r="H38" s="284"/>
      <c r="I38" s="284"/>
      <c r="J38" s="284"/>
      <c r="K38" s="284"/>
      <c r="L38" s="284"/>
    </row>
    <row r="39" spans="1:12" x14ac:dyDescent="0.25">
      <c r="A39" s="199">
        <v>4102103002</v>
      </c>
      <c r="B39" s="187" t="s">
        <v>1713</v>
      </c>
      <c r="C39" s="277">
        <v>-12550</v>
      </c>
      <c r="D39" s="277">
        <v>-412008</v>
      </c>
      <c r="E39" s="284"/>
      <c r="F39" s="284"/>
      <c r="G39" s="284"/>
      <c r="H39" s="284"/>
      <c r="I39" s="284"/>
      <c r="J39" s="284"/>
      <c r="K39" s="284"/>
      <c r="L39" s="284"/>
    </row>
    <row r="40" spans="1:12" x14ac:dyDescent="0.25">
      <c r="A40" s="199">
        <v>4102103003</v>
      </c>
      <c r="B40" s="187" t="s">
        <v>1714</v>
      </c>
      <c r="C40" s="277">
        <v>-7390</v>
      </c>
      <c r="D40" s="277">
        <v>-4003</v>
      </c>
      <c r="E40" s="284"/>
      <c r="F40" s="284"/>
      <c r="G40" s="284"/>
      <c r="H40" s="284"/>
      <c r="I40" s="284"/>
      <c r="J40" s="284"/>
      <c r="K40" s="284"/>
      <c r="L40" s="284"/>
    </row>
    <row r="41" spans="1:12" x14ac:dyDescent="0.25">
      <c r="A41" s="199">
        <v>4102105000</v>
      </c>
      <c r="B41" s="187" t="s">
        <v>1715</v>
      </c>
      <c r="C41" s="277">
        <v>-49731</v>
      </c>
      <c r="D41" s="277">
        <v>0</v>
      </c>
      <c r="E41" s="284"/>
      <c r="F41" s="284"/>
      <c r="G41" s="284"/>
      <c r="H41" s="284"/>
      <c r="I41" s="284"/>
      <c r="J41" s="284"/>
      <c r="K41" s="284"/>
      <c r="L41" s="284"/>
    </row>
    <row r="42" spans="1:12" x14ac:dyDescent="0.25">
      <c r="A42" s="199">
        <v>4102105002</v>
      </c>
      <c r="B42" s="187" t="s">
        <v>1716</v>
      </c>
      <c r="C42" s="277">
        <v>-190838.2</v>
      </c>
      <c r="D42" s="277">
        <v>0</v>
      </c>
      <c r="E42" s="284"/>
      <c r="F42" s="284"/>
      <c r="G42" s="284"/>
      <c r="H42" s="284"/>
      <c r="I42" s="284"/>
      <c r="J42" s="284"/>
      <c r="K42" s="284"/>
      <c r="L42" s="284"/>
    </row>
    <row r="43" spans="1:12" x14ac:dyDescent="0.25">
      <c r="A43" s="199">
        <v>4102106000</v>
      </c>
      <c r="B43" s="187" t="s">
        <v>1717</v>
      </c>
      <c r="C43" s="277">
        <v>-57702.9</v>
      </c>
      <c r="D43" s="277">
        <v>-96548.3</v>
      </c>
      <c r="E43" s="284"/>
      <c r="F43" s="284"/>
      <c r="G43" s="284"/>
      <c r="H43" s="284"/>
      <c r="I43" s="284"/>
      <c r="J43" s="284"/>
      <c r="K43" s="284"/>
      <c r="L43" s="284"/>
    </row>
    <row r="44" spans="1:12" x14ac:dyDescent="0.25">
      <c r="A44" s="199">
        <v>4102108001</v>
      </c>
      <c r="B44" s="187" t="s">
        <v>1718</v>
      </c>
      <c r="C44" s="277">
        <v>0</v>
      </c>
      <c r="D44" s="277">
        <v>26323.439999999999</v>
      </c>
      <c r="E44" s="284"/>
      <c r="F44" s="284"/>
      <c r="G44" s="284"/>
      <c r="H44" s="284"/>
      <c r="I44" s="284"/>
      <c r="J44" s="284"/>
      <c r="K44" s="284"/>
      <c r="L44" s="284"/>
    </row>
    <row r="45" spans="1:12" x14ac:dyDescent="0.25">
      <c r="A45" s="199">
        <v>4102110002</v>
      </c>
      <c r="B45" s="187" t="s">
        <v>1719</v>
      </c>
      <c r="C45" s="277">
        <v>0</v>
      </c>
      <c r="D45" s="277">
        <v>-255484.13</v>
      </c>
      <c r="E45" s="284"/>
      <c r="F45" s="284"/>
      <c r="G45" s="284"/>
      <c r="H45" s="284"/>
      <c r="I45" s="284"/>
      <c r="J45" s="284"/>
      <c r="K45" s="284"/>
      <c r="L45" s="284"/>
    </row>
    <row r="46" spans="1:12" x14ac:dyDescent="0.25">
      <c r="A46" s="199">
        <v>4102110006</v>
      </c>
      <c r="B46" s="187" t="s">
        <v>1720</v>
      </c>
      <c r="C46" s="277">
        <v>0</v>
      </c>
      <c r="D46" s="277">
        <v>-0.63</v>
      </c>
      <c r="E46" s="284"/>
      <c r="F46" s="284"/>
      <c r="G46" s="284"/>
      <c r="H46" s="284"/>
      <c r="I46" s="284"/>
      <c r="J46" s="284"/>
      <c r="K46" s="284"/>
      <c r="L46" s="284"/>
    </row>
    <row r="47" spans="1:12" x14ac:dyDescent="0.25">
      <c r="A47" s="199">
        <v>4102110007</v>
      </c>
      <c r="B47" s="187" t="s">
        <v>1721</v>
      </c>
      <c r="C47" s="277">
        <v>-62544</v>
      </c>
      <c r="D47" s="277">
        <v>0</v>
      </c>
      <c r="E47" s="284"/>
      <c r="F47" s="284"/>
      <c r="G47" s="284"/>
      <c r="H47" s="284"/>
      <c r="I47" s="284"/>
      <c r="J47" s="284"/>
      <c r="K47" s="284"/>
      <c r="L47" s="284"/>
    </row>
    <row r="48" spans="1:12" x14ac:dyDescent="0.25">
      <c r="A48" s="199">
        <v>4102119999</v>
      </c>
      <c r="B48" s="187" t="s">
        <v>1722</v>
      </c>
      <c r="C48" s="277">
        <v>-35000</v>
      </c>
      <c r="D48" s="277">
        <v>66344.990000000005</v>
      </c>
      <c r="E48" s="284"/>
      <c r="F48" s="284"/>
      <c r="G48" s="284"/>
      <c r="H48" s="284"/>
      <c r="I48" s="284"/>
      <c r="J48" s="284"/>
      <c r="K48" s="284"/>
      <c r="L48" s="284"/>
    </row>
    <row r="49" spans="1:12" x14ac:dyDescent="0.25">
      <c r="A49" s="199">
        <v>4104102000</v>
      </c>
      <c r="B49" s="187" t="s">
        <v>1723</v>
      </c>
      <c r="C49" s="277">
        <v>0</v>
      </c>
      <c r="D49" s="277">
        <v>-36676.629999999997</v>
      </c>
      <c r="E49" s="284"/>
      <c r="F49" s="284"/>
      <c r="G49" s="284"/>
      <c r="H49" s="284"/>
      <c r="I49" s="284"/>
      <c r="J49" s="284"/>
      <c r="K49" s="284"/>
      <c r="L49" s="284"/>
    </row>
    <row r="50" spans="1:12" x14ac:dyDescent="0.25">
      <c r="A50" s="199">
        <v>4103501000</v>
      </c>
      <c r="B50" s="187" t="s">
        <v>1724</v>
      </c>
      <c r="C50" s="277">
        <v>0</v>
      </c>
      <c r="D50" s="277">
        <v>-184975.06</v>
      </c>
      <c r="E50" s="284"/>
      <c r="F50" s="284"/>
      <c r="G50" s="284"/>
      <c r="H50" s="284"/>
      <c r="I50" s="284"/>
      <c r="J50" s="284"/>
      <c r="K50" s="284"/>
      <c r="L50" s="284"/>
    </row>
    <row r="51" spans="1:12" x14ac:dyDescent="0.25">
      <c r="A51" s="199">
        <v>5102101000</v>
      </c>
      <c r="B51" s="187" t="s">
        <v>1725</v>
      </c>
      <c r="C51" s="277">
        <v>125628.84</v>
      </c>
      <c r="D51" s="277">
        <v>200067.09</v>
      </c>
      <c r="E51" s="284"/>
      <c r="F51" s="284"/>
      <c r="G51" s="284"/>
      <c r="H51" s="284"/>
      <c r="I51" s="284"/>
      <c r="J51" s="284"/>
      <c r="K51" s="284"/>
      <c r="L51" s="284"/>
    </row>
    <row r="52" spans="1:12" x14ac:dyDescent="0.25">
      <c r="A52" s="199">
        <v>5102102000</v>
      </c>
      <c r="B52" s="187" t="s">
        <v>1726</v>
      </c>
      <c r="C52" s="277">
        <v>320325.68</v>
      </c>
      <c r="D52" s="277">
        <v>66127</v>
      </c>
      <c r="E52" s="284"/>
      <c r="F52" s="284"/>
      <c r="G52" s="284"/>
      <c r="H52" s="284"/>
      <c r="I52" s="284"/>
      <c r="J52" s="284"/>
      <c r="K52" s="284"/>
      <c r="L52" s="284"/>
    </row>
    <row r="53" spans="1:12" x14ac:dyDescent="0.25">
      <c r="A53" s="199">
        <v>5102103000</v>
      </c>
      <c r="B53" s="187" t="s">
        <v>1727</v>
      </c>
      <c r="C53" s="277">
        <v>4473866.67</v>
      </c>
      <c r="D53" s="277">
        <v>5724339.2800000003</v>
      </c>
      <c r="E53" s="284"/>
      <c r="F53" s="284"/>
      <c r="G53" s="284"/>
      <c r="H53" s="284"/>
      <c r="I53" s="284"/>
      <c r="J53" s="284"/>
      <c r="K53" s="284"/>
      <c r="L53" s="284"/>
    </row>
    <row r="54" spans="1:12" x14ac:dyDescent="0.25">
      <c r="A54" s="199">
        <v>5102104000</v>
      </c>
      <c r="B54" s="187" t="s">
        <v>1728</v>
      </c>
      <c r="C54" s="277">
        <v>0</v>
      </c>
      <c r="D54" s="277">
        <v>912</v>
      </c>
      <c r="E54" s="284"/>
      <c r="F54" s="284"/>
      <c r="G54" s="284"/>
      <c r="H54" s="284"/>
      <c r="I54" s="284"/>
      <c r="J54" s="284"/>
      <c r="K54" s="284"/>
      <c r="L54" s="284"/>
    </row>
    <row r="55" spans="1:12" x14ac:dyDescent="0.25">
      <c r="A55" s="199">
        <v>5102105000</v>
      </c>
      <c r="B55" s="187" t="s">
        <v>1729</v>
      </c>
      <c r="C55" s="277">
        <v>636197.89</v>
      </c>
      <c r="D55" s="277">
        <v>26460</v>
      </c>
      <c r="E55" s="284"/>
      <c r="F55" s="284"/>
      <c r="G55" s="284"/>
      <c r="H55" s="284"/>
      <c r="I55" s="284"/>
      <c r="J55" s="284"/>
      <c r="K55" s="284"/>
      <c r="L55" s="284"/>
    </row>
    <row r="56" spans="1:12" x14ac:dyDescent="0.25">
      <c r="A56" s="199">
        <v>5102106000</v>
      </c>
      <c r="B56" s="187" t="s">
        <v>1730</v>
      </c>
      <c r="C56" s="277">
        <v>91976.87</v>
      </c>
      <c r="D56" s="277">
        <v>57703.68</v>
      </c>
      <c r="E56" s="284"/>
      <c r="F56" s="284"/>
      <c r="G56" s="284"/>
      <c r="H56" s="284"/>
      <c r="I56" s="284"/>
      <c r="J56" s="284"/>
      <c r="K56" s="284"/>
      <c r="L56" s="284"/>
    </row>
    <row r="57" spans="1:12" x14ac:dyDescent="0.25">
      <c r="A57" s="199">
        <v>5102108000</v>
      </c>
      <c r="B57" s="187" t="s">
        <v>1731</v>
      </c>
      <c r="C57" s="277">
        <v>1499457.79</v>
      </c>
      <c r="D57" s="277">
        <v>69857.7</v>
      </c>
      <c r="E57" s="284"/>
      <c r="F57" s="284"/>
      <c r="G57" s="284"/>
      <c r="H57" s="284"/>
      <c r="I57" s="284"/>
      <c r="J57" s="284"/>
      <c r="K57" s="284"/>
      <c r="L57" s="284"/>
    </row>
    <row r="58" spans="1:12" x14ac:dyDescent="0.25">
      <c r="A58" s="199">
        <v>5102109000</v>
      </c>
      <c r="B58" s="187" t="s">
        <v>1732</v>
      </c>
      <c r="C58" s="277">
        <v>2016698.86</v>
      </c>
      <c r="D58" s="277">
        <v>1973569.3</v>
      </c>
      <c r="E58" s="284"/>
      <c r="F58" s="284"/>
      <c r="G58" s="284"/>
      <c r="H58" s="284"/>
      <c r="I58" s="284"/>
      <c r="J58" s="284"/>
      <c r="K58" s="284"/>
      <c r="L58" s="284"/>
    </row>
    <row r="59" spans="1:12" x14ac:dyDescent="0.25">
      <c r="A59" s="199">
        <v>5104101000</v>
      </c>
      <c r="B59" s="187" t="s">
        <v>1733</v>
      </c>
      <c r="C59" s="277">
        <v>12509142.470000001</v>
      </c>
      <c r="D59" s="277">
        <v>10972060.300000001</v>
      </c>
      <c r="E59" s="284"/>
      <c r="F59" s="284"/>
      <c r="G59" s="284"/>
      <c r="H59" s="284"/>
      <c r="I59" s="284"/>
      <c r="J59" s="284"/>
      <c r="K59" s="284"/>
      <c r="L59" s="284"/>
    </row>
    <row r="60" spans="1:12" x14ac:dyDescent="0.25">
      <c r="A60" s="199">
        <v>5104101001</v>
      </c>
      <c r="B60" s="187" t="s">
        <v>1734</v>
      </c>
      <c r="C60" s="277">
        <v>0</v>
      </c>
      <c r="D60" s="277">
        <v>1000</v>
      </c>
      <c r="E60" s="284"/>
      <c r="F60" s="284"/>
      <c r="G60" s="284"/>
      <c r="H60" s="284"/>
      <c r="I60" s="284"/>
      <c r="J60" s="284"/>
      <c r="K60" s="284"/>
      <c r="L60" s="284"/>
    </row>
    <row r="61" spans="1:12" x14ac:dyDescent="0.25">
      <c r="A61" s="199">
        <v>5104102000</v>
      </c>
      <c r="B61" s="187" t="s">
        <v>1735</v>
      </c>
      <c r="C61" s="277">
        <v>3342089.66</v>
      </c>
      <c r="D61" s="277">
        <v>3362325.07</v>
      </c>
      <c r="E61" s="284"/>
      <c r="F61" s="284"/>
      <c r="G61" s="284"/>
      <c r="H61" s="284"/>
      <c r="I61" s="284"/>
      <c r="J61" s="284"/>
      <c r="K61" s="284"/>
      <c r="L61" s="284"/>
    </row>
    <row r="62" spans="1:12" x14ac:dyDescent="0.25">
      <c r="A62" s="199">
        <v>5104106000</v>
      </c>
      <c r="B62" s="187" t="s">
        <v>1736</v>
      </c>
      <c r="C62" s="277">
        <v>38590</v>
      </c>
      <c r="D62" s="277">
        <v>106337</v>
      </c>
      <c r="E62" s="284"/>
      <c r="F62" s="284"/>
      <c r="G62" s="284"/>
      <c r="H62" s="284"/>
      <c r="I62" s="284"/>
      <c r="J62" s="284"/>
      <c r="K62" s="284"/>
      <c r="L62" s="284"/>
    </row>
    <row r="63" spans="1:12" x14ac:dyDescent="0.25">
      <c r="A63" s="199">
        <v>5104106001</v>
      </c>
      <c r="B63" s="187" t="s">
        <v>1737</v>
      </c>
      <c r="C63" s="277">
        <v>57190</v>
      </c>
      <c r="D63" s="277">
        <v>0</v>
      </c>
      <c r="E63" s="284"/>
      <c r="F63" s="284"/>
      <c r="G63" s="284"/>
      <c r="H63" s="284"/>
      <c r="I63" s="284"/>
      <c r="J63" s="284"/>
      <c r="K63" s="284"/>
      <c r="L63" s="284"/>
    </row>
    <row r="64" spans="1:12" x14ac:dyDescent="0.25">
      <c r="A64" s="199">
        <v>5104108000</v>
      </c>
      <c r="B64" s="187" t="s">
        <v>1738</v>
      </c>
      <c r="C64" s="277">
        <v>168660</v>
      </c>
      <c r="D64" s="277">
        <v>0</v>
      </c>
      <c r="E64" s="284"/>
      <c r="F64" s="284"/>
      <c r="G64" s="284"/>
      <c r="H64" s="284"/>
      <c r="I64" s="284"/>
      <c r="J64" s="284"/>
      <c r="K64" s="284"/>
      <c r="L64" s="284"/>
    </row>
    <row r="65" spans="1:12" x14ac:dyDescent="0.25">
      <c r="A65" s="199">
        <v>5104108001</v>
      </c>
      <c r="B65" s="187" t="s">
        <v>1739</v>
      </c>
      <c r="C65" s="277">
        <v>0</v>
      </c>
      <c r="D65" s="277">
        <v>108408</v>
      </c>
      <c r="E65" s="284"/>
      <c r="F65" s="284"/>
      <c r="G65" s="284"/>
      <c r="H65" s="284"/>
      <c r="I65" s="284"/>
      <c r="J65" s="284"/>
      <c r="K65" s="284"/>
      <c r="L65" s="284"/>
    </row>
    <row r="66" spans="1:12" x14ac:dyDescent="0.25">
      <c r="A66" s="199">
        <v>5104108002</v>
      </c>
      <c r="B66" s="187" t="s">
        <v>1740</v>
      </c>
      <c r="C66" s="277">
        <v>126931</v>
      </c>
      <c r="D66" s="277">
        <v>208528</v>
      </c>
      <c r="E66" s="284"/>
      <c r="F66" s="284"/>
      <c r="G66" s="284"/>
      <c r="H66" s="284"/>
      <c r="I66" s="284"/>
      <c r="J66" s="284"/>
      <c r="K66" s="284"/>
      <c r="L66" s="284"/>
    </row>
    <row r="67" spans="1:12" x14ac:dyDescent="0.25">
      <c r="A67" s="199">
        <v>5104108005</v>
      </c>
      <c r="B67" s="187" t="s">
        <v>1741</v>
      </c>
      <c r="C67" s="277">
        <v>499293.36</v>
      </c>
      <c r="D67" s="277">
        <v>711159.98</v>
      </c>
      <c r="E67" s="284"/>
      <c r="F67" s="284"/>
      <c r="G67" s="284"/>
      <c r="H67" s="284"/>
      <c r="I67" s="284"/>
      <c r="J67" s="284"/>
      <c r="K67" s="284"/>
      <c r="L67" s="284"/>
    </row>
    <row r="68" spans="1:12" x14ac:dyDescent="0.25">
      <c r="A68" s="199">
        <v>5104108006</v>
      </c>
      <c r="B68" s="187" t="s">
        <v>1742</v>
      </c>
      <c r="C68" s="277">
        <v>0</v>
      </c>
      <c r="D68" s="277">
        <v>1080</v>
      </c>
      <c r="E68" s="284"/>
      <c r="F68" s="284"/>
      <c r="G68" s="284"/>
      <c r="H68" s="284"/>
      <c r="I68" s="284"/>
      <c r="J68" s="284"/>
      <c r="K68" s="284"/>
      <c r="L68" s="284"/>
    </row>
    <row r="69" spans="1:12" x14ac:dyDescent="0.25">
      <c r="A69" s="199">
        <v>5104203000</v>
      </c>
      <c r="B69" s="187" t="s">
        <v>1743</v>
      </c>
      <c r="C69" s="277">
        <v>2848087</v>
      </c>
      <c r="D69" s="277">
        <v>1833206</v>
      </c>
      <c r="E69" s="284"/>
      <c r="F69" s="284"/>
      <c r="G69" s="284"/>
      <c r="H69" s="284"/>
      <c r="I69" s="284"/>
      <c r="J69" s="284"/>
      <c r="K69" s="284"/>
      <c r="L69" s="284"/>
    </row>
    <row r="70" spans="1:12" x14ac:dyDescent="0.25">
      <c r="A70" s="199">
        <v>5104204000</v>
      </c>
      <c r="B70" s="187" t="s">
        <v>1744</v>
      </c>
      <c r="C70" s="277">
        <v>1331327</v>
      </c>
      <c r="D70" s="277">
        <v>1339770</v>
      </c>
      <c r="E70" s="284"/>
      <c r="F70" s="284"/>
      <c r="G70" s="284"/>
      <c r="H70" s="284"/>
      <c r="I70" s="284"/>
      <c r="J70" s="284"/>
      <c r="K70" s="284"/>
      <c r="L70" s="284"/>
    </row>
    <row r="71" spans="1:12" x14ac:dyDescent="0.25">
      <c r="A71" s="199">
        <v>5103101000</v>
      </c>
      <c r="B71" s="187" t="s">
        <v>1745</v>
      </c>
      <c r="C71" s="277">
        <v>10125</v>
      </c>
      <c r="D71" s="277">
        <v>17318</v>
      </c>
      <c r="E71" s="284"/>
      <c r="F71" s="284"/>
      <c r="G71" s="284"/>
      <c r="H71" s="284"/>
      <c r="I71" s="284"/>
      <c r="J71" s="284"/>
      <c r="K71" s="284"/>
      <c r="L71" s="284"/>
    </row>
    <row r="72" spans="1:12" x14ac:dyDescent="0.25">
      <c r="A72" s="199">
        <v>5103101001</v>
      </c>
      <c r="B72" s="187" t="s">
        <v>1746</v>
      </c>
      <c r="C72" s="277">
        <v>111788.82</v>
      </c>
      <c r="D72" s="277">
        <v>300217</v>
      </c>
      <c r="E72" s="284"/>
      <c r="F72" s="284"/>
      <c r="G72" s="284"/>
      <c r="H72" s="284"/>
      <c r="I72" s="284"/>
      <c r="J72" s="284"/>
      <c r="K72" s="284"/>
      <c r="L72" s="284"/>
    </row>
    <row r="73" spans="1:12" x14ac:dyDescent="0.25">
      <c r="A73" s="199">
        <v>5103101002</v>
      </c>
      <c r="B73" s="187" t="s">
        <v>1747</v>
      </c>
      <c r="C73" s="277">
        <v>0</v>
      </c>
      <c r="D73" s="277">
        <v>1945</v>
      </c>
      <c r="E73" s="284"/>
      <c r="F73" s="284"/>
      <c r="G73" s="284"/>
      <c r="H73" s="284"/>
      <c r="I73" s="284"/>
      <c r="J73" s="284"/>
      <c r="K73" s="284"/>
      <c r="L73" s="284"/>
    </row>
    <row r="74" spans="1:12" x14ac:dyDescent="0.25">
      <c r="A74" s="199">
        <v>5103102000</v>
      </c>
      <c r="B74" s="187" t="s">
        <v>1748</v>
      </c>
      <c r="C74" s="277">
        <v>38607.199999999997</v>
      </c>
      <c r="D74" s="277">
        <v>5500</v>
      </c>
      <c r="E74" s="284"/>
      <c r="F74" s="284"/>
      <c r="G74" s="284"/>
      <c r="H74" s="284"/>
      <c r="I74" s="284"/>
      <c r="J74" s="284"/>
      <c r="K74" s="284"/>
      <c r="L74" s="284"/>
    </row>
    <row r="75" spans="1:12" x14ac:dyDescent="0.25">
      <c r="A75" s="199">
        <v>5103102001</v>
      </c>
      <c r="B75" s="187" t="s">
        <v>1749</v>
      </c>
      <c r="C75" s="277">
        <v>3704521</v>
      </c>
      <c r="D75" s="277">
        <v>2741667</v>
      </c>
      <c r="E75" s="284"/>
      <c r="F75" s="284"/>
      <c r="G75" s="284"/>
      <c r="H75" s="284"/>
      <c r="I75" s="284"/>
      <c r="J75" s="284"/>
      <c r="K75" s="284"/>
      <c r="L75" s="284"/>
    </row>
    <row r="76" spans="1:12" x14ac:dyDescent="0.25">
      <c r="A76" s="199">
        <v>5103103000</v>
      </c>
      <c r="B76" s="187" t="s">
        <v>1750</v>
      </c>
      <c r="C76" s="277">
        <v>214296</v>
      </c>
      <c r="D76" s="277">
        <v>46550</v>
      </c>
      <c r="E76" s="284"/>
      <c r="F76" s="284"/>
      <c r="G76" s="284"/>
      <c r="H76" s="284"/>
      <c r="I76" s="284"/>
      <c r="J76" s="284"/>
      <c r="K76" s="284"/>
      <c r="L76" s="284"/>
    </row>
    <row r="77" spans="1:12" x14ac:dyDescent="0.25">
      <c r="A77" s="199">
        <v>5103103001</v>
      </c>
      <c r="B77" s="187" t="s">
        <v>1751</v>
      </c>
      <c r="C77" s="277">
        <v>1500</v>
      </c>
      <c r="D77" s="277">
        <v>6180</v>
      </c>
      <c r="E77" s="284"/>
      <c r="F77" s="284"/>
      <c r="G77" s="284"/>
      <c r="H77" s="284"/>
      <c r="I77" s="284"/>
      <c r="J77" s="284"/>
      <c r="K77" s="284"/>
      <c r="L77" s="284"/>
    </row>
    <row r="78" spans="1:12" x14ac:dyDescent="0.25">
      <c r="A78" s="199">
        <v>5103103004</v>
      </c>
      <c r="B78" s="187" t="s">
        <v>1752</v>
      </c>
      <c r="C78" s="277">
        <v>21435</v>
      </c>
      <c r="D78" s="277">
        <v>22655</v>
      </c>
      <c r="E78" s="284"/>
      <c r="F78" s="284"/>
      <c r="G78" s="284"/>
      <c r="H78" s="284"/>
      <c r="I78" s="284"/>
      <c r="J78" s="284"/>
      <c r="K78" s="284"/>
      <c r="L78" s="284"/>
    </row>
    <row r="79" spans="1:12" x14ac:dyDescent="0.25">
      <c r="A79" s="199">
        <v>5103104000</v>
      </c>
      <c r="B79" s="187" t="s">
        <v>1753</v>
      </c>
      <c r="C79" s="277">
        <v>446043.97</v>
      </c>
      <c r="D79" s="277">
        <v>238087.22</v>
      </c>
      <c r="E79" s="284"/>
      <c r="F79" s="284"/>
      <c r="G79" s="284"/>
      <c r="H79" s="284"/>
      <c r="I79" s="284"/>
      <c r="J79" s="284"/>
      <c r="K79" s="284"/>
      <c r="L79" s="284"/>
    </row>
    <row r="80" spans="1:12" x14ac:dyDescent="0.25">
      <c r="A80" s="199">
        <v>5103104001</v>
      </c>
      <c r="B80" s="187" t="s">
        <v>1754</v>
      </c>
      <c r="C80" s="277">
        <v>99875</v>
      </c>
      <c r="D80" s="277">
        <v>64318</v>
      </c>
      <c r="E80" s="284"/>
      <c r="F80" s="284"/>
      <c r="G80" s="284"/>
      <c r="H80" s="377"/>
      <c r="I80" s="284"/>
      <c r="J80" s="284"/>
      <c r="K80" s="284"/>
      <c r="L80" s="377"/>
    </row>
    <row r="81" spans="1:12" x14ac:dyDescent="0.25">
      <c r="A81" s="199">
        <v>5103103008</v>
      </c>
      <c r="B81" s="187" t="s">
        <v>1755</v>
      </c>
      <c r="C81" s="277">
        <v>0</v>
      </c>
      <c r="D81" s="277">
        <v>168414.56</v>
      </c>
      <c r="E81" s="284"/>
      <c r="F81" s="284"/>
      <c r="G81" s="284"/>
      <c r="H81" s="284"/>
      <c r="I81" s="284"/>
      <c r="J81" s="284"/>
      <c r="K81" s="284"/>
      <c r="L81" s="284"/>
    </row>
    <row r="82" spans="1:12" x14ac:dyDescent="0.25">
      <c r="A82" s="199">
        <v>5105101000</v>
      </c>
      <c r="B82" s="187" t="s">
        <v>1756</v>
      </c>
      <c r="C82" s="277">
        <v>17400</v>
      </c>
      <c r="D82" s="277">
        <v>30000</v>
      </c>
      <c r="E82" s="284"/>
      <c r="F82" s="284"/>
      <c r="G82" s="284"/>
      <c r="H82" s="284"/>
      <c r="I82" s="284"/>
      <c r="J82" s="284"/>
      <c r="K82" s="284"/>
      <c r="L82" s="284"/>
    </row>
    <row r="83" spans="1:12" x14ac:dyDescent="0.25">
      <c r="A83" s="199">
        <v>5105101001</v>
      </c>
      <c r="B83" s="187" t="s">
        <v>1757</v>
      </c>
      <c r="C83" s="277">
        <v>3000</v>
      </c>
      <c r="D83" s="277">
        <v>136681.5</v>
      </c>
      <c r="E83" s="284"/>
      <c r="F83" s="284"/>
      <c r="G83" s="284"/>
      <c r="H83" s="284"/>
      <c r="I83" s="284"/>
      <c r="J83" s="284"/>
      <c r="K83" s="284"/>
      <c r="L83" s="284"/>
    </row>
    <row r="84" spans="1:12" x14ac:dyDescent="0.25">
      <c r="A84" s="199">
        <v>5105104000</v>
      </c>
      <c r="B84" s="187" t="s">
        <v>1758</v>
      </c>
      <c r="C84" s="277">
        <v>84000</v>
      </c>
      <c r="D84" s="277">
        <v>108000</v>
      </c>
      <c r="E84" s="284"/>
      <c r="F84" s="284"/>
      <c r="G84" s="284"/>
      <c r="H84" s="284"/>
      <c r="I84" s="284"/>
      <c r="J84" s="284"/>
      <c r="K84" s="284"/>
      <c r="L84" s="284"/>
    </row>
    <row r="85" spans="1:12" x14ac:dyDescent="0.25">
      <c r="A85" s="199">
        <v>5105107000</v>
      </c>
      <c r="B85" s="187" t="s">
        <v>1759</v>
      </c>
      <c r="C85" s="277">
        <v>4500</v>
      </c>
      <c r="D85" s="277">
        <v>651070</v>
      </c>
      <c r="E85" s="284"/>
      <c r="F85" s="284"/>
      <c r="G85" s="284"/>
      <c r="H85" s="284"/>
      <c r="I85" s="284"/>
      <c r="J85" s="284"/>
      <c r="K85" s="284"/>
      <c r="L85" s="284"/>
    </row>
    <row r="86" spans="1:12" x14ac:dyDescent="0.25">
      <c r="A86" s="199">
        <v>5105109000</v>
      </c>
      <c r="B86" s="187" t="s">
        <v>1760</v>
      </c>
      <c r="C86" s="277">
        <v>29973</v>
      </c>
      <c r="D86" s="277">
        <v>46020</v>
      </c>
      <c r="E86" s="284"/>
      <c r="F86" s="284"/>
      <c r="G86" s="284"/>
      <c r="H86" s="284"/>
      <c r="I86" s="284"/>
      <c r="J86" s="284"/>
      <c r="K86" s="284"/>
      <c r="L86" s="284"/>
    </row>
    <row r="87" spans="1:12" x14ac:dyDescent="0.25">
      <c r="A87" s="199">
        <v>5105113000</v>
      </c>
      <c r="B87" s="187" t="s">
        <v>1761</v>
      </c>
      <c r="C87" s="277">
        <v>16074.5</v>
      </c>
      <c r="D87" s="277">
        <v>9232</v>
      </c>
      <c r="E87" s="284"/>
      <c r="F87" s="284"/>
      <c r="G87" s="284"/>
      <c r="H87" s="284"/>
      <c r="I87" s="284"/>
      <c r="J87" s="284"/>
      <c r="K87" s="284"/>
      <c r="L87" s="284"/>
    </row>
    <row r="88" spans="1:12" x14ac:dyDescent="0.25">
      <c r="A88" s="199">
        <v>5105113001</v>
      </c>
      <c r="B88" s="187" t="s">
        <v>1762</v>
      </c>
      <c r="C88" s="277">
        <v>22220.240000000002</v>
      </c>
      <c r="D88" s="277">
        <v>18113</v>
      </c>
      <c r="E88" s="284"/>
      <c r="F88" s="284"/>
      <c r="G88" s="284"/>
      <c r="H88" s="284"/>
      <c r="I88" s="284"/>
      <c r="J88" s="284"/>
      <c r="K88" s="284"/>
      <c r="L88" s="284"/>
    </row>
    <row r="89" spans="1:12" x14ac:dyDescent="0.25">
      <c r="A89" s="199">
        <v>5105113002</v>
      </c>
      <c r="B89" s="187" t="s">
        <v>1763</v>
      </c>
      <c r="C89" s="277">
        <v>21343</v>
      </c>
      <c r="D89" s="277">
        <v>1657</v>
      </c>
      <c r="E89" s="284"/>
      <c r="F89" s="284"/>
      <c r="G89" s="284"/>
      <c r="H89" s="284"/>
      <c r="I89" s="284"/>
      <c r="J89" s="284"/>
      <c r="K89" s="284"/>
      <c r="L89" s="284"/>
    </row>
    <row r="90" spans="1:12" x14ac:dyDescent="0.25">
      <c r="A90" s="199">
        <v>5105114000</v>
      </c>
      <c r="B90" s="187" t="s">
        <v>1764</v>
      </c>
      <c r="C90" s="277">
        <v>705338.8</v>
      </c>
      <c r="D90" s="277">
        <v>719405.89</v>
      </c>
      <c r="E90" s="284"/>
      <c r="F90" s="284"/>
      <c r="G90" s="284"/>
      <c r="H90" s="284"/>
      <c r="I90" s="284"/>
      <c r="J90" s="284"/>
      <c r="K90" s="284"/>
      <c r="L90" s="284"/>
    </row>
    <row r="91" spans="1:12" x14ac:dyDescent="0.25">
      <c r="A91" s="199">
        <v>5105115000</v>
      </c>
      <c r="B91" s="187" t="s">
        <v>1765</v>
      </c>
      <c r="C91" s="277">
        <v>0</v>
      </c>
      <c r="D91" s="277">
        <v>90770</v>
      </c>
      <c r="E91" s="284"/>
      <c r="F91" s="284"/>
      <c r="G91" s="284"/>
      <c r="H91" s="284"/>
      <c r="I91" s="284"/>
      <c r="J91" s="284"/>
      <c r="K91" s="284"/>
      <c r="L91" s="284"/>
    </row>
    <row r="92" spans="1:12" x14ac:dyDescent="0.25">
      <c r="A92" s="199">
        <v>5105116000</v>
      </c>
      <c r="B92" s="187" t="s">
        <v>1766</v>
      </c>
      <c r="C92" s="277">
        <v>225750</v>
      </c>
      <c r="D92" s="277">
        <v>186500</v>
      </c>
      <c r="E92" s="284"/>
      <c r="F92" s="284"/>
      <c r="G92" s="284"/>
      <c r="H92" s="284"/>
      <c r="I92" s="284"/>
      <c r="J92" s="284"/>
      <c r="K92" s="284"/>
      <c r="L92" s="284"/>
    </row>
    <row r="93" spans="1:12" x14ac:dyDescent="0.25">
      <c r="A93" s="199">
        <v>5105116001</v>
      </c>
      <c r="B93" s="187" t="s">
        <v>1767</v>
      </c>
      <c r="C93" s="277">
        <v>0</v>
      </c>
      <c r="D93" s="277">
        <v>2250</v>
      </c>
      <c r="E93" s="284"/>
      <c r="F93" s="284"/>
      <c r="G93" s="284"/>
      <c r="H93" s="284"/>
      <c r="I93" s="284"/>
      <c r="J93" s="284"/>
      <c r="K93" s="284"/>
      <c r="L93" s="284"/>
    </row>
    <row r="94" spans="1:12" x14ac:dyDescent="0.25">
      <c r="A94" s="199">
        <v>5105117000</v>
      </c>
      <c r="B94" s="187" t="s">
        <v>1768</v>
      </c>
      <c r="C94" s="277">
        <v>2500</v>
      </c>
      <c r="D94" s="277">
        <v>0</v>
      </c>
      <c r="E94" s="284"/>
      <c r="F94" s="284"/>
      <c r="G94" s="284"/>
      <c r="H94" s="284"/>
      <c r="I94" s="284"/>
      <c r="J94" s="284"/>
      <c r="K94" s="284"/>
      <c r="L94" s="284"/>
    </row>
    <row r="95" spans="1:12" x14ac:dyDescent="0.25">
      <c r="A95" s="199">
        <v>5105118000</v>
      </c>
      <c r="B95" s="187" t="s">
        <v>1769</v>
      </c>
      <c r="C95" s="277">
        <v>3300</v>
      </c>
      <c r="D95" s="277">
        <v>7960</v>
      </c>
      <c r="E95" s="284"/>
      <c r="F95" s="284"/>
      <c r="G95" s="284"/>
      <c r="H95" s="284"/>
      <c r="I95" s="284"/>
      <c r="J95" s="284"/>
      <c r="K95" s="284"/>
      <c r="L95" s="284"/>
    </row>
    <row r="96" spans="1:12" x14ac:dyDescent="0.25">
      <c r="A96" s="199">
        <v>5105119000</v>
      </c>
      <c r="B96" s="187" t="s">
        <v>1770</v>
      </c>
      <c r="C96" s="277">
        <v>3850</v>
      </c>
      <c r="D96" s="277">
        <v>5305</v>
      </c>
      <c r="E96" s="284"/>
      <c r="F96" s="284"/>
      <c r="G96" s="284"/>
      <c r="H96" s="284"/>
      <c r="I96" s="284"/>
      <c r="J96" s="284"/>
      <c r="K96" s="284"/>
      <c r="L96" s="284"/>
    </row>
    <row r="97" spans="1:12" x14ac:dyDescent="0.25">
      <c r="A97" s="199">
        <v>5105119005</v>
      </c>
      <c r="B97" s="187" t="s">
        <v>1771</v>
      </c>
      <c r="C97" s="277">
        <v>6828718.1600000001</v>
      </c>
      <c r="D97" s="277">
        <v>6672588.1200000001</v>
      </c>
      <c r="E97" s="284"/>
      <c r="F97" s="284"/>
      <c r="G97" s="284"/>
      <c r="H97" s="284"/>
      <c r="I97" s="284"/>
      <c r="J97" s="284"/>
      <c r="K97" s="284"/>
      <c r="L97" s="284"/>
    </row>
    <row r="98" spans="1:12" x14ac:dyDescent="0.25">
      <c r="A98" s="199">
        <v>5105120000</v>
      </c>
      <c r="B98" s="187" t="s">
        <v>1772</v>
      </c>
      <c r="C98" s="277">
        <v>14507686.970000001</v>
      </c>
      <c r="D98" s="277">
        <v>12967014.09</v>
      </c>
      <c r="E98" s="284"/>
      <c r="F98" s="284"/>
      <c r="G98" s="284"/>
      <c r="H98" s="284"/>
      <c r="I98" s="284"/>
      <c r="J98" s="284"/>
      <c r="K98" s="284"/>
      <c r="L98" s="284"/>
    </row>
    <row r="99" spans="1:12" x14ac:dyDescent="0.25">
      <c r="A99" s="199">
        <v>5105120001</v>
      </c>
      <c r="B99" s="187" t="s">
        <v>1773</v>
      </c>
      <c r="C99" s="277">
        <v>16489.5</v>
      </c>
      <c r="D99" s="277">
        <v>0</v>
      </c>
      <c r="E99" s="284"/>
      <c r="F99" s="284"/>
      <c r="G99" s="284"/>
      <c r="H99" s="284"/>
      <c r="I99" s="284"/>
      <c r="J99" s="284"/>
      <c r="K99" s="284"/>
      <c r="L99" s="284"/>
    </row>
    <row r="100" spans="1:12" x14ac:dyDescent="0.25">
      <c r="A100" s="199">
        <v>5105121000</v>
      </c>
      <c r="B100" s="187" t="s">
        <v>1774</v>
      </c>
      <c r="C100" s="277">
        <v>2389421.8199999998</v>
      </c>
      <c r="D100" s="277">
        <v>2833335.31</v>
      </c>
      <c r="E100" s="284"/>
      <c r="F100" s="284"/>
      <c r="G100" s="284"/>
      <c r="H100" s="284"/>
      <c r="I100" s="284"/>
      <c r="J100" s="284"/>
      <c r="K100" s="284"/>
      <c r="L100" s="284"/>
    </row>
    <row r="101" spans="1:12" x14ac:dyDescent="0.25">
      <c r="A101" s="199">
        <v>5105122000</v>
      </c>
      <c r="B101" s="187" t="s">
        <v>1775</v>
      </c>
      <c r="C101" s="277">
        <v>122887.67999999999</v>
      </c>
      <c r="D101" s="277">
        <v>220246</v>
      </c>
      <c r="E101" s="284"/>
      <c r="F101" s="284"/>
      <c r="G101" s="284"/>
      <c r="H101" s="284"/>
      <c r="I101" s="284"/>
      <c r="J101" s="284"/>
      <c r="K101" s="284"/>
      <c r="L101" s="284"/>
    </row>
    <row r="102" spans="1:12" x14ac:dyDescent="0.25">
      <c r="A102" s="199">
        <v>5105123000</v>
      </c>
      <c r="B102" s="187" t="s">
        <v>1776</v>
      </c>
      <c r="C102" s="277">
        <v>18000</v>
      </c>
      <c r="D102" s="277">
        <v>38982</v>
      </c>
      <c r="E102" s="284"/>
      <c r="F102" s="284"/>
      <c r="G102" s="284"/>
      <c r="H102" s="284"/>
      <c r="I102" s="284"/>
      <c r="J102" s="284"/>
      <c r="K102" s="284"/>
      <c r="L102" s="284"/>
    </row>
    <row r="103" spans="1:12" x14ac:dyDescent="0.25">
      <c r="A103" s="199">
        <v>5105125000</v>
      </c>
      <c r="B103" s="187" t="s">
        <v>1777</v>
      </c>
      <c r="C103" s="277">
        <v>10000</v>
      </c>
      <c r="D103" s="277">
        <v>30000</v>
      </c>
      <c r="E103" s="284"/>
      <c r="F103" s="284"/>
      <c r="G103" s="284"/>
      <c r="H103" s="284"/>
      <c r="I103" s="284"/>
      <c r="J103" s="284"/>
      <c r="K103" s="284"/>
      <c r="L103" s="284"/>
    </row>
    <row r="104" spans="1:12" x14ac:dyDescent="0.25">
      <c r="A104" s="199">
        <v>5105125001</v>
      </c>
      <c r="B104" s="187" t="s">
        <v>1778</v>
      </c>
      <c r="C104" s="277">
        <v>50000</v>
      </c>
      <c r="D104" s="277">
        <v>0</v>
      </c>
      <c r="E104" s="284"/>
      <c r="F104" s="284"/>
      <c r="G104" s="284"/>
      <c r="H104" s="284"/>
      <c r="I104" s="284"/>
      <c r="J104" s="284"/>
      <c r="K104" s="284"/>
      <c r="L104" s="284"/>
    </row>
    <row r="105" spans="1:12" x14ac:dyDescent="0.25">
      <c r="A105" s="199">
        <v>5105126001</v>
      </c>
      <c r="B105" s="187" t="s">
        <v>1779</v>
      </c>
      <c r="C105" s="277">
        <v>0</v>
      </c>
      <c r="D105" s="277">
        <v>256351.56</v>
      </c>
      <c r="E105" s="284"/>
      <c r="F105" s="284"/>
      <c r="G105" s="284"/>
      <c r="H105" s="284"/>
      <c r="I105" s="284"/>
      <c r="J105" s="284"/>
      <c r="K105" s="284"/>
      <c r="L105" s="284"/>
    </row>
    <row r="106" spans="1:12" x14ac:dyDescent="0.25">
      <c r="A106" s="199">
        <v>5105126007</v>
      </c>
      <c r="B106" s="187" t="s">
        <v>1780</v>
      </c>
      <c r="C106" s="277">
        <v>0</v>
      </c>
      <c r="D106" s="277">
        <v>0.2</v>
      </c>
      <c r="E106" s="284"/>
      <c r="F106" s="284"/>
      <c r="G106" s="284"/>
      <c r="H106" s="284"/>
      <c r="I106" s="284"/>
      <c r="J106" s="284"/>
      <c r="K106" s="284"/>
      <c r="L106" s="284"/>
    </row>
    <row r="107" spans="1:12" x14ac:dyDescent="0.25">
      <c r="A107" s="199">
        <v>5105126999</v>
      </c>
      <c r="B107" s="187" t="s">
        <v>1781</v>
      </c>
      <c r="C107" s="277">
        <v>0</v>
      </c>
      <c r="D107" s="277">
        <v>11402</v>
      </c>
      <c r="E107" s="284"/>
      <c r="F107" s="284"/>
      <c r="G107" s="284"/>
      <c r="H107" s="284"/>
      <c r="I107" s="284"/>
      <c r="J107" s="284"/>
      <c r="K107" s="284"/>
      <c r="L107" s="284"/>
    </row>
    <row r="108" spans="1:12" x14ac:dyDescent="0.25">
      <c r="A108" s="199">
        <v>5105130001</v>
      </c>
      <c r="B108" s="187" t="s">
        <v>1782</v>
      </c>
      <c r="C108" s="277">
        <v>124335</v>
      </c>
      <c r="D108" s="277">
        <v>77555</v>
      </c>
      <c r="E108" s="284"/>
      <c r="F108" s="284"/>
      <c r="G108" s="284"/>
      <c r="H108" s="284"/>
      <c r="I108" s="284"/>
      <c r="J108" s="284"/>
      <c r="K108" s="284"/>
      <c r="L108" s="284"/>
    </row>
    <row r="109" spans="1:12" x14ac:dyDescent="0.25">
      <c r="A109" s="199">
        <v>5106101000</v>
      </c>
      <c r="B109" s="187" t="s">
        <v>1783</v>
      </c>
      <c r="C109" s="277">
        <v>0</v>
      </c>
      <c r="D109" s="277">
        <v>878424.66</v>
      </c>
      <c r="E109" s="284"/>
      <c r="F109" s="284"/>
      <c r="G109" s="284"/>
      <c r="H109" s="284"/>
      <c r="I109" s="284"/>
      <c r="J109" s="284"/>
      <c r="K109" s="284"/>
      <c r="L109" s="284"/>
    </row>
    <row r="110" spans="1:12" x14ac:dyDescent="0.25">
      <c r="A110" s="199">
        <v>5106102000</v>
      </c>
      <c r="B110" s="187" t="s">
        <v>1784</v>
      </c>
      <c r="C110" s="277">
        <v>2799.01</v>
      </c>
      <c r="D110" s="277">
        <v>87916.19</v>
      </c>
      <c r="E110" s="284"/>
      <c r="F110" s="284"/>
      <c r="G110" s="284"/>
      <c r="H110" s="284"/>
      <c r="I110" s="284"/>
      <c r="J110" s="284"/>
      <c r="K110" s="284"/>
      <c r="L110" s="284"/>
    </row>
    <row r="111" spans="1:12" x14ac:dyDescent="0.25">
      <c r="A111" s="199">
        <v>5105107001</v>
      </c>
      <c r="B111" s="187" t="s">
        <v>1785</v>
      </c>
      <c r="C111" s="277">
        <v>0</v>
      </c>
      <c r="D111" s="277">
        <v>329114.2</v>
      </c>
      <c r="E111" s="284"/>
      <c r="F111" s="284"/>
      <c r="G111" s="284"/>
      <c r="H111" s="284"/>
      <c r="I111" s="284"/>
      <c r="J111" s="284"/>
      <c r="K111" s="284"/>
      <c r="L111" s="284"/>
    </row>
    <row r="112" spans="1:12" x14ac:dyDescent="0.25">
      <c r="A112" s="199">
        <v>5105120002</v>
      </c>
      <c r="B112" s="187" t="s">
        <v>1786</v>
      </c>
      <c r="C112" s="277">
        <v>0</v>
      </c>
      <c r="D112" s="277">
        <v>223979.37</v>
      </c>
      <c r="E112" s="284"/>
      <c r="F112" s="284"/>
      <c r="G112" s="284"/>
      <c r="H112" s="284"/>
      <c r="I112" s="284"/>
      <c r="J112" s="284"/>
      <c r="K112" s="284"/>
      <c r="L112" s="284"/>
    </row>
    <row r="113" spans="1:12" x14ac:dyDescent="0.25">
      <c r="A113" s="199">
        <v>5105120003</v>
      </c>
      <c r="B113" s="187" t="s">
        <v>1787</v>
      </c>
      <c r="C113" s="277">
        <v>7308576.7300000004</v>
      </c>
      <c r="D113" s="277">
        <v>11587043.51</v>
      </c>
      <c r="E113" s="284"/>
      <c r="F113" s="284"/>
      <c r="G113" s="284"/>
      <c r="H113" s="284"/>
      <c r="I113" s="284"/>
      <c r="J113" s="284"/>
      <c r="K113" s="284"/>
      <c r="L113" s="284"/>
    </row>
    <row r="114" spans="1:12" x14ac:dyDescent="0.25">
      <c r="A114" s="199">
        <v>5105120004</v>
      </c>
      <c r="B114" s="187" t="s">
        <v>1788</v>
      </c>
      <c r="C114" s="277">
        <v>256976.39</v>
      </c>
      <c r="D114" s="277">
        <v>600842.19999999995</v>
      </c>
      <c r="E114" s="284"/>
      <c r="F114" s="284"/>
      <c r="G114" s="284"/>
      <c r="H114" s="284"/>
      <c r="I114" s="284"/>
      <c r="J114" s="284"/>
      <c r="K114" s="284"/>
      <c r="L114" s="284"/>
    </row>
    <row r="115" spans="1:12" x14ac:dyDescent="0.25">
      <c r="A115" s="199">
        <v>5105120005</v>
      </c>
      <c r="B115" s="187" t="s">
        <v>1789</v>
      </c>
      <c r="C115" s="277">
        <v>427790.47</v>
      </c>
      <c r="D115" s="277">
        <v>648278.01</v>
      </c>
      <c r="E115" s="284"/>
      <c r="F115" s="284"/>
      <c r="G115" s="284"/>
      <c r="H115" s="284"/>
      <c r="I115" s="284"/>
      <c r="J115" s="284"/>
      <c r="K115" s="284"/>
      <c r="L115" s="284"/>
    </row>
    <row r="116" spans="1:12" x14ac:dyDescent="0.25">
      <c r="A116" s="199">
        <v>5105120006</v>
      </c>
      <c r="B116" s="187" t="s">
        <v>1790</v>
      </c>
      <c r="C116" s="277">
        <v>78239.710000000006</v>
      </c>
      <c r="D116" s="277">
        <v>643064.99</v>
      </c>
      <c r="E116" s="284"/>
      <c r="F116" s="284"/>
      <c r="G116" s="284"/>
      <c r="H116" s="284"/>
      <c r="I116" s="284"/>
      <c r="J116" s="284"/>
      <c r="K116" s="284"/>
      <c r="L116" s="284"/>
    </row>
    <row r="117" spans="1:12" x14ac:dyDescent="0.25">
      <c r="A117" s="199">
        <v>5105120008</v>
      </c>
      <c r="B117" s="187" t="s">
        <v>1791</v>
      </c>
      <c r="C117" s="277">
        <v>164656.92000000001</v>
      </c>
      <c r="D117" s="277">
        <v>55390.62</v>
      </c>
      <c r="E117" s="284"/>
      <c r="F117" s="284"/>
      <c r="G117" s="284"/>
      <c r="H117" s="284"/>
      <c r="I117" s="284"/>
      <c r="J117" s="284"/>
      <c r="K117" s="284"/>
      <c r="L117" s="284"/>
    </row>
    <row r="118" spans="1:12" x14ac:dyDescent="0.25">
      <c r="A118" s="199">
        <v>5111102000</v>
      </c>
      <c r="B118" s="187" t="s">
        <v>1792</v>
      </c>
      <c r="C118" s="277">
        <v>0</v>
      </c>
      <c r="D118" s="277">
        <v>200319.04</v>
      </c>
      <c r="E118" s="284"/>
      <c r="F118" s="284"/>
      <c r="G118" s="284"/>
      <c r="H118" s="284"/>
      <c r="I118" s="284"/>
      <c r="J118" s="284"/>
      <c r="K118" s="284"/>
      <c r="L118" s="284"/>
    </row>
    <row r="119" spans="1:12" x14ac:dyDescent="0.25">
      <c r="A119" s="199">
        <v>5107101000</v>
      </c>
      <c r="B119" s="187" t="s">
        <v>1793</v>
      </c>
      <c r="C119" s="277">
        <v>0</v>
      </c>
      <c r="D119" s="277">
        <v>2170969</v>
      </c>
      <c r="E119" s="284"/>
      <c r="F119" s="284"/>
      <c r="G119" s="284"/>
      <c r="H119" s="284"/>
      <c r="I119" s="284"/>
      <c r="J119" s="284"/>
      <c r="K119" s="284"/>
      <c r="L119" s="284"/>
    </row>
    <row r="120" spans="1:12" x14ac:dyDescent="0.25">
      <c r="A120" s="199">
        <v>5107102000</v>
      </c>
      <c r="B120" s="187" t="s">
        <v>1794</v>
      </c>
      <c r="C120" s="277">
        <v>0</v>
      </c>
      <c r="D120" s="277">
        <v>30651920</v>
      </c>
      <c r="E120" s="284"/>
      <c r="F120" s="284"/>
      <c r="G120" s="284"/>
      <c r="H120" s="284"/>
      <c r="I120" s="284"/>
      <c r="J120" s="284"/>
      <c r="K120" s="284"/>
      <c r="L120" s="284"/>
    </row>
    <row r="121" spans="1:12" x14ac:dyDescent="0.25">
      <c r="A121" s="199">
        <v>5107103000</v>
      </c>
      <c r="B121" s="187" t="s">
        <v>1795</v>
      </c>
      <c r="C121" s="277">
        <v>0</v>
      </c>
      <c r="D121" s="277">
        <v>755763</v>
      </c>
      <c r="E121" s="284"/>
      <c r="F121" s="284"/>
      <c r="G121" s="284"/>
      <c r="H121" s="284"/>
      <c r="I121" s="284"/>
      <c r="J121" s="284"/>
      <c r="K121" s="284"/>
      <c r="L121" s="284"/>
    </row>
    <row r="122" spans="1:12" x14ac:dyDescent="0.25">
      <c r="A122" s="199">
        <v>5107103001</v>
      </c>
      <c r="B122" s="187" t="s">
        <v>1796</v>
      </c>
      <c r="C122" s="277">
        <v>0</v>
      </c>
      <c r="D122" s="277">
        <v>128803</v>
      </c>
      <c r="E122" s="284"/>
      <c r="F122" s="284"/>
      <c r="G122" s="284"/>
      <c r="H122" s="284"/>
      <c r="I122" s="284"/>
      <c r="J122" s="284"/>
      <c r="K122" s="284"/>
      <c r="L122" s="284"/>
    </row>
    <row r="123" spans="1:12" x14ac:dyDescent="0.25">
      <c r="A123" s="199">
        <v>5107104000</v>
      </c>
      <c r="B123" s="187" t="s">
        <v>1797</v>
      </c>
      <c r="C123" s="277">
        <v>0</v>
      </c>
      <c r="D123" s="277">
        <v>9763052</v>
      </c>
      <c r="E123" s="284"/>
      <c r="F123" s="284"/>
      <c r="G123" s="284"/>
      <c r="H123" s="284"/>
      <c r="I123" s="284"/>
      <c r="J123" s="284"/>
      <c r="K123" s="284"/>
      <c r="L123" s="284"/>
    </row>
    <row r="124" spans="1:12" x14ac:dyDescent="0.25">
      <c r="A124" s="199">
        <v>5107104001</v>
      </c>
      <c r="B124" s="187" t="s">
        <v>1798</v>
      </c>
      <c r="C124" s="277">
        <v>0</v>
      </c>
      <c r="D124" s="277">
        <v>3517244</v>
      </c>
      <c r="E124" s="284"/>
      <c r="F124" s="284"/>
      <c r="G124" s="284"/>
      <c r="H124" s="284"/>
      <c r="I124" s="284"/>
      <c r="J124" s="284"/>
      <c r="K124" s="284"/>
      <c r="L124" s="284"/>
    </row>
    <row r="125" spans="1:12" x14ac:dyDescent="0.25">
      <c r="A125" s="199">
        <v>5107105000</v>
      </c>
      <c r="B125" s="187" t="s">
        <v>1799</v>
      </c>
      <c r="C125" s="277">
        <v>0</v>
      </c>
      <c r="D125" s="277">
        <v>625517.13</v>
      </c>
      <c r="E125" s="284"/>
      <c r="F125" s="284"/>
      <c r="G125" s="284"/>
      <c r="H125" s="284"/>
      <c r="I125" s="284"/>
      <c r="J125" s="284"/>
      <c r="K125" s="284"/>
      <c r="L125" s="284"/>
    </row>
    <row r="126" spans="1:12" x14ac:dyDescent="0.25">
      <c r="A126" s="199">
        <v>5107106000</v>
      </c>
      <c r="B126" s="187" t="s">
        <v>1800</v>
      </c>
      <c r="C126" s="277">
        <v>0</v>
      </c>
      <c r="D126" s="277">
        <v>650128</v>
      </c>
      <c r="E126" s="284"/>
      <c r="F126" s="284"/>
      <c r="G126" s="284"/>
      <c r="H126" s="284"/>
      <c r="I126" s="284"/>
      <c r="J126" s="284"/>
      <c r="K126" s="284"/>
      <c r="L126" s="284"/>
    </row>
    <row r="127" spans="1:12" x14ac:dyDescent="0.25">
      <c r="A127" s="199">
        <v>5107202000</v>
      </c>
      <c r="B127" s="187" t="s">
        <v>1801</v>
      </c>
      <c r="C127" s="277">
        <v>0</v>
      </c>
      <c r="D127" s="277">
        <v>25619466</v>
      </c>
      <c r="E127" s="284"/>
      <c r="F127" s="284"/>
      <c r="G127" s="284"/>
      <c r="H127" s="284"/>
      <c r="I127" s="284"/>
      <c r="J127" s="284"/>
      <c r="K127" s="284"/>
      <c r="L127" s="284"/>
    </row>
    <row r="128" spans="1:12" x14ac:dyDescent="0.25">
      <c r="A128" s="199">
        <v>1101101000</v>
      </c>
      <c r="B128" s="187" t="s">
        <v>1802</v>
      </c>
      <c r="C128" s="277">
        <v>-1227354.45</v>
      </c>
      <c r="D128" s="277">
        <v>0</v>
      </c>
      <c r="E128" s="284"/>
      <c r="F128" s="284"/>
      <c r="G128" s="284"/>
      <c r="H128" s="284"/>
      <c r="I128" s="284"/>
      <c r="J128" s="284"/>
      <c r="K128" s="284"/>
      <c r="L128" s="284"/>
    </row>
    <row r="129" spans="1:12" x14ac:dyDescent="0.25">
      <c r="A129" s="199">
        <v>1101202000</v>
      </c>
      <c r="B129" s="187" t="s">
        <v>1803</v>
      </c>
      <c r="C129" s="277">
        <v>-56647.13</v>
      </c>
      <c r="D129" s="277">
        <v>0</v>
      </c>
      <c r="E129" s="284"/>
      <c r="F129" s="284"/>
      <c r="G129" s="284"/>
      <c r="H129" s="284"/>
      <c r="I129" s="284"/>
      <c r="J129" s="284"/>
      <c r="K129" s="284"/>
      <c r="L129" s="284"/>
    </row>
    <row r="130" spans="1:12" x14ac:dyDescent="0.25">
      <c r="A130" s="199">
        <v>1101202002</v>
      </c>
      <c r="B130" s="187" t="s">
        <v>1804</v>
      </c>
      <c r="C130" s="277">
        <v>56647.13</v>
      </c>
      <c r="D130" s="277">
        <v>0</v>
      </c>
      <c r="E130" s="284"/>
      <c r="F130" s="284"/>
      <c r="G130" s="284"/>
      <c r="H130" s="284"/>
      <c r="I130" s="284"/>
      <c r="J130" s="284"/>
      <c r="K130" s="284"/>
      <c r="L130" s="284"/>
    </row>
    <row r="131" spans="1:12" x14ac:dyDescent="0.25">
      <c r="A131" s="199">
        <v>1101202010</v>
      </c>
      <c r="B131" s="187" t="s">
        <v>1805</v>
      </c>
      <c r="C131" s="277">
        <v>38985395.549999997</v>
      </c>
      <c r="D131" s="277">
        <v>105321168.87</v>
      </c>
      <c r="E131" s="284"/>
      <c r="F131" s="284"/>
      <c r="G131" s="284"/>
      <c r="H131" s="284"/>
      <c r="I131" s="284"/>
      <c r="J131" s="284"/>
      <c r="K131" s="284"/>
      <c r="L131" s="284"/>
    </row>
    <row r="132" spans="1:12" x14ac:dyDescent="0.25">
      <c r="A132" s="199">
        <v>1101202011</v>
      </c>
      <c r="B132" s="187" t="s">
        <v>1806</v>
      </c>
      <c r="C132" s="277">
        <v>15458594.140000001</v>
      </c>
      <c r="D132" s="277">
        <v>1051685.3</v>
      </c>
      <c r="E132" s="284"/>
      <c r="F132" s="284"/>
      <c r="G132" s="284"/>
      <c r="H132" s="284"/>
      <c r="I132" s="284"/>
      <c r="J132" s="284"/>
      <c r="K132" s="284"/>
      <c r="L132" s="284"/>
    </row>
    <row r="133" spans="1:12" x14ac:dyDescent="0.25">
      <c r="A133" s="199">
        <v>1101202012</v>
      </c>
      <c r="B133" s="187" t="s">
        <v>1807</v>
      </c>
      <c r="C133" s="277">
        <v>27119911.359999999</v>
      </c>
      <c r="D133" s="277">
        <v>-15010699.92</v>
      </c>
      <c r="E133" s="284"/>
      <c r="F133" s="284"/>
      <c r="G133" s="284"/>
      <c r="H133" s="284"/>
      <c r="I133" s="284"/>
      <c r="J133" s="284"/>
      <c r="K133" s="284"/>
      <c r="L133" s="284"/>
    </row>
    <row r="134" spans="1:12" x14ac:dyDescent="0.25">
      <c r="A134" s="199">
        <v>1101202020</v>
      </c>
      <c r="B134" s="187" t="s">
        <v>1808</v>
      </c>
      <c r="C134" s="277">
        <v>-446197.84</v>
      </c>
      <c r="D134" s="277">
        <v>14738683</v>
      </c>
      <c r="E134" s="284"/>
      <c r="F134" s="284"/>
      <c r="G134" s="284"/>
      <c r="H134" s="284"/>
      <c r="I134" s="284"/>
      <c r="J134" s="284"/>
      <c r="K134" s="284"/>
      <c r="L134" s="284"/>
    </row>
    <row r="135" spans="1:12" x14ac:dyDescent="0.25">
      <c r="A135" s="199">
        <v>1101202021</v>
      </c>
      <c r="B135" s="187" t="s">
        <v>1809</v>
      </c>
      <c r="C135" s="277">
        <v>-2627253.7000000002</v>
      </c>
      <c r="D135" s="277">
        <v>0</v>
      </c>
      <c r="E135" s="284"/>
      <c r="F135" s="294"/>
      <c r="G135" s="284"/>
      <c r="H135" s="284"/>
      <c r="I135" s="284"/>
      <c r="J135" s="284"/>
      <c r="K135" s="284"/>
      <c r="L135" s="284"/>
    </row>
    <row r="136" spans="1:12" x14ac:dyDescent="0.25">
      <c r="A136" s="199">
        <v>1101202022</v>
      </c>
      <c r="B136" s="187" t="s">
        <v>1810</v>
      </c>
      <c r="C136" s="277">
        <v>-16048628.51</v>
      </c>
      <c r="D136" s="277">
        <v>-7936262</v>
      </c>
      <c r="E136" s="284"/>
      <c r="F136" s="284"/>
      <c r="G136" s="284"/>
      <c r="H136" s="284"/>
      <c r="I136" s="284"/>
      <c r="J136" s="284"/>
      <c r="K136" s="284"/>
      <c r="L136" s="284"/>
    </row>
    <row r="137" spans="1:12" x14ac:dyDescent="0.25">
      <c r="A137" s="199">
        <v>1101202030</v>
      </c>
      <c r="B137" s="187" t="s">
        <v>1811</v>
      </c>
      <c r="C137" s="277">
        <v>-30370983.16</v>
      </c>
      <c r="D137" s="277">
        <v>4140684.7</v>
      </c>
      <c r="E137" s="284"/>
      <c r="F137" s="284"/>
      <c r="G137" s="284"/>
      <c r="H137" s="284"/>
      <c r="I137" s="284"/>
      <c r="J137" s="284"/>
      <c r="K137" s="284"/>
      <c r="L137" s="284"/>
    </row>
    <row r="138" spans="1:12" x14ac:dyDescent="0.25">
      <c r="A138" s="199">
        <v>1101202031</v>
      </c>
      <c r="B138" s="187" t="s">
        <v>1812</v>
      </c>
      <c r="C138" s="277">
        <v>125947305.22</v>
      </c>
      <c r="D138" s="277">
        <v>0</v>
      </c>
      <c r="E138" s="284"/>
      <c r="F138" s="284"/>
      <c r="G138" s="284"/>
      <c r="H138" s="284"/>
      <c r="I138" s="284"/>
      <c r="J138" s="284"/>
      <c r="K138" s="284"/>
      <c r="L138" s="284"/>
    </row>
    <row r="139" spans="1:12" x14ac:dyDescent="0.25">
      <c r="A139" s="199">
        <v>1101202032</v>
      </c>
      <c r="B139" s="187" t="s">
        <v>1813</v>
      </c>
      <c r="C139" s="277">
        <v>-126875443.14</v>
      </c>
      <c r="D139" s="277">
        <v>0</v>
      </c>
      <c r="E139" s="284"/>
      <c r="F139" s="284"/>
      <c r="G139" s="284"/>
      <c r="H139" s="284"/>
      <c r="I139" s="284"/>
      <c r="J139" s="284"/>
      <c r="K139" s="284"/>
      <c r="L139" s="284"/>
    </row>
    <row r="140" spans="1:12" x14ac:dyDescent="0.25">
      <c r="A140" s="199">
        <v>1101202040</v>
      </c>
      <c r="B140" s="187" t="s">
        <v>1814</v>
      </c>
      <c r="C140" s="277">
        <v>2541842.1800000002</v>
      </c>
      <c r="D140" s="277">
        <v>24213879.039999999</v>
      </c>
      <c r="E140" s="284"/>
      <c r="F140" s="284"/>
      <c r="G140" s="284"/>
      <c r="H140" s="284"/>
      <c r="I140" s="284"/>
      <c r="J140" s="284"/>
      <c r="K140" s="284"/>
      <c r="L140" s="284"/>
    </row>
    <row r="141" spans="1:12" x14ac:dyDescent="0.25">
      <c r="A141" s="199">
        <v>1101202041</v>
      </c>
      <c r="B141" s="187" t="s">
        <v>1815</v>
      </c>
      <c r="C141" s="277">
        <v>948966.19</v>
      </c>
      <c r="D141" s="277">
        <v>0</v>
      </c>
      <c r="E141" s="284"/>
      <c r="F141" s="284"/>
      <c r="G141" s="284"/>
      <c r="H141" s="284"/>
      <c r="I141" s="284"/>
      <c r="J141" s="284"/>
      <c r="K141" s="284"/>
      <c r="L141" s="284"/>
    </row>
    <row r="142" spans="1:12" x14ac:dyDescent="0.25">
      <c r="A142" s="199">
        <v>1101202060</v>
      </c>
      <c r="B142" s="187" t="s">
        <v>1816</v>
      </c>
      <c r="C142" s="277">
        <v>154803.25</v>
      </c>
      <c r="D142" s="277">
        <v>1692153.41</v>
      </c>
      <c r="E142" s="284"/>
      <c r="F142" s="284"/>
      <c r="G142" s="284"/>
      <c r="H142" s="284"/>
      <c r="I142" s="284"/>
      <c r="J142" s="284"/>
      <c r="K142" s="284"/>
      <c r="L142" s="284"/>
    </row>
    <row r="143" spans="1:12" x14ac:dyDescent="0.25">
      <c r="A143" s="199">
        <v>1101202061</v>
      </c>
      <c r="B143" s="187" t="s">
        <v>1817</v>
      </c>
      <c r="C143" s="277">
        <v>438992.75</v>
      </c>
      <c r="D143" s="277">
        <v>0</v>
      </c>
      <c r="E143" s="284"/>
      <c r="F143" s="284"/>
      <c r="G143" s="284"/>
      <c r="H143" s="284"/>
      <c r="I143" s="284"/>
      <c r="J143" s="284"/>
      <c r="K143" s="284"/>
      <c r="L143" s="284"/>
    </row>
    <row r="144" spans="1:12" x14ac:dyDescent="0.25">
      <c r="A144" s="199">
        <v>1101202062</v>
      </c>
      <c r="B144" s="187" t="s">
        <v>1818</v>
      </c>
      <c r="C144" s="277">
        <v>-439000</v>
      </c>
      <c r="D144" s="277">
        <v>0</v>
      </c>
      <c r="E144" s="284"/>
      <c r="F144" s="284"/>
      <c r="G144" s="284"/>
      <c r="H144" s="284"/>
      <c r="I144" s="284"/>
      <c r="J144" s="284"/>
      <c r="K144" s="284"/>
      <c r="L144" s="284"/>
    </row>
    <row r="145" spans="1:12" x14ac:dyDescent="0.25">
      <c r="A145" s="199">
        <v>1101202070</v>
      </c>
      <c r="B145" s="187" t="s">
        <v>1819</v>
      </c>
      <c r="C145" s="277">
        <v>114300.33</v>
      </c>
      <c r="D145" s="277">
        <v>26486886.57</v>
      </c>
      <c r="E145" s="284"/>
      <c r="F145" s="284"/>
      <c r="G145" s="284"/>
      <c r="H145" s="284"/>
      <c r="I145" s="284"/>
      <c r="J145" s="284"/>
      <c r="K145" s="284"/>
      <c r="L145" s="284"/>
    </row>
    <row r="146" spans="1:12" x14ac:dyDescent="0.25">
      <c r="A146" s="199">
        <v>1101202080</v>
      </c>
      <c r="B146" s="187" t="s">
        <v>1820</v>
      </c>
      <c r="C146" s="277">
        <v>134817818.06999999</v>
      </c>
      <c r="D146" s="277">
        <v>135322137.53999999</v>
      </c>
      <c r="E146" s="284"/>
      <c r="F146" s="284"/>
      <c r="G146" s="284"/>
      <c r="H146" s="284"/>
      <c r="I146" s="284"/>
      <c r="J146" s="284"/>
      <c r="K146" s="284"/>
      <c r="L146" s="284"/>
    </row>
    <row r="147" spans="1:12" x14ac:dyDescent="0.25">
      <c r="A147" s="199">
        <v>1101202081</v>
      </c>
      <c r="B147" s="187" t="s">
        <v>1821</v>
      </c>
      <c r="C147" s="277">
        <v>133807459.89</v>
      </c>
      <c r="D147" s="277">
        <v>5900</v>
      </c>
      <c r="E147" s="284"/>
      <c r="F147" s="284"/>
      <c r="G147" s="284"/>
      <c r="H147" s="284"/>
      <c r="I147" s="284"/>
      <c r="J147" s="284"/>
      <c r="K147" s="284"/>
      <c r="L147" s="284"/>
    </row>
    <row r="148" spans="1:12" x14ac:dyDescent="0.25">
      <c r="A148" s="199">
        <v>1101202082</v>
      </c>
      <c r="B148" s="187" t="s">
        <v>1822</v>
      </c>
      <c r="C148" s="277">
        <v>-13384728.529999999</v>
      </c>
      <c r="D148" s="277">
        <v>-28505809.329999998</v>
      </c>
      <c r="E148" s="284"/>
      <c r="F148" s="284"/>
      <c r="G148" s="284"/>
      <c r="H148" s="284"/>
      <c r="I148" s="284"/>
      <c r="J148" s="284"/>
      <c r="K148" s="284"/>
      <c r="L148" s="284"/>
    </row>
    <row r="149" spans="1:12" x14ac:dyDescent="0.25">
      <c r="A149" s="199">
        <v>1101202090</v>
      </c>
      <c r="B149" s="187" t="s">
        <v>1823</v>
      </c>
      <c r="C149" s="277">
        <v>-28476547.73</v>
      </c>
      <c r="D149" s="277">
        <v>1000</v>
      </c>
      <c r="E149" s="284"/>
      <c r="F149" s="284"/>
      <c r="G149" s="284"/>
      <c r="H149" s="284"/>
      <c r="I149" s="284"/>
      <c r="J149" s="284"/>
      <c r="K149" s="284"/>
      <c r="L149" s="284"/>
    </row>
    <row r="150" spans="1:12" x14ac:dyDescent="0.25">
      <c r="A150" s="199">
        <v>1101202091</v>
      </c>
      <c r="B150" s="187" t="s">
        <v>1824</v>
      </c>
      <c r="C150" s="277">
        <v>110493839.43000001</v>
      </c>
      <c r="D150" s="277">
        <v>0</v>
      </c>
      <c r="E150" s="284"/>
      <c r="F150" s="284"/>
      <c r="G150" s="284"/>
      <c r="H150" s="284"/>
      <c r="I150" s="284"/>
      <c r="J150" s="284"/>
      <c r="K150" s="284"/>
      <c r="L150" s="284"/>
    </row>
    <row r="151" spans="1:12" x14ac:dyDescent="0.25">
      <c r="A151" s="199">
        <v>1101202100</v>
      </c>
      <c r="B151" s="187" t="s">
        <v>1825</v>
      </c>
      <c r="C151" s="277">
        <v>12447</v>
      </c>
      <c r="D151" s="277">
        <v>0</v>
      </c>
      <c r="E151" s="284"/>
      <c r="F151" s="284"/>
      <c r="G151" s="284"/>
      <c r="H151" s="284"/>
      <c r="I151" s="284"/>
      <c r="J151" s="284"/>
      <c r="K151" s="284"/>
      <c r="L151" s="284"/>
    </row>
    <row r="152" spans="1:12" x14ac:dyDescent="0.25">
      <c r="A152" s="199">
        <v>1101202101</v>
      </c>
      <c r="B152" s="187" t="s">
        <v>1826</v>
      </c>
      <c r="C152" s="277">
        <v>5842</v>
      </c>
      <c r="D152" s="277">
        <v>0</v>
      </c>
      <c r="E152" s="284"/>
      <c r="F152" s="284"/>
      <c r="G152" s="284"/>
      <c r="H152" s="284"/>
      <c r="I152" s="284"/>
      <c r="J152" s="284"/>
      <c r="K152" s="284"/>
      <c r="L152" s="284"/>
    </row>
    <row r="153" spans="1:12" x14ac:dyDescent="0.25">
      <c r="A153" s="199">
        <v>1101202102</v>
      </c>
      <c r="B153" s="187" t="s">
        <v>1827</v>
      </c>
      <c r="C153" s="277">
        <v>-25753</v>
      </c>
      <c r="D153" s="277">
        <v>0</v>
      </c>
      <c r="E153" s="284"/>
      <c r="F153" s="284"/>
      <c r="G153" s="284"/>
      <c r="H153" s="284"/>
      <c r="I153" s="284"/>
      <c r="J153" s="284"/>
      <c r="K153" s="284"/>
      <c r="L153" s="284"/>
    </row>
    <row r="154" spans="1:12" x14ac:dyDescent="0.25">
      <c r="A154" s="199">
        <v>1101202110</v>
      </c>
      <c r="B154" s="187" t="s">
        <v>1828</v>
      </c>
      <c r="C154" s="277">
        <v>-130770</v>
      </c>
      <c r="D154" s="277">
        <v>0</v>
      </c>
      <c r="E154" s="284"/>
      <c r="F154" s="284"/>
      <c r="G154" s="284"/>
      <c r="H154" s="284"/>
      <c r="I154" s="284"/>
      <c r="J154" s="284"/>
      <c r="K154" s="284"/>
      <c r="L154" s="284"/>
    </row>
    <row r="155" spans="1:12" x14ac:dyDescent="0.25">
      <c r="A155" s="199">
        <v>1101202111</v>
      </c>
      <c r="B155" s="187" t="s">
        <v>1829</v>
      </c>
      <c r="C155" s="277">
        <v>-59971</v>
      </c>
      <c r="D155" s="277">
        <v>0</v>
      </c>
      <c r="E155" s="284"/>
      <c r="F155" s="284"/>
      <c r="G155" s="284"/>
      <c r="H155" s="284"/>
      <c r="I155" s="284"/>
      <c r="J155" s="284"/>
      <c r="K155" s="284"/>
      <c r="L155" s="284"/>
    </row>
    <row r="156" spans="1:12" x14ac:dyDescent="0.25">
      <c r="A156" s="199">
        <v>1101202112</v>
      </c>
      <c r="B156" s="187" t="s">
        <v>1830</v>
      </c>
      <c r="C156" s="277">
        <v>181296</v>
      </c>
      <c r="D156" s="277">
        <v>0</v>
      </c>
      <c r="E156" s="284"/>
      <c r="F156" s="284"/>
      <c r="G156" s="284"/>
      <c r="H156" s="284"/>
      <c r="I156" s="284"/>
      <c r="J156" s="284"/>
      <c r="K156" s="284"/>
      <c r="L156" s="284"/>
    </row>
    <row r="157" spans="1:12" x14ac:dyDescent="0.25">
      <c r="A157" s="199">
        <v>1101202120</v>
      </c>
      <c r="B157" s="187" t="s">
        <v>1831</v>
      </c>
      <c r="C157" s="277">
        <v>1482912.64</v>
      </c>
      <c r="D157" s="277">
        <v>0</v>
      </c>
      <c r="E157" s="284"/>
      <c r="F157" s="284"/>
      <c r="G157" s="284"/>
      <c r="H157" s="284"/>
      <c r="I157" s="284"/>
      <c r="J157" s="284"/>
      <c r="K157" s="284"/>
      <c r="L157" s="284"/>
    </row>
    <row r="158" spans="1:12" x14ac:dyDescent="0.25">
      <c r="A158" s="199">
        <v>1101202121</v>
      </c>
      <c r="B158" s="187" t="s">
        <v>1832</v>
      </c>
      <c r="C158" s="277">
        <v>90903.91</v>
      </c>
      <c r="D158" s="277">
        <v>0</v>
      </c>
      <c r="E158" s="284"/>
      <c r="F158" s="284"/>
      <c r="G158" s="284"/>
      <c r="H158" s="284"/>
      <c r="I158" s="284"/>
      <c r="J158" s="284"/>
      <c r="K158" s="284"/>
      <c r="L158" s="284"/>
    </row>
    <row r="159" spans="1:12" x14ac:dyDescent="0.25">
      <c r="A159" s="199">
        <v>1101202130</v>
      </c>
      <c r="B159" s="187" t="s">
        <v>1833</v>
      </c>
      <c r="C159" s="277">
        <v>21458.38</v>
      </c>
      <c r="D159" s="277">
        <v>0</v>
      </c>
      <c r="E159" s="284"/>
      <c r="F159" s="284"/>
      <c r="G159" s="284"/>
      <c r="H159" s="284"/>
      <c r="I159" s="284"/>
      <c r="J159" s="284"/>
      <c r="K159" s="284"/>
      <c r="L159" s="284"/>
    </row>
    <row r="160" spans="1:12" x14ac:dyDescent="0.25">
      <c r="A160" s="199">
        <v>1101202131</v>
      </c>
      <c r="B160" s="187" t="s">
        <v>1834</v>
      </c>
      <c r="C160" s="277">
        <v>13920.11</v>
      </c>
      <c r="D160" s="277">
        <v>0</v>
      </c>
      <c r="E160" s="284"/>
      <c r="F160" s="284"/>
      <c r="G160" s="284"/>
      <c r="H160" s="284"/>
      <c r="I160" s="284"/>
      <c r="J160" s="284"/>
      <c r="K160" s="284"/>
      <c r="L160" s="284"/>
    </row>
    <row r="161" spans="1:12" x14ac:dyDescent="0.25">
      <c r="A161" s="199">
        <v>1101202140</v>
      </c>
      <c r="B161" s="187" t="s">
        <v>1835</v>
      </c>
      <c r="C161" s="277">
        <v>1177257.8799999999</v>
      </c>
      <c r="D161" s="277">
        <v>0</v>
      </c>
      <c r="E161" s="284"/>
      <c r="F161" s="284"/>
      <c r="G161" s="284"/>
      <c r="H161" s="284"/>
      <c r="I161" s="284"/>
      <c r="J161" s="284"/>
      <c r="K161" s="284"/>
      <c r="L161" s="284"/>
    </row>
    <row r="162" spans="1:12" x14ac:dyDescent="0.25">
      <c r="A162" s="199">
        <v>1101202141</v>
      </c>
      <c r="B162" s="187" t="s">
        <v>1836</v>
      </c>
      <c r="C162" s="277">
        <v>8363</v>
      </c>
      <c r="D162" s="277">
        <v>0</v>
      </c>
      <c r="E162" s="284"/>
      <c r="F162" s="284"/>
      <c r="G162" s="284"/>
      <c r="H162" s="284"/>
      <c r="I162" s="284"/>
      <c r="J162" s="284"/>
      <c r="K162" s="284"/>
      <c r="L162" s="284"/>
    </row>
    <row r="163" spans="1:12" x14ac:dyDescent="0.25">
      <c r="A163" s="199">
        <v>1101203000</v>
      </c>
      <c r="B163" s="187" t="s">
        <v>1837</v>
      </c>
      <c r="C163" s="277">
        <v>784949.5</v>
      </c>
      <c r="D163" s="277">
        <v>1089461.83</v>
      </c>
      <c r="E163" s="284"/>
      <c r="F163" s="284"/>
      <c r="G163" s="284"/>
      <c r="H163" s="284"/>
      <c r="I163" s="284"/>
      <c r="J163" s="284"/>
      <c r="K163" s="284"/>
      <c r="L163" s="284"/>
    </row>
    <row r="164" spans="1:12" x14ac:dyDescent="0.25">
      <c r="A164" s="199">
        <v>1101203001</v>
      </c>
      <c r="B164" s="187" t="s">
        <v>1838</v>
      </c>
      <c r="C164" s="277">
        <v>-5075000.46</v>
      </c>
      <c r="D164" s="277">
        <v>108524</v>
      </c>
      <c r="E164" s="284"/>
      <c r="F164" s="284"/>
      <c r="G164" s="284"/>
      <c r="H164" s="284"/>
      <c r="I164" s="284"/>
      <c r="J164" s="284"/>
      <c r="K164" s="284"/>
      <c r="L164" s="284"/>
    </row>
    <row r="165" spans="1:12" x14ac:dyDescent="0.25">
      <c r="A165" s="199">
        <v>1101203010</v>
      </c>
      <c r="B165" s="187" t="s">
        <v>1839</v>
      </c>
      <c r="C165" s="277">
        <v>160583</v>
      </c>
      <c r="D165" s="277">
        <v>774416.11</v>
      </c>
      <c r="E165" s="284"/>
      <c r="F165" s="284"/>
      <c r="G165" s="284"/>
      <c r="H165" s="284"/>
      <c r="I165" s="284"/>
      <c r="J165" s="284"/>
      <c r="K165" s="284"/>
      <c r="L165" s="284"/>
    </row>
    <row r="166" spans="1:12" x14ac:dyDescent="0.25">
      <c r="A166" s="199">
        <v>1101203011</v>
      </c>
      <c r="B166" s="187" t="s">
        <v>1840</v>
      </c>
      <c r="C166" s="277">
        <v>-4458692.8899999997</v>
      </c>
      <c r="D166" s="277">
        <v>107009.62</v>
      </c>
      <c r="E166" s="284"/>
      <c r="F166" s="284"/>
      <c r="G166" s="284"/>
      <c r="H166" s="284"/>
      <c r="I166" s="284"/>
      <c r="J166" s="284"/>
      <c r="K166" s="284"/>
      <c r="L166" s="284"/>
    </row>
    <row r="167" spans="1:12" x14ac:dyDescent="0.25">
      <c r="A167" s="199">
        <v>1101203020</v>
      </c>
      <c r="B167" s="187" t="s">
        <v>1841</v>
      </c>
      <c r="C167" s="277">
        <v>0</v>
      </c>
      <c r="D167" s="277">
        <v>1325922.55</v>
      </c>
      <c r="E167" s="284"/>
      <c r="F167" s="284"/>
      <c r="G167" s="284"/>
      <c r="H167" s="284"/>
      <c r="I167" s="284"/>
      <c r="J167" s="284"/>
      <c r="K167" s="284"/>
      <c r="L167" s="284"/>
    </row>
    <row r="168" spans="1:12" x14ac:dyDescent="0.25">
      <c r="A168" s="199">
        <v>1101203021</v>
      </c>
      <c r="B168" s="187" t="s">
        <v>1842</v>
      </c>
      <c r="C168" s="277">
        <v>0</v>
      </c>
      <c r="D168" s="277">
        <v>406606.5</v>
      </c>
      <c r="E168" s="284"/>
      <c r="F168" s="284"/>
      <c r="G168" s="284"/>
      <c r="H168" s="284"/>
      <c r="I168" s="284"/>
      <c r="J168" s="284"/>
      <c r="K168" s="284"/>
      <c r="L168" s="284"/>
    </row>
    <row r="169" spans="1:12" x14ac:dyDescent="0.25">
      <c r="A169" s="199">
        <v>1101203030</v>
      </c>
      <c r="B169" s="187" t="s">
        <v>1843</v>
      </c>
      <c r="C169" s="277">
        <v>-654071</v>
      </c>
      <c r="D169" s="277">
        <v>1000</v>
      </c>
      <c r="E169" s="284"/>
      <c r="F169" s="284"/>
      <c r="G169" s="284"/>
      <c r="H169" s="284"/>
      <c r="I169" s="284"/>
      <c r="J169" s="284"/>
      <c r="K169" s="284"/>
      <c r="L169" s="284"/>
    </row>
    <row r="170" spans="1:12" x14ac:dyDescent="0.25">
      <c r="A170" s="199">
        <v>1101203031</v>
      </c>
      <c r="B170" s="187" t="s">
        <v>1844</v>
      </c>
      <c r="C170" s="277">
        <v>-1355801.5</v>
      </c>
      <c r="D170" s="277">
        <v>352</v>
      </c>
      <c r="E170" s="284"/>
      <c r="F170" s="284"/>
      <c r="G170" s="284"/>
      <c r="H170" s="284"/>
      <c r="I170" s="284"/>
      <c r="J170" s="284"/>
      <c r="K170" s="284"/>
      <c r="L170" s="284"/>
    </row>
    <row r="171" spans="1:12" x14ac:dyDescent="0.25">
      <c r="A171" s="199">
        <v>1101203040</v>
      </c>
      <c r="B171" s="187" t="s">
        <v>1845</v>
      </c>
      <c r="C171" s="277">
        <v>348515.5</v>
      </c>
      <c r="D171" s="277">
        <v>158044.15</v>
      </c>
      <c r="E171" s="284"/>
      <c r="F171" s="284"/>
      <c r="G171" s="284"/>
      <c r="H171" s="284"/>
      <c r="I171" s="284"/>
      <c r="J171" s="284"/>
      <c r="K171" s="284"/>
      <c r="L171" s="284"/>
    </row>
    <row r="172" spans="1:12" x14ac:dyDescent="0.25">
      <c r="A172" s="199">
        <v>1101203041</v>
      </c>
      <c r="B172" s="187" t="s">
        <v>1846</v>
      </c>
      <c r="C172" s="277">
        <v>-1937071.5</v>
      </c>
      <c r="D172" s="277">
        <v>36718</v>
      </c>
      <c r="E172" s="284"/>
      <c r="F172" s="284"/>
      <c r="G172" s="284"/>
      <c r="H172" s="284"/>
      <c r="I172" s="284"/>
      <c r="J172" s="284"/>
      <c r="K172" s="284"/>
      <c r="L172" s="284"/>
    </row>
    <row r="173" spans="1:12" x14ac:dyDescent="0.25">
      <c r="A173" s="199">
        <v>1101203050</v>
      </c>
      <c r="B173" s="187" t="s">
        <v>1847</v>
      </c>
      <c r="C173" s="277">
        <v>369456.5</v>
      </c>
      <c r="D173" s="277">
        <v>24273.55</v>
      </c>
      <c r="E173" s="284"/>
      <c r="F173" s="284"/>
      <c r="G173" s="284"/>
      <c r="H173" s="284"/>
      <c r="I173" s="284"/>
      <c r="J173" s="284"/>
      <c r="K173" s="284"/>
      <c r="L173" s="284"/>
    </row>
    <row r="174" spans="1:12" x14ac:dyDescent="0.25">
      <c r="A174" s="199">
        <v>1101203051</v>
      </c>
      <c r="B174" s="187" t="s">
        <v>1848</v>
      </c>
      <c r="C174" s="277">
        <v>-2759257.8</v>
      </c>
      <c r="D174" s="277">
        <v>1676311.66</v>
      </c>
      <c r="E174" s="284"/>
      <c r="F174" s="284"/>
      <c r="G174" s="284"/>
      <c r="H174" s="284"/>
      <c r="I174" s="284"/>
      <c r="J174" s="284"/>
      <c r="K174" s="284"/>
      <c r="L174" s="284"/>
    </row>
    <row r="175" spans="1:12" x14ac:dyDescent="0.25">
      <c r="A175" s="199">
        <v>1101203060</v>
      </c>
      <c r="B175" s="187" t="s">
        <v>1849</v>
      </c>
      <c r="C175" s="277">
        <v>290617.25</v>
      </c>
      <c r="D175" s="277">
        <v>448711.25</v>
      </c>
      <c r="E175" s="284"/>
      <c r="F175" s="284"/>
      <c r="G175" s="284"/>
      <c r="H175" s="284"/>
      <c r="I175" s="284"/>
      <c r="J175" s="284"/>
      <c r="K175" s="284"/>
      <c r="L175" s="284"/>
    </row>
    <row r="176" spans="1:12" x14ac:dyDescent="0.25">
      <c r="A176" s="199">
        <v>1101203061</v>
      </c>
      <c r="B176" s="187" t="s">
        <v>1850</v>
      </c>
      <c r="C176" s="277">
        <v>-1862085.01</v>
      </c>
      <c r="D176" s="277">
        <v>224015.25</v>
      </c>
      <c r="E176" s="284"/>
      <c r="F176" s="284"/>
      <c r="G176" s="284"/>
      <c r="H176" s="284"/>
      <c r="I176" s="284"/>
      <c r="J176" s="284"/>
      <c r="K176" s="284"/>
      <c r="L176" s="284"/>
    </row>
    <row r="177" spans="1:12" x14ac:dyDescent="0.25">
      <c r="A177" s="199">
        <v>1101203070</v>
      </c>
      <c r="B177" s="187" t="s">
        <v>1851</v>
      </c>
      <c r="C177" s="277">
        <v>326994.25</v>
      </c>
      <c r="D177" s="277">
        <v>385688</v>
      </c>
      <c r="E177" s="284"/>
      <c r="F177" s="284"/>
      <c r="G177" s="284"/>
      <c r="H177" s="284"/>
      <c r="I177" s="284"/>
      <c r="J177" s="284"/>
      <c r="K177" s="284"/>
      <c r="L177" s="284"/>
    </row>
    <row r="178" spans="1:12" x14ac:dyDescent="0.25">
      <c r="A178" s="199">
        <v>1101203071</v>
      </c>
      <c r="B178" s="187" t="s">
        <v>1852</v>
      </c>
      <c r="C178" s="277">
        <v>-1577513.94</v>
      </c>
      <c r="D178" s="277">
        <v>85878</v>
      </c>
      <c r="E178" s="284"/>
      <c r="F178" s="284"/>
      <c r="G178" s="284"/>
      <c r="H178" s="284"/>
      <c r="I178" s="284"/>
      <c r="J178" s="284"/>
      <c r="K178" s="284"/>
      <c r="L178" s="284"/>
    </row>
    <row r="179" spans="1:12" x14ac:dyDescent="0.25">
      <c r="A179" s="199">
        <v>1101203090</v>
      </c>
      <c r="B179" s="187" t="s">
        <v>1853</v>
      </c>
      <c r="C179" s="277">
        <v>0</v>
      </c>
      <c r="D179" s="277">
        <v>40192.92</v>
      </c>
      <c r="E179" s="284"/>
      <c r="F179" s="284"/>
      <c r="G179" s="284"/>
      <c r="H179" s="284"/>
      <c r="I179" s="284"/>
      <c r="J179" s="284"/>
      <c r="K179" s="284"/>
      <c r="L179" s="284"/>
    </row>
    <row r="180" spans="1:12" x14ac:dyDescent="0.25">
      <c r="A180" s="199">
        <v>1101203091</v>
      </c>
      <c r="B180" s="187" t="s">
        <v>1854</v>
      </c>
      <c r="C180" s="277">
        <v>0</v>
      </c>
      <c r="D180" s="277">
        <v>1300000</v>
      </c>
      <c r="E180" s="284"/>
      <c r="F180" s="284"/>
      <c r="G180" s="284"/>
      <c r="H180" s="284"/>
      <c r="I180" s="284"/>
      <c r="J180" s="284"/>
      <c r="K180" s="284"/>
      <c r="L180" s="284"/>
    </row>
    <row r="181" spans="1:12" x14ac:dyDescent="0.25">
      <c r="A181" s="199">
        <v>1101203092</v>
      </c>
      <c r="B181" s="187" t="s">
        <v>1855</v>
      </c>
      <c r="C181" s="277">
        <v>0</v>
      </c>
      <c r="D181" s="277">
        <v>-749220.88</v>
      </c>
      <c r="E181" s="284"/>
      <c r="F181" s="284"/>
      <c r="G181" s="284"/>
      <c r="H181" s="284"/>
      <c r="I181" s="284"/>
      <c r="J181" s="284"/>
      <c r="K181" s="284"/>
      <c r="L181" s="284"/>
    </row>
    <row r="182" spans="1:12" x14ac:dyDescent="0.25">
      <c r="A182" s="199">
        <v>1101203160</v>
      </c>
      <c r="B182" s="187" t="s">
        <v>1856</v>
      </c>
      <c r="C182" s="277">
        <v>-32377</v>
      </c>
      <c r="D182" s="277">
        <v>118405</v>
      </c>
      <c r="E182" s="284"/>
      <c r="F182" s="284"/>
      <c r="G182" s="284"/>
      <c r="H182" s="284"/>
      <c r="I182" s="284"/>
      <c r="J182" s="284"/>
      <c r="K182" s="284"/>
      <c r="L182" s="284"/>
    </row>
    <row r="183" spans="1:12" x14ac:dyDescent="0.25">
      <c r="A183" s="199">
        <v>1101203161</v>
      </c>
      <c r="B183" s="187" t="s">
        <v>1857</v>
      </c>
      <c r="C183" s="277">
        <v>-149809</v>
      </c>
      <c r="D183" s="277">
        <v>100</v>
      </c>
      <c r="E183" s="284"/>
      <c r="F183" s="284"/>
      <c r="G183" s="284"/>
      <c r="H183" s="284"/>
      <c r="I183" s="284"/>
      <c r="J183" s="284"/>
      <c r="K183" s="284"/>
      <c r="L183" s="284"/>
    </row>
    <row r="184" spans="1:12" x14ac:dyDescent="0.25">
      <c r="A184" s="199">
        <v>1101203170</v>
      </c>
      <c r="B184" s="187" t="s">
        <v>1858</v>
      </c>
      <c r="C184" s="277">
        <v>0</v>
      </c>
      <c r="D184" s="277">
        <v>3305955</v>
      </c>
      <c r="E184" s="284"/>
      <c r="F184" s="284"/>
      <c r="G184" s="284"/>
      <c r="H184" s="284"/>
      <c r="I184" s="284"/>
      <c r="J184" s="284"/>
      <c r="K184" s="284"/>
      <c r="L184" s="284"/>
    </row>
    <row r="185" spans="1:12" x14ac:dyDescent="0.25">
      <c r="A185" s="199">
        <v>1101203171</v>
      </c>
      <c r="B185" s="187" t="s">
        <v>1859</v>
      </c>
      <c r="C185" s="277">
        <v>0</v>
      </c>
      <c r="D185" s="277">
        <v>98976</v>
      </c>
      <c r="E185" s="284"/>
      <c r="F185" s="284"/>
      <c r="G185" s="284"/>
      <c r="H185" s="284"/>
      <c r="I185" s="284"/>
      <c r="J185" s="284"/>
      <c r="K185" s="284"/>
      <c r="L185" s="284"/>
    </row>
    <row r="186" spans="1:12" x14ac:dyDescent="0.25">
      <c r="A186" s="199">
        <v>1101203180</v>
      </c>
      <c r="B186" s="187" t="s">
        <v>1860</v>
      </c>
      <c r="C186" s="277">
        <v>-12255</v>
      </c>
      <c r="D186" s="277">
        <v>1000</v>
      </c>
      <c r="E186" s="284"/>
      <c r="F186" s="284"/>
      <c r="G186" s="284"/>
      <c r="H186" s="284"/>
      <c r="I186" s="284"/>
      <c r="J186" s="284"/>
      <c r="K186" s="284"/>
      <c r="L186" s="284"/>
    </row>
    <row r="187" spans="1:12" x14ac:dyDescent="0.25">
      <c r="A187" s="199">
        <v>1101203181</v>
      </c>
      <c r="B187" s="187" t="s">
        <v>1861</v>
      </c>
      <c r="C187" s="277">
        <v>-143173.45000000001</v>
      </c>
      <c r="D187" s="277">
        <v>22965</v>
      </c>
      <c r="E187" s="284"/>
      <c r="F187" s="284"/>
      <c r="G187" s="284"/>
      <c r="H187" s="284"/>
      <c r="I187" s="284"/>
      <c r="J187" s="284"/>
      <c r="K187" s="284"/>
      <c r="L187" s="284"/>
    </row>
    <row r="188" spans="1:12" x14ac:dyDescent="0.25">
      <c r="A188" s="199">
        <v>1101203190</v>
      </c>
      <c r="B188" s="187" t="s">
        <v>1862</v>
      </c>
      <c r="C188" s="277">
        <v>100922.5</v>
      </c>
      <c r="D188" s="277">
        <v>245667</v>
      </c>
      <c r="E188" s="284"/>
      <c r="F188" s="284"/>
      <c r="G188" s="284"/>
      <c r="H188" s="284"/>
      <c r="I188" s="284"/>
      <c r="J188" s="284"/>
      <c r="K188" s="284"/>
      <c r="L188" s="284"/>
    </row>
    <row r="189" spans="1:12" x14ac:dyDescent="0.25">
      <c r="A189" s="199">
        <v>1101203191</v>
      </c>
      <c r="B189" s="187" t="s">
        <v>1863</v>
      </c>
      <c r="C189" s="277">
        <v>-605098.75</v>
      </c>
      <c r="D189" s="277">
        <v>1292</v>
      </c>
      <c r="E189" s="284"/>
      <c r="F189" s="284"/>
      <c r="G189" s="284"/>
      <c r="H189" s="284"/>
      <c r="I189" s="284"/>
      <c r="J189" s="284"/>
      <c r="K189" s="284"/>
      <c r="L189" s="284"/>
    </row>
    <row r="190" spans="1:12" x14ac:dyDescent="0.25">
      <c r="A190" s="199">
        <v>1101203210</v>
      </c>
      <c r="B190" s="187" t="s">
        <v>1864</v>
      </c>
      <c r="C190" s="277">
        <v>0</v>
      </c>
      <c r="D190" s="277">
        <v>1000</v>
      </c>
      <c r="E190" s="284"/>
      <c r="F190" s="284"/>
      <c r="G190" s="284"/>
      <c r="H190" s="284"/>
      <c r="I190" s="284"/>
      <c r="J190" s="284"/>
      <c r="K190" s="284"/>
      <c r="L190" s="284"/>
    </row>
    <row r="191" spans="1:12" x14ac:dyDescent="0.25">
      <c r="A191" s="199">
        <v>1101203211</v>
      </c>
      <c r="B191" s="187" t="s">
        <v>1865</v>
      </c>
      <c r="C191" s="277">
        <v>-466472</v>
      </c>
      <c r="D191" s="277">
        <v>76150</v>
      </c>
      <c r="E191" s="284"/>
      <c r="F191" s="284"/>
      <c r="G191" s="284"/>
      <c r="H191" s="284"/>
      <c r="I191" s="284"/>
      <c r="J191" s="284"/>
      <c r="K191" s="284"/>
      <c r="L191" s="284"/>
    </row>
    <row r="192" spans="1:12" x14ac:dyDescent="0.25">
      <c r="A192" s="199">
        <v>1101203220</v>
      </c>
      <c r="B192" s="187" t="s">
        <v>1866</v>
      </c>
      <c r="C192" s="277">
        <v>43609</v>
      </c>
      <c r="D192" s="277">
        <v>809810</v>
      </c>
      <c r="E192" s="284"/>
      <c r="F192" s="284"/>
      <c r="G192" s="284"/>
      <c r="H192" s="284"/>
      <c r="I192" s="284"/>
      <c r="J192" s="284"/>
      <c r="K192" s="284"/>
      <c r="L192" s="284"/>
    </row>
    <row r="193" spans="1:12" x14ac:dyDescent="0.25">
      <c r="A193" s="199">
        <v>1101203221</v>
      </c>
      <c r="B193" s="187" t="s">
        <v>1867</v>
      </c>
      <c r="C193" s="277">
        <v>-2133811.75</v>
      </c>
      <c r="D193" s="277">
        <v>316325</v>
      </c>
      <c r="E193" s="284"/>
      <c r="F193" s="284"/>
      <c r="G193" s="284"/>
      <c r="H193" s="284"/>
      <c r="I193" s="284"/>
      <c r="J193" s="284"/>
      <c r="K193" s="284"/>
      <c r="L193" s="284"/>
    </row>
    <row r="194" spans="1:12" x14ac:dyDescent="0.25">
      <c r="A194" s="199">
        <v>1101203230</v>
      </c>
      <c r="B194" s="187" t="s">
        <v>1868</v>
      </c>
      <c r="C194" s="277">
        <v>382414.75</v>
      </c>
      <c r="D194" s="277">
        <v>0</v>
      </c>
      <c r="E194" s="284"/>
      <c r="F194" s="284"/>
      <c r="G194" s="284"/>
      <c r="H194" s="284"/>
      <c r="I194" s="284"/>
      <c r="J194" s="284"/>
      <c r="K194" s="284"/>
      <c r="L194" s="284"/>
    </row>
    <row r="195" spans="1:12" x14ac:dyDescent="0.25">
      <c r="A195" s="199">
        <v>1101203231</v>
      </c>
      <c r="B195" s="187" t="s">
        <v>1869</v>
      </c>
      <c r="C195" s="277">
        <v>-1169192.25</v>
      </c>
      <c r="D195" s="277">
        <v>0</v>
      </c>
      <c r="E195" s="284"/>
      <c r="F195" s="284"/>
      <c r="G195" s="284"/>
      <c r="H195" s="284"/>
      <c r="I195" s="284"/>
      <c r="J195" s="284"/>
      <c r="K195" s="284"/>
      <c r="L195" s="284"/>
    </row>
    <row r="196" spans="1:12" x14ac:dyDescent="0.25">
      <c r="A196" s="199">
        <v>1101203240</v>
      </c>
      <c r="B196" s="187" t="s">
        <v>1870</v>
      </c>
      <c r="C196" s="277">
        <v>1561734.75</v>
      </c>
      <c r="D196" s="277">
        <v>0</v>
      </c>
      <c r="E196" s="284"/>
      <c r="F196" s="284"/>
      <c r="G196" s="284"/>
      <c r="H196" s="284"/>
      <c r="I196" s="284"/>
      <c r="J196" s="284"/>
      <c r="K196" s="284"/>
      <c r="L196" s="284"/>
    </row>
    <row r="197" spans="1:12" x14ac:dyDescent="0.25">
      <c r="A197" s="199">
        <v>1101203241</v>
      </c>
      <c r="B197" s="187" t="s">
        <v>1871</v>
      </c>
      <c r="C197" s="277">
        <v>-5806135.5</v>
      </c>
      <c r="D197" s="277">
        <v>0</v>
      </c>
      <c r="E197" s="284"/>
      <c r="F197" s="284"/>
      <c r="G197" s="284"/>
      <c r="H197" s="284"/>
      <c r="I197" s="284"/>
      <c r="J197" s="284"/>
      <c r="K197" s="284"/>
      <c r="L197" s="284"/>
    </row>
    <row r="198" spans="1:12" x14ac:dyDescent="0.25">
      <c r="A198" s="199">
        <v>1101203250</v>
      </c>
      <c r="B198" s="187" t="s">
        <v>1872</v>
      </c>
      <c r="C198" s="277">
        <v>131426.15</v>
      </c>
      <c r="D198" s="277">
        <v>0</v>
      </c>
      <c r="E198" s="284"/>
      <c r="F198" s="284"/>
      <c r="G198" s="284"/>
      <c r="H198" s="284"/>
      <c r="I198" s="284"/>
      <c r="J198" s="284"/>
      <c r="K198" s="284"/>
      <c r="L198" s="284"/>
    </row>
    <row r="199" spans="1:12" x14ac:dyDescent="0.25">
      <c r="A199" s="199">
        <v>1101203251</v>
      </c>
      <c r="B199" s="187" t="s">
        <v>1873</v>
      </c>
      <c r="C199" s="277">
        <v>925454.6</v>
      </c>
      <c r="D199" s="277">
        <v>0</v>
      </c>
      <c r="E199" s="284"/>
      <c r="F199" s="284"/>
      <c r="G199" s="284"/>
      <c r="H199" s="284"/>
      <c r="I199" s="284"/>
      <c r="J199" s="284"/>
      <c r="K199" s="284"/>
      <c r="L199" s="284"/>
    </row>
    <row r="200" spans="1:12" x14ac:dyDescent="0.25">
      <c r="A200" s="199">
        <v>1101203252</v>
      </c>
      <c r="B200" s="187" t="s">
        <v>1874</v>
      </c>
      <c r="C200" s="277">
        <v>-481581.63</v>
      </c>
      <c r="D200" s="277">
        <v>0</v>
      </c>
      <c r="E200" s="284"/>
      <c r="F200" s="284"/>
      <c r="G200" s="284"/>
      <c r="H200" s="284"/>
      <c r="I200" s="284"/>
      <c r="J200" s="284"/>
      <c r="K200" s="284"/>
      <c r="L200" s="284"/>
    </row>
    <row r="201" spans="1:12" x14ac:dyDescent="0.25">
      <c r="A201" s="199">
        <v>1101204000</v>
      </c>
      <c r="B201" s="187" t="s">
        <v>1875</v>
      </c>
      <c r="C201" s="277">
        <v>4176908.25</v>
      </c>
      <c r="D201" s="277">
        <v>4722111</v>
      </c>
      <c r="E201" s="284"/>
      <c r="F201" s="284"/>
      <c r="G201" s="284"/>
      <c r="H201" s="284"/>
      <c r="I201" s="284"/>
      <c r="J201" s="284"/>
      <c r="K201" s="284"/>
      <c r="L201" s="284"/>
    </row>
    <row r="202" spans="1:12" x14ac:dyDescent="0.25">
      <c r="A202" s="199">
        <v>1101204001</v>
      </c>
      <c r="B202" s="187" t="s">
        <v>1876</v>
      </c>
      <c r="C202" s="277">
        <v>-19730863.59</v>
      </c>
      <c r="D202" s="277">
        <v>901737</v>
      </c>
      <c r="E202" s="284"/>
      <c r="F202" s="284"/>
      <c r="G202" s="284"/>
      <c r="H202" s="284"/>
      <c r="I202" s="284"/>
      <c r="J202" s="284"/>
      <c r="K202" s="284"/>
      <c r="L202" s="284"/>
    </row>
    <row r="203" spans="1:12" x14ac:dyDescent="0.25">
      <c r="A203" s="199">
        <v>1101204010</v>
      </c>
      <c r="B203" s="187" t="s">
        <v>1877</v>
      </c>
      <c r="C203" s="277">
        <v>-102831.17</v>
      </c>
      <c r="D203" s="277">
        <v>315777.5</v>
      </c>
      <c r="E203" s="284"/>
      <c r="F203" s="284"/>
      <c r="G203" s="284"/>
      <c r="H203" s="284"/>
      <c r="I203" s="284"/>
      <c r="J203" s="284"/>
      <c r="K203" s="284"/>
      <c r="L203" s="284"/>
    </row>
    <row r="204" spans="1:12" x14ac:dyDescent="0.25">
      <c r="A204" s="199">
        <v>1101204011</v>
      </c>
      <c r="B204" s="187" t="s">
        <v>1878</v>
      </c>
      <c r="C204" s="277">
        <v>-1664352.74</v>
      </c>
      <c r="D204" s="277">
        <v>48075</v>
      </c>
      <c r="E204" s="284"/>
      <c r="F204" s="284"/>
      <c r="G204" s="284"/>
      <c r="H204" s="284"/>
      <c r="I204" s="284"/>
      <c r="J204" s="284"/>
      <c r="K204" s="284"/>
      <c r="L204" s="284"/>
    </row>
    <row r="205" spans="1:12" x14ac:dyDescent="0.25">
      <c r="A205" s="199">
        <v>1101204020</v>
      </c>
      <c r="B205" s="187" t="s">
        <v>1879</v>
      </c>
      <c r="C205" s="277">
        <v>-9902</v>
      </c>
      <c r="D205" s="277">
        <v>7691</v>
      </c>
      <c r="E205" s="284"/>
      <c r="F205" s="284"/>
      <c r="G205" s="284"/>
      <c r="H205" s="284"/>
      <c r="I205" s="284"/>
      <c r="J205" s="284"/>
      <c r="K205" s="284"/>
      <c r="L205" s="284"/>
    </row>
    <row r="206" spans="1:12" x14ac:dyDescent="0.25">
      <c r="A206" s="199">
        <v>1101204021</v>
      </c>
      <c r="B206" s="187" t="s">
        <v>1880</v>
      </c>
      <c r="C206" s="277">
        <v>-777833</v>
      </c>
      <c r="D206" s="277">
        <v>199</v>
      </c>
      <c r="E206" s="284"/>
      <c r="F206" s="284"/>
      <c r="G206" s="284"/>
      <c r="H206" s="284"/>
      <c r="I206" s="284"/>
      <c r="J206" s="284"/>
      <c r="K206" s="284"/>
      <c r="L206" s="284"/>
    </row>
    <row r="207" spans="1:12" x14ac:dyDescent="0.25">
      <c r="A207" s="199">
        <v>1101204030</v>
      </c>
      <c r="B207" s="187" t="s">
        <v>1881</v>
      </c>
      <c r="C207" s="277">
        <v>0</v>
      </c>
      <c r="D207" s="277">
        <v>1000</v>
      </c>
      <c r="E207" s="284"/>
      <c r="F207" s="284"/>
      <c r="G207" s="284"/>
      <c r="H207" s="284"/>
      <c r="I207" s="284"/>
      <c r="J207" s="284"/>
      <c r="K207" s="284"/>
      <c r="L207" s="284"/>
    </row>
    <row r="208" spans="1:12" x14ac:dyDescent="0.25">
      <c r="A208" s="199">
        <v>1101204031</v>
      </c>
      <c r="B208" s="187" t="s">
        <v>1882</v>
      </c>
      <c r="C208" s="277">
        <v>-2428927.0299999998</v>
      </c>
      <c r="D208" s="277">
        <v>20332</v>
      </c>
      <c r="E208" s="284"/>
      <c r="F208" s="284"/>
      <c r="G208" s="284"/>
      <c r="H208" s="284"/>
      <c r="I208" s="284"/>
      <c r="J208" s="284"/>
      <c r="K208" s="284"/>
      <c r="L208" s="284"/>
    </row>
    <row r="209" spans="1:12" x14ac:dyDescent="0.25">
      <c r="A209" s="199">
        <v>1101204040</v>
      </c>
      <c r="B209" s="187" t="s">
        <v>1883</v>
      </c>
      <c r="C209" s="277">
        <v>279775</v>
      </c>
      <c r="D209" s="277">
        <v>19617</v>
      </c>
      <c r="E209" s="284"/>
      <c r="F209" s="284"/>
      <c r="G209" s="284"/>
      <c r="H209" s="284"/>
      <c r="I209" s="284"/>
      <c r="J209" s="284"/>
      <c r="K209" s="284"/>
      <c r="L209" s="284"/>
    </row>
    <row r="210" spans="1:12" x14ac:dyDescent="0.25">
      <c r="A210" s="199">
        <v>1101204041</v>
      </c>
      <c r="B210" s="187" t="s">
        <v>1884</v>
      </c>
      <c r="C210" s="277">
        <v>-834182.78</v>
      </c>
      <c r="D210" s="277">
        <v>61943</v>
      </c>
      <c r="E210" s="284"/>
      <c r="F210" s="284"/>
      <c r="G210" s="284"/>
      <c r="H210" s="284"/>
      <c r="I210" s="284"/>
      <c r="J210" s="284"/>
      <c r="K210" s="284"/>
      <c r="L210" s="284"/>
    </row>
    <row r="211" spans="1:12" x14ac:dyDescent="0.25">
      <c r="A211" s="199">
        <v>1101204050</v>
      </c>
      <c r="B211" s="187" t="s">
        <v>1885</v>
      </c>
      <c r="C211" s="277">
        <v>3930958.85</v>
      </c>
      <c r="D211" s="277">
        <v>21604</v>
      </c>
      <c r="E211" s="284"/>
      <c r="F211" s="284"/>
      <c r="G211" s="284"/>
      <c r="H211" s="284"/>
      <c r="I211" s="284"/>
      <c r="J211" s="284"/>
      <c r="K211" s="284"/>
      <c r="L211" s="284"/>
    </row>
    <row r="212" spans="1:12" x14ac:dyDescent="0.25">
      <c r="A212" s="199">
        <v>1101204051</v>
      </c>
      <c r="B212" s="187" t="s">
        <v>1886</v>
      </c>
      <c r="C212" s="277">
        <v>-3807329.5</v>
      </c>
      <c r="D212" s="277">
        <v>145144</v>
      </c>
      <c r="E212" s="284"/>
      <c r="F212" s="284"/>
      <c r="G212" s="284"/>
      <c r="H212" s="284"/>
      <c r="I212" s="284"/>
      <c r="J212" s="284"/>
      <c r="K212" s="284"/>
      <c r="L212" s="284"/>
    </row>
    <row r="213" spans="1:12" x14ac:dyDescent="0.25">
      <c r="A213" s="199">
        <v>1101204060</v>
      </c>
      <c r="B213" s="187" t="s">
        <v>1887</v>
      </c>
      <c r="C213" s="277">
        <v>168686</v>
      </c>
      <c r="D213" s="277">
        <v>6585</v>
      </c>
      <c r="E213" s="284"/>
      <c r="F213" s="284"/>
      <c r="G213" s="284"/>
      <c r="H213" s="284"/>
      <c r="I213" s="284"/>
      <c r="J213" s="284"/>
      <c r="K213" s="284"/>
      <c r="L213" s="284"/>
    </row>
    <row r="214" spans="1:12" x14ac:dyDescent="0.25">
      <c r="A214" s="199">
        <v>1101204061</v>
      </c>
      <c r="B214" s="187" t="s">
        <v>1888</v>
      </c>
      <c r="C214" s="277">
        <v>-1073777</v>
      </c>
      <c r="D214" s="277">
        <v>2600</v>
      </c>
      <c r="E214" s="284"/>
      <c r="F214" s="284"/>
      <c r="G214" s="284"/>
      <c r="H214" s="284"/>
      <c r="I214" s="284"/>
      <c r="J214" s="284"/>
      <c r="K214" s="284"/>
      <c r="L214" s="284"/>
    </row>
    <row r="215" spans="1:12" x14ac:dyDescent="0.25">
      <c r="A215" s="199">
        <v>1101204070</v>
      </c>
      <c r="B215" s="187" t="s">
        <v>1889</v>
      </c>
      <c r="C215" s="277">
        <v>127124</v>
      </c>
      <c r="D215" s="277">
        <v>429204</v>
      </c>
      <c r="E215" s="284"/>
      <c r="F215" s="284"/>
      <c r="G215" s="284"/>
      <c r="H215" s="284"/>
      <c r="I215" s="284"/>
      <c r="J215" s="284"/>
      <c r="K215" s="284"/>
      <c r="L215" s="284"/>
    </row>
    <row r="216" spans="1:12" x14ac:dyDescent="0.25">
      <c r="A216" s="199">
        <v>1101204071</v>
      </c>
      <c r="B216" s="187" t="s">
        <v>1890</v>
      </c>
      <c r="C216" s="277">
        <v>-362404</v>
      </c>
      <c r="D216" s="277">
        <v>122730.49</v>
      </c>
      <c r="E216" s="284"/>
      <c r="F216" s="284"/>
      <c r="G216" s="284"/>
      <c r="H216" s="284"/>
      <c r="I216" s="284"/>
      <c r="J216" s="284"/>
      <c r="K216" s="284"/>
      <c r="L216" s="284"/>
    </row>
    <row r="217" spans="1:12" x14ac:dyDescent="0.25">
      <c r="A217" s="199">
        <v>1101204080</v>
      </c>
      <c r="B217" s="187" t="s">
        <v>1891</v>
      </c>
      <c r="C217" s="277">
        <v>1138520.75</v>
      </c>
      <c r="D217" s="277">
        <v>549589.32999999996</v>
      </c>
      <c r="E217" s="284"/>
      <c r="F217" s="284"/>
      <c r="G217" s="284"/>
      <c r="H217" s="284"/>
      <c r="I217" s="284"/>
      <c r="J217" s="284"/>
      <c r="K217" s="284"/>
      <c r="L217" s="284"/>
    </row>
    <row r="218" spans="1:12" x14ac:dyDescent="0.25">
      <c r="A218" s="199">
        <v>1101204081</v>
      </c>
      <c r="B218" s="187" t="s">
        <v>1892</v>
      </c>
      <c r="C218" s="277">
        <v>397895.93</v>
      </c>
      <c r="D218" s="277">
        <v>1143751.58</v>
      </c>
      <c r="E218" s="284"/>
      <c r="F218" s="284"/>
      <c r="G218" s="284"/>
      <c r="H218" s="284"/>
      <c r="I218" s="284"/>
      <c r="J218" s="284"/>
      <c r="K218" s="284"/>
      <c r="L218" s="284"/>
    </row>
    <row r="219" spans="1:12" x14ac:dyDescent="0.25">
      <c r="A219" s="199">
        <v>1101204082</v>
      </c>
      <c r="B219" s="187" t="s">
        <v>1893</v>
      </c>
      <c r="C219" s="277">
        <v>-1313720.78</v>
      </c>
      <c r="D219" s="277">
        <v>-1195342.98</v>
      </c>
      <c r="E219" s="284"/>
      <c r="F219" s="284"/>
      <c r="G219" s="284"/>
      <c r="H219" s="284"/>
      <c r="I219" s="284"/>
      <c r="J219" s="284"/>
      <c r="K219" s="284"/>
      <c r="L219" s="284"/>
    </row>
    <row r="220" spans="1:12" x14ac:dyDescent="0.25">
      <c r="A220" s="199">
        <v>1101204150</v>
      </c>
      <c r="B220" s="187" t="s">
        <v>1894</v>
      </c>
      <c r="C220" s="277">
        <v>-361828</v>
      </c>
      <c r="D220" s="277">
        <v>1000</v>
      </c>
      <c r="E220" s="284"/>
      <c r="F220" s="284"/>
      <c r="G220" s="284"/>
      <c r="H220" s="284"/>
      <c r="I220" s="284"/>
      <c r="J220" s="284"/>
      <c r="K220" s="284"/>
      <c r="L220" s="284"/>
    </row>
    <row r="221" spans="1:12" x14ac:dyDescent="0.25">
      <c r="A221" s="199">
        <v>1101204151</v>
      </c>
      <c r="B221" s="187" t="s">
        <v>1895</v>
      </c>
      <c r="C221" s="277">
        <v>-1064655.25</v>
      </c>
      <c r="D221" s="277">
        <v>0</v>
      </c>
      <c r="E221" s="284"/>
      <c r="F221" s="284"/>
      <c r="G221" s="284"/>
      <c r="H221" s="284"/>
      <c r="I221" s="284"/>
      <c r="J221" s="284"/>
      <c r="K221" s="284"/>
      <c r="L221" s="284"/>
    </row>
    <row r="222" spans="1:12" x14ac:dyDescent="0.25">
      <c r="A222" s="199">
        <v>1101204160</v>
      </c>
      <c r="B222" s="187" t="s">
        <v>1896</v>
      </c>
      <c r="C222" s="277">
        <v>-110802</v>
      </c>
      <c r="D222" s="277">
        <v>65742</v>
      </c>
      <c r="E222" s="284"/>
      <c r="F222" s="284"/>
      <c r="G222" s="284"/>
      <c r="H222" s="284"/>
      <c r="I222" s="284"/>
      <c r="J222" s="284"/>
      <c r="K222" s="284"/>
      <c r="L222" s="284"/>
    </row>
    <row r="223" spans="1:12" x14ac:dyDescent="0.25">
      <c r="A223" s="199">
        <v>1101204161</v>
      </c>
      <c r="B223" s="187" t="s">
        <v>1897</v>
      </c>
      <c r="C223" s="277">
        <v>-498245.1</v>
      </c>
      <c r="D223" s="277">
        <v>20127</v>
      </c>
      <c r="E223" s="284"/>
      <c r="F223" s="284"/>
      <c r="G223" s="284"/>
      <c r="H223" s="284"/>
      <c r="I223" s="284"/>
      <c r="J223" s="284"/>
      <c r="K223" s="284"/>
      <c r="L223" s="284"/>
    </row>
    <row r="224" spans="1:12" x14ac:dyDescent="0.25">
      <c r="A224" s="199">
        <v>1101204180</v>
      </c>
      <c r="B224" s="187" t="s">
        <v>1898</v>
      </c>
      <c r="C224" s="277">
        <v>1000</v>
      </c>
      <c r="D224" s="277">
        <v>1000</v>
      </c>
      <c r="E224" s="284"/>
      <c r="F224" s="284"/>
      <c r="G224" s="284"/>
      <c r="H224" s="284"/>
      <c r="I224" s="284"/>
      <c r="J224" s="284"/>
      <c r="K224" s="284"/>
      <c r="L224" s="284"/>
    </row>
    <row r="225" spans="1:12" x14ac:dyDescent="0.25">
      <c r="A225" s="199">
        <v>1101204181</v>
      </c>
      <c r="B225" s="187" t="s">
        <v>1899</v>
      </c>
      <c r="C225" s="277">
        <v>-375793.25</v>
      </c>
      <c r="D225" s="277">
        <v>0</v>
      </c>
      <c r="E225" s="284"/>
      <c r="F225" s="284"/>
      <c r="G225" s="284"/>
      <c r="H225" s="284"/>
      <c r="I225" s="284"/>
      <c r="J225" s="284"/>
      <c r="K225" s="284"/>
      <c r="L225" s="284"/>
    </row>
    <row r="226" spans="1:12" x14ac:dyDescent="0.25">
      <c r="A226" s="199">
        <v>1101205000</v>
      </c>
      <c r="B226" s="187" t="s">
        <v>1900</v>
      </c>
      <c r="C226" s="277">
        <v>1938535.25</v>
      </c>
      <c r="D226" s="277">
        <v>1354316</v>
      </c>
      <c r="E226" s="284"/>
      <c r="F226" s="284"/>
      <c r="G226" s="284"/>
      <c r="H226" s="284"/>
      <c r="I226" s="284"/>
      <c r="J226" s="284"/>
      <c r="K226" s="284"/>
      <c r="L226" s="284"/>
    </row>
    <row r="227" spans="1:12" x14ac:dyDescent="0.25">
      <c r="A227" s="199">
        <v>1101205001</v>
      </c>
      <c r="B227" s="187" t="s">
        <v>1901</v>
      </c>
      <c r="C227" s="277">
        <v>-10650770.75</v>
      </c>
      <c r="D227" s="277">
        <v>560308.82999999996</v>
      </c>
      <c r="E227" s="284"/>
      <c r="F227" s="284"/>
      <c r="G227" s="284"/>
      <c r="H227" s="284"/>
      <c r="I227" s="284"/>
      <c r="J227" s="284"/>
      <c r="K227" s="284"/>
      <c r="L227" s="284"/>
    </row>
    <row r="228" spans="1:12" x14ac:dyDescent="0.25">
      <c r="A228" s="199">
        <v>1101205002</v>
      </c>
      <c r="B228" s="187" t="s">
        <v>1902</v>
      </c>
      <c r="C228" s="277">
        <v>7381146.5899999999</v>
      </c>
      <c r="D228" s="277">
        <v>0</v>
      </c>
      <c r="E228" s="284"/>
      <c r="F228" s="284"/>
      <c r="G228" s="284"/>
      <c r="H228" s="284"/>
      <c r="I228" s="284"/>
      <c r="J228" s="284"/>
      <c r="K228" s="284"/>
      <c r="L228" s="284"/>
    </row>
    <row r="229" spans="1:12" x14ac:dyDescent="0.25">
      <c r="A229" s="199">
        <v>1101205010</v>
      </c>
      <c r="B229" s="187" t="s">
        <v>1903</v>
      </c>
      <c r="C229" s="277">
        <v>-718455.99</v>
      </c>
      <c r="D229" s="277">
        <v>1499876.4</v>
      </c>
      <c r="E229" s="284"/>
      <c r="F229" s="284"/>
      <c r="G229" s="284"/>
      <c r="H229" s="284"/>
      <c r="I229" s="284"/>
      <c r="J229" s="284"/>
      <c r="K229" s="284"/>
      <c r="L229" s="284"/>
    </row>
    <row r="230" spans="1:12" x14ac:dyDescent="0.25">
      <c r="A230" s="199">
        <v>1101205011</v>
      </c>
      <c r="B230" s="187" t="s">
        <v>1904</v>
      </c>
      <c r="C230" s="277">
        <v>-4471137.2</v>
      </c>
      <c r="D230" s="277">
        <v>55342</v>
      </c>
      <c r="E230" s="284"/>
      <c r="F230" s="284"/>
      <c r="G230" s="284"/>
      <c r="H230" s="284"/>
      <c r="I230" s="284"/>
      <c r="J230" s="284"/>
      <c r="K230" s="284"/>
      <c r="L230" s="284"/>
    </row>
    <row r="231" spans="1:12" x14ac:dyDescent="0.25">
      <c r="A231" s="199">
        <v>1101205020</v>
      </c>
      <c r="B231" s="187" t="s">
        <v>1905</v>
      </c>
      <c r="C231" s="277">
        <v>105933</v>
      </c>
      <c r="D231" s="277">
        <v>307158</v>
      </c>
      <c r="E231" s="284"/>
      <c r="F231" s="284"/>
      <c r="G231" s="284"/>
      <c r="H231" s="284"/>
      <c r="I231" s="284"/>
      <c r="J231" s="284"/>
      <c r="K231" s="284"/>
      <c r="L231" s="284"/>
    </row>
    <row r="232" spans="1:12" x14ac:dyDescent="0.25">
      <c r="A232" s="199">
        <v>1101205021</v>
      </c>
      <c r="B232" s="187" t="s">
        <v>1906</v>
      </c>
      <c r="C232" s="277">
        <v>-525811.5</v>
      </c>
      <c r="D232" s="277">
        <v>9575.5</v>
      </c>
      <c r="E232" s="284"/>
      <c r="F232" s="284"/>
      <c r="G232" s="284"/>
      <c r="H232" s="284"/>
      <c r="I232" s="284"/>
      <c r="J232" s="284"/>
      <c r="K232" s="284"/>
      <c r="L232" s="284"/>
    </row>
    <row r="233" spans="1:12" x14ac:dyDescent="0.25">
      <c r="A233" s="199">
        <v>1101205030</v>
      </c>
      <c r="B233" s="187" t="s">
        <v>1907</v>
      </c>
      <c r="C233" s="277">
        <v>207112.5</v>
      </c>
      <c r="D233" s="277">
        <v>50332</v>
      </c>
      <c r="E233" s="284"/>
      <c r="F233" s="284"/>
      <c r="G233" s="284"/>
      <c r="H233" s="284"/>
      <c r="I233" s="284"/>
      <c r="J233" s="284"/>
      <c r="K233" s="284"/>
      <c r="L233" s="284"/>
    </row>
    <row r="234" spans="1:12" x14ac:dyDescent="0.25">
      <c r="A234" s="199">
        <v>1101205031</v>
      </c>
      <c r="B234" s="187" t="s">
        <v>1908</v>
      </c>
      <c r="C234" s="277">
        <v>-1762688.36</v>
      </c>
      <c r="D234" s="277">
        <v>4604</v>
      </c>
      <c r="E234" s="284"/>
      <c r="F234" s="284"/>
      <c r="G234" s="284"/>
      <c r="H234" s="284"/>
      <c r="I234" s="284"/>
      <c r="J234" s="284"/>
      <c r="K234" s="284"/>
      <c r="L234" s="284"/>
    </row>
    <row r="235" spans="1:12" x14ac:dyDescent="0.25">
      <c r="A235" s="199">
        <v>1101205040</v>
      </c>
      <c r="B235" s="187" t="s">
        <v>1909</v>
      </c>
      <c r="C235" s="277">
        <v>878241.75</v>
      </c>
      <c r="D235" s="277">
        <v>167165</v>
      </c>
      <c r="E235" s="284"/>
      <c r="F235" s="284"/>
      <c r="G235" s="284"/>
      <c r="H235" s="284"/>
      <c r="I235" s="284"/>
      <c r="J235" s="284"/>
      <c r="K235" s="284"/>
      <c r="L235" s="284"/>
    </row>
    <row r="236" spans="1:12" x14ac:dyDescent="0.25">
      <c r="A236" s="199">
        <v>1101205041</v>
      </c>
      <c r="B236" s="187" t="s">
        <v>1910</v>
      </c>
      <c r="C236" s="277">
        <v>-943204</v>
      </c>
      <c r="D236" s="277">
        <v>54446</v>
      </c>
      <c r="E236" s="284"/>
      <c r="F236" s="284"/>
      <c r="G236" s="284"/>
      <c r="H236" s="284"/>
      <c r="I236" s="284"/>
      <c r="J236" s="284"/>
      <c r="K236" s="284"/>
      <c r="L236" s="284"/>
    </row>
    <row r="237" spans="1:12" x14ac:dyDescent="0.25">
      <c r="A237" s="199">
        <v>1101205050</v>
      </c>
      <c r="B237" s="187" t="s">
        <v>1911</v>
      </c>
      <c r="C237" s="277">
        <v>648792</v>
      </c>
      <c r="D237" s="277">
        <v>769738</v>
      </c>
      <c r="E237" s="284"/>
      <c r="F237" s="284"/>
      <c r="G237" s="284"/>
      <c r="H237" s="284"/>
      <c r="I237" s="284"/>
      <c r="J237" s="284"/>
      <c r="K237" s="284"/>
      <c r="L237" s="284"/>
    </row>
    <row r="238" spans="1:12" x14ac:dyDescent="0.25">
      <c r="A238" s="199">
        <v>1101205051</v>
      </c>
      <c r="B238" s="187" t="s">
        <v>1912</v>
      </c>
      <c r="C238" s="277">
        <v>-2998540</v>
      </c>
      <c r="D238" s="277">
        <v>92861</v>
      </c>
      <c r="E238" s="284"/>
      <c r="F238" s="284"/>
      <c r="G238" s="284"/>
      <c r="H238" s="284"/>
      <c r="I238" s="284"/>
      <c r="J238" s="284"/>
      <c r="K238" s="284"/>
      <c r="L238" s="284"/>
    </row>
    <row r="239" spans="1:12" x14ac:dyDescent="0.25">
      <c r="A239" s="199">
        <v>1101205060</v>
      </c>
      <c r="B239" s="187" t="s">
        <v>1913</v>
      </c>
      <c r="C239" s="277">
        <v>27047</v>
      </c>
      <c r="D239" s="277">
        <v>21440</v>
      </c>
      <c r="E239" s="284"/>
      <c r="F239" s="284"/>
      <c r="G239" s="284"/>
      <c r="H239" s="284"/>
      <c r="I239" s="284"/>
      <c r="J239" s="284"/>
      <c r="K239" s="284"/>
      <c r="L239" s="284"/>
    </row>
    <row r="240" spans="1:12" x14ac:dyDescent="0.25">
      <c r="A240" s="199">
        <v>1101205061</v>
      </c>
      <c r="B240" s="187" t="s">
        <v>1914</v>
      </c>
      <c r="C240" s="277">
        <v>-204012</v>
      </c>
      <c r="D240" s="277">
        <v>4880</v>
      </c>
      <c r="E240" s="284"/>
      <c r="F240" s="284"/>
      <c r="G240" s="284"/>
      <c r="H240" s="284"/>
      <c r="I240" s="284"/>
      <c r="J240" s="284"/>
      <c r="K240" s="284"/>
      <c r="L240" s="284"/>
    </row>
    <row r="241" spans="1:12" x14ac:dyDescent="0.25">
      <c r="A241" s="199">
        <v>1101205062</v>
      </c>
      <c r="B241" s="187" t="s">
        <v>1915</v>
      </c>
      <c r="C241" s="277">
        <v>131228</v>
      </c>
      <c r="D241" s="277">
        <v>0</v>
      </c>
      <c r="E241" s="284"/>
      <c r="F241" s="284"/>
      <c r="G241" s="284"/>
      <c r="H241" s="284"/>
      <c r="I241" s="284"/>
      <c r="J241" s="284"/>
      <c r="K241" s="284"/>
      <c r="L241" s="284"/>
    </row>
    <row r="242" spans="1:12" x14ac:dyDescent="0.25">
      <c r="A242" s="199">
        <v>1101205070</v>
      </c>
      <c r="B242" s="187" t="s">
        <v>1916</v>
      </c>
      <c r="C242" s="277">
        <v>627688</v>
      </c>
      <c r="D242" s="277">
        <v>383262</v>
      </c>
      <c r="E242" s="284"/>
      <c r="F242" s="284"/>
      <c r="G242" s="284"/>
      <c r="H242" s="284"/>
      <c r="I242" s="284"/>
      <c r="J242" s="284"/>
      <c r="K242" s="284"/>
      <c r="L242" s="284"/>
    </row>
    <row r="243" spans="1:12" x14ac:dyDescent="0.25">
      <c r="A243" s="199">
        <v>1101205071</v>
      </c>
      <c r="B243" s="187" t="s">
        <v>1917</v>
      </c>
      <c r="C243" s="277">
        <v>-4016944.5</v>
      </c>
      <c r="D243" s="277">
        <v>699633</v>
      </c>
      <c r="E243" s="284"/>
      <c r="F243" s="284"/>
      <c r="G243" s="284"/>
      <c r="H243" s="284"/>
      <c r="I243" s="284"/>
      <c r="J243" s="284"/>
      <c r="K243" s="284"/>
      <c r="L243" s="284"/>
    </row>
    <row r="244" spans="1:12" x14ac:dyDescent="0.25">
      <c r="A244" s="199">
        <v>1101205080</v>
      </c>
      <c r="B244" s="187" t="s">
        <v>1918</v>
      </c>
      <c r="C244" s="277">
        <v>256643</v>
      </c>
      <c r="D244" s="277">
        <v>103001</v>
      </c>
      <c r="E244" s="284"/>
      <c r="F244" s="284"/>
      <c r="G244" s="284"/>
      <c r="H244" s="284"/>
      <c r="I244" s="284"/>
      <c r="J244" s="284"/>
      <c r="K244" s="284"/>
      <c r="L244" s="284"/>
    </row>
    <row r="245" spans="1:12" x14ac:dyDescent="0.25">
      <c r="A245" s="199">
        <v>1101205081</v>
      </c>
      <c r="B245" s="187" t="s">
        <v>1919</v>
      </c>
      <c r="C245" s="277">
        <v>-764591.7</v>
      </c>
      <c r="D245" s="277">
        <v>18691</v>
      </c>
      <c r="E245" s="284"/>
      <c r="F245" s="284"/>
      <c r="G245" s="284"/>
      <c r="H245" s="284"/>
      <c r="I245" s="284"/>
      <c r="J245" s="284"/>
      <c r="K245" s="284"/>
      <c r="L245" s="284"/>
    </row>
    <row r="246" spans="1:12" x14ac:dyDescent="0.25">
      <c r="A246" s="199">
        <v>1101205090</v>
      </c>
      <c r="B246" s="187" t="s">
        <v>1920</v>
      </c>
      <c r="C246" s="277">
        <v>1194544.8799999999</v>
      </c>
      <c r="D246" s="277">
        <v>855297.8</v>
      </c>
      <c r="E246" s="284"/>
      <c r="F246" s="284"/>
      <c r="G246" s="284"/>
      <c r="H246" s="284"/>
      <c r="I246" s="284"/>
      <c r="J246" s="284"/>
      <c r="K246" s="284"/>
      <c r="L246" s="284"/>
    </row>
    <row r="247" spans="1:12" x14ac:dyDescent="0.25">
      <c r="A247" s="199">
        <v>1101205091</v>
      </c>
      <c r="B247" s="187" t="s">
        <v>1921</v>
      </c>
      <c r="C247" s="277">
        <v>-2440763.2200000002</v>
      </c>
      <c r="D247" s="277">
        <v>690696.66</v>
      </c>
      <c r="E247" s="284"/>
      <c r="F247" s="284"/>
      <c r="G247" s="284"/>
      <c r="H247" s="284"/>
      <c r="I247" s="284"/>
      <c r="J247" s="284"/>
      <c r="K247" s="284"/>
      <c r="L247" s="284"/>
    </row>
    <row r="248" spans="1:12" x14ac:dyDescent="0.25">
      <c r="A248" s="199">
        <v>1101205092</v>
      </c>
      <c r="B248" s="187" t="s">
        <v>1922</v>
      </c>
      <c r="C248" s="277">
        <v>1897212.53</v>
      </c>
      <c r="D248" s="277">
        <v>-500320</v>
      </c>
      <c r="E248" s="284"/>
      <c r="F248" s="284"/>
      <c r="G248" s="284"/>
      <c r="H248" s="284"/>
      <c r="I248" s="284"/>
      <c r="J248" s="284"/>
      <c r="K248" s="284"/>
      <c r="L248" s="284"/>
    </row>
    <row r="249" spans="1:12" x14ac:dyDescent="0.25">
      <c r="A249" s="199">
        <v>1101206000</v>
      </c>
      <c r="B249" s="187" t="s">
        <v>1923</v>
      </c>
      <c r="C249" s="277">
        <v>-3982895.74</v>
      </c>
      <c r="D249" s="277">
        <v>9101929.5099999998</v>
      </c>
      <c r="E249" s="284"/>
      <c r="F249" s="284"/>
      <c r="G249" s="284"/>
      <c r="H249" s="284"/>
      <c r="I249" s="284"/>
      <c r="J249" s="284"/>
      <c r="K249" s="284"/>
      <c r="L249" s="284"/>
    </row>
    <row r="250" spans="1:12" x14ac:dyDescent="0.25">
      <c r="A250" s="199">
        <v>1101206001</v>
      </c>
      <c r="B250" s="187" t="s">
        <v>1924</v>
      </c>
      <c r="C250" s="277">
        <v>-59805394.189999998</v>
      </c>
      <c r="D250" s="277">
        <v>2200189.39</v>
      </c>
      <c r="E250" s="284"/>
      <c r="F250" s="284"/>
      <c r="G250" s="284"/>
      <c r="H250" s="284"/>
      <c r="I250" s="284"/>
      <c r="J250" s="284"/>
      <c r="K250" s="284"/>
      <c r="L250" s="284"/>
    </row>
    <row r="251" spans="1:12" x14ac:dyDescent="0.25">
      <c r="A251" s="199">
        <v>1101206002</v>
      </c>
      <c r="B251" s="187" t="s">
        <v>1925</v>
      </c>
      <c r="C251" s="277">
        <v>43522125.640000001</v>
      </c>
      <c r="D251" s="277">
        <v>0</v>
      </c>
      <c r="E251" s="284"/>
      <c r="F251" s="284"/>
      <c r="G251" s="284"/>
      <c r="H251" s="284"/>
      <c r="I251" s="284"/>
      <c r="J251" s="284"/>
      <c r="K251" s="284"/>
      <c r="L251" s="284"/>
    </row>
    <row r="252" spans="1:12" x14ac:dyDescent="0.25">
      <c r="A252" s="199">
        <v>1101206010</v>
      </c>
      <c r="B252" s="187" t="s">
        <v>1926</v>
      </c>
      <c r="C252" s="277">
        <v>336699.93</v>
      </c>
      <c r="D252" s="277">
        <v>495259.73</v>
      </c>
      <c r="E252" s="284"/>
      <c r="F252" s="284"/>
      <c r="G252" s="284"/>
      <c r="H252" s="284"/>
      <c r="I252" s="284"/>
      <c r="J252" s="284"/>
      <c r="K252" s="284"/>
      <c r="L252" s="284"/>
    </row>
    <row r="253" spans="1:12" x14ac:dyDescent="0.25">
      <c r="A253" s="199">
        <v>1101206011</v>
      </c>
      <c r="B253" s="187" t="s">
        <v>1927</v>
      </c>
      <c r="C253" s="277">
        <v>-5277</v>
      </c>
      <c r="D253" s="277">
        <v>108.5</v>
      </c>
      <c r="E253" s="284"/>
      <c r="F253" s="284"/>
      <c r="G253" s="284"/>
      <c r="H253" s="284"/>
      <c r="I253" s="284"/>
      <c r="J253" s="284"/>
      <c r="K253" s="284"/>
      <c r="L253" s="284"/>
    </row>
    <row r="254" spans="1:12" x14ac:dyDescent="0.25">
      <c r="A254" s="199">
        <v>1101206012</v>
      </c>
      <c r="B254" s="187" t="s">
        <v>1928</v>
      </c>
      <c r="C254" s="277">
        <v>0</v>
      </c>
      <c r="D254" s="277">
        <v>-54903.83</v>
      </c>
      <c r="E254" s="284"/>
      <c r="F254" s="284"/>
      <c r="G254" s="284"/>
      <c r="H254" s="284"/>
      <c r="I254" s="284"/>
      <c r="J254" s="284"/>
      <c r="K254" s="284"/>
      <c r="L254" s="284"/>
    </row>
    <row r="255" spans="1:12" x14ac:dyDescent="0.25">
      <c r="A255" s="199">
        <v>1101206020</v>
      </c>
      <c r="B255" s="187" t="s">
        <v>1929</v>
      </c>
      <c r="C255" s="277">
        <v>2788502.81</v>
      </c>
      <c r="D255" s="277">
        <v>3246423.92</v>
      </c>
      <c r="E255" s="284"/>
      <c r="F255" s="284"/>
      <c r="G255" s="284"/>
      <c r="H255" s="284"/>
      <c r="I255" s="284"/>
      <c r="J255" s="284"/>
      <c r="K255" s="284"/>
      <c r="L255" s="284"/>
    </row>
    <row r="256" spans="1:12" x14ac:dyDescent="0.25">
      <c r="A256" s="199">
        <v>1101206021</v>
      </c>
      <c r="B256" s="187" t="s">
        <v>1930</v>
      </c>
      <c r="C256" s="277">
        <v>8805.68</v>
      </c>
      <c r="D256" s="277">
        <v>166838.04</v>
      </c>
      <c r="E256" s="284"/>
      <c r="F256" s="284"/>
      <c r="G256" s="284"/>
      <c r="H256" s="284"/>
      <c r="I256" s="284"/>
      <c r="J256" s="284"/>
      <c r="K256" s="284"/>
      <c r="L256" s="284"/>
    </row>
    <row r="257" spans="1:12" x14ac:dyDescent="0.25">
      <c r="A257" s="199">
        <v>1101206022</v>
      </c>
      <c r="B257" s="187" t="s">
        <v>1931</v>
      </c>
      <c r="C257" s="277">
        <v>0</v>
      </c>
      <c r="D257" s="277">
        <v>-639252.56999999995</v>
      </c>
      <c r="E257" s="284"/>
      <c r="F257" s="284"/>
      <c r="G257" s="284"/>
      <c r="H257" s="284"/>
      <c r="I257" s="284"/>
      <c r="J257" s="284"/>
      <c r="K257" s="284"/>
      <c r="L257" s="284"/>
    </row>
    <row r="258" spans="1:12" x14ac:dyDescent="0.25">
      <c r="A258" s="199">
        <v>1101206030</v>
      </c>
      <c r="B258" s="187" t="s">
        <v>1932</v>
      </c>
      <c r="C258" s="277">
        <v>0</v>
      </c>
      <c r="D258" s="277">
        <v>1000</v>
      </c>
      <c r="E258" s="284"/>
      <c r="F258" s="284"/>
      <c r="G258" s="284"/>
      <c r="H258" s="284"/>
      <c r="I258" s="284"/>
      <c r="J258" s="284"/>
      <c r="K258" s="284"/>
      <c r="L258" s="284"/>
    </row>
    <row r="259" spans="1:12" x14ac:dyDescent="0.25">
      <c r="A259" s="199">
        <v>1101206040</v>
      </c>
      <c r="B259" s="187" t="s">
        <v>1933</v>
      </c>
      <c r="C259" s="277">
        <v>394828</v>
      </c>
      <c r="D259" s="277">
        <v>441522</v>
      </c>
      <c r="E259" s="284"/>
      <c r="F259" s="284"/>
      <c r="G259" s="284"/>
      <c r="H259" s="284"/>
      <c r="I259" s="284"/>
      <c r="J259" s="284"/>
      <c r="K259" s="284"/>
      <c r="L259" s="284"/>
    </row>
    <row r="260" spans="1:12" x14ac:dyDescent="0.25">
      <c r="A260" s="199">
        <v>1101206041</v>
      </c>
      <c r="B260" s="187" t="s">
        <v>1934</v>
      </c>
      <c r="C260" s="277">
        <v>8683</v>
      </c>
      <c r="D260" s="277">
        <v>-25382.59</v>
      </c>
      <c r="E260" s="284"/>
      <c r="F260" s="284"/>
      <c r="G260" s="284"/>
      <c r="H260" s="284"/>
      <c r="I260" s="284"/>
      <c r="J260" s="284"/>
      <c r="K260" s="284"/>
      <c r="L260" s="284"/>
    </row>
    <row r="261" spans="1:12" x14ac:dyDescent="0.25">
      <c r="A261" s="199">
        <v>1101206042</v>
      </c>
      <c r="B261" s="187" t="s">
        <v>1935</v>
      </c>
      <c r="C261" s="277">
        <v>2102703.5</v>
      </c>
      <c r="D261" s="277">
        <v>0</v>
      </c>
      <c r="E261" s="284"/>
      <c r="F261" s="284"/>
      <c r="G261" s="284"/>
      <c r="H261" s="284"/>
      <c r="I261" s="284"/>
      <c r="J261" s="284"/>
      <c r="K261" s="284"/>
      <c r="L261" s="284"/>
    </row>
    <row r="262" spans="1:12" x14ac:dyDescent="0.25">
      <c r="A262" s="199">
        <v>1101206060</v>
      </c>
      <c r="B262" s="187" t="s">
        <v>1936</v>
      </c>
      <c r="C262" s="277">
        <v>-552764.5</v>
      </c>
      <c r="D262" s="277">
        <v>2639665.08</v>
      </c>
      <c r="E262" s="284"/>
      <c r="F262" s="284"/>
      <c r="G262" s="284"/>
      <c r="H262" s="284"/>
      <c r="I262" s="284"/>
      <c r="J262" s="284"/>
      <c r="K262" s="284"/>
      <c r="L262" s="284"/>
    </row>
    <row r="263" spans="1:12" x14ac:dyDescent="0.25">
      <c r="A263" s="199">
        <v>1101206061</v>
      </c>
      <c r="B263" s="187" t="s">
        <v>1937</v>
      </c>
      <c r="C263" s="277">
        <v>-18262356.079999998</v>
      </c>
      <c r="D263" s="277">
        <v>942175</v>
      </c>
      <c r="E263" s="284"/>
      <c r="F263" s="284"/>
      <c r="G263" s="284"/>
      <c r="H263" s="284"/>
      <c r="I263" s="284"/>
      <c r="J263" s="284"/>
      <c r="K263" s="284"/>
      <c r="L263" s="284"/>
    </row>
    <row r="264" spans="1:12" x14ac:dyDescent="0.25">
      <c r="A264" s="199">
        <v>1101206070</v>
      </c>
      <c r="B264" s="187" t="s">
        <v>1938</v>
      </c>
      <c r="C264" s="277">
        <v>1504586.68</v>
      </c>
      <c r="D264" s="277">
        <v>998966.5</v>
      </c>
      <c r="E264" s="284"/>
      <c r="F264" s="284"/>
      <c r="G264" s="284"/>
      <c r="H264" s="284"/>
      <c r="I264" s="284"/>
      <c r="J264" s="284"/>
      <c r="K264" s="284"/>
      <c r="L264" s="284"/>
    </row>
    <row r="265" spans="1:12" x14ac:dyDescent="0.25">
      <c r="A265" s="199">
        <v>1101206071</v>
      </c>
      <c r="B265" s="187" t="s">
        <v>1939</v>
      </c>
      <c r="C265" s="277">
        <v>-7542273.4199999999</v>
      </c>
      <c r="D265" s="277">
        <v>98061</v>
      </c>
      <c r="E265" s="284"/>
      <c r="F265" s="284"/>
      <c r="G265" s="284"/>
      <c r="H265" s="284"/>
      <c r="I265" s="284"/>
      <c r="J265" s="284"/>
      <c r="K265" s="284"/>
      <c r="L265" s="284"/>
    </row>
    <row r="266" spans="1:12" x14ac:dyDescent="0.25">
      <c r="A266" s="199">
        <v>1101206080</v>
      </c>
      <c r="B266" s="187" t="s">
        <v>1940</v>
      </c>
      <c r="C266" s="277">
        <v>2082102.52</v>
      </c>
      <c r="D266" s="277">
        <v>1685490.51</v>
      </c>
      <c r="E266" s="284"/>
      <c r="F266" s="284"/>
      <c r="G266" s="284"/>
      <c r="H266" s="284"/>
      <c r="I266" s="284"/>
      <c r="J266" s="284"/>
      <c r="K266" s="284"/>
      <c r="L266" s="284"/>
    </row>
    <row r="267" spans="1:12" x14ac:dyDescent="0.25">
      <c r="A267" s="199">
        <v>1101206081</v>
      </c>
      <c r="B267" s="187" t="s">
        <v>1941</v>
      </c>
      <c r="C267" s="277">
        <v>-10127764.33</v>
      </c>
      <c r="D267" s="277">
        <v>700805</v>
      </c>
      <c r="E267" s="284"/>
      <c r="F267" s="284"/>
      <c r="G267" s="284"/>
      <c r="H267" s="284"/>
      <c r="I267" s="284"/>
      <c r="J267" s="284"/>
      <c r="K267" s="284"/>
      <c r="L267" s="284"/>
    </row>
    <row r="268" spans="1:12" x14ac:dyDescent="0.25">
      <c r="A268" s="199">
        <v>1101206090</v>
      </c>
      <c r="B268" s="187" t="s">
        <v>1942</v>
      </c>
      <c r="C268" s="277">
        <v>445340.25</v>
      </c>
      <c r="D268" s="277">
        <v>221384</v>
      </c>
      <c r="E268" s="284"/>
      <c r="F268" s="284"/>
      <c r="G268" s="284"/>
      <c r="H268" s="284"/>
      <c r="I268" s="284"/>
      <c r="J268" s="284"/>
      <c r="K268" s="284"/>
      <c r="L268" s="284"/>
    </row>
    <row r="269" spans="1:12" x14ac:dyDescent="0.25">
      <c r="A269" s="199">
        <v>1101206091</v>
      </c>
      <c r="B269" s="187" t="s">
        <v>1943</v>
      </c>
      <c r="C269" s="277">
        <v>-2604413.5</v>
      </c>
      <c r="D269" s="277">
        <v>50522</v>
      </c>
      <c r="E269" s="284"/>
      <c r="F269" s="284"/>
      <c r="G269" s="284"/>
      <c r="H269" s="284"/>
      <c r="I269" s="284"/>
      <c r="J269" s="284"/>
      <c r="K269" s="284"/>
      <c r="L269" s="284"/>
    </row>
    <row r="270" spans="1:12" x14ac:dyDescent="0.25">
      <c r="A270" s="199">
        <v>1101206100</v>
      </c>
      <c r="B270" s="187" t="s">
        <v>1944</v>
      </c>
      <c r="C270" s="277">
        <v>86666.29</v>
      </c>
      <c r="D270" s="277">
        <v>55156.38</v>
      </c>
      <c r="E270" s="284"/>
      <c r="F270" s="284"/>
      <c r="G270" s="284"/>
      <c r="H270" s="284"/>
      <c r="I270" s="284"/>
      <c r="J270" s="284"/>
      <c r="K270" s="284"/>
      <c r="L270" s="284"/>
    </row>
    <row r="271" spans="1:12" x14ac:dyDescent="0.25">
      <c r="A271" s="199">
        <v>1101206101</v>
      </c>
      <c r="B271" s="187" t="s">
        <v>1945</v>
      </c>
      <c r="C271" s="277">
        <v>-577253.68000000005</v>
      </c>
      <c r="D271" s="277">
        <v>39880.959999999999</v>
      </c>
      <c r="E271" s="284"/>
      <c r="F271" s="284"/>
      <c r="G271" s="284"/>
      <c r="H271" s="284"/>
      <c r="I271" s="284"/>
      <c r="J271" s="284"/>
      <c r="K271" s="284"/>
      <c r="L271" s="284"/>
    </row>
    <row r="272" spans="1:12" x14ac:dyDescent="0.25">
      <c r="A272" s="199">
        <v>1101206110</v>
      </c>
      <c r="B272" s="187" t="s">
        <v>1946</v>
      </c>
      <c r="C272" s="277">
        <v>-2120186.27</v>
      </c>
      <c r="D272" s="277">
        <v>740060.57</v>
      </c>
      <c r="E272" s="284"/>
      <c r="F272" s="284"/>
      <c r="G272" s="284"/>
      <c r="H272" s="284"/>
      <c r="I272" s="284"/>
      <c r="J272" s="284"/>
      <c r="K272" s="284"/>
      <c r="L272" s="284"/>
    </row>
    <row r="273" spans="1:12" x14ac:dyDescent="0.25">
      <c r="A273" s="199">
        <v>1101206111</v>
      </c>
      <c r="B273" s="187" t="s">
        <v>1947</v>
      </c>
      <c r="C273" s="277">
        <v>1364816.64</v>
      </c>
      <c r="D273" s="277">
        <v>1900986.7</v>
      </c>
      <c r="E273" s="284"/>
      <c r="F273" s="284"/>
      <c r="G273" s="284"/>
      <c r="H273" s="284"/>
      <c r="I273" s="284"/>
      <c r="J273" s="284"/>
      <c r="K273" s="284"/>
      <c r="L273" s="284"/>
    </row>
    <row r="274" spans="1:12" x14ac:dyDescent="0.25">
      <c r="A274" s="199">
        <v>1101206112</v>
      </c>
      <c r="B274" s="187" t="s">
        <v>1948</v>
      </c>
      <c r="C274" s="277">
        <v>2628544.5</v>
      </c>
      <c r="D274" s="277">
        <v>-1151573.4099999999</v>
      </c>
      <c r="E274" s="284"/>
      <c r="F274" s="284"/>
      <c r="G274" s="284"/>
      <c r="H274" s="284"/>
      <c r="I274" s="284"/>
      <c r="J274" s="284"/>
      <c r="K274" s="284"/>
      <c r="L274" s="284"/>
    </row>
    <row r="275" spans="1:12" x14ac:dyDescent="0.25">
      <c r="A275" s="199">
        <v>1101206160</v>
      </c>
      <c r="B275" s="187" t="s">
        <v>1949</v>
      </c>
      <c r="C275" s="277">
        <v>0</v>
      </c>
      <c r="D275" s="277">
        <v>10805.28</v>
      </c>
      <c r="E275" s="284"/>
      <c r="F275" s="284"/>
      <c r="G275" s="284"/>
      <c r="H275" s="284"/>
      <c r="I275" s="284"/>
      <c r="J275" s="284"/>
      <c r="K275" s="284"/>
      <c r="L275" s="284"/>
    </row>
    <row r="276" spans="1:12" x14ac:dyDescent="0.25">
      <c r="A276" s="199">
        <v>1101206161</v>
      </c>
      <c r="B276" s="187" t="s">
        <v>1950</v>
      </c>
      <c r="C276" s="277">
        <v>0</v>
      </c>
      <c r="D276" s="277">
        <v>2342</v>
      </c>
      <c r="E276" s="284"/>
      <c r="F276" s="284"/>
      <c r="G276" s="284"/>
      <c r="H276" s="284"/>
      <c r="I276" s="284"/>
      <c r="J276" s="284"/>
      <c r="K276" s="284"/>
      <c r="L276" s="284"/>
    </row>
    <row r="277" spans="1:12" x14ac:dyDescent="0.25">
      <c r="A277" s="199">
        <v>1101206162</v>
      </c>
      <c r="B277" s="187" t="s">
        <v>1951</v>
      </c>
      <c r="C277" s="277">
        <v>0</v>
      </c>
      <c r="D277" s="277">
        <v>37756.39</v>
      </c>
      <c r="E277" s="284"/>
      <c r="F277" s="284"/>
      <c r="G277" s="284"/>
      <c r="H277" s="284"/>
      <c r="I277" s="284"/>
      <c r="J277" s="284"/>
      <c r="K277" s="284"/>
      <c r="L277" s="284"/>
    </row>
    <row r="278" spans="1:12" x14ac:dyDescent="0.25">
      <c r="A278" s="199">
        <v>1101206170</v>
      </c>
      <c r="B278" s="187" t="s">
        <v>1952</v>
      </c>
      <c r="C278" s="277">
        <v>-176406</v>
      </c>
      <c r="D278" s="277">
        <v>27634</v>
      </c>
      <c r="E278" s="284"/>
      <c r="F278" s="284"/>
      <c r="G278" s="284"/>
      <c r="H278" s="284"/>
      <c r="I278" s="284"/>
      <c r="J278" s="284"/>
      <c r="K278" s="284"/>
      <c r="L278" s="284"/>
    </row>
    <row r="279" spans="1:12" x14ac:dyDescent="0.25">
      <c r="A279" s="199">
        <v>1101206171</v>
      </c>
      <c r="B279" s="187" t="s">
        <v>1953</v>
      </c>
      <c r="C279" s="277">
        <v>-1053929</v>
      </c>
      <c r="D279" s="277">
        <v>0</v>
      </c>
      <c r="E279" s="284"/>
      <c r="F279" s="284"/>
      <c r="G279" s="284"/>
      <c r="H279" s="284"/>
      <c r="I279" s="284"/>
      <c r="J279" s="284"/>
      <c r="K279" s="284"/>
      <c r="L279" s="284"/>
    </row>
    <row r="280" spans="1:12" x14ac:dyDescent="0.25">
      <c r="A280" s="199">
        <v>1101206172</v>
      </c>
      <c r="B280" s="187" t="s">
        <v>1954</v>
      </c>
      <c r="C280" s="277">
        <v>982641</v>
      </c>
      <c r="D280" s="277">
        <v>0</v>
      </c>
      <c r="E280" s="284"/>
      <c r="F280" s="284"/>
      <c r="G280" s="284"/>
      <c r="H280" s="284"/>
      <c r="I280" s="284"/>
      <c r="J280" s="284"/>
      <c r="K280" s="284"/>
      <c r="L280" s="284"/>
    </row>
    <row r="281" spans="1:12" x14ac:dyDescent="0.25">
      <c r="A281" s="199">
        <v>1101206190</v>
      </c>
      <c r="B281" s="187" t="s">
        <v>1955</v>
      </c>
      <c r="C281" s="277">
        <v>4615888.78</v>
      </c>
      <c r="D281" s="277">
        <v>10225026.9</v>
      </c>
      <c r="E281" s="284"/>
      <c r="F281" s="284"/>
      <c r="G281" s="284"/>
      <c r="H281" s="284"/>
      <c r="I281" s="284"/>
      <c r="J281" s="284"/>
      <c r="K281" s="284"/>
      <c r="L281" s="284"/>
    </row>
    <row r="282" spans="1:12" x14ac:dyDescent="0.25">
      <c r="A282" s="199">
        <v>1101206191</v>
      </c>
      <c r="B282" s="187" t="s">
        <v>1956</v>
      </c>
      <c r="C282" s="277">
        <v>77311483.340000004</v>
      </c>
      <c r="D282" s="277">
        <v>-1415627</v>
      </c>
      <c r="E282" s="284"/>
      <c r="F282" s="284"/>
      <c r="G282" s="284"/>
      <c r="H282" s="284"/>
      <c r="I282" s="284"/>
      <c r="J282" s="284"/>
      <c r="K282" s="284"/>
      <c r="L282" s="284"/>
    </row>
    <row r="283" spans="1:12" x14ac:dyDescent="0.25">
      <c r="A283" s="199">
        <v>1101206192</v>
      </c>
      <c r="B283" s="187" t="s">
        <v>1957</v>
      </c>
      <c r="C283" s="277">
        <v>-66724441.140000001</v>
      </c>
      <c r="D283" s="277">
        <v>-2068153.48</v>
      </c>
      <c r="E283" s="284"/>
      <c r="F283" s="284"/>
      <c r="G283" s="284"/>
      <c r="H283" s="284"/>
      <c r="I283" s="284"/>
      <c r="J283" s="284"/>
      <c r="K283" s="284"/>
      <c r="L283" s="284"/>
    </row>
    <row r="284" spans="1:12" x14ac:dyDescent="0.25">
      <c r="A284" s="199">
        <v>1101206200</v>
      </c>
      <c r="B284" s="187" t="s">
        <v>1958</v>
      </c>
      <c r="C284" s="277">
        <v>80533.02</v>
      </c>
      <c r="D284" s="277">
        <v>6587.79</v>
      </c>
      <c r="E284" s="284"/>
      <c r="F284" s="284"/>
      <c r="G284" s="284"/>
      <c r="H284" s="284"/>
      <c r="I284" s="284"/>
      <c r="J284" s="284"/>
      <c r="K284" s="284"/>
      <c r="L284" s="284"/>
    </row>
    <row r="285" spans="1:12" x14ac:dyDescent="0.25">
      <c r="A285" s="199">
        <v>1101206201</v>
      </c>
      <c r="B285" s="187" t="s">
        <v>1959</v>
      </c>
      <c r="C285" s="277">
        <v>918.25</v>
      </c>
      <c r="D285" s="277">
        <v>-141.04</v>
      </c>
      <c r="E285" s="284"/>
      <c r="F285" s="284"/>
      <c r="G285" s="284"/>
      <c r="H285" s="284"/>
      <c r="I285" s="284"/>
      <c r="J285" s="284"/>
      <c r="K285" s="284"/>
      <c r="L285" s="284"/>
    </row>
    <row r="286" spans="1:12" x14ac:dyDescent="0.25">
      <c r="A286" s="199">
        <v>1101206210</v>
      </c>
      <c r="B286" s="187" t="s">
        <v>1960</v>
      </c>
      <c r="C286" s="277">
        <v>1879518</v>
      </c>
      <c r="D286" s="277">
        <v>1640807.25</v>
      </c>
      <c r="E286" s="284"/>
      <c r="F286" s="284"/>
      <c r="G286" s="284"/>
      <c r="H286" s="284"/>
      <c r="I286" s="284"/>
      <c r="J286" s="284"/>
      <c r="K286" s="284"/>
      <c r="L286" s="284"/>
    </row>
    <row r="287" spans="1:12" x14ac:dyDescent="0.25">
      <c r="A287" s="199">
        <v>1101206211</v>
      </c>
      <c r="B287" s="187" t="s">
        <v>1961</v>
      </c>
      <c r="C287" s="277">
        <v>-11954903.460000001</v>
      </c>
      <c r="D287" s="277">
        <v>434450</v>
      </c>
      <c r="E287" s="284"/>
      <c r="F287" s="284"/>
      <c r="G287" s="284"/>
      <c r="H287" s="284"/>
      <c r="I287" s="284"/>
      <c r="J287" s="284"/>
      <c r="K287" s="284"/>
      <c r="L287" s="284"/>
    </row>
    <row r="288" spans="1:12" x14ac:dyDescent="0.25">
      <c r="A288" s="199">
        <v>1101206220</v>
      </c>
      <c r="B288" s="187" t="s">
        <v>1962</v>
      </c>
      <c r="C288" s="277">
        <v>68806</v>
      </c>
      <c r="D288" s="277">
        <v>98307</v>
      </c>
      <c r="E288" s="284"/>
      <c r="F288" s="284"/>
      <c r="G288" s="284"/>
      <c r="H288" s="284"/>
      <c r="I288" s="284"/>
      <c r="J288" s="284"/>
      <c r="K288" s="284"/>
      <c r="L288" s="284"/>
    </row>
    <row r="289" spans="1:12" x14ac:dyDescent="0.25">
      <c r="A289" s="199">
        <v>1101206221</v>
      </c>
      <c r="B289" s="187" t="s">
        <v>1963</v>
      </c>
      <c r="C289" s="277">
        <v>-1468708.25</v>
      </c>
      <c r="D289" s="277">
        <v>594.75</v>
      </c>
      <c r="E289" s="284"/>
      <c r="F289" s="284"/>
      <c r="G289" s="284"/>
      <c r="H289" s="284"/>
      <c r="I289" s="284"/>
      <c r="J289" s="284"/>
      <c r="K289" s="284"/>
      <c r="L289" s="284"/>
    </row>
    <row r="290" spans="1:12" x14ac:dyDescent="0.25">
      <c r="A290" s="199">
        <v>1101206222</v>
      </c>
      <c r="B290" s="187" t="s">
        <v>1964</v>
      </c>
      <c r="C290" s="277">
        <v>697011</v>
      </c>
      <c r="D290" s="277">
        <v>0</v>
      </c>
      <c r="E290" s="284"/>
      <c r="F290" s="284"/>
      <c r="G290" s="284"/>
      <c r="H290" s="284"/>
      <c r="I290" s="284"/>
      <c r="J290" s="284"/>
      <c r="K290" s="284"/>
      <c r="L290" s="284"/>
    </row>
    <row r="291" spans="1:12" x14ac:dyDescent="0.25">
      <c r="A291" s="199">
        <v>1107101000</v>
      </c>
      <c r="B291" s="187" t="s">
        <v>1965</v>
      </c>
      <c r="C291" s="277">
        <v>37661334.009999998</v>
      </c>
      <c r="D291" s="277">
        <v>183055704.83000001</v>
      </c>
      <c r="E291" s="284"/>
      <c r="F291" s="284"/>
      <c r="G291" s="284"/>
      <c r="H291" s="284"/>
      <c r="I291" s="284"/>
      <c r="J291" s="284"/>
      <c r="K291" s="284"/>
      <c r="L291" s="284"/>
    </row>
    <row r="292" spans="1:12" x14ac:dyDescent="0.25">
      <c r="A292" s="199">
        <v>1107102000</v>
      </c>
      <c r="B292" s="187" t="s">
        <v>1966</v>
      </c>
      <c r="C292" s="277">
        <v>45000</v>
      </c>
      <c r="D292" s="277">
        <v>0</v>
      </c>
      <c r="E292" s="284"/>
      <c r="F292" s="284"/>
      <c r="G292" s="284"/>
      <c r="H292" s="284"/>
      <c r="I292" s="284"/>
      <c r="J292" s="284"/>
      <c r="K292" s="284"/>
      <c r="L292" s="284"/>
    </row>
    <row r="293" spans="1:12" x14ac:dyDescent="0.25">
      <c r="A293" s="199">
        <v>1107103000</v>
      </c>
      <c r="B293" s="187" t="s">
        <v>1967</v>
      </c>
      <c r="C293" s="277">
        <v>-6444046.0199999996</v>
      </c>
      <c r="D293" s="277">
        <v>-29596393.82</v>
      </c>
      <c r="E293" s="284"/>
      <c r="F293" s="284"/>
      <c r="G293" s="284"/>
      <c r="H293" s="284"/>
      <c r="I293" s="284"/>
      <c r="J293" s="284"/>
      <c r="K293" s="284"/>
      <c r="L293" s="284"/>
    </row>
    <row r="294" spans="1:12" x14ac:dyDescent="0.25">
      <c r="A294" s="199">
        <v>1107104000</v>
      </c>
      <c r="B294" s="187" t="s">
        <v>1968</v>
      </c>
      <c r="C294" s="277">
        <v>1497886.41</v>
      </c>
      <c r="D294" s="277">
        <v>5408251.0800000001</v>
      </c>
      <c r="E294" s="284"/>
      <c r="F294" s="284"/>
      <c r="G294" s="284"/>
      <c r="H294" s="284"/>
      <c r="I294" s="284"/>
      <c r="J294" s="284"/>
      <c r="K294" s="284"/>
      <c r="L294" s="284"/>
    </row>
    <row r="295" spans="1:12" x14ac:dyDescent="0.25">
      <c r="A295" s="199">
        <v>1107203000</v>
      </c>
      <c r="B295" s="187" t="s">
        <v>1969</v>
      </c>
      <c r="C295" s="277">
        <v>0</v>
      </c>
      <c r="D295" s="277">
        <v>788565.21</v>
      </c>
      <c r="E295" s="284"/>
      <c r="F295" s="284"/>
      <c r="G295" s="284"/>
      <c r="H295" s="284"/>
      <c r="I295" s="284"/>
      <c r="J295" s="284"/>
      <c r="K295" s="284"/>
      <c r="L295" s="284"/>
    </row>
    <row r="296" spans="1:12" x14ac:dyDescent="0.25">
      <c r="A296" s="199">
        <v>1107214000</v>
      </c>
      <c r="B296" s="187" t="s">
        <v>1970</v>
      </c>
      <c r="C296" s="277">
        <v>-4420931.66</v>
      </c>
      <c r="D296" s="277">
        <v>6940155.29</v>
      </c>
      <c r="E296" s="284"/>
      <c r="F296" s="284"/>
      <c r="G296" s="284"/>
      <c r="H296" s="284"/>
      <c r="I296" s="284"/>
      <c r="J296" s="284"/>
      <c r="K296" s="284"/>
      <c r="L296" s="284"/>
    </row>
    <row r="297" spans="1:12" x14ac:dyDescent="0.25">
      <c r="A297" s="199">
        <v>1107214001</v>
      </c>
      <c r="B297" s="187" t="s">
        <v>1971</v>
      </c>
      <c r="C297" s="277">
        <v>-353625</v>
      </c>
      <c r="D297" s="277">
        <v>1302113.19</v>
      </c>
      <c r="E297" s="284"/>
      <c r="F297" s="284"/>
      <c r="G297" s="284"/>
      <c r="H297" s="284"/>
      <c r="I297" s="284"/>
      <c r="J297" s="284"/>
      <c r="K297" s="284"/>
      <c r="L297" s="284"/>
    </row>
    <row r="298" spans="1:12" x14ac:dyDescent="0.25">
      <c r="A298" s="199">
        <v>1107215000</v>
      </c>
      <c r="B298" s="187" t="s">
        <v>1491</v>
      </c>
      <c r="C298" s="277">
        <v>2007812.9</v>
      </c>
      <c r="D298" s="277">
        <v>2007812.9</v>
      </c>
      <c r="E298" s="284"/>
      <c r="F298" s="284"/>
      <c r="G298" s="284"/>
      <c r="H298" s="284"/>
      <c r="I298" s="284"/>
      <c r="J298" s="284"/>
      <c r="K298" s="284"/>
      <c r="L298" s="284"/>
    </row>
    <row r="299" spans="1:12" x14ac:dyDescent="0.25">
      <c r="A299" s="199">
        <v>1109101000</v>
      </c>
      <c r="B299" s="187" t="s">
        <v>1972</v>
      </c>
      <c r="C299" s="277">
        <v>0</v>
      </c>
      <c r="D299" s="277">
        <v>64264.35</v>
      </c>
      <c r="E299" s="284"/>
      <c r="F299" s="284"/>
      <c r="G299" s="284"/>
      <c r="H299" s="284"/>
      <c r="I299" s="284"/>
      <c r="J299" s="284"/>
      <c r="K299" s="284"/>
      <c r="L299" s="284"/>
    </row>
    <row r="300" spans="1:12" x14ac:dyDescent="0.25">
      <c r="A300" s="199">
        <v>1109104000</v>
      </c>
      <c r="B300" s="187" t="s">
        <v>1973</v>
      </c>
      <c r="C300" s="277">
        <v>-2386106.9</v>
      </c>
      <c r="D300" s="277">
        <v>114566</v>
      </c>
      <c r="E300" s="284"/>
      <c r="F300" s="284"/>
      <c r="G300" s="284"/>
      <c r="H300" s="284"/>
      <c r="I300" s="284"/>
      <c r="J300" s="284"/>
      <c r="K300" s="284"/>
      <c r="L300" s="284"/>
    </row>
    <row r="301" spans="1:12" x14ac:dyDescent="0.25">
      <c r="A301" s="199">
        <v>1109104001</v>
      </c>
      <c r="B301" s="187" t="s">
        <v>1974</v>
      </c>
      <c r="C301" s="277">
        <v>80250.16</v>
      </c>
      <c r="D301" s="277">
        <v>536016.69999999995</v>
      </c>
      <c r="E301" s="284"/>
      <c r="F301" s="284"/>
      <c r="G301" s="284"/>
      <c r="H301" s="284"/>
      <c r="I301" s="284"/>
      <c r="J301" s="284"/>
      <c r="K301" s="284"/>
      <c r="L301" s="284"/>
    </row>
    <row r="302" spans="1:12" x14ac:dyDescent="0.25">
      <c r="A302" s="199">
        <v>1109104002</v>
      </c>
      <c r="B302" s="187" t="s">
        <v>1975</v>
      </c>
      <c r="C302" s="277">
        <v>-3273410.82</v>
      </c>
      <c r="D302" s="277">
        <v>1292492.29</v>
      </c>
      <c r="E302" s="284"/>
      <c r="F302" s="284"/>
      <c r="G302" s="284"/>
      <c r="H302" s="284"/>
      <c r="I302" s="284"/>
      <c r="J302" s="284"/>
      <c r="K302" s="284"/>
      <c r="L302" s="284"/>
    </row>
    <row r="303" spans="1:12" x14ac:dyDescent="0.25">
      <c r="A303" s="199">
        <v>1109104003</v>
      </c>
      <c r="B303" s="187" t="s">
        <v>1976</v>
      </c>
      <c r="C303" s="277">
        <v>1205537</v>
      </c>
      <c r="D303" s="277">
        <v>6321139</v>
      </c>
      <c r="E303" s="284"/>
      <c r="F303" s="284"/>
      <c r="G303" s="284"/>
      <c r="H303" s="284"/>
      <c r="I303" s="284"/>
      <c r="J303" s="284"/>
      <c r="K303" s="284"/>
      <c r="L303" s="284"/>
    </row>
    <row r="304" spans="1:12" x14ac:dyDescent="0.25">
      <c r="A304" s="199">
        <v>1109105000</v>
      </c>
      <c r="B304" s="187" t="s">
        <v>1977</v>
      </c>
      <c r="C304" s="277">
        <v>12679904.199999999</v>
      </c>
      <c r="D304" s="277">
        <v>13220095.800000001</v>
      </c>
      <c r="E304" s="284"/>
      <c r="F304" s="284"/>
      <c r="G304" s="284"/>
      <c r="H304" s="284"/>
      <c r="I304" s="284"/>
      <c r="J304" s="284"/>
      <c r="K304" s="284"/>
      <c r="L304" s="284"/>
    </row>
    <row r="305" spans="1:12" x14ac:dyDescent="0.25">
      <c r="A305" s="199">
        <v>1109108001</v>
      </c>
      <c r="B305" s="187" t="s">
        <v>1978</v>
      </c>
      <c r="C305" s="277">
        <v>427576.32000000001</v>
      </c>
      <c r="D305" s="277">
        <v>0</v>
      </c>
      <c r="E305" s="284"/>
      <c r="F305" s="284"/>
      <c r="G305" s="284"/>
      <c r="H305" s="284"/>
      <c r="I305" s="284"/>
      <c r="J305" s="284"/>
      <c r="K305" s="284"/>
      <c r="L305" s="284"/>
    </row>
    <row r="306" spans="1:12" x14ac:dyDescent="0.25">
      <c r="A306" s="199">
        <v>1109203000</v>
      </c>
      <c r="B306" s="187" t="s">
        <v>1979</v>
      </c>
      <c r="C306" s="277">
        <v>819866.73</v>
      </c>
      <c r="D306" s="277">
        <v>9661.65</v>
      </c>
      <c r="E306" s="284"/>
      <c r="F306" s="284"/>
      <c r="G306" s="284"/>
      <c r="H306" s="284"/>
      <c r="I306" s="284"/>
      <c r="J306" s="284"/>
      <c r="K306" s="284"/>
      <c r="L306" s="284"/>
    </row>
    <row r="307" spans="1:12" x14ac:dyDescent="0.25">
      <c r="A307" s="199">
        <v>1111301000</v>
      </c>
      <c r="B307" s="187" t="s">
        <v>1980</v>
      </c>
      <c r="C307" s="277">
        <v>-96399.74</v>
      </c>
      <c r="D307" s="277">
        <v>1362873.59</v>
      </c>
      <c r="E307" s="284"/>
      <c r="F307" s="284"/>
      <c r="G307" s="284"/>
      <c r="H307" s="284"/>
      <c r="I307" s="284"/>
      <c r="J307" s="284"/>
      <c r="K307" s="284"/>
      <c r="L307" s="284"/>
    </row>
    <row r="308" spans="1:12" x14ac:dyDescent="0.25">
      <c r="A308" s="199">
        <v>1111301001</v>
      </c>
      <c r="B308" s="187" t="s">
        <v>1981</v>
      </c>
      <c r="C308" s="277">
        <v>-329633.68</v>
      </c>
      <c r="D308" s="277">
        <v>2816287.03</v>
      </c>
      <c r="E308" s="284"/>
      <c r="F308" s="284"/>
      <c r="G308" s="284"/>
      <c r="H308" s="284"/>
      <c r="I308" s="284"/>
      <c r="J308" s="284"/>
      <c r="K308" s="284"/>
      <c r="L308" s="284"/>
    </row>
    <row r="309" spans="1:12" x14ac:dyDescent="0.25">
      <c r="A309" s="199">
        <v>1111301002</v>
      </c>
      <c r="B309" s="187" t="s">
        <v>1982</v>
      </c>
      <c r="C309" s="277">
        <v>-8228973.9900000002</v>
      </c>
      <c r="D309" s="277">
        <v>18934267.579999998</v>
      </c>
      <c r="E309" s="284"/>
      <c r="F309" s="284"/>
      <c r="G309" s="284"/>
      <c r="H309" s="284"/>
      <c r="I309" s="284"/>
      <c r="J309" s="284"/>
      <c r="K309" s="284"/>
      <c r="L309" s="284"/>
    </row>
    <row r="310" spans="1:12" x14ac:dyDescent="0.25">
      <c r="A310" s="199">
        <v>1111301003</v>
      </c>
      <c r="B310" s="187" t="s">
        <v>1983</v>
      </c>
      <c r="C310" s="277">
        <v>-3767320.03</v>
      </c>
      <c r="D310" s="277">
        <v>1058422.8</v>
      </c>
      <c r="E310" s="284"/>
      <c r="F310" s="284"/>
      <c r="G310" s="284"/>
      <c r="H310" s="284"/>
      <c r="I310" s="284"/>
      <c r="J310" s="284"/>
      <c r="K310" s="284"/>
      <c r="L310" s="284"/>
    </row>
    <row r="311" spans="1:12" x14ac:dyDescent="0.25">
      <c r="A311" s="199">
        <v>1111301004</v>
      </c>
      <c r="B311" s="187" t="s">
        <v>1984</v>
      </c>
      <c r="C311" s="277">
        <v>-636197.89</v>
      </c>
      <c r="D311" s="277">
        <v>1587396.79</v>
      </c>
      <c r="E311" s="284"/>
      <c r="F311" s="284"/>
      <c r="G311" s="284"/>
      <c r="H311" s="284"/>
      <c r="I311" s="284"/>
      <c r="J311" s="284"/>
      <c r="K311" s="284"/>
      <c r="L311" s="284"/>
    </row>
    <row r="312" spans="1:12" x14ac:dyDescent="0.25">
      <c r="A312" s="199">
        <v>1111301005</v>
      </c>
      <c r="B312" s="187" t="s">
        <v>1985</v>
      </c>
      <c r="C312" s="277">
        <v>-93136.89</v>
      </c>
      <c r="D312" s="277">
        <v>1603227.93</v>
      </c>
      <c r="E312" s="284"/>
      <c r="F312" s="284"/>
      <c r="G312" s="284"/>
      <c r="H312" s="284"/>
      <c r="I312" s="284"/>
      <c r="J312" s="284"/>
      <c r="K312" s="284"/>
      <c r="L312" s="284"/>
    </row>
    <row r="313" spans="1:12" x14ac:dyDescent="0.25">
      <c r="A313" s="199">
        <v>1111301007</v>
      </c>
      <c r="B313" s="187" t="s">
        <v>1986</v>
      </c>
      <c r="C313" s="277">
        <v>-3828145.91</v>
      </c>
      <c r="D313" s="277">
        <v>24588441.890000001</v>
      </c>
      <c r="E313" s="284"/>
      <c r="F313" s="284"/>
      <c r="G313" s="284"/>
      <c r="H313" s="284"/>
      <c r="I313" s="284"/>
      <c r="J313" s="284"/>
      <c r="K313" s="284"/>
      <c r="L313" s="284"/>
    </row>
    <row r="314" spans="1:12" x14ac:dyDescent="0.25">
      <c r="A314" s="199">
        <v>1111301008</v>
      </c>
      <c r="B314" s="187" t="s">
        <v>1987</v>
      </c>
      <c r="C314" s="277">
        <v>4519608.6100000003</v>
      </c>
      <c r="D314" s="277">
        <v>46739541.039999999</v>
      </c>
      <c r="E314" s="284"/>
      <c r="F314" s="284"/>
      <c r="G314" s="284"/>
      <c r="H314" s="284"/>
      <c r="I314" s="284"/>
      <c r="J314" s="284"/>
      <c r="K314" s="284"/>
      <c r="L314" s="284"/>
    </row>
    <row r="315" spans="1:12" x14ac:dyDescent="0.25">
      <c r="A315" s="199">
        <v>1205213001</v>
      </c>
      <c r="B315" s="187" t="s">
        <v>1988</v>
      </c>
      <c r="C315" s="277">
        <v>4948289.43</v>
      </c>
      <c r="D315" s="277">
        <v>4734293.09</v>
      </c>
      <c r="E315" s="284"/>
      <c r="F315" s="284"/>
      <c r="G315" s="284"/>
      <c r="H315" s="284"/>
      <c r="I315" s="284"/>
      <c r="J315" s="284"/>
      <c r="K315" s="284"/>
      <c r="L315" s="284"/>
    </row>
    <row r="316" spans="1:12" x14ac:dyDescent="0.25">
      <c r="A316" s="199">
        <v>1205310000</v>
      </c>
      <c r="B316" s="187" t="s">
        <v>1989</v>
      </c>
      <c r="C316" s="277">
        <v>0</v>
      </c>
      <c r="D316" s="277">
        <v>92308400</v>
      </c>
      <c r="E316" s="284"/>
      <c r="F316" s="284"/>
      <c r="G316" s="284"/>
      <c r="H316" s="284"/>
      <c r="I316" s="284"/>
      <c r="J316" s="284"/>
      <c r="K316" s="284"/>
      <c r="L316" s="284"/>
    </row>
    <row r="317" spans="1:12" x14ac:dyDescent="0.25">
      <c r="A317" s="199">
        <v>1206103000</v>
      </c>
      <c r="B317" s="187" t="s">
        <v>1990</v>
      </c>
      <c r="C317" s="277">
        <v>0</v>
      </c>
      <c r="D317" s="277">
        <v>120000000</v>
      </c>
      <c r="E317" s="284"/>
      <c r="F317" s="284"/>
      <c r="G317" s="284"/>
      <c r="H317" s="284"/>
      <c r="I317" s="284"/>
      <c r="J317" s="284"/>
      <c r="K317" s="284"/>
      <c r="L317" s="284"/>
    </row>
    <row r="318" spans="1:12" x14ac:dyDescent="0.25">
      <c r="A318" s="199">
        <v>1206105000</v>
      </c>
      <c r="B318" s="187" t="s">
        <v>1991</v>
      </c>
      <c r="C318" s="277">
        <v>-12950000</v>
      </c>
      <c r="D318" s="277">
        <v>12950000</v>
      </c>
      <c r="E318" s="284"/>
      <c r="F318" s="284"/>
      <c r="G318" s="284"/>
      <c r="H318" s="284"/>
      <c r="I318" s="284"/>
      <c r="J318" s="284"/>
      <c r="K318" s="284"/>
      <c r="L318" s="284"/>
    </row>
    <row r="319" spans="1:12" x14ac:dyDescent="0.25">
      <c r="A319" s="199">
        <v>1206108001</v>
      </c>
      <c r="B319" s="187" t="s">
        <v>1992</v>
      </c>
      <c r="C319" s="277">
        <v>1282728.96</v>
      </c>
      <c r="D319" s="277">
        <v>0</v>
      </c>
      <c r="E319" s="284"/>
      <c r="F319" s="284"/>
      <c r="G319" s="284"/>
      <c r="H319" s="284"/>
      <c r="I319" s="284"/>
      <c r="J319" s="284"/>
      <c r="K319" s="284"/>
      <c r="L319" s="284"/>
    </row>
    <row r="320" spans="1:12" x14ac:dyDescent="0.25">
      <c r="A320" s="199">
        <v>1212101001</v>
      </c>
      <c r="B320" s="187" t="s">
        <v>1993</v>
      </c>
      <c r="C320" s="277">
        <v>18232155.039999999</v>
      </c>
      <c r="D320" s="277">
        <v>9659868.5</v>
      </c>
      <c r="E320" s="284"/>
      <c r="F320" s="284"/>
      <c r="G320" s="284"/>
      <c r="H320" s="284"/>
      <c r="I320" s="284"/>
      <c r="J320" s="284"/>
      <c r="K320" s="284"/>
      <c r="L320" s="284"/>
    </row>
    <row r="321" spans="1:12" x14ac:dyDescent="0.25">
      <c r="A321" s="199">
        <v>1213101000</v>
      </c>
      <c r="B321" s="187" t="s">
        <v>1994</v>
      </c>
      <c r="C321" s="277">
        <v>891083.22</v>
      </c>
      <c r="D321" s="277">
        <v>17969119.43</v>
      </c>
      <c r="E321" s="284"/>
      <c r="F321" s="284"/>
      <c r="G321" s="284"/>
      <c r="H321" s="284"/>
      <c r="I321" s="284"/>
      <c r="J321" s="284"/>
      <c r="K321" s="284"/>
      <c r="L321" s="284"/>
    </row>
    <row r="322" spans="1:12" x14ac:dyDescent="0.25">
      <c r="A322" s="199">
        <v>1214101000</v>
      </c>
      <c r="B322" s="187" t="s">
        <v>1995</v>
      </c>
      <c r="C322" s="277">
        <v>0</v>
      </c>
      <c r="D322" s="277">
        <v>98999078.310000002</v>
      </c>
      <c r="E322" s="284"/>
      <c r="F322" s="284"/>
      <c r="G322" s="284"/>
      <c r="H322" s="284"/>
      <c r="I322" s="284"/>
      <c r="J322" s="284"/>
      <c r="K322" s="284"/>
      <c r="L322" s="284"/>
    </row>
    <row r="323" spans="1:12" x14ac:dyDescent="0.25">
      <c r="A323" s="199">
        <v>1214106000</v>
      </c>
      <c r="B323" s="187" t="s">
        <v>1996</v>
      </c>
      <c r="C323" s="277">
        <v>13432698.130000001</v>
      </c>
      <c r="D323" s="277">
        <v>628100728.63</v>
      </c>
      <c r="E323" s="284"/>
      <c r="F323" s="284"/>
      <c r="G323" s="284"/>
      <c r="H323" s="284"/>
      <c r="I323" s="284"/>
      <c r="J323" s="284"/>
      <c r="K323" s="284"/>
      <c r="L323" s="284"/>
    </row>
    <row r="324" spans="1:12" x14ac:dyDescent="0.25">
      <c r="A324" s="199">
        <v>1214107000</v>
      </c>
      <c r="B324" s="187" t="s">
        <v>1997</v>
      </c>
      <c r="C324" s="277">
        <v>-3851528.22</v>
      </c>
      <c r="D324" s="277">
        <v>-154859340.40000001</v>
      </c>
      <c r="E324" s="284"/>
      <c r="F324" s="284"/>
      <c r="G324" s="284"/>
      <c r="H324" s="284"/>
      <c r="I324" s="284"/>
      <c r="J324" s="284"/>
      <c r="K324" s="284"/>
      <c r="L324" s="284"/>
    </row>
    <row r="325" spans="1:12" x14ac:dyDescent="0.25">
      <c r="A325" s="199">
        <v>1214201000</v>
      </c>
      <c r="B325" s="187" t="s">
        <v>1998</v>
      </c>
      <c r="C325" s="277">
        <v>-31489208.789999999</v>
      </c>
      <c r="D325" s="277">
        <v>6152614646.0500002</v>
      </c>
      <c r="E325" s="284"/>
      <c r="F325" s="284"/>
      <c r="G325" s="284"/>
      <c r="H325" s="284"/>
      <c r="I325" s="284"/>
      <c r="J325" s="284"/>
      <c r="K325" s="284"/>
      <c r="L325" s="284"/>
    </row>
    <row r="326" spans="1:12" x14ac:dyDescent="0.25">
      <c r="A326" s="199">
        <v>1214202000</v>
      </c>
      <c r="B326" s="187" t="s">
        <v>1999</v>
      </c>
      <c r="C326" s="277">
        <v>21021177.539999999</v>
      </c>
      <c r="D326" s="277">
        <v>-4186995894.9200001</v>
      </c>
      <c r="E326" s="284"/>
      <c r="F326" s="284"/>
      <c r="G326" s="284"/>
      <c r="H326" s="284"/>
      <c r="I326" s="284"/>
      <c r="J326" s="284"/>
      <c r="K326" s="284"/>
      <c r="L326" s="284"/>
    </row>
    <row r="327" spans="1:12" x14ac:dyDescent="0.25">
      <c r="A327" s="199">
        <v>1214301000</v>
      </c>
      <c r="B327" s="187" t="s">
        <v>2000</v>
      </c>
      <c r="C327" s="277">
        <v>-1567686.13</v>
      </c>
      <c r="D327" s="277">
        <v>97456200.310000002</v>
      </c>
      <c r="E327" s="284"/>
      <c r="F327" s="284"/>
      <c r="G327" s="284"/>
      <c r="H327" s="284"/>
      <c r="I327" s="284"/>
      <c r="J327" s="284"/>
      <c r="K327" s="284"/>
      <c r="L327" s="284"/>
    </row>
    <row r="328" spans="1:12" x14ac:dyDescent="0.25">
      <c r="A328" s="199">
        <v>1214301001</v>
      </c>
      <c r="B328" s="187" t="s">
        <v>2001</v>
      </c>
      <c r="C328" s="277">
        <v>133662.9</v>
      </c>
      <c r="D328" s="277">
        <v>19451033.75</v>
      </c>
      <c r="E328" s="284"/>
      <c r="F328" s="284"/>
      <c r="G328" s="284"/>
      <c r="H328" s="284"/>
      <c r="I328" s="284"/>
      <c r="J328" s="284"/>
      <c r="K328" s="284"/>
      <c r="L328" s="284"/>
    </row>
    <row r="329" spans="1:12" x14ac:dyDescent="0.25">
      <c r="A329" s="199">
        <v>1214302000</v>
      </c>
      <c r="B329" s="187" t="s">
        <v>2002</v>
      </c>
      <c r="C329" s="277">
        <v>1827385.18</v>
      </c>
      <c r="D329" s="277">
        <v>-72687473.939999998</v>
      </c>
      <c r="E329" s="284"/>
      <c r="F329" s="284"/>
      <c r="G329" s="284"/>
      <c r="H329" s="284"/>
      <c r="I329" s="284"/>
      <c r="J329" s="284"/>
      <c r="K329" s="284"/>
      <c r="L329" s="284"/>
    </row>
    <row r="330" spans="1:12" x14ac:dyDescent="0.25">
      <c r="A330" s="199">
        <v>1214302001</v>
      </c>
      <c r="B330" s="187" t="s">
        <v>2003</v>
      </c>
      <c r="C330" s="277">
        <v>-113792.83</v>
      </c>
      <c r="D330" s="277">
        <v>-12414196.73</v>
      </c>
      <c r="E330" s="284"/>
      <c r="F330" s="284"/>
      <c r="G330" s="284"/>
      <c r="H330" s="284"/>
      <c r="I330" s="284"/>
      <c r="J330" s="284"/>
      <c r="K330" s="284"/>
      <c r="L330" s="284"/>
    </row>
    <row r="331" spans="1:12" x14ac:dyDescent="0.25">
      <c r="A331" s="199">
        <v>1214401000</v>
      </c>
      <c r="B331" s="187" t="s">
        <v>2004</v>
      </c>
      <c r="C331" s="277">
        <v>4592998.5199999996</v>
      </c>
      <c r="D331" s="277">
        <v>1501022313.52</v>
      </c>
      <c r="E331" s="284"/>
      <c r="F331" s="284"/>
      <c r="G331" s="284"/>
      <c r="H331" s="284"/>
      <c r="I331" s="284"/>
      <c r="J331" s="284"/>
      <c r="K331" s="284"/>
      <c r="L331" s="284"/>
    </row>
    <row r="332" spans="1:12" x14ac:dyDescent="0.25">
      <c r="A332" s="199">
        <v>1214401001</v>
      </c>
      <c r="B332" s="187" t="s">
        <v>2005</v>
      </c>
      <c r="C332" s="277">
        <v>1989479.77</v>
      </c>
      <c r="D332" s="277">
        <v>431547202.61000001</v>
      </c>
      <c r="E332" s="284"/>
      <c r="F332" s="284"/>
      <c r="G332" s="284"/>
      <c r="H332" s="284"/>
      <c r="I332" s="284"/>
      <c r="J332" s="284"/>
      <c r="K332" s="284"/>
      <c r="L332" s="284"/>
    </row>
    <row r="333" spans="1:12" x14ac:dyDescent="0.25">
      <c r="A333" s="199">
        <v>1214402000</v>
      </c>
      <c r="B333" s="187" t="s">
        <v>2006</v>
      </c>
      <c r="C333" s="277">
        <v>-49207417.659999996</v>
      </c>
      <c r="D333" s="277">
        <v>-772887461.53999996</v>
      </c>
      <c r="E333" s="284"/>
      <c r="F333" s="284"/>
      <c r="G333" s="284"/>
      <c r="H333" s="284"/>
      <c r="I333" s="284"/>
      <c r="J333" s="284"/>
      <c r="K333" s="284"/>
      <c r="L333" s="284"/>
    </row>
    <row r="334" spans="1:12" x14ac:dyDescent="0.25">
      <c r="A334" s="199">
        <v>1214402001</v>
      </c>
      <c r="B334" s="187" t="s">
        <v>2007</v>
      </c>
      <c r="C334" s="277">
        <v>-3815811</v>
      </c>
      <c r="D334" s="277">
        <v>-120459174.66</v>
      </c>
      <c r="E334" s="284"/>
      <c r="F334" s="284"/>
      <c r="G334" s="284"/>
      <c r="H334" s="284"/>
      <c r="I334" s="284"/>
      <c r="J334" s="284"/>
      <c r="K334" s="284"/>
      <c r="L334" s="284"/>
    </row>
    <row r="335" spans="1:12" x14ac:dyDescent="0.25">
      <c r="A335" s="199">
        <v>1214501000</v>
      </c>
      <c r="B335" s="187" t="s">
        <v>2008</v>
      </c>
      <c r="C335" s="277">
        <v>-134913</v>
      </c>
      <c r="D335" s="277">
        <v>75298941.5</v>
      </c>
      <c r="E335" s="284"/>
      <c r="F335" s="284"/>
      <c r="G335" s="284"/>
      <c r="H335" s="284"/>
      <c r="I335" s="284"/>
      <c r="J335" s="284"/>
      <c r="K335" s="284"/>
      <c r="L335" s="284"/>
    </row>
    <row r="336" spans="1:12" x14ac:dyDescent="0.25">
      <c r="A336" s="199">
        <v>1214502000</v>
      </c>
      <c r="B336" s="187" t="s">
        <v>2009</v>
      </c>
      <c r="C336" s="277">
        <v>-558594.36</v>
      </c>
      <c r="D336" s="277">
        <v>-46409714.340000004</v>
      </c>
      <c r="E336" s="284"/>
      <c r="F336" s="284"/>
      <c r="G336" s="284"/>
      <c r="H336" s="284"/>
      <c r="I336" s="284"/>
      <c r="J336" s="284"/>
      <c r="K336" s="284"/>
      <c r="L336" s="284"/>
    </row>
    <row r="337" spans="1:12" x14ac:dyDescent="0.25">
      <c r="A337" s="199">
        <v>1214601000</v>
      </c>
      <c r="B337" s="187" t="s">
        <v>2010</v>
      </c>
      <c r="C337" s="277">
        <v>0</v>
      </c>
      <c r="D337" s="277">
        <v>54049476.759999998</v>
      </c>
      <c r="E337" s="284"/>
      <c r="F337" s="284"/>
      <c r="G337" s="284"/>
      <c r="H337" s="284"/>
      <c r="I337" s="284"/>
      <c r="J337" s="284"/>
      <c r="K337" s="284"/>
      <c r="L337" s="284"/>
    </row>
    <row r="338" spans="1:12" x14ac:dyDescent="0.25">
      <c r="A338" s="199">
        <v>1214602000</v>
      </c>
      <c r="B338" s="187" t="s">
        <v>2011</v>
      </c>
      <c r="C338" s="277">
        <v>-768604</v>
      </c>
      <c r="D338" s="277">
        <v>-16572191.67</v>
      </c>
      <c r="E338" s="284"/>
      <c r="F338" s="284"/>
      <c r="G338" s="284"/>
      <c r="H338" s="284"/>
      <c r="I338" s="284"/>
      <c r="J338" s="284"/>
      <c r="K338" s="284"/>
      <c r="L338" s="284"/>
    </row>
    <row r="339" spans="1:12" x14ac:dyDescent="0.25">
      <c r="A339" s="199">
        <v>1215201000</v>
      </c>
      <c r="B339" s="187" t="s">
        <v>2012</v>
      </c>
      <c r="C339" s="277">
        <v>47372291.899999999</v>
      </c>
      <c r="D339" s="277">
        <v>1569110284.2</v>
      </c>
      <c r="E339" s="284"/>
      <c r="F339" s="284"/>
      <c r="G339" s="284"/>
      <c r="H339" s="284"/>
      <c r="I339" s="284"/>
      <c r="J339" s="284"/>
      <c r="K339" s="284"/>
      <c r="L339" s="284"/>
    </row>
    <row r="340" spans="1:12" x14ac:dyDescent="0.25">
      <c r="A340" s="199">
        <v>1215202000</v>
      </c>
      <c r="B340" s="187" t="s">
        <v>2013</v>
      </c>
      <c r="C340" s="277">
        <v>-27587711.23</v>
      </c>
      <c r="D340" s="277">
        <v>-507223351.72000003</v>
      </c>
      <c r="E340" s="284"/>
      <c r="F340" s="284"/>
      <c r="G340" s="284"/>
      <c r="H340" s="284"/>
      <c r="I340" s="284"/>
      <c r="J340" s="284"/>
      <c r="K340" s="284"/>
      <c r="L340" s="284"/>
    </row>
    <row r="341" spans="1:12" x14ac:dyDescent="0.25">
      <c r="A341" s="199">
        <v>2101101000</v>
      </c>
      <c r="B341" s="187" t="s">
        <v>2014</v>
      </c>
      <c r="C341" s="277">
        <v>532442.99</v>
      </c>
      <c r="D341" s="277">
        <v>-19150082.329999998</v>
      </c>
      <c r="E341" s="284"/>
      <c r="F341" s="284"/>
      <c r="G341" s="284"/>
      <c r="H341" s="284"/>
      <c r="I341" s="284"/>
      <c r="J341" s="284"/>
      <c r="K341" s="284"/>
      <c r="L341" s="284"/>
    </row>
    <row r="342" spans="1:12" x14ac:dyDescent="0.25">
      <c r="A342" s="199">
        <v>2101101001</v>
      </c>
      <c r="B342" s="187" t="s">
        <v>2015</v>
      </c>
      <c r="C342" s="277">
        <v>1402620.09</v>
      </c>
      <c r="D342" s="277">
        <v>-1402620.09</v>
      </c>
      <c r="E342" s="284"/>
      <c r="F342" s="284"/>
      <c r="G342" s="284"/>
      <c r="H342" s="284"/>
      <c r="I342" s="284"/>
      <c r="J342" s="284"/>
      <c r="K342" s="284"/>
      <c r="L342" s="284"/>
    </row>
    <row r="343" spans="1:12" x14ac:dyDescent="0.25">
      <c r="A343" s="199">
        <v>2101101002</v>
      </c>
      <c r="B343" s="187" t="s">
        <v>2016</v>
      </c>
      <c r="C343" s="277">
        <v>-0.01</v>
      </c>
      <c r="D343" s="277">
        <v>-2238704.9900000002</v>
      </c>
      <c r="E343" s="284"/>
      <c r="F343" s="284"/>
      <c r="G343" s="284"/>
      <c r="H343" s="284"/>
      <c r="I343" s="284"/>
      <c r="J343" s="284"/>
      <c r="K343" s="284"/>
      <c r="L343" s="284"/>
    </row>
    <row r="344" spans="1:12" x14ac:dyDescent="0.25">
      <c r="A344" s="199">
        <v>2103101000</v>
      </c>
      <c r="B344" s="187" t="s">
        <v>2017</v>
      </c>
      <c r="C344" s="277">
        <v>-11857706.16</v>
      </c>
      <c r="D344" s="277">
        <v>-13742411.369999999</v>
      </c>
      <c r="E344" s="284"/>
      <c r="F344" s="284"/>
      <c r="G344" s="284"/>
      <c r="H344" s="284"/>
      <c r="I344" s="284"/>
      <c r="J344" s="284"/>
      <c r="K344" s="284"/>
      <c r="L344" s="284"/>
    </row>
    <row r="345" spans="1:12" x14ac:dyDescent="0.25">
      <c r="A345" s="199">
        <v>2103102000</v>
      </c>
      <c r="B345" s="187" t="s">
        <v>2018</v>
      </c>
      <c r="C345" s="277">
        <v>-184121</v>
      </c>
      <c r="D345" s="277">
        <v>-1058003.8600000001</v>
      </c>
      <c r="E345" s="284"/>
      <c r="F345" s="284"/>
      <c r="G345" s="284"/>
      <c r="H345" s="284"/>
      <c r="I345" s="284"/>
      <c r="J345" s="284"/>
      <c r="K345" s="284"/>
      <c r="L345" s="284"/>
    </row>
    <row r="346" spans="1:12" x14ac:dyDescent="0.25">
      <c r="A346" s="199">
        <v>2103103000</v>
      </c>
      <c r="B346" s="187" t="s">
        <v>2019</v>
      </c>
      <c r="C346" s="277">
        <v>-58027874.460000001</v>
      </c>
      <c r="D346" s="277">
        <v>-69894545.730000004</v>
      </c>
      <c r="E346" s="284"/>
      <c r="F346" s="284"/>
      <c r="G346" s="284"/>
      <c r="H346" s="284"/>
      <c r="I346" s="284"/>
      <c r="J346" s="284"/>
      <c r="K346" s="284"/>
      <c r="L346" s="284"/>
    </row>
    <row r="347" spans="1:12" x14ac:dyDescent="0.25">
      <c r="A347" s="199">
        <v>2103401000</v>
      </c>
      <c r="B347" s="187" t="s">
        <v>2020</v>
      </c>
      <c r="C347" s="277">
        <v>-30343980.149999999</v>
      </c>
      <c r="D347" s="277">
        <v>0</v>
      </c>
      <c r="E347" s="284"/>
      <c r="F347" s="284"/>
      <c r="G347" s="284"/>
      <c r="H347" s="284"/>
      <c r="I347" s="284"/>
      <c r="J347" s="284"/>
      <c r="K347" s="284"/>
      <c r="L347" s="284"/>
    </row>
    <row r="348" spans="1:12" x14ac:dyDescent="0.25">
      <c r="A348" s="199">
        <v>2103501000</v>
      </c>
      <c r="B348" s="187" t="s">
        <v>2021</v>
      </c>
      <c r="C348" s="277">
        <v>368620.75</v>
      </c>
      <c r="D348" s="277">
        <v>-347817.29</v>
      </c>
      <c r="E348" s="284"/>
      <c r="F348" s="284"/>
      <c r="G348" s="284"/>
      <c r="H348" s="284"/>
      <c r="I348" s="284"/>
      <c r="J348" s="284"/>
      <c r="K348" s="284"/>
      <c r="L348" s="284"/>
    </row>
    <row r="349" spans="1:12" x14ac:dyDescent="0.25">
      <c r="A349" s="199">
        <v>2103501001</v>
      </c>
      <c r="B349" s="187" t="s">
        <v>2022</v>
      </c>
      <c r="C349" s="384">
        <v>7076106.9100000001</v>
      </c>
      <c r="D349" s="384">
        <v>142038.38</v>
      </c>
      <c r="E349" s="284"/>
      <c r="F349" s="284"/>
      <c r="G349" s="284"/>
      <c r="H349" s="284"/>
      <c r="I349" s="284"/>
      <c r="J349" s="284"/>
      <c r="K349" s="284"/>
      <c r="L349" s="284"/>
    </row>
    <row r="350" spans="1:12" x14ac:dyDescent="0.25">
      <c r="A350" s="199">
        <v>2103701000</v>
      </c>
      <c r="B350" s="187" t="s">
        <v>2023</v>
      </c>
      <c r="C350" s="384">
        <v>0</v>
      </c>
      <c r="D350" s="384">
        <v>-18303</v>
      </c>
      <c r="E350" s="284"/>
      <c r="F350" s="294"/>
      <c r="G350" s="284"/>
      <c r="H350" s="284"/>
      <c r="I350" s="284"/>
      <c r="J350" s="284"/>
      <c r="K350" s="284"/>
      <c r="L350" s="284"/>
    </row>
    <row r="351" spans="1:12" x14ac:dyDescent="0.25">
      <c r="A351" s="1580">
        <v>2104302001</v>
      </c>
      <c r="B351" s="238" t="s">
        <v>2024</v>
      </c>
      <c r="C351" s="385">
        <v>-93930418.859999999</v>
      </c>
      <c r="D351" s="277">
        <v>-60304622.590000004</v>
      </c>
      <c r="E351" s="284"/>
      <c r="F351" s="284"/>
      <c r="G351" s="284"/>
      <c r="H351" s="284"/>
      <c r="I351" s="284"/>
      <c r="J351" s="284"/>
      <c r="K351" s="284"/>
      <c r="L351" s="284"/>
    </row>
    <row r="352" spans="1:12" x14ac:dyDescent="0.25">
      <c r="A352" s="1580">
        <v>2106103000</v>
      </c>
      <c r="B352" s="238" t="s">
        <v>2025</v>
      </c>
      <c r="C352" s="277">
        <v>99521.15</v>
      </c>
      <c r="D352" s="277">
        <v>-136130.85</v>
      </c>
      <c r="E352" s="284"/>
      <c r="F352" s="284"/>
      <c r="G352" s="284"/>
      <c r="H352" s="284"/>
      <c r="I352" s="284"/>
      <c r="J352" s="284"/>
      <c r="K352" s="284"/>
      <c r="L352" s="284"/>
    </row>
    <row r="353" spans="1:12" x14ac:dyDescent="0.25">
      <c r="A353" s="1580">
        <v>2106103001</v>
      </c>
      <c r="B353" s="238" t="s">
        <v>2026</v>
      </c>
      <c r="C353" s="277">
        <v>28881785.190000001</v>
      </c>
      <c r="D353" s="277">
        <v>-8249552.7400000002</v>
      </c>
      <c r="E353" s="284"/>
      <c r="F353" s="284"/>
      <c r="G353" s="284"/>
      <c r="H353" s="284"/>
      <c r="I353" s="284"/>
      <c r="J353" s="284"/>
      <c r="K353" s="284"/>
      <c r="L353" s="284"/>
    </row>
    <row r="354" spans="1:12" x14ac:dyDescent="0.25">
      <c r="A354" s="1580">
        <v>2106103002</v>
      </c>
      <c r="B354" s="238" t="s">
        <v>2027</v>
      </c>
      <c r="C354" s="277">
        <v>3283889.23</v>
      </c>
      <c r="D354" s="277">
        <v>-8349378</v>
      </c>
      <c r="E354" s="284"/>
      <c r="F354" s="284"/>
      <c r="G354" s="284"/>
      <c r="H354" s="284"/>
      <c r="I354" s="284"/>
      <c r="J354" s="284"/>
      <c r="K354" s="284"/>
      <c r="L354" s="284"/>
    </row>
    <row r="355" spans="1:12" x14ac:dyDescent="0.25">
      <c r="A355" s="1580">
        <v>2106201000</v>
      </c>
      <c r="B355" s="238" t="s">
        <v>2028</v>
      </c>
      <c r="C355" s="277">
        <v>-15605</v>
      </c>
      <c r="D355" s="277">
        <v>-31443.86</v>
      </c>
      <c r="E355" s="284"/>
      <c r="F355" s="284"/>
      <c r="G355" s="284"/>
      <c r="H355" s="284"/>
      <c r="I355" s="284"/>
      <c r="J355" s="284"/>
      <c r="K355" s="284"/>
      <c r="L355" s="284"/>
    </row>
    <row r="356" spans="1:12" x14ac:dyDescent="0.25">
      <c r="A356" s="1580">
        <v>2106201004</v>
      </c>
      <c r="B356" s="238" t="s">
        <v>2029</v>
      </c>
      <c r="C356" s="277">
        <v>18531</v>
      </c>
      <c r="D356" s="277">
        <v>0</v>
      </c>
      <c r="E356" s="284"/>
      <c r="F356" s="284"/>
      <c r="G356" s="284"/>
      <c r="H356" s="284"/>
      <c r="I356" s="284"/>
      <c r="J356" s="284"/>
      <c r="K356" s="284"/>
      <c r="L356" s="284"/>
    </row>
    <row r="357" spans="1:12" x14ac:dyDescent="0.25">
      <c r="A357" s="1580">
        <v>2106202000</v>
      </c>
      <c r="B357" s="238" t="s">
        <v>2030</v>
      </c>
      <c r="C357" s="277">
        <v>-126787.5</v>
      </c>
      <c r="D357" s="277">
        <v>-120750</v>
      </c>
      <c r="E357" s="284"/>
      <c r="F357" s="284"/>
      <c r="G357" s="284"/>
      <c r="H357" s="284"/>
      <c r="I357" s="284"/>
      <c r="J357" s="284"/>
      <c r="K357" s="284"/>
      <c r="L357" s="284"/>
    </row>
    <row r="358" spans="1:12" x14ac:dyDescent="0.25">
      <c r="A358" s="1580">
        <v>2106301004</v>
      </c>
      <c r="B358" s="238" t="s">
        <v>2031</v>
      </c>
      <c r="C358" s="277">
        <v>1273872.98</v>
      </c>
      <c r="D358" s="277">
        <v>-750000</v>
      </c>
      <c r="E358" s="284"/>
      <c r="F358" s="284"/>
      <c r="G358" s="284"/>
      <c r="H358" s="284"/>
      <c r="I358" s="284"/>
      <c r="J358" s="284"/>
      <c r="K358" s="284"/>
      <c r="L358" s="284"/>
    </row>
    <row r="359" spans="1:12" x14ac:dyDescent="0.25">
      <c r="A359" s="1580">
        <v>2106501000</v>
      </c>
      <c r="B359" s="238" t="s">
        <v>2032</v>
      </c>
      <c r="C359" s="277">
        <v>370607.61</v>
      </c>
      <c r="D359" s="277">
        <v>-140661</v>
      </c>
      <c r="E359" s="284"/>
      <c r="F359" s="284"/>
      <c r="G359" s="284"/>
      <c r="H359" s="284"/>
      <c r="I359" s="284"/>
      <c r="J359" s="284"/>
      <c r="K359" s="284"/>
      <c r="L359" s="284"/>
    </row>
    <row r="360" spans="1:12" x14ac:dyDescent="0.25">
      <c r="A360" s="1580">
        <v>2106501001</v>
      </c>
      <c r="B360" s="238" t="s">
        <v>2033</v>
      </c>
      <c r="C360" s="277">
        <v>-5544</v>
      </c>
      <c r="D360" s="277">
        <v>0</v>
      </c>
      <c r="E360" s="284"/>
      <c r="F360" s="284"/>
      <c r="G360" s="284"/>
      <c r="H360" s="284"/>
      <c r="I360" s="284"/>
      <c r="J360" s="284"/>
      <c r="K360" s="284"/>
      <c r="L360" s="284"/>
    </row>
    <row r="361" spans="1:12" x14ac:dyDescent="0.25">
      <c r="A361" s="1580">
        <v>2106601000</v>
      </c>
      <c r="B361" s="238" t="s">
        <v>2034</v>
      </c>
      <c r="C361" s="277">
        <v>-30000</v>
      </c>
      <c r="D361" s="277">
        <v>-3140000</v>
      </c>
      <c r="E361" s="284"/>
      <c r="F361" s="284"/>
      <c r="G361" s="284"/>
      <c r="H361" s="284"/>
      <c r="I361" s="284"/>
      <c r="J361" s="284"/>
      <c r="K361" s="284"/>
      <c r="L361" s="284"/>
    </row>
    <row r="362" spans="1:12" x14ac:dyDescent="0.25">
      <c r="A362" s="1580">
        <v>2106601001</v>
      </c>
      <c r="B362" s="238" t="s">
        <v>2035</v>
      </c>
      <c r="C362" s="277">
        <v>-1020464.48</v>
      </c>
      <c r="D362" s="277">
        <v>-3464675.33</v>
      </c>
      <c r="E362" s="284"/>
      <c r="F362" s="284"/>
      <c r="G362" s="284"/>
      <c r="H362" s="284"/>
      <c r="I362" s="284"/>
      <c r="J362" s="284"/>
      <c r="K362" s="284"/>
      <c r="L362" s="284"/>
    </row>
    <row r="363" spans="1:12" x14ac:dyDescent="0.25">
      <c r="A363" s="1580">
        <v>2106703000</v>
      </c>
      <c r="B363" s="238" t="s">
        <v>2036</v>
      </c>
      <c r="C363" s="277">
        <v>-23071613</v>
      </c>
      <c r="D363" s="277">
        <v>0</v>
      </c>
      <c r="E363" s="284"/>
      <c r="F363" s="284"/>
      <c r="G363" s="284"/>
      <c r="H363" s="284"/>
      <c r="I363" s="284"/>
      <c r="J363" s="284"/>
      <c r="K363" s="284"/>
      <c r="L363" s="284"/>
    </row>
    <row r="364" spans="1:12" x14ac:dyDescent="0.25">
      <c r="A364" s="1580">
        <v>2106703001</v>
      </c>
      <c r="B364" s="238" t="s">
        <v>2037</v>
      </c>
      <c r="C364" s="277">
        <v>-99285178.310000002</v>
      </c>
      <c r="D364" s="277">
        <v>0</v>
      </c>
      <c r="E364" s="284"/>
      <c r="F364" s="284"/>
      <c r="G364" s="284"/>
      <c r="H364" s="284"/>
      <c r="I364" s="284"/>
      <c r="J364" s="284"/>
      <c r="K364" s="284"/>
      <c r="L364" s="284"/>
    </row>
    <row r="365" spans="1:12" x14ac:dyDescent="0.25">
      <c r="A365" s="1580">
        <v>2107101000</v>
      </c>
      <c r="B365" s="238" t="s">
        <v>2038</v>
      </c>
      <c r="C365" s="277">
        <v>0</v>
      </c>
      <c r="D365" s="277">
        <v>-12297387</v>
      </c>
      <c r="E365" s="284"/>
      <c r="F365" s="284"/>
      <c r="G365" s="284"/>
      <c r="H365" s="284"/>
      <c r="I365" s="284"/>
      <c r="J365" s="284"/>
      <c r="K365" s="284"/>
      <c r="L365" s="284"/>
    </row>
    <row r="366" spans="1:12" x14ac:dyDescent="0.25">
      <c r="A366" s="1580">
        <v>2107101001</v>
      </c>
      <c r="B366" s="238" t="s">
        <v>2039</v>
      </c>
      <c r="C366" s="277">
        <v>-31357034</v>
      </c>
      <c r="D366" s="277">
        <v>0</v>
      </c>
      <c r="E366" s="284"/>
      <c r="F366" s="284"/>
      <c r="G366" s="284"/>
      <c r="H366" s="284"/>
      <c r="I366" s="284"/>
      <c r="J366" s="284"/>
      <c r="K366" s="284"/>
      <c r="L366" s="284"/>
    </row>
    <row r="367" spans="1:12" x14ac:dyDescent="0.25">
      <c r="A367" s="1580">
        <v>2108101000</v>
      </c>
      <c r="B367" s="238" t="s">
        <v>2040</v>
      </c>
      <c r="C367" s="277">
        <v>0</v>
      </c>
      <c r="D367" s="277">
        <v>-207138914.28999999</v>
      </c>
      <c r="E367" s="284"/>
      <c r="F367" s="284"/>
      <c r="G367" s="284"/>
      <c r="H367" s="284"/>
      <c r="I367" s="284"/>
      <c r="J367" s="284"/>
      <c r="K367" s="284"/>
      <c r="L367" s="284"/>
    </row>
    <row r="368" spans="1:12" x14ac:dyDescent="0.25">
      <c r="A368" s="1580">
        <v>2108600001</v>
      </c>
      <c r="B368" s="238" t="s">
        <v>2041</v>
      </c>
      <c r="C368" s="277">
        <v>-44914640.189999998</v>
      </c>
      <c r="D368" s="277">
        <v>0</v>
      </c>
      <c r="E368" s="284"/>
      <c r="F368" s="284"/>
      <c r="G368" s="284"/>
      <c r="H368" s="284"/>
      <c r="I368" s="284"/>
      <c r="J368" s="284"/>
      <c r="K368" s="284"/>
      <c r="L368" s="284"/>
    </row>
    <row r="369" spans="1:12" x14ac:dyDescent="0.25">
      <c r="A369" s="1580">
        <v>2201101000</v>
      </c>
      <c r="B369" s="238" t="s">
        <v>2042</v>
      </c>
      <c r="C369" s="277">
        <v>19150082.350000001</v>
      </c>
      <c r="D369" s="277">
        <v>-81665921.010000005</v>
      </c>
      <c r="E369" s="284"/>
      <c r="F369" s="284"/>
      <c r="G369" s="284"/>
      <c r="H369" s="377"/>
      <c r="I369" s="284"/>
      <c r="J369" s="284"/>
      <c r="K369" s="284"/>
      <c r="L369" s="377"/>
    </row>
    <row r="370" spans="1:12" x14ac:dyDescent="0.25">
      <c r="A370" s="1580">
        <v>2201101002</v>
      </c>
      <c r="B370" s="238" t="s">
        <v>2043</v>
      </c>
      <c r="C370" s="277">
        <v>2238705.0099999998</v>
      </c>
      <c r="D370" s="277">
        <v>-6500235.7300000004</v>
      </c>
      <c r="E370" s="284"/>
      <c r="F370" s="284"/>
      <c r="G370" s="284"/>
      <c r="H370" s="284"/>
      <c r="I370" s="284"/>
      <c r="J370" s="284"/>
      <c r="K370" s="284"/>
      <c r="L370" s="284"/>
    </row>
    <row r="371" spans="1:12" x14ac:dyDescent="0.25">
      <c r="A371" s="1580">
        <v>2204201000</v>
      </c>
      <c r="B371" s="238" t="s">
        <v>2044</v>
      </c>
      <c r="C371" s="277">
        <v>93930418.859999999</v>
      </c>
      <c r="D371" s="277">
        <v>-348615398.00999999</v>
      </c>
      <c r="E371" s="284"/>
      <c r="F371" s="284"/>
      <c r="G371" s="284"/>
      <c r="H371" s="284"/>
      <c r="I371" s="284"/>
      <c r="J371" s="284"/>
      <c r="K371" s="284"/>
      <c r="L371" s="284"/>
    </row>
    <row r="372" spans="1:12" x14ac:dyDescent="0.25">
      <c r="A372" s="1580">
        <v>2204203000</v>
      </c>
      <c r="B372" s="238" t="s">
        <v>2045</v>
      </c>
      <c r="C372" s="384">
        <v>0</v>
      </c>
      <c r="D372" s="384">
        <v>-300000000</v>
      </c>
      <c r="E372" s="284"/>
      <c r="F372" s="284"/>
      <c r="G372" s="284"/>
      <c r="H372" s="284"/>
      <c r="I372" s="284"/>
      <c r="J372" s="284"/>
      <c r="K372" s="284"/>
      <c r="L372" s="284"/>
    </row>
    <row r="373" spans="1:12" x14ac:dyDescent="0.25">
      <c r="A373" s="1580">
        <v>2207101000</v>
      </c>
      <c r="B373" s="238" t="s">
        <v>2046</v>
      </c>
      <c r="C373" s="385">
        <v>0</v>
      </c>
      <c r="D373" s="277">
        <v>-26450209.940000001</v>
      </c>
      <c r="E373" s="284"/>
      <c r="F373" s="284"/>
      <c r="G373" s="284"/>
      <c r="H373" s="284"/>
      <c r="I373" s="284"/>
      <c r="J373" s="284"/>
      <c r="K373" s="284"/>
      <c r="L373" s="284"/>
    </row>
    <row r="374" spans="1:12" x14ac:dyDescent="0.25">
      <c r="A374" s="1580">
        <v>2207101001</v>
      </c>
      <c r="B374" s="238" t="s">
        <v>2047</v>
      </c>
      <c r="C374" s="277">
        <v>-5023717.46</v>
      </c>
      <c r="D374" s="277">
        <v>-40890756.460000001</v>
      </c>
      <c r="E374" s="284"/>
      <c r="F374" s="284"/>
      <c r="G374" s="284"/>
      <c r="H374" s="284"/>
      <c r="I374" s="284"/>
      <c r="J374" s="284"/>
      <c r="K374" s="284"/>
      <c r="L374" s="284"/>
    </row>
    <row r="375" spans="1:12" x14ac:dyDescent="0.25">
      <c r="A375" s="1580">
        <v>3101101000</v>
      </c>
      <c r="B375" s="238" t="s">
        <v>2048</v>
      </c>
      <c r="C375" s="277">
        <v>0</v>
      </c>
      <c r="D375" s="277">
        <v>-854082000</v>
      </c>
      <c r="E375" s="284"/>
      <c r="F375" s="284"/>
      <c r="G375" s="284"/>
      <c r="H375" s="284"/>
      <c r="I375" s="284"/>
      <c r="J375" s="284"/>
      <c r="K375" s="284"/>
      <c r="L375" s="284"/>
    </row>
    <row r="376" spans="1:12" x14ac:dyDescent="0.25">
      <c r="A376" s="1580">
        <v>3103101000</v>
      </c>
      <c r="B376" s="238" t="s">
        <v>2049</v>
      </c>
      <c r="C376" s="277">
        <v>146583028.18000001</v>
      </c>
      <c r="D376" s="277">
        <v>-3277954946.4400001</v>
      </c>
      <c r="E376" s="284"/>
      <c r="F376" s="284"/>
      <c r="G376" s="284"/>
      <c r="H376" s="284"/>
      <c r="I376" s="284"/>
      <c r="J376" s="284"/>
      <c r="K376" s="284"/>
      <c r="L376" s="284"/>
    </row>
    <row r="377" spans="1:12" x14ac:dyDescent="0.25">
      <c r="A377" s="1580">
        <v>3104104000</v>
      </c>
      <c r="B377" s="238" t="s">
        <v>2050</v>
      </c>
      <c r="C377" s="277">
        <v>0</v>
      </c>
      <c r="D377" s="277">
        <v>-92308400</v>
      </c>
      <c r="E377" s="284"/>
      <c r="F377" s="284"/>
      <c r="G377" s="284"/>
      <c r="H377" s="377"/>
      <c r="I377" s="284"/>
      <c r="J377" s="284"/>
      <c r="K377" s="284"/>
      <c r="L377" s="377"/>
    </row>
    <row r="378" spans="1:12" x14ac:dyDescent="0.25">
      <c r="A378" s="238">
        <v>3101101000</v>
      </c>
      <c r="B378" s="238" t="s">
        <v>888</v>
      </c>
      <c r="C378" s="277">
        <f t="shared" ref="C378:C390" si="0">SUM(E378:G378)</f>
        <v>0</v>
      </c>
      <c r="D378" s="277">
        <f>SUM(I378:K378)</f>
        <v>0</v>
      </c>
      <c r="E378" s="284"/>
      <c r="F378" s="284"/>
      <c r="G378" s="284"/>
      <c r="H378" s="284"/>
      <c r="I378" s="284"/>
      <c r="J378" s="284"/>
      <c r="K378" s="284"/>
      <c r="L378" s="284"/>
    </row>
    <row r="379" spans="1:12" x14ac:dyDescent="0.25">
      <c r="A379" s="238">
        <v>3103101000</v>
      </c>
      <c r="B379" s="238" t="s">
        <v>889</v>
      </c>
      <c r="C379" s="277">
        <f t="shared" si="0"/>
        <v>0</v>
      </c>
      <c r="D379" s="277">
        <f>SUM(I379:K379)</f>
        <v>0</v>
      </c>
      <c r="E379" s="284"/>
      <c r="F379" s="284"/>
      <c r="G379" s="284"/>
      <c r="H379" s="330"/>
      <c r="I379" s="284"/>
      <c r="J379" s="284"/>
      <c r="K379" s="284"/>
      <c r="L379" s="284"/>
    </row>
    <row r="380" spans="1:12" x14ac:dyDescent="0.25">
      <c r="A380" s="238">
        <v>3103105000</v>
      </c>
      <c r="B380" s="238" t="s">
        <v>890</v>
      </c>
      <c r="C380" s="277">
        <f t="shared" si="0"/>
        <v>0</v>
      </c>
      <c r="D380" s="277">
        <f>SUM(I380:K380)</f>
        <v>0</v>
      </c>
      <c r="E380" s="284"/>
      <c r="F380" s="284"/>
      <c r="G380" s="284"/>
      <c r="H380" s="284"/>
      <c r="I380" s="284"/>
      <c r="J380" s="284"/>
      <c r="K380" s="284"/>
      <c r="L380" s="284"/>
    </row>
    <row r="381" spans="1:12" x14ac:dyDescent="0.25">
      <c r="A381" s="238">
        <v>3104104000</v>
      </c>
      <c r="B381" s="238" t="s">
        <v>72</v>
      </c>
      <c r="C381" s="277">
        <f t="shared" si="0"/>
        <v>0</v>
      </c>
      <c r="D381" s="277">
        <f>SUM(I381:K381)</f>
        <v>0</v>
      </c>
      <c r="E381" s="284"/>
      <c r="F381" s="284"/>
      <c r="G381" s="284"/>
      <c r="H381" s="284"/>
      <c r="I381" s="284"/>
      <c r="J381" s="284"/>
      <c r="K381" s="284"/>
      <c r="L381" s="284"/>
    </row>
    <row r="382" spans="1:12" x14ac:dyDescent="0.25">
      <c r="A382" s="238" t="s">
        <v>1242</v>
      </c>
      <c r="B382" s="238" t="s">
        <v>1190</v>
      </c>
      <c r="C382" s="277">
        <f t="shared" si="0"/>
        <v>0</v>
      </c>
      <c r="D382" s="277"/>
      <c r="E382" s="284"/>
      <c r="F382" s="284"/>
      <c r="G382" s="284"/>
      <c r="H382" s="284"/>
      <c r="I382" s="284"/>
      <c r="J382" s="284"/>
      <c r="K382" s="284"/>
      <c r="L382" s="284"/>
    </row>
    <row r="383" spans="1:12" x14ac:dyDescent="0.25">
      <c r="A383" s="238" t="s">
        <v>1242</v>
      </c>
      <c r="B383" s="238" t="s">
        <v>1194</v>
      </c>
      <c r="C383" s="277">
        <f t="shared" si="0"/>
        <v>0</v>
      </c>
      <c r="D383" s="277"/>
      <c r="E383" s="284"/>
      <c r="F383" s="284"/>
      <c r="G383" s="284"/>
      <c r="H383" s="284"/>
      <c r="I383" s="284"/>
      <c r="J383" s="284"/>
      <c r="K383" s="284"/>
      <c r="L383" s="284"/>
    </row>
    <row r="384" spans="1:12" x14ac:dyDescent="0.25">
      <c r="A384" s="238" t="s">
        <v>1243</v>
      </c>
      <c r="B384" s="274" t="s">
        <v>1196</v>
      </c>
      <c r="C384" s="277">
        <f t="shared" si="0"/>
        <v>0</v>
      </c>
      <c r="D384" s="277"/>
      <c r="E384" s="284"/>
      <c r="F384" s="284"/>
      <c r="G384" s="284"/>
      <c r="H384" s="284"/>
      <c r="I384" s="284"/>
      <c r="J384" s="284"/>
      <c r="K384" s="284"/>
      <c r="L384" s="284"/>
    </row>
    <row r="385" spans="1:12" x14ac:dyDescent="0.25">
      <c r="A385" s="238" t="s">
        <v>1272</v>
      </c>
      <c r="B385" s="238" t="s">
        <v>1271</v>
      </c>
      <c r="C385" s="277">
        <f t="shared" si="0"/>
        <v>0</v>
      </c>
      <c r="D385" s="277"/>
      <c r="E385" s="284"/>
      <c r="F385" s="284"/>
      <c r="G385" s="284"/>
      <c r="H385" s="284"/>
      <c r="I385" s="284"/>
      <c r="J385" s="284"/>
      <c r="K385" s="284"/>
      <c r="L385" s="284"/>
    </row>
    <row r="386" spans="1:12" x14ac:dyDescent="0.25">
      <c r="A386" s="238" t="s">
        <v>1276</v>
      </c>
      <c r="B386" s="238" t="s">
        <v>1281</v>
      </c>
      <c r="C386" s="277">
        <f t="shared" si="0"/>
        <v>0</v>
      </c>
      <c r="D386" s="277"/>
      <c r="E386" s="284"/>
      <c r="F386" s="284"/>
      <c r="G386" s="284"/>
      <c r="H386" s="284"/>
      <c r="I386" s="284"/>
      <c r="J386" s="284"/>
      <c r="K386" s="284"/>
      <c r="L386" s="284"/>
    </row>
    <row r="387" spans="1:12" x14ac:dyDescent="0.25">
      <c r="A387" s="238" t="s">
        <v>1284</v>
      </c>
      <c r="B387" s="238" t="s">
        <v>1283</v>
      </c>
      <c r="C387" s="277">
        <f t="shared" si="0"/>
        <v>0</v>
      </c>
      <c r="D387" s="277"/>
      <c r="E387" s="284"/>
      <c r="F387" s="284"/>
      <c r="G387" s="284"/>
      <c r="H387" s="284"/>
      <c r="I387" s="284"/>
      <c r="J387" s="284"/>
      <c r="K387" s="284"/>
      <c r="L387" s="284"/>
    </row>
    <row r="388" spans="1:12" x14ac:dyDescent="0.25">
      <c r="A388" s="238" t="s">
        <v>1276</v>
      </c>
      <c r="B388" s="238" t="s">
        <v>1285</v>
      </c>
      <c r="C388" s="277">
        <f t="shared" si="0"/>
        <v>0</v>
      </c>
      <c r="D388" s="277"/>
      <c r="E388" s="284"/>
      <c r="F388" s="284"/>
      <c r="G388" s="284"/>
      <c r="H388" s="284"/>
      <c r="I388" s="284"/>
      <c r="J388" s="284"/>
      <c r="K388" s="284"/>
      <c r="L388" s="284"/>
    </row>
    <row r="389" spans="1:12" x14ac:dyDescent="0.25">
      <c r="A389" s="238" t="s">
        <v>1289</v>
      </c>
      <c r="B389" s="238" t="s">
        <v>1288</v>
      </c>
      <c r="C389" s="277">
        <f t="shared" si="0"/>
        <v>0</v>
      </c>
      <c r="D389" s="277"/>
      <c r="E389" s="284"/>
      <c r="F389" s="284"/>
      <c r="G389" s="284"/>
      <c r="H389" s="284"/>
      <c r="I389" s="284"/>
      <c r="J389" s="284"/>
      <c r="K389" s="284"/>
      <c r="L389" s="284"/>
    </row>
    <row r="390" spans="1:12" x14ac:dyDescent="0.25">
      <c r="A390" s="238" t="s">
        <v>1349</v>
      </c>
      <c r="B390" s="238" t="s">
        <v>1348</v>
      </c>
      <c r="C390" s="277">
        <f t="shared" si="0"/>
        <v>0</v>
      </c>
      <c r="D390" s="277"/>
      <c r="E390" s="284"/>
      <c r="F390" s="284"/>
      <c r="G390" s="284"/>
      <c r="H390" s="284"/>
      <c r="I390" s="284"/>
      <c r="J390" s="284"/>
      <c r="K390" s="284"/>
      <c r="L390" s="284"/>
    </row>
    <row r="391" spans="1:12" x14ac:dyDescent="0.25">
      <c r="A391" s="238" t="s">
        <v>1350</v>
      </c>
      <c r="B391" s="238" t="s">
        <v>1338</v>
      </c>
      <c r="C391" s="277"/>
      <c r="D391" s="277"/>
      <c r="E391" s="284"/>
      <c r="F391" s="284"/>
      <c r="G391" s="284"/>
      <c r="H391" s="284"/>
      <c r="I391" s="284"/>
      <c r="J391" s="284"/>
      <c r="K391" s="284"/>
      <c r="L391" s="284"/>
    </row>
    <row r="392" spans="1:12" x14ac:dyDescent="0.25">
      <c r="A392" s="238" t="s">
        <v>1243</v>
      </c>
      <c r="B392" s="263" t="s">
        <v>1260</v>
      </c>
      <c r="C392" s="277"/>
      <c r="D392" s="277"/>
      <c r="E392" s="284"/>
      <c r="F392" s="284"/>
      <c r="G392" s="284"/>
      <c r="H392" s="284"/>
      <c r="I392" s="284"/>
      <c r="J392" s="284"/>
      <c r="K392" s="284"/>
      <c r="L392" s="284"/>
    </row>
    <row r="393" spans="1:12" x14ac:dyDescent="0.25">
      <c r="A393" s="238" t="s">
        <v>1355</v>
      </c>
      <c r="B393" s="274" t="s">
        <v>1389</v>
      </c>
      <c r="C393" s="277"/>
      <c r="D393" s="277"/>
      <c r="E393" s="284"/>
      <c r="F393" s="284"/>
      <c r="G393" s="284"/>
      <c r="H393" s="284"/>
      <c r="I393" s="284"/>
      <c r="J393" s="284"/>
      <c r="K393" s="284"/>
      <c r="L393" s="284"/>
    </row>
    <row r="394" spans="1:12" x14ac:dyDescent="0.25">
      <c r="A394" s="238"/>
      <c r="B394" s="238"/>
      <c r="C394" s="277"/>
      <c r="D394" s="277"/>
      <c r="E394" s="284"/>
      <c r="F394" s="284"/>
      <c r="G394" s="284"/>
      <c r="H394" s="284"/>
      <c r="I394" s="284"/>
      <c r="J394" s="284"/>
      <c r="K394" s="284"/>
      <c r="L394" s="284"/>
    </row>
    <row r="395" spans="1:12" x14ac:dyDescent="0.25">
      <c r="A395" s="238"/>
      <c r="B395" s="238"/>
      <c r="C395" s="277"/>
      <c r="D395" s="277"/>
      <c r="E395" s="284"/>
      <c r="F395" s="284"/>
      <c r="G395" s="284"/>
      <c r="H395" s="284"/>
      <c r="I395" s="284"/>
      <c r="J395" s="284"/>
      <c r="K395" s="284"/>
      <c r="L395" s="284"/>
    </row>
    <row r="396" spans="1:12" x14ac:dyDescent="0.25">
      <c r="A396" s="238"/>
      <c r="B396" s="238"/>
      <c r="C396" s="277"/>
      <c r="D396" s="277"/>
      <c r="E396" s="284"/>
      <c r="F396" s="284"/>
      <c r="G396" s="284"/>
      <c r="H396" s="284"/>
      <c r="I396" s="284"/>
      <c r="J396" s="284"/>
      <c r="K396" s="284"/>
      <c r="L396" s="284"/>
    </row>
    <row r="397" spans="1:12" x14ac:dyDescent="0.25">
      <c r="A397" s="238"/>
      <c r="B397" s="238"/>
      <c r="C397" s="277"/>
      <c r="D397" s="277"/>
      <c r="E397" s="284"/>
      <c r="F397" s="284"/>
      <c r="G397" s="284"/>
      <c r="H397" s="284"/>
      <c r="I397" s="284"/>
      <c r="J397" s="284"/>
      <c r="K397" s="284"/>
      <c r="L397" s="284"/>
    </row>
    <row r="398" spans="1:12" x14ac:dyDescent="0.25">
      <c r="A398" s="238"/>
      <c r="B398" s="238"/>
      <c r="C398" s="277"/>
      <c r="D398" s="277"/>
      <c r="E398" s="284"/>
      <c r="F398" s="284"/>
      <c r="G398" s="284"/>
      <c r="H398" s="284"/>
      <c r="I398" s="284"/>
      <c r="J398" s="284"/>
      <c r="K398" s="284"/>
      <c r="L398" s="284"/>
    </row>
    <row r="399" spans="1:12" x14ac:dyDescent="0.25">
      <c r="A399" s="238"/>
      <c r="B399" s="238"/>
      <c r="C399" s="277"/>
      <c r="D399" s="277"/>
      <c r="E399" s="284"/>
      <c r="F399" s="284"/>
      <c r="G399" s="284"/>
      <c r="H399" s="284"/>
      <c r="I399" s="284"/>
      <c r="J399" s="284"/>
      <c r="K399" s="284"/>
      <c r="L399" s="284"/>
    </row>
    <row r="400" spans="1:12" x14ac:dyDescent="0.25">
      <c r="A400" s="238"/>
      <c r="B400" s="238"/>
      <c r="C400" s="277"/>
      <c r="D400" s="277"/>
      <c r="E400" s="284"/>
      <c r="F400" s="284"/>
      <c r="G400" s="284"/>
      <c r="H400" s="284"/>
      <c r="I400" s="284"/>
      <c r="J400" s="284"/>
      <c r="K400" s="284"/>
      <c r="L400" s="284"/>
    </row>
    <row r="401" spans="1:12" x14ac:dyDescent="0.25">
      <c r="A401" s="238"/>
      <c r="B401" s="238"/>
      <c r="C401" s="277"/>
      <c r="D401" s="277"/>
      <c r="E401" s="284"/>
      <c r="F401" s="284"/>
      <c r="G401" s="284"/>
      <c r="H401" s="284"/>
      <c r="I401" s="284"/>
      <c r="J401" s="284"/>
      <c r="K401" s="284"/>
      <c r="L401" s="284"/>
    </row>
    <row r="402" spans="1:12" x14ac:dyDescent="0.25">
      <c r="A402" s="238"/>
      <c r="B402" s="238"/>
      <c r="C402" s="277"/>
      <c r="D402" s="277"/>
      <c r="E402" s="284"/>
      <c r="F402" s="284"/>
      <c r="G402" s="284"/>
      <c r="H402" s="284"/>
      <c r="I402" s="284"/>
      <c r="J402" s="284"/>
      <c r="K402" s="284"/>
      <c r="L402" s="284"/>
    </row>
    <row r="403" spans="1:12" x14ac:dyDescent="0.25">
      <c r="A403" s="238"/>
      <c r="B403" s="238"/>
      <c r="C403" s="277"/>
      <c r="D403" s="277"/>
      <c r="E403" s="284"/>
      <c r="F403" s="284"/>
      <c r="G403" s="284"/>
      <c r="H403" s="284"/>
      <c r="I403" s="284"/>
      <c r="J403" s="284"/>
      <c r="K403" s="284"/>
      <c r="L403" s="284"/>
    </row>
    <row r="404" spans="1:12" x14ac:dyDescent="0.25">
      <c r="A404" s="238"/>
      <c r="B404" s="238"/>
      <c r="C404" s="277"/>
      <c r="D404" s="277"/>
      <c r="E404" s="284"/>
      <c r="F404" s="284"/>
      <c r="G404" s="284"/>
      <c r="H404" s="284"/>
      <c r="I404" s="284"/>
      <c r="J404" s="284"/>
      <c r="K404" s="284"/>
      <c r="L404" s="284"/>
    </row>
    <row r="405" spans="1:12" x14ac:dyDescent="0.25">
      <c r="A405" s="238"/>
      <c r="B405" s="238"/>
      <c r="C405" s="277"/>
      <c r="D405" s="277"/>
      <c r="E405" s="284"/>
      <c r="F405" s="284"/>
      <c r="G405" s="284"/>
      <c r="H405" s="284"/>
      <c r="I405" s="284"/>
      <c r="J405" s="284"/>
      <c r="K405" s="284"/>
      <c r="L405" s="284"/>
    </row>
    <row r="406" spans="1:12" x14ac:dyDescent="0.25">
      <c r="A406" s="238"/>
      <c r="B406" s="238"/>
      <c r="C406" s="277"/>
      <c r="D406" s="277"/>
      <c r="E406" s="284"/>
      <c r="F406" s="284"/>
      <c r="G406" s="284"/>
      <c r="H406" s="284"/>
      <c r="I406" s="284"/>
      <c r="J406" s="284"/>
      <c r="K406" s="284"/>
      <c r="L406" s="284"/>
    </row>
    <row r="407" spans="1:12" x14ac:dyDescent="0.25">
      <c r="A407" s="238"/>
      <c r="B407" s="238"/>
      <c r="C407" s="277"/>
      <c r="D407" s="277"/>
      <c r="E407" s="284"/>
      <c r="F407" s="284"/>
      <c r="G407" s="284"/>
      <c r="H407" s="284"/>
      <c r="I407" s="284"/>
      <c r="J407" s="284"/>
      <c r="K407" s="284"/>
      <c r="L407" s="284"/>
    </row>
    <row r="408" spans="1:12" x14ac:dyDescent="0.25">
      <c r="A408" s="238"/>
      <c r="B408" s="238"/>
      <c r="C408" s="277"/>
      <c r="D408" s="277"/>
      <c r="E408" s="284"/>
      <c r="F408" s="284"/>
      <c r="G408" s="284"/>
      <c r="H408" s="284"/>
      <c r="I408" s="284"/>
      <c r="J408" s="284"/>
      <c r="K408" s="284"/>
      <c r="L408" s="284"/>
    </row>
    <row r="409" spans="1:12" x14ac:dyDescent="0.25">
      <c r="A409" s="238"/>
      <c r="B409" s="238"/>
      <c r="C409" s="277"/>
      <c r="D409" s="277"/>
      <c r="E409" s="284"/>
      <c r="F409" s="284"/>
      <c r="G409" s="284"/>
      <c r="H409" s="284"/>
      <c r="I409" s="284"/>
      <c r="J409" s="284"/>
      <c r="K409" s="284"/>
      <c r="L409" s="284"/>
    </row>
    <row r="410" spans="1:12" x14ac:dyDescent="0.25">
      <c r="A410" s="238"/>
      <c r="B410" s="238"/>
      <c r="C410" s="277"/>
      <c r="D410" s="277"/>
      <c r="E410" s="284"/>
      <c r="F410" s="284"/>
      <c r="G410" s="284"/>
      <c r="H410" s="284"/>
      <c r="I410" s="284"/>
      <c r="J410" s="284"/>
      <c r="K410" s="284"/>
      <c r="L410" s="284"/>
    </row>
    <row r="411" spans="1:12" x14ac:dyDescent="0.25">
      <c r="A411" s="238"/>
      <c r="B411" s="238"/>
      <c r="C411" s="277"/>
      <c r="D411" s="277"/>
      <c r="E411" s="284"/>
      <c r="F411" s="284"/>
      <c r="G411" s="284"/>
      <c r="H411" s="284"/>
      <c r="I411" s="284"/>
      <c r="J411" s="284"/>
      <c r="K411" s="284"/>
      <c r="L411" s="284"/>
    </row>
    <row r="412" spans="1:12" x14ac:dyDescent="0.25">
      <c r="A412" s="238"/>
      <c r="B412" s="238"/>
      <c r="C412" s="277"/>
      <c r="D412" s="277"/>
      <c r="E412" s="284"/>
      <c r="F412" s="284"/>
      <c r="G412" s="284"/>
      <c r="H412" s="284"/>
      <c r="I412" s="284"/>
      <c r="J412" s="284"/>
      <c r="K412" s="284"/>
      <c r="L412" s="284"/>
    </row>
    <row r="413" spans="1:12" x14ac:dyDescent="0.25">
      <c r="A413" s="238"/>
      <c r="B413" s="238"/>
      <c r="C413" s="277"/>
      <c r="D413" s="277"/>
      <c r="E413" s="284"/>
      <c r="F413" s="284"/>
      <c r="G413" s="284"/>
      <c r="H413" s="284"/>
      <c r="I413" s="284"/>
      <c r="J413" s="284"/>
      <c r="K413" s="284"/>
      <c r="L413" s="284"/>
    </row>
    <row r="414" spans="1:12" x14ac:dyDescent="0.25">
      <c r="A414" s="238"/>
      <c r="B414" s="238"/>
      <c r="C414" s="277"/>
      <c r="D414" s="277"/>
      <c r="E414" s="284"/>
      <c r="F414" s="284"/>
      <c r="G414" s="284"/>
      <c r="H414" s="284"/>
      <c r="I414" s="284"/>
      <c r="J414" s="284"/>
      <c r="K414" s="284"/>
      <c r="L414" s="284"/>
    </row>
  </sheetData>
  <mergeCells count="2">
    <mergeCell ref="E5:H5"/>
    <mergeCell ref="I5:L5"/>
  </mergeCells>
  <pageMargins left="0.7" right="0.7" top="0.75" bottom="0.75" header="0.3" footer="0.3"/>
  <pageSetup scale="8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EV653"/>
  <sheetViews>
    <sheetView showGridLines="0" workbookViewId="0">
      <selection activeCell="C505" sqref="C505"/>
    </sheetView>
  </sheetViews>
  <sheetFormatPr defaultColWidth="9.140625" defaultRowHeight="15.75" x14ac:dyDescent="0.25"/>
  <cols>
    <col min="1" max="1" width="21.5703125" style="60" customWidth="1"/>
    <col min="2" max="2" width="48.7109375" style="93" bestFit="1" customWidth="1"/>
    <col min="3" max="3" width="24.42578125" style="57" customWidth="1"/>
    <col min="4" max="4" width="19.42578125" style="57" bestFit="1" customWidth="1"/>
    <col min="5" max="16384" width="9.140625" style="3"/>
  </cols>
  <sheetData>
    <row r="1" spans="1:4" s="136" customFormat="1" ht="31.5" x14ac:dyDescent="0.25">
      <c r="A1" s="133" t="s">
        <v>158</v>
      </c>
      <c r="B1" s="134" t="s">
        <v>159</v>
      </c>
      <c r="C1" s="135">
        <v>2019</v>
      </c>
      <c r="D1" s="135">
        <v>2018</v>
      </c>
    </row>
    <row r="2" spans="1:4" x14ac:dyDescent="0.25">
      <c r="A2" s="137">
        <v>1214101000</v>
      </c>
      <c r="B2" s="89" t="s">
        <v>330</v>
      </c>
      <c r="C2" s="56">
        <f>IFERROR(VLOOKUP(A2,'SAP '!$A$8:$D$393,3,0),0)</f>
        <v>0</v>
      </c>
      <c r="D2" s="184">
        <f>IFERROR(VLOOKUP(A2,'SAP '!A:D,4,0),0)</f>
        <v>98999078.310000002</v>
      </c>
    </row>
    <row r="3" spans="1:4" x14ac:dyDescent="0.25">
      <c r="A3" s="137">
        <v>1214106000</v>
      </c>
      <c r="B3" s="89" t="s">
        <v>21</v>
      </c>
      <c r="C3" s="56">
        <f>IFERROR(VLOOKUP(A3,'SAP '!$A$8:$D$393,3,0),0)</f>
        <v>13432698.130000001</v>
      </c>
      <c r="D3" s="184">
        <f>IFERROR(VLOOKUP(A3,'SAP '!A:D,4,0),0)</f>
        <v>628100728.63</v>
      </c>
    </row>
    <row r="4" spans="1:4" x14ac:dyDescent="0.25">
      <c r="A4" s="137">
        <v>1214107000</v>
      </c>
      <c r="B4" s="89" t="s">
        <v>331</v>
      </c>
      <c r="C4" s="56">
        <f>IFERROR(VLOOKUP(A4,'SAP '!$A$8:$D$393,3,0),0)</f>
        <v>-3851528.22</v>
      </c>
      <c r="D4" s="184">
        <f>IFERROR(VLOOKUP(A4,'SAP '!A:D,4,0),0)</f>
        <v>-154859340.40000001</v>
      </c>
    </row>
    <row r="5" spans="1:4" x14ac:dyDescent="0.25">
      <c r="A5" s="137">
        <v>1214201000</v>
      </c>
      <c r="B5" s="89" t="s">
        <v>332</v>
      </c>
      <c r="C5" s="56">
        <f>IFERROR(VLOOKUP(A5,'SAP '!$A$8:$D$393,3,0),0)</f>
        <v>-31489208.789999999</v>
      </c>
      <c r="D5" s="184">
        <f>IFERROR(VLOOKUP(A5,'SAP '!A:D,4,0),0)</f>
        <v>6152614646.0500002</v>
      </c>
    </row>
    <row r="6" spans="1:4" x14ac:dyDescent="0.25">
      <c r="A6" s="137">
        <v>1214202000</v>
      </c>
      <c r="B6" s="89" t="s">
        <v>333</v>
      </c>
      <c r="C6" s="56">
        <f>IFERROR(VLOOKUP(A6,'SAP '!$A$8:$D$393,3,0),0)</f>
        <v>21021177.539999999</v>
      </c>
      <c r="D6" s="184">
        <f>IFERROR(VLOOKUP(A6,'SAP '!A:D,4,0),0)</f>
        <v>-4186995894.9200001</v>
      </c>
    </row>
    <row r="7" spans="1:4" x14ac:dyDescent="0.25">
      <c r="A7" s="137">
        <v>1214601000</v>
      </c>
      <c r="B7" s="89" t="s">
        <v>343</v>
      </c>
      <c r="C7" s="56">
        <f>IFERROR(VLOOKUP(A7,'SAP '!$A$8:$D$393,3,0),0)</f>
        <v>0</v>
      </c>
      <c r="D7" s="184">
        <f>IFERROR(VLOOKUP(A7,'SAP '!A:D,4,0),0)</f>
        <v>54049476.759999998</v>
      </c>
    </row>
    <row r="8" spans="1:4" x14ac:dyDescent="0.25">
      <c r="A8" s="137">
        <v>1214602000</v>
      </c>
      <c r="B8" s="89" t="s">
        <v>344</v>
      </c>
      <c r="C8" s="56">
        <f>IFERROR(VLOOKUP(A8,'SAP '!$A$8:$D$393,3,0),0)</f>
        <v>-768604</v>
      </c>
      <c r="D8" s="184">
        <f>IFERROR(VLOOKUP(A8,'SAP '!A:D,4,0),0)</f>
        <v>-16572191.67</v>
      </c>
    </row>
    <row r="9" spans="1:4" x14ac:dyDescent="0.25">
      <c r="A9" s="137">
        <v>1214301000</v>
      </c>
      <c r="B9" s="89" t="s">
        <v>334</v>
      </c>
      <c r="C9" s="56">
        <f>IFERROR(VLOOKUP(A9,'SAP '!$A$8:$D$393,3,0),0)</f>
        <v>-1567686.13</v>
      </c>
      <c r="D9" s="184">
        <f>IFERROR(VLOOKUP(A9,'SAP '!A:D,4,0),0)</f>
        <v>97456200.310000002</v>
      </c>
    </row>
    <row r="10" spans="1:4" x14ac:dyDescent="0.25">
      <c r="A10" s="137">
        <v>1214302000</v>
      </c>
      <c r="B10" s="89" t="s">
        <v>336</v>
      </c>
      <c r="C10" s="56">
        <f>IFERROR(VLOOKUP(A10,'SAP '!$A$8:$D$393,3,0),0)</f>
        <v>1827385.18</v>
      </c>
      <c r="D10" s="184">
        <f>IFERROR(VLOOKUP(A10,'SAP '!A:D,4,0),0)</f>
        <v>-72687473.939999998</v>
      </c>
    </row>
    <row r="11" spans="1:4" x14ac:dyDescent="0.25">
      <c r="A11" s="137">
        <v>1214401000</v>
      </c>
      <c r="B11" s="89" t="s">
        <v>338</v>
      </c>
      <c r="C11" s="56">
        <f>IFERROR(VLOOKUP(A11,'SAP '!$A$8:$D$393,3,0),0)</f>
        <v>4592998.5199999996</v>
      </c>
      <c r="D11" s="184">
        <f>IFERROR(VLOOKUP(A11,'SAP '!A:D,4,0),0)</f>
        <v>1501022313.52</v>
      </c>
    </row>
    <row r="12" spans="1:4" x14ac:dyDescent="0.25">
      <c r="A12" s="137">
        <v>1214401001</v>
      </c>
      <c r="B12" s="89" t="s">
        <v>339</v>
      </c>
      <c r="C12" s="56">
        <f>IFERROR(VLOOKUP(A12,'SAP '!$A$8:$D$393,3,0),0)</f>
        <v>1989479.77</v>
      </c>
      <c r="D12" s="184">
        <f>IFERROR(VLOOKUP(A12,'SAP '!A:D,4,0),0)</f>
        <v>431547202.61000001</v>
      </c>
    </row>
    <row r="13" spans="1:4" x14ac:dyDescent="0.25">
      <c r="A13" s="137">
        <v>1214402000</v>
      </c>
      <c r="B13" s="89" t="s">
        <v>340</v>
      </c>
      <c r="C13" s="56">
        <f>IFERROR(VLOOKUP(A13,'SAP '!$A$8:$D$393,3,0),0)</f>
        <v>-49207417.659999996</v>
      </c>
      <c r="D13" s="184">
        <f>IFERROR(VLOOKUP(A13,'SAP '!A:D,4,0),0)</f>
        <v>-772887461.53999996</v>
      </c>
    </row>
    <row r="14" spans="1:4" x14ac:dyDescent="0.25">
      <c r="A14" s="137">
        <v>1214402001</v>
      </c>
      <c r="B14" s="89" t="s">
        <v>341</v>
      </c>
      <c r="C14" s="56">
        <f>IFERROR(VLOOKUP(A14,'SAP '!$A$8:$D$393,3,0),0)</f>
        <v>-3815811</v>
      </c>
      <c r="D14" s="184">
        <f>IFERROR(VLOOKUP(A14,'SAP '!A:D,4,0),0)</f>
        <v>-120459174.66</v>
      </c>
    </row>
    <row r="15" spans="1:4" x14ac:dyDescent="0.25">
      <c r="A15" s="137">
        <v>1214301001</v>
      </c>
      <c r="B15" s="89" t="s">
        <v>335</v>
      </c>
      <c r="C15" s="56">
        <f>IFERROR(VLOOKUP(A15,'SAP '!$A$8:$D$393,3,0),0)</f>
        <v>133662.9</v>
      </c>
      <c r="D15" s="184">
        <f>IFERROR(VLOOKUP(A15,'SAP '!A:D,4,0),0)</f>
        <v>19451033.75</v>
      </c>
    </row>
    <row r="16" spans="1:4" x14ac:dyDescent="0.25">
      <c r="A16" s="137">
        <v>1214302001</v>
      </c>
      <c r="B16" s="89" t="s">
        <v>337</v>
      </c>
      <c r="C16" s="56">
        <f>IFERROR(VLOOKUP(A16,'SAP '!$A$8:$D$393,3,0),0)</f>
        <v>-113792.83</v>
      </c>
      <c r="D16" s="184">
        <f>IFERROR(VLOOKUP(A16,'SAP '!A:D,4,0),0)</f>
        <v>-12414196.73</v>
      </c>
    </row>
    <row r="17" spans="1:4" x14ac:dyDescent="0.25">
      <c r="A17" s="137">
        <v>1214501000</v>
      </c>
      <c r="B17" s="89" t="s">
        <v>76</v>
      </c>
      <c r="C17" s="56">
        <f>IFERROR(VLOOKUP(A17,'SAP '!$A$8:$D$393,3,0),0)</f>
        <v>-134913</v>
      </c>
      <c r="D17" s="184">
        <f>IFERROR(VLOOKUP(A17,'SAP '!A:D,4,0),0)</f>
        <v>75298941.5</v>
      </c>
    </row>
    <row r="18" spans="1:4" x14ac:dyDescent="0.25">
      <c r="A18" s="137">
        <v>1214502000</v>
      </c>
      <c r="B18" s="89" t="s">
        <v>342</v>
      </c>
      <c r="C18" s="56">
        <f>IFERROR(VLOOKUP(A18,'SAP '!$A$8:$D$393,3,0),0)</f>
        <v>-558594.36</v>
      </c>
      <c r="D18" s="184">
        <f>IFERROR(VLOOKUP(A18,'SAP '!A:D,4,0),0)</f>
        <v>-46409714.340000004</v>
      </c>
    </row>
    <row r="19" spans="1:4" x14ac:dyDescent="0.25">
      <c r="A19" s="90">
        <v>1214102000</v>
      </c>
      <c r="B19" s="90" t="s">
        <v>449</v>
      </c>
      <c r="C19" s="56">
        <f>IFERROR(VLOOKUP(A19,'SAP '!$A$8:$D$393,3,0),0)</f>
        <v>0</v>
      </c>
      <c r="D19" s="184">
        <f>IFERROR(VLOOKUP(A19,'SAP '!A:D,4,0),0)</f>
        <v>0</v>
      </c>
    </row>
    <row r="20" spans="1:4" x14ac:dyDescent="0.25">
      <c r="A20" s="90">
        <v>1214103000</v>
      </c>
      <c r="B20" s="90" t="s">
        <v>450</v>
      </c>
      <c r="C20" s="56">
        <f>IFERROR(VLOOKUP(A20,'SAP '!$A$8:$D$393,3,0),0)</f>
        <v>0</v>
      </c>
      <c r="D20" s="184">
        <f>IFERROR(VLOOKUP(A20,'SAP '!A:D,4,0),0)</f>
        <v>0</v>
      </c>
    </row>
    <row r="21" spans="1:4" x14ac:dyDescent="0.25">
      <c r="A21" s="90">
        <v>1214108000</v>
      </c>
      <c r="B21" s="90" t="s">
        <v>451</v>
      </c>
      <c r="C21" s="56">
        <f>IFERROR(VLOOKUP(A21,'SAP '!$A$8:$D$393,3,0),0)</f>
        <v>0</v>
      </c>
      <c r="D21" s="184">
        <f>IFERROR(VLOOKUP(A21,'SAP '!A:D,4,0),0)</f>
        <v>0</v>
      </c>
    </row>
    <row r="22" spans="1:4" x14ac:dyDescent="0.25">
      <c r="A22" s="90">
        <v>1214109000</v>
      </c>
      <c r="B22" s="90" t="s">
        <v>452</v>
      </c>
      <c r="C22" s="56">
        <f>IFERROR(VLOOKUP(A22,'SAP '!$A$8:$D$393,3,0),0)</f>
        <v>0</v>
      </c>
      <c r="D22" s="184">
        <f>IFERROR(VLOOKUP(A22,'SAP '!A:D,4,0),0)</f>
        <v>0</v>
      </c>
    </row>
    <row r="23" spans="1:4" x14ac:dyDescent="0.25">
      <c r="A23" s="90">
        <v>1214110000</v>
      </c>
      <c r="B23" s="90" t="s">
        <v>453</v>
      </c>
      <c r="C23" s="56">
        <f>IFERROR(VLOOKUP(A23,'SAP '!$A$8:$D$393,3,0),0)</f>
        <v>0</v>
      </c>
      <c r="D23" s="184">
        <f>IFERROR(VLOOKUP(A23,'SAP '!A:D,4,0),0)</f>
        <v>0</v>
      </c>
    </row>
    <row r="24" spans="1:4" x14ac:dyDescent="0.25">
      <c r="A24" s="90">
        <v>1214111000</v>
      </c>
      <c r="B24" s="90" t="s">
        <v>454</v>
      </c>
      <c r="C24" s="56">
        <f>IFERROR(VLOOKUP(A24,'SAP '!$A$8:$D$393,3,0),0)</f>
        <v>0</v>
      </c>
      <c r="D24" s="184">
        <f>IFERROR(VLOOKUP(A24,'SAP '!A:D,4,0),0)</f>
        <v>0</v>
      </c>
    </row>
    <row r="25" spans="1:4" x14ac:dyDescent="0.25">
      <c r="A25" s="90">
        <v>1214203000</v>
      </c>
      <c r="B25" s="90" t="s">
        <v>455</v>
      </c>
      <c r="C25" s="56">
        <f>IFERROR(VLOOKUP(A25,'SAP '!$A$8:$D$393,3,0),0)</f>
        <v>0</v>
      </c>
      <c r="D25" s="184">
        <f>IFERROR(VLOOKUP(A25,'SAP '!A:D,4,0),0)</f>
        <v>0</v>
      </c>
    </row>
    <row r="26" spans="1:4" x14ac:dyDescent="0.25">
      <c r="A26" s="90">
        <v>1214303000</v>
      </c>
      <c r="B26" s="90" t="s">
        <v>456</v>
      </c>
      <c r="C26" s="56">
        <f>IFERROR(VLOOKUP(A26,'SAP '!$A$8:$D$393,3,0),0)</f>
        <v>0</v>
      </c>
      <c r="D26" s="184">
        <f>IFERROR(VLOOKUP(A26,'SAP '!A:D,4,0),0)</f>
        <v>0</v>
      </c>
    </row>
    <row r="27" spans="1:4" x14ac:dyDescent="0.25">
      <c r="A27" s="90">
        <v>1214403000</v>
      </c>
      <c r="B27" s="90" t="s">
        <v>457</v>
      </c>
      <c r="C27" s="56">
        <f>IFERROR(VLOOKUP(A27,'SAP '!$A$8:$D$393,3,0),0)</f>
        <v>0</v>
      </c>
      <c r="D27" s="184">
        <f>IFERROR(VLOOKUP(A27,'SAP '!A:D,4,0),0)</f>
        <v>0</v>
      </c>
    </row>
    <row r="28" spans="1:4" x14ac:dyDescent="0.25">
      <c r="A28" s="90">
        <v>1214503000</v>
      </c>
      <c r="B28" s="90" t="s">
        <v>458</v>
      </c>
      <c r="C28" s="56">
        <f>IFERROR(VLOOKUP(A28,'SAP '!$A$8:$D$393,3,0),0)</f>
        <v>0</v>
      </c>
      <c r="D28" s="184">
        <f>IFERROR(VLOOKUP(A28,'SAP '!A:D,4,0),0)</f>
        <v>0</v>
      </c>
    </row>
    <row r="29" spans="1:4" x14ac:dyDescent="0.25">
      <c r="A29" s="90">
        <v>1214603000</v>
      </c>
      <c r="B29" s="90" t="s">
        <v>459</v>
      </c>
      <c r="C29" s="56">
        <f>IFERROR(VLOOKUP(A29,'SAP '!$A$8:$D$393,3,0),0)</f>
        <v>0</v>
      </c>
      <c r="D29" s="184">
        <f>IFERROR(VLOOKUP(A29,'SAP '!A:D,4,0),0)</f>
        <v>0</v>
      </c>
    </row>
    <row r="30" spans="1:4" x14ac:dyDescent="0.25">
      <c r="A30" s="137">
        <v>1215201000</v>
      </c>
      <c r="B30" s="89" t="s">
        <v>345</v>
      </c>
      <c r="C30" s="56">
        <f>IFERROR(VLOOKUP(A30,'SAP '!$A$8:$D$393,3,0),0)</f>
        <v>47372291.899999999</v>
      </c>
      <c r="D30" s="184">
        <f>IFERROR(VLOOKUP(A30,'SAP '!A:D,4,0),0)</f>
        <v>1569110284.2</v>
      </c>
    </row>
    <row r="31" spans="1:4" x14ac:dyDescent="0.25">
      <c r="A31" s="137">
        <v>1215202000</v>
      </c>
      <c r="B31" s="89" t="s">
        <v>346</v>
      </c>
      <c r="C31" s="56">
        <f>IFERROR(VLOOKUP(A31,'SAP '!$A$8:$D$393,3,0),0)</f>
        <v>-27587711.23</v>
      </c>
      <c r="D31" s="184">
        <f>IFERROR(VLOOKUP(A31,'SAP '!A:D,4,0),0)</f>
        <v>-507223351.72000003</v>
      </c>
    </row>
    <row r="32" spans="1:4" x14ac:dyDescent="0.25">
      <c r="A32" s="90">
        <v>1215203000</v>
      </c>
      <c r="B32" s="90" t="s">
        <v>460</v>
      </c>
      <c r="C32" s="56">
        <f>IFERROR(VLOOKUP(A32,'SAP '!$A$8:$D$393,3,0),0)</f>
        <v>0</v>
      </c>
      <c r="D32" s="184">
        <f>IFERROR(VLOOKUP(A32,'SAP '!A:D,4,0),0)</f>
        <v>0</v>
      </c>
    </row>
    <row r="33" spans="1:4" x14ac:dyDescent="0.25">
      <c r="A33" s="137">
        <v>1213101000</v>
      </c>
      <c r="B33" s="89" t="s">
        <v>329</v>
      </c>
      <c r="C33" s="56">
        <f>IFERROR(VLOOKUP(A33,'SAP '!$A$8:$D$393,3,0),0)</f>
        <v>891083.22</v>
      </c>
      <c r="D33" s="184">
        <f>IFERROR(VLOOKUP(A33,'SAP '!A:D,4,0),0)</f>
        <v>17969119.43</v>
      </c>
    </row>
    <row r="34" spans="1:4" x14ac:dyDescent="0.25">
      <c r="A34" s="90">
        <v>1213101001</v>
      </c>
      <c r="B34" s="90" t="s">
        <v>461</v>
      </c>
      <c r="C34" s="56">
        <f>IFERROR(VLOOKUP(A34,'SAP '!$A$8:$D$393,3,0),0)</f>
        <v>0</v>
      </c>
      <c r="D34" s="184">
        <f>IFERROR(VLOOKUP(A34,'SAP '!A:D,4,0),0)</f>
        <v>0</v>
      </c>
    </row>
    <row r="35" spans="1:4" x14ac:dyDescent="0.25">
      <c r="A35" s="137">
        <v>1206105000</v>
      </c>
      <c r="B35" s="89" t="s">
        <v>328</v>
      </c>
      <c r="C35" s="56">
        <f>IFERROR(VLOOKUP(A35,'SAP '!$A$8:$D$393,3,0),0)</f>
        <v>-12950000</v>
      </c>
      <c r="D35" s="184">
        <f>IFERROR(VLOOKUP(A35,'SAP '!A:D,4,0),0)</f>
        <v>12950000</v>
      </c>
    </row>
    <row r="36" spans="1:4" x14ac:dyDescent="0.25">
      <c r="A36" s="137">
        <v>1206108001</v>
      </c>
      <c r="B36" s="89" t="s">
        <v>1992</v>
      </c>
      <c r="C36" s="56">
        <v>1282728.96</v>
      </c>
      <c r="D36" s="184"/>
    </row>
    <row r="37" spans="1:4" x14ac:dyDescent="0.25">
      <c r="A37" s="90">
        <v>1205101000</v>
      </c>
      <c r="B37" s="90" t="s">
        <v>164</v>
      </c>
      <c r="C37" s="56">
        <f>IFERROR(VLOOKUP(A37,'SAP '!$A$8:$D$393,3,0),0)</f>
        <v>0</v>
      </c>
      <c r="D37" s="184">
        <f>IFERROR(VLOOKUP(A37,'SAP '!A:D,4,0),0)</f>
        <v>0</v>
      </c>
    </row>
    <row r="38" spans="1:4" x14ac:dyDescent="0.25">
      <c r="A38" s="90">
        <v>1205101001</v>
      </c>
      <c r="B38" s="90" t="s">
        <v>165</v>
      </c>
      <c r="C38" s="56">
        <f>IFERROR(VLOOKUP(A38,'SAP '!$A$8:$D$393,3,0),0)</f>
        <v>0</v>
      </c>
      <c r="D38" s="184">
        <f>IFERROR(VLOOKUP(A38,'SAP '!A:D,4,0),0)</f>
        <v>0</v>
      </c>
    </row>
    <row r="39" spans="1:4" x14ac:dyDescent="0.25">
      <c r="A39" s="90">
        <v>1205201000</v>
      </c>
      <c r="B39" s="90" t="s">
        <v>166</v>
      </c>
      <c r="C39" s="56">
        <f>IFERROR(VLOOKUP(A39,'SAP '!$A$8:$D$393,3,0),0)</f>
        <v>0</v>
      </c>
      <c r="D39" s="184">
        <f>IFERROR(VLOOKUP(A39,'SAP '!A:D,4,0),0)</f>
        <v>0</v>
      </c>
    </row>
    <row r="40" spans="1:4" x14ac:dyDescent="0.25">
      <c r="A40" s="90">
        <v>1205201001</v>
      </c>
      <c r="B40" s="90" t="s">
        <v>863</v>
      </c>
      <c r="C40" s="56">
        <f>IFERROR(VLOOKUP(A40,'SAP '!$A$8:$D$393,3,0),0)</f>
        <v>0</v>
      </c>
      <c r="D40" s="184">
        <f>IFERROR(VLOOKUP(A40,'SAP '!A:D,4,0),0)</f>
        <v>0</v>
      </c>
    </row>
    <row r="41" spans="1:4" x14ac:dyDescent="0.25">
      <c r="A41" s="90">
        <v>1212101001</v>
      </c>
      <c r="B41" s="90" t="s">
        <v>300</v>
      </c>
      <c r="C41" s="56">
        <f>IFERROR(VLOOKUP(A41,'SAP '!$A$8:$D$393,3,0),0)</f>
        <v>18232155.039999999</v>
      </c>
      <c r="D41" s="184">
        <f>IFERROR(VLOOKUP(A41,'SAP '!A:D,4,0),0)</f>
        <v>9659868.5</v>
      </c>
    </row>
    <row r="42" spans="1:4" x14ac:dyDescent="0.25">
      <c r="A42" s="90">
        <v>1205213001</v>
      </c>
      <c r="B42" s="90" t="s">
        <v>299</v>
      </c>
      <c r="C42" s="56">
        <f>IFERROR(VLOOKUP(A42,'SAP '!$A$8:$D$393,3,0),0)</f>
        <v>4948289.43</v>
      </c>
      <c r="D42" s="184">
        <f>IFERROR(VLOOKUP(A42,'SAP '!A:D,4,0),0)</f>
        <v>4734293.09</v>
      </c>
    </row>
    <row r="43" spans="1:4" x14ac:dyDescent="0.25">
      <c r="A43" s="90">
        <v>1205210000</v>
      </c>
      <c r="B43" s="90" t="s">
        <v>168</v>
      </c>
      <c r="C43" s="56">
        <f>IFERROR(VLOOKUP(A43,'SAP '!$A$8:$D$393,3,0),0)</f>
        <v>0</v>
      </c>
      <c r="D43" s="184">
        <f>IFERROR(VLOOKUP(A43,'SAP '!A:D,4,0),0)</f>
        <v>0</v>
      </c>
    </row>
    <row r="44" spans="1:4" x14ac:dyDescent="0.25">
      <c r="A44" s="90">
        <v>1206101000</v>
      </c>
      <c r="B44" s="90" t="s">
        <v>169</v>
      </c>
      <c r="C44" s="56">
        <f>IFERROR(VLOOKUP(A44,'SAP '!$A$8:$D$393,3,0),0)</f>
        <v>0</v>
      </c>
      <c r="D44" s="184">
        <f>IFERROR(VLOOKUP(A44,'SAP '!A:D,4,0),0)</f>
        <v>0</v>
      </c>
    </row>
    <row r="45" spans="1:4" x14ac:dyDescent="0.25">
      <c r="A45" s="90">
        <v>1206101001</v>
      </c>
      <c r="B45" s="90" t="s">
        <v>170</v>
      </c>
      <c r="C45" s="56">
        <f>IFERROR(VLOOKUP(A45,'SAP '!$A$8:$D$393,3,0),0)</f>
        <v>0</v>
      </c>
      <c r="D45" s="184">
        <f>IFERROR(VLOOKUP(A45,'SAP '!A:D,4,0),0)</f>
        <v>0</v>
      </c>
    </row>
    <row r="46" spans="1:4" x14ac:dyDescent="0.25">
      <c r="A46" s="90">
        <v>1206102000</v>
      </c>
      <c r="B46" s="90" t="s">
        <v>171</v>
      </c>
      <c r="C46" s="56">
        <f>IFERROR(VLOOKUP(A46,'SAP '!$A$8:$D$393,3,0),0)</f>
        <v>0</v>
      </c>
      <c r="D46" s="184">
        <f>IFERROR(VLOOKUP(A46,'SAP '!A:D,4,0),0)</f>
        <v>0</v>
      </c>
    </row>
    <row r="47" spans="1:4" x14ac:dyDescent="0.25">
      <c r="A47" s="90">
        <v>1206104001</v>
      </c>
      <c r="B47" s="90" t="s">
        <v>172</v>
      </c>
      <c r="C47" s="56">
        <f>IFERROR(VLOOKUP(A47,'SAP '!$A$8:$D$393,3,0),0)</f>
        <v>0</v>
      </c>
      <c r="D47" s="184">
        <f>IFERROR(VLOOKUP(A47,'SAP '!A:D,4,0),0)</f>
        <v>0</v>
      </c>
    </row>
    <row r="48" spans="1:4" x14ac:dyDescent="0.25">
      <c r="A48" s="138">
        <v>1206103000</v>
      </c>
      <c r="B48" s="90" t="s">
        <v>327</v>
      </c>
      <c r="C48" s="56">
        <f>IFERROR(VLOOKUP(A48,'SAP '!$A$8:$D$393,3,0),0)</f>
        <v>0</v>
      </c>
      <c r="D48" s="184">
        <f>IFERROR(VLOOKUP(A48,'SAP '!A:D,4,0),0)</f>
        <v>120000000</v>
      </c>
    </row>
    <row r="49" spans="1:4" x14ac:dyDescent="0.25">
      <c r="A49" s="137">
        <v>1205310000</v>
      </c>
      <c r="B49" s="89" t="s">
        <v>326</v>
      </c>
      <c r="C49" s="56">
        <f>IFERROR(VLOOKUP(A49,'SAP '!$A$8:$D$393,3,0),0)</f>
        <v>0</v>
      </c>
      <c r="D49" s="184">
        <f>IFERROR(VLOOKUP(A49,'SAP '!A:D,4,0),0)</f>
        <v>92308400</v>
      </c>
    </row>
    <row r="50" spans="1:4" x14ac:dyDescent="0.25">
      <c r="A50" s="137">
        <v>1111301000</v>
      </c>
      <c r="B50" s="89" t="s">
        <v>318</v>
      </c>
      <c r="C50" s="56">
        <f>IFERROR(VLOOKUP(A50,'SAP '!$A$8:$D$393,3,0),0)</f>
        <v>-96399.74</v>
      </c>
      <c r="D50" s="184">
        <f>IFERROR(VLOOKUP(A50,'SAP '!A:D,4,0),0)</f>
        <v>1362873.59</v>
      </c>
    </row>
    <row r="51" spans="1:4" x14ac:dyDescent="0.25">
      <c r="A51" s="137">
        <v>1111301001</v>
      </c>
      <c r="B51" s="89" t="s">
        <v>319</v>
      </c>
      <c r="C51" s="56">
        <f>IFERROR(VLOOKUP(A51,'SAP '!$A$8:$D$393,3,0),0)</f>
        <v>-329633.68</v>
      </c>
      <c r="D51" s="184">
        <f>IFERROR(VLOOKUP(A51,'SAP '!A:D,4,0),0)</f>
        <v>2816287.03</v>
      </c>
    </row>
    <row r="52" spans="1:4" x14ac:dyDescent="0.25">
      <c r="A52" s="137">
        <v>1111301002</v>
      </c>
      <c r="B52" s="89" t="s">
        <v>320</v>
      </c>
      <c r="C52" s="56">
        <f>IFERROR(VLOOKUP(A52,'SAP '!$A$8:$D$393,3,0),0)</f>
        <v>-8228973.9900000002</v>
      </c>
      <c r="D52" s="184">
        <f>IFERROR(VLOOKUP(A52,'SAP '!A:D,4,0),0)</f>
        <v>18934267.579999998</v>
      </c>
    </row>
    <row r="53" spans="1:4" x14ac:dyDescent="0.25">
      <c r="A53" s="137">
        <v>1111301003</v>
      </c>
      <c r="B53" s="89" t="s">
        <v>321</v>
      </c>
      <c r="C53" s="56">
        <f>IFERROR(VLOOKUP(A53,'SAP '!$A$8:$D$393,3,0),0)</f>
        <v>-3767320.03</v>
      </c>
      <c r="D53" s="184">
        <f>IFERROR(VLOOKUP(A53,'SAP '!A:D,4,0),0)</f>
        <v>1058422.8</v>
      </c>
    </row>
    <row r="54" spans="1:4" x14ac:dyDescent="0.25">
      <c r="A54" s="137">
        <v>1111301004</v>
      </c>
      <c r="B54" s="89" t="s">
        <v>322</v>
      </c>
      <c r="C54" s="56">
        <f>IFERROR(VLOOKUP(A54,'SAP '!$A$8:$D$393,3,0),0)</f>
        <v>-636197.89</v>
      </c>
      <c r="D54" s="184">
        <f>IFERROR(VLOOKUP(A54,'SAP '!A:D,4,0),0)</f>
        <v>1587396.79</v>
      </c>
    </row>
    <row r="55" spans="1:4" x14ac:dyDescent="0.25">
      <c r="A55" s="90">
        <v>1111301006</v>
      </c>
      <c r="B55" s="90" t="s">
        <v>462</v>
      </c>
      <c r="C55" s="56">
        <f>IFERROR(VLOOKUP(A55,'SAP '!$A$8:$D$393,3,0),0)</f>
        <v>0</v>
      </c>
      <c r="D55" s="184">
        <f>IFERROR(VLOOKUP(A55,'SAP '!A:D,4,0),0)</f>
        <v>0</v>
      </c>
    </row>
    <row r="56" spans="1:4" x14ac:dyDescent="0.25">
      <c r="A56" s="90">
        <v>1111301009</v>
      </c>
      <c r="B56" s="90" t="s">
        <v>463</v>
      </c>
      <c r="C56" s="56">
        <f>IFERROR(VLOOKUP(A56,'SAP '!$A$8:$D$393,3,0),0)</f>
        <v>0</v>
      </c>
      <c r="D56" s="184">
        <f>IFERROR(VLOOKUP(A56,'SAP '!A:D,4,0),0)</f>
        <v>0</v>
      </c>
    </row>
    <row r="57" spans="1:4" x14ac:dyDescent="0.25">
      <c r="A57" s="137">
        <v>1111301005</v>
      </c>
      <c r="B57" s="89" t="s">
        <v>323</v>
      </c>
      <c r="C57" s="56">
        <f>IFERROR(VLOOKUP(A57,'SAP '!$A$8:$D$393,3,0),0)</f>
        <v>-93136.89</v>
      </c>
      <c r="D57" s="184">
        <f>IFERROR(VLOOKUP(A57,'SAP '!A:D,4,0),0)</f>
        <v>1603227.93</v>
      </c>
    </row>
    <row r="58" spans="1:4" x14ac:dyDescent="0.25">
      <c r="A58" s="137">
        <v>1111301007</v>
      </c>
      <c r="B58" s="89" t="s">
        <v>324</v>
      </c>
      <c r="C58" s="56">
        <f>IFERROR(VLOOKUP(A58,'SAP '!$A$8:$D$393,3,0),0)</f>
        <v>-3828145.91</v>
      </c>
      <c r="D58" s="184">
        <f>IFERROR(VLOOKUP(A58,'SAP '!A:D,4,0),0)</f>
        <v>24588441.890000001</v>
      </c>
    </row>
    <row r="59" spans="1:4" x14ac:dyDescent="0.25">
      <c r="A59" s="137">
        <v>1111301008</v>
      </c>
      <c r="B59" s="89" t="s">
        <v>325</v>
      </c>
      <c r="C59" s="56">
        <f>IFERROR(VLOOKUP(A59,'SAP '!$A$8:$D$393,3,0),0)</f>
        <v>4519608.6100000003</v>
      </c>
      <c r="D59" s="184">
        <f>IFERROR(VLOOKUP(A59,'SAP '!A:D,4,0),0)</f>
        <v>46739541.039999999</v>
      </c>
    </row>
    <row r="60" spans="1:4" x14ac:dyDescent="0.25">
      <c r="A60" s="137">
        <v>1107101000</v>
      </c>
      <c r="B60" s="89" t="s">
        <v>316</v>
      </c>
      <c r="C60" s="56">
        <f>IFERROR(VLOOKUP(A60,'SAP '!$A$8:$D$393,3,0),0)</f>
        <v>37661334.009999998</v>
      </c>
      <c r="D60" s="184">
        <f>IFERROR(VLOOKUP(A60,'SAP '!A:D,4,0),0)</f>
        <v>183055704.83000001</v>
      </c>
    </row>
    <row r="61" spans="1:4" x14ac:dyDescent="0.25">
      <c r="A61" s="137">
        <v>1107102000</v>
      </c>
      <c r="B61" s="89" t="s">
        <v>464</v>
      </c>
      <c r="C61" s="56">
        <f>IFERROR(VLOOKUP(A61,'SAP '!$A$8:$D$393,3,0),0)</f>
        <v>45000</v>
      </c>
      <c r="D61" s="184">
        <f>IFERROR(VLOOKUP(A61,'SAP '!A:D,4,0),0)</f>
        <v>0</v>
      </c>
    </row>
    <row r="62" spans="1:4" x14ac:dyDescent="0.25">
      <c r="A62" s="137">
        <v>1107104000</v>
      </c>
      <c r="B62" s="89" t="s">
        <v>317</v>
      </c>
      <c r="C62" s="56">
        <f>IFERROR(VLOOKUP(A62,'SAP '!$A$8:$D$393,3,0),0)</f>
        <v>1497886.41</v>
      </c>
      <c r="D62" s="184">
        <f>IFERROR(VLOOKUP(A62,'SAP '!A:D,4,0),0)</f>
        <v>5408251.0800000001</v>
      </c>
    </row>
    <row r="63" spans="1:4" x14ac:dyDescent="0.25">
      <c r="A63" s="137">
        <v>1107103000</v>
      </c>
      <c r="B63" s="85" t="s">
        <v>539</v>
      </c>
      <c r="C63" s="56">
        <f>IFERROR(VLOOKUP(A63,'SAP '!$A$8:$D$393,3,0),0)</f>
        <v>-6444046.0199999996</v>
      </c>
      <c r="D63" s="184">
        <f>IFERROR(VLOOKUP(A63,'SAP '!A:D,4,0),0)</f>
        <v>-29596393.82</v>
      </c>
    </row>
    <row r="64" spans="1:4" x14ac:dyDescent="0.25">
      <c r="A64" s="137">
        <v>1101101000</v>
      </c>
      <c r="B64" s="89" t="s">
        <v>465</v>
      </c>
      <c r="C64" s="56">
        <f>IFERROR(VLOOKUP(A64,'SAP '!$A$8:$D$393,3,0),0)</f>
        <v>-1227354.45</v>
      </c>
      <c r="D64" s="184">
        <f>IFERROR(VLOOKUP(A64,'SAP '!A:D,4,0),0)</f>
        <v>0</v>
      </c>
    </row>
    <row r="65" spans="1:4" x14ac:dyDescent="0.25">
      <c r="A65" s="90">
        <v>1101101001</v>
      </c>
      <c r="B65" s="90" t="s">
        <v>301</v>
      </c>
      <c r="C65" s="56">
        <f>IFERROR(VLOOKUP(A65,'SAP '!$A$8:$D$393,3,0),0)</f>
        <v>0</v>
      </c>
      <c r="D65" s="184">
        <f>IFERROR(VLOOKUP(A65,'SAP '!A:D,4,0),0)</f>
        <v>0</v>
      </c>
    </row>
    <row r="66" spans="1:4" x14ac:dyDescent="0.25">
      <c r="A66" s="90">
        <v>1101101002</v>
      </c>
      <c r="B66" s="90" t="s">
        <v>466</v>
      </c>
      <c r="C66" s="56">
        <f>IFERROR(VLOOKUP(A66,'SAP '!$A$8:$D$393,3,0),0)</f>
        <v>0</v>
      </c>
      <c r="D66" s="184">
        <f>IFERROR(VLOOKUP(A66,'SAP '!A:D,4,0),0)</f>
        <v>0</v>
      </c>
    </row>
    <row r="67" spans="1:4" x14ac:dyDescent="0.25">
      <c r="A67" s="90">
        <v>1101202000</v>
      </c>
      <c r="B67" s="90" t="s">
        <v>302</v>
      </c>
      <c r="C67" s="56">
        <f>IFERROR(VLOOKUP(A67,'SAP '!$A$8:$D$393,3,0),0)</f>
        <v>-56647.13</v>
      </c>
      <c r="D67" s="184">
        <f>IFERROR(VLOOKUP(A67,'SAP '!A:D,4,0),0)</f>
        <v>0</v>
      </c>
    </row>
    <row r="68" spans="1:4" x14ac:dyDescent="0.25">
      <c r="A68" s="90">
        <v>1101202002</v>
      </c>
      <c r="B68" s="90" t="s">
        <v>303</v>
      </c>
      <c r="C68" s="56">
        <f>IFERROR(VLOOKUP(A68,'SAP '!$A$8:$D$393,3,0),0)</f>
        <v>56647.13</v>
      </c>
      <c r="D68" s="184">
        <f>IFERROR(VLOOKUP(A68,'SAP '!A:D,4,0),0)</f>
        <v>0</v>
      </c>
    </row>
    <row r="69" spans="1:4" x14ac:dyDescent="0.25">
      <c r="A69" s="90">
        <v>1101202010</v>
      </c>
      <c r="B69" s="90" t="s">
        <v>304</v>
      </c>
      <c r="C69" s="56">
        <f>IFERROR(VLOOKUP(A69,'SAP '!$A$8:$D$393,3,0),0)</f>
        <v>38985395.549999997</v>
      </c>
      <c r="D69" s="184">
        <f>IFERROR(VLOOKUP(A69,'SAP '!A:D,4,0),0)</f>
        <v>105321168.87</v>
      </c>
    </row>
    <row r="70" spans="1:4" x14ac:dyDescent="0.25">
      <c r="A70" s="90">
        <v>1101202011</v>
      </c>
      <c r="B70" s="90" t="s">
        <v>305</v>
      </c>
      <c r="C70" s="56">
        <f>IFERROR(VLOOKUP(A70,'SAP '!$A$8:$D$393,3,0),0)</f>
        <v>15458594.140000001</v>
      </c>
      <c r="D70" s="184">
        <f>IFERROR(VLOOKUP(A70,'SAP '!A:D,4,0),0)</f>
        <v>1051685.3</v>
      </c>
    </row>
    <row r="71" spans="1:4" x14ac:dyDescent="0.25">
      <c r="A71" s="90">
        <v>1101202012</v>
      </c>
      <c r="B71" s="90" t="s">
        <v>306</v>
      </c>
      <c r="C71" s="56">
        <f>IFERROR(VLOOKUP(A71,'SAP '!$A$8:$D$393,3,0),0)</f>
        <v>27119911.359999999</v>
      </c>
      <c r="D71" s="184">
        <f>IFERROR(VLOOKUP(A71,'SAP '!A:D,4,0),0)</f>
        <v>-15010699.92</v>
      </c>
    </row>
    <row r="72" spans="1:4" x14ac:dyDescent="0.25">
      <c r="A72" s="90">
        <v>1101202020</v>
      </c>
      <c r="B72" s="90" t="s">
        <v>307</v>
      </c>
      <c r="C72" s="56">
        <f>IFERROR(VLOOKUP(A72,'SAP '!$A$8:$D$393,3,0),0)</f>
        <v>-446197.84</v>
      </c>
      <c r="D72" s="184">
        <f>IFERROR(VLOOKUP(A72,'SAP '!A:D,4,0),0)</f>
        <v>14738683</v>
      </c>
    </row>
    <row r="73" spans="1:4" x14ac:dyDescent="0.25">
      <c r="A73" s="90">
        <v>1101202021</v>
      </c>
      <c r="B73" s="90" t="s">
        <v>446</v>
      </c>
      <c r="C73" s="56">
        <f>IFERROR(VLOOKUP(A73,'SAP '!$A$8:$D$393,3,0),0)</f>
        <v>-2627253.7000000002</v>
      </c>
      <c r="D73" s="184">
        <f>IFERROR(VLOOKUP(A73,'SAP '!A:D,4,0),0)</f>
        <v>0</v>
      </c>
    </row>
    <row r="74" spans="1:4" x14ac:dyDescent="0.25">
      <c r="A74" s="90">
        <v>1101202022</v>
      </c>
      <c r="B74" s="90" t="s">
        <v>308</v>
      </c>
      <c r="C74" s="56">
        <f>IFERROR(VLOOKUP(A74,'SAP '!$A$8:$D$393,3,0),0)</f>
        <v>-16048628.51</v>
      </c>
      <c r="D74" s="184">
        <f>IFERROR(VLOOKUP(A74,'SAP '!A:D,4,0),0)</f>
        <v>-7936262</v>
      </c>
    </row>
    <row r="75" spans="1:4" x14ac:dyDescent="0.25">
      <c r="A75" s="90">
        <v>1101202030</v>
      </c>
      <c r="B75" s="90" t="s">
        <v>309</v>
      </c>
      <c r="C75" s="56">
        <f>IFERROR(VLOOKUP(A75,'SAP '!$A$8:$D$393,3,0),0)</f>
        <v>-30370983.16</v>
      </c>
      <c r="D75" s="184">
        <f>IFERROR(VLOOKUP(A75,'SAP '!A:D,4,0),0)</f>
        <v>4140684.7</v>
      </c>
    </row>
    <row r="76" spans="1:4" x14ac:dyDescent="0.25">
      <c r="A76" s="90">
        <v>1101202031</v>
      </c>
      <c r="B76" s="90" t="s">
        <v>467</v>
      </c>
      <c r="C76" s="56">
        <f>IFERROR(VLOOKUP(A76,'SAP '!$A$8:$D$393,3,0),0)</f>
        <v>125947305.22</v>
      </c>
      <c r="D76" s="184">
        <f>IFERROR(VLOOKUP(A76,'SAP '!A:D,4,0),0)</f>
        <v>0</v>
      </c>
    </row>
    <row r="77" spans="1:4" x14ac:dyDescent="0.25">
      <c r="A77" s="90">
        <v>1101202032</v>
      </c>
      <c r="B77" s="90" t="s">
        <v>468</v>
      </c>
      <c r="C77" s="56">
        <f>IFERROR(VLOOKUP(A77,'SAP '!$A$8:$D$393,3,0),0)</f>
        <v>-126875443.14</v>
      </c>
      <c r="D77" s="184">
        <f>IFERROR(VLOOKUP(A77,'SAP '!A:D,4,0),0)</f>
        <v>0</v>
      </c>
    </row>
    <row r="78" spans="1:4" x14ac:dyDescent="0.25">
      <c r="A78" s="90">
        <v>1101202040</v>
      </c>
      <c r="B78" s="90" t="s">
        <v>310</v>
      </c>
      <c r="C78" s="56">
        <f>IFERROR(VLOOKUP(A78,'SAP '!$A$8:$D$393,3,0),0)</f>
        <v>2541842.1800000002</v>
      </c>
      <c r="D78" s="184">
        <f>IFERROR(VLOOKUP(A78,'SAP '!A:D,4,0),0)</f>
        <v>24213879.039999999</v>
      </c>
    </row>
    <row r="79" spans="1:4" x14ac:dyDescent="0.25">
      <c r="A79" s="90">
        <v>1101202041</v>
      </c>
      <c r="B79" s="90" t="s">
        <v>469</v>
      </c>
      <c r="C79" s="56">
        <f>IFERROR(VLOOKUP(A79,'SAP '!$A$8:$D$393,3,0),0)</f>
        <v>948966.19</v>
      </c>
      <c r="D79" s="184">
        <f>IFERROR(VLOOKUP(A79,'SAP '!A:D,4,0),0)</f>
        <v>0</v>
      </c>
    </row>
    <row r="80" spans="1:4" x14ac:dyDescent="0.25">
      <c r="A80" s="90">
        <v>1101202042</v>
      </c>
      <c r="B80" s="90" t="s">
        <v>470</v>
      </c>
      <c r="C80" s="56">
        <f>IFERROR(VLOOKUP(A80,'SAP '!$A$8:$D$393,3,0),0)</f>
        <v>0</v>
      </c>
      <c r="D80" s="184">
        <f>IFERROR(VLOOKUP(A80,'SAP '!A:D,4,0),0)</f>
        <v>0</v>
      </c>
    </row>
    <row r="81" spans="1:4" x14ac:dyDescent="0.25">
      <c r="A81" s="90">
        <v>1101202050</v>
      </c>
      <c r="B81" s="90" t="s">
        <v>471</v>
      </c>
      <c r="C81" s="56">
        <f>IFERROR(VLOOKUP(A81,'SAP '!$A$8:$D$393,3,0),0)</f>
        <v>0</v>
      </c>
      <c r="D81" s="184">
        <f>IFERROR(VLOOKUP(A81,'SAP '!A:D,4,0),0)</f>
        <v>0</v>
      </c>
    </row>
    <row r="82" spans="1:4" x14ac:dyDescent="0.25">
      <c r="A82" s="90">
        <v>1101202051</v>
      </c>
      <c r="B82" s="90" t="s">
        <v>472</v>
      </c>
      <c r="C82" s="56">
        <f>IFERROR(VLOOKUP(A82,'SAP '!$A$8:$D$393,3,0),0)</f>
        <v>0</v>
      </c>
      <c r="D82" s="184">
        <f>IFERROR(VLOOKUP(A82,'SAP '!A:D,4,0),0)</f>
        <v>0</v>
      </c>
    </row>
    <row r="83" spans="1:4" x14ac:dyDescent="0.25">
      <c r="A83" s="90">
        <v>1101202052</v>
      </c>
      <c r="B83" s="90" t="s">
        <v>473</v>
      </c>
      <c r="C83" s="56">
        <f>IFERROR(VLOOKUP(A83,'SAP '!$A$8:$D$393,3,0),0)</f>
        <v>0</v>
      </c>
      <c r="D83" s="184">
        <f>IFERROR(VLOOKUP(A83,'SAP '!A:D,4,0),0)</f>
        <v>0</v>
      </c>
    </row>
    <row r="84" spans="1:4" x14ac:dyDescent="0.25">
      <c r="A84" s="90">
        <v>1101202060</v>
      </c>
      <c r="B84" s="90" t="s">
        <v>311</v>
      </c>
      <c r="C84" s="56">
        <f>IFERROR(VLOOKUP(A84,'SAP '!$A$8:$D$393,3,0),0)</f>
        <v>154803.25</v>
      </c>
      <c r="D84" s="184">
        <f>IFERROR(VLOOKUP(A84,'SAP '!A:D,4,0),0)</f>
        <v>1692153.41</v>
      </c>
    </row>
    <row r="85" spans="1:4" x14ac:dyDescent="0.25">
      <c r="A85" s="90">
        <v>1101202061</v>
      </c>
      <c r="B85" s="90" t="s">
        <v>474</v>
      </c>
      <c r="C85" s="56">
        <f>IFERROR(VLOOKUP(A85,'SAP '!$A$8:$D$393,3,0),0)</f>
        <v>438992.75</v>
      </c>
      <c r="D85" s="184">
        <f>IFERROR(VLOOKUP(A85,'SAP '!A:D,4,0),0)</f>
        <v>0</v>
      </c>
    </row>
    <row r="86" spans="1:4" x14ac:dyDescent="0.25">
      <c r="A86" s="90">
        <v>1101202062</v>
      </c>
      <c r="B86" s="90" t="s">
        <v>475</v>
      </c>
      <c r="C86" s="56">
        <f>IFERROR(VLOOKUP(A86,'SAP '!$A$8:$D$393,3,0),0)</f>
        <v>-439000</v>
      </c>
      <c r="D86" s="184">
        <f>IFERROR(VLOOKUP(A86,'SAP '!A:D,4,0),0)</f>
        <v>0</v>
      </c>
    </row>
    <row r="87" spans="1:4" x14ac:dyDescent="0.25">
      <c r="A87" s="90">
        <v>1101202070</v>
      </c>
      <c r="B87" s="90" t="s">
        <v>312</v>
      </c>
      <c r="C87" s="56">
        <f>IFERROR(VLOOKUP(A87,'SAP '!$A$8:$D$393,3,0),0)</f>
        <v>114300.33</v>
      </c>
      <c r="D87" s="184">
        <f>IFERROR(VLOOKUP(A87,'SAP '!A:D,4,0),0)</f>
        <v>26486886.57</v>
      </c>
    </row>
    <row r="88" spans="1:4" x14ac:dyDescent="0.25">
      <c r="A88" s="90">
        <v>1101202071</v>
      </c>
      <c r="B88" s="90" t="s">
        <v>447</v>
      </c>
      <c r="C88" s="56">
        <f>IFERROR(VLOOKUP(A88,'SAP '!$A$8:$D$393,3,0),0)</f>
        <v>0</v>
      </c>
      <c r="D88" s="184">
        <f>IFERROR(VLOOKUP(A88,'SAP '!A:D,4,0),0)</f>
        <v>0</v>
      </c>
    </row>
    <row r="89" spans="1:4" x14ac:dyDescent="0.25">
      <c r="A89" s="90">
        <v>1101202072</v>
      </c>
      <c r="B89" s="90" t="s">
        <v>476</v>
      </c>
      <c r="C89" s="56">
        <f>IFERROR(VLOOKUP(A89,'SAP '!$A$8:$D$393,3,0),0)</f>
        <v>0</v>
      </c>
      <c r="D89" s="184">
        <f>IFERROR(VLOOKUP(A89,'SAP '!A:D,4,0),0)</f>
        <v>0</v>
      </c>
    </row>
    <row r="90" spans="1:4" x14ac:dyDescent="0.25">
      <c r="A90" s="90">
        <v>1101202080</v>
      </c>
      <c r="B90" s="90" t="s">
        <v>313</v>
      </c>
      <c r="C90" s="56">
        <f>IFERROR(VLOOKUP(A90,'SAP '!$A$8:$D$393,3,0),0)</f>
        <v>134817818.06999999</v>
      </c>
      <c r="D90" s="184">
        <f>IFERROR(VLOOKUP(A90,'SAP '!A:D,4,0),0)</f>
        <v>135322137.53999999</v>
      </c>
    </row>
    <row r="91" spans="1:4" x14ac:dyDescent="0.25">
      <c r="A91" s="90">
        <v>1101202081</v>
      </c>
      <c r="B91" s="90" t="s">
        <v>734</v>
      </c>
      <c r="C91" s="56">
        <f>IFERROR(VLOOKUP(A91,'SAP '!$A$8:$D$393,3,0),0)</f>
        <v>133807459.89</v>
      </c>
      <c r="D91" s="184">
        <f>IFERROR(VLOOKUP(A91,'SAP '!A:D,4,0),0)</f>
        <v>5900</v>
      </c>
    </row>
    <row r="92" spans="1:4" x14ac:dyDescent="0.25">
      <c r="A92" s="90">
        <v>1101202082</v>
      </c>
      <c r="B92" s="90" t="s">
        <v>735</v>
      </c>
      <c r="C92" s="56">
        <f>IFERROR(VLOOKUP(A92,'SAP '!$A$8:$D$393,3,0),0)</f>
        <v>-13384728.529999999</v>
      </c>
      <c r="D92" s="184">
        <f>IFERROR(VLOOKUP(A92,'SAP '!A:D,4,0),0)</f>
        <v>-28505809.329999998</v>
      </c>
    </row>
    <row r="93" spans="1:4" x14ac:dyDescent="0.25">
      <c r="A93" s="90">
        <v>1101202090</v>
      </c>
      <c r="B93" s="90" t="s">
        <v>736</v>
      </c>
      <c r="C93" s="56">
        <f>IFERROR(VLOOKUP(A93,'SAP '!$A$8:$D$393,3,0),0)</f>
        <v>-28476547.73</v>
      </c>
      <c r="D93" s="184">
        <f>IFERROR(VLOOKUP(A93,'SAP '!A:D,4,0),0)</f>
        <v>1000</v>
      </c>
    </row>
    <row r="94" spans="1:4" x14ac:dyDescent="0.25">
      <c r="A94" s="90">
        <v>1101202091</v>
      </c>
      <c r="B94" s="90" t="s">
        <v>898</v>
      </c>
      <c r="C94" s="56">
        <f>IFERROR(VLOOKUP(A94,'SAP '!$A$8:$D$393,3,0),0)</f>
        <v>110493839.43000001</v>
      </c>
      <c r="D94" s="184">
        <f>IFERROR(VLOOKUP(A94,'SAP '!A:D,4,0),0)</f>
        <v>0</v>
      </c>
    </row>
    <row r="95" spans="1:4" x14ac:dyDescent="0.25">
      <c r="A95" s="90">
        <v>1101202092</v>
      </c>
      <c r="B95" s="90" t="s">
        <v>903</v>
      </c>
      <c r="C95" s="56">
        <f>IFERROR(VLOOKUP(A95,'SAP '!$A$8:$D$393,3,0),0)</f>
        <v>0</v>
      </c>
      <c r="D95" s="184">
        <f>IFERROR(VLOOKUP(A95,'SAP '!A:D,4,0),0)</f>
        <v>0</v>
      </c>
    </row>
    <row r="96" spans="1:4" x14ac:dyDescent="0.25">
      <c r="A96" s="90">
        <v>1101202121</v>
      </c>
      <c r="B96" s="90" t="s">
        <v>742</v>
      </c>
      <c r="C96" s="56">
        <f>IFERROR(VLOOKUP(A96,'SAP '!$A$8:$D$393,3,0),0)</f>
        <v>90903.91</v>
      </c>
      <c r="D96" s="184">
        <f>IFERROR(VLOOKUP(A96,'SAP '!A:D,4,0),0)</f>
        <v>0</v>
      </c>
    </row>
    <row r="97" spans="1:4" x14ac:dyDescent="0.25">
      <c r="A97" s="90">
        <v>1101202120</v>
      </c>
      <c r="B97" s="90" t="s">
        <v>741</v>
      </c>
      <c r="C97" s="56">
        <f>IFERROR(VLOOKUP(A97,'SAP '!$A$8:$D$393,3,0),0)</f>
        <v>1482912.64</v>
      </c>
      <c r="D97" s="184">
        <f>IFERROR(VLOOKUP(A97,'SAP '!A:D,4,0),0)</f>
        <v>0</v>
      </c>
    </row>
    <row r="98" spans="1:4" x14ac:dyDescent="0.25">
      <c r="A98" s="90">
        <v>1101202122</v>
      </c>
      <c r="B98" s="90" t="s">
        <v>915</v>
      </c>
      <c r="C98" s="56">
        <f>IFERROR(VLOOKUP(A98,'SAP '!$A$8:$D$393,3,0),0)</f>
        <v>0</v>
      </c>
      <c r="D98" s="184">
        <f>IFERROR(VLOOKUP(A98,'SAP '!A:D,4,0),0)</f>
        <v>0</v>
      </c>
    </row>
    <row r="99" spans="1:4" x14ac:dyDescent="0.25">
      <c r="A99" s="90">
        <v>1101202100</v>
      </c>
      <c r="B99" s="90" t="s">
        <v>737</v>
      </c>
      <c r="C99" s="56">
        <f>IFERROR(VLOOKUP(A99,'SAP '!$A$8:$D$393,3,0),0)</f>
        <v>12447</v>
      </c>
      <c r="D99" s="184">
        <f>IFERROR(VLOOKUP(A99,'SAP '!A:D,4,0),0)</f>
        <v>0</v>
      </c>
    </row>
    <row r="100" spans="1:4" x14ac:dyDescent="0.25">
      <c r="A100" s="90">
        <v>1101202101</v>
      </c>
      <c r="B100" s="90" t="s">
        <v>738</v>
      </c>
      <c r="C100" s="56">
        <f>IFERROR(VLOOKUP(A100,'SAP '!$A$8:$D$393,3,0),0)</f>
        <v>5842</v>
      </c>
      <c r="D100" s="184">
        <f>IFERROR(VLOOKUP(A100,'SAP '!A:D,4,0),0)</f>
        <v>0</v>
      </c>
    </row>
    <row r="101" spans="1:4" x14ac:dyDescent="0.25">
      <c r="A101" s="90">
        <v>1101202102</v>
      </c>
      <c r="B101" s="90" t="s">
        <v>893</v>
      </c>
      <c r="C101" s="56">
        <f>IFERROR(VLOOKUP(A101,'SAP '!$A$8:$D$393,3,0),0)</f>
        <v>-25753</v>
      </c>
      <c r="D101" s="184">
        <f>IFERROR(VLOOKUP(A101,'SAP '!A:D,4,0),0)</f>
        <v>0</v>
      </c>
    </row>
    <row r="102" spans="1:4" x14ac:dyDescent="0.25">
      <c r="A102" s="90">
        <v>1101202110</v>
      </c>
      <c r="B102" s="90" t="s">
        <v>739</v>
      </c>
      <c r="C102" s="56">
        <f>IFERROR(VLOOKUP(A102,'SAP '!$A$8:$D$393,3,0),0)</f>
        <v>-130770</v>
      </c>
      <c r="D102" s="184">
        <f>IFERROR(VLOOKUP(A102,'SAP '!A:D,4,0),0)</f>
        <v>0</v>
      </c>
    </row>
    <row r="103" spans="1:4" x14ac:dyDescent="0.25">
      <c r="A103" s="90">
        <v>1101202111</v>
      </c>
      <c r="B103" s="90" t="s">
        <v>740</v>
      </c>
      <c r="C103" s="56">
        <f>IFERROR(VLOOKUP(A103,'SAP '!$A$8:$D$393,3,0),0)</f>
        <v>-59971</v>
      </c>
      <c r="D103" s="184">
        <f>IFERROR(VLOOKUP(A103,'SAP '!A:D,4,0),0)</f>
        <v>0</v>
      </c>
    </row>
    <row r="104" spans="1:4" x14ac:dyDescent="0.25">
      <c r="A104" s="90">
        <v>1101202112</v>
      </c>
      <c r="B104" s="90" t="s">
        <v>894</v>
      </c>
      <c r="C104" s="56">
        <f>IFERROR(VLOOKUP(A104,'SAP '!$A$8:$D$393,3,0),0)</f>
        <v>181296</v>
      </c>
      <c r="D104" s="184">
        <f>IFERROR(VLOOKUP(A104,'SAP '!A:D,4,0),0)</f>
        <v>0</v>
      </c>
    </row>
    <row r="105" spans="1:4" x14ac:dyDescent="0.25">
      <c r="A105" s="90">
        <v>1101202131</v>
      </c>
      <c r="B105" s="90" t="s">
        <v>899</v>
      </c>
      <c r="C105" s="56">
        <f>IFERROR(VLOOKUP(A105,'SAP '!$A$8:$D$393,3,0),0)</f>
        <v>13920.11</v>
      </c>
      <c r="D105" s="184">
        <f>IFERROR(VLOOKUP(A105,'SAP '!A:D,4,0),0)</f>
        <v>0</v>
      </c>
    </row>
    <row r="106" spans="1:4" x14ac:dyDescent="0.25">
      <c r="A106" s="90">
        <v>1101202130</v>
      </c>
      <c r="B106" s="90" t="s">
        <v>743</v>
      </c>
      <c r="C106" s="56">
        <f>IFERROR(VLOOKUP(A106,'SAP '!$A$8:$D$393,3,0),0)</f>
        <v>21458.38</v>
      </c>
      <c r="D106" s="184">
        <f>IFERROR(VLOOKUP(A106,'SAP '!A:D,4,0),0)</f>
        <v>0</v>
      </c>
    </row>
    <row r="107" spans="1:4" x14ac:dyDescent="0.25">
      <c r="A107" s="90">
        <v>1101202132</v>
      </c>
      <c r="B107" s="90" t="s">
        <v>916</v>
      </c>
      <c r="C107" s="56">
        <f>IFERROR(VLOOKUP(A107,'SAP '!$A$8:$D$393,3,0),0)</f>
        <v>0</v>
      </c>
      <c r="D107" s="184">
        <f>IFERROR(VLOOKUP(A107,'SAP '!A:D,4,0),0)</f>
        <v>0</v>
      </c>
    </row>
    <row r="108" spans="1:4" x14ac:dyDescent="0.25">
      <c r="A108" s="199">
        <v>1101202140</v>
      </c>
      <c r="B108" s="187" t="s">
        <v>1086</v>
      </c>
      <c r="C108" s="56">
        <f>IFERROR(VLOOKUP(A108,'SAP '!$A$8:$D$393,3,0),0)</f>
        <v>1177257.8799999999</v>
      </c>
      <c r="D108" s="184">
        <f>IFERROR(VLOOKUP(A108,'SAP '!A:D,4,0),0)</f>
        <v>0</v>
      </c>
    </row>
    <row r="109" spans="1:4" x14ac:dyDescent="0.25">
      <c r="A109" s="199">
        <v>1101202141</v>
      </c>
      <c r="B109" s="187" t="s">
        <v>1075</v>
      </c>
      <c r="C109" s="56">
        <f>IFERROR(VLOOKUP(A109,'SAP '!$A$8:$D$393,3,0),0)</f>
        <v>8363</v>
      </c>
      <c r="D109" s="184">
        <f>IFERROR(VLOOKUP(A109,'SAP '!A:D,4,0),0)</f>
        <v>0</v>
      </c>
    </row>
    <row r="110" spans="1:4" x14ac:dyDescent="0.25">
      <c r="A110" s="199">
        <v>1101202142</v>
      </c>
      <c r="B110" s="187" t="s">
        <v>1087</v>
      </c>
      <c r="C110" s="56">
        <f>IFERROR(VLOOKUP(A110,'SAP '!$A$8:$D$393,3,0),0)</f>
        <v>0</v>
      </c>
      <c r="D110" s="184">
        <f>IFERROR(VLOOKUP(A110,'SAP '!A:D,4,0),0)</f>
        <v>0</v>
      </c>
    </row>
    <row r="111" spans="1:4" x14ac:dyDescent="0.25">
      <c r="A111" s="90">
        <v>1101203000</v>
      </c>
      <c r="B111" s="90" t="s">
        <v>744</v>
      </c>
      <c r="C111" s="56">
        <f>IFERROR(VLOOKUP(A111,'SAP '!$A$8:$D$393,3,0),0)</f>
        <v>784949.5</v>
      </c>
      <c r="D111" s="184">
        <f>IFERROR(VLOOKUP(A111,'SAP '!A:D,4,0),0)</f>
        <v>1089461.83</v>
      </c>
    </row>
    <row r="112" spans="1:4" x14ac:dyDescent="0.25">
      <c r="A112" s="90">
        <v>1101203001</v>
      </c>
      <c r="B112" s="90" t="s">
        <v>745</v>
      </c>
      <c r="C112" s="56">
        <f>IFERROR(VLOOKUP(A112,'SAP '!$A$8:$D$393,3,0),0)</f>
        <v>-5075000.46</v>
      </c>
      <c r="D112" s="184">
        <f>IFERROR(VLOOKUP(A112,'SAP '!A:D,4,0),0)</f>
        <v>108524</v>
      </c>
    </row>
    <row r="113" spans="1:4" x14ac:dyDescent="0.25">
      <c r="A113" s="90">
        <v>1101203002</v>
      </c>
      <c r="B113" s="90" t="s">
        <v>917</v>
      </c>
      <c r="C113" s="56">
        <f>IFERROR(VLOOKUP(A113,'SAP '!$A$8:$D$393,3,0),0)</f>
        <v>0</v>
      </c>
      <c r="D113" s="184">
        <f>IFERROR(VLOOKUP(A113,'SAP '!A:D,4,0),0)</f>
        <v>0</v>
      </c>
    </row>
    <row r="114" spans="1:4" x14ac:dyDescent="0.25">
      <c r="A114" s="90">
        <v>1101203010</v>
      </c>
      <c r="B114" s="90" t="s">
        <v>746</v>
      </c>
      <c r="C114" s="56">
        <f>IFERROR(VLOOKUP(A114,'SAP '!$A$8:$D$393,3,0),0)</f>
        <v>160583</v>
      </c>
      <c r="D114" s="184">
        <f>IFERROR(VLOOKUP(A114,'SAP '!A:D,4,0),0)</f>
        <v>774416.11</v>
      </c>
    </row>
    <row r="115" spans="1:4" x14ac:dyDescent="0.25">
      <c r="A115" s="90">
        <v>1101203011</v>
      </c>
      <c r="B115" s="90" t="s">
        <v>747</v>
      </c>
      <c r="C115" s="56">
        <f>IFERROR(VLOOKUP(A115,'SAP '!$A$8:$D$393,3,0),0)</f>
        <v>-4458692.8899999997</v>
      </c>
      <c r="D115" s="184">
        <f>IFERROR(VLOOKUP(A115,'SAP '!A:D,4,0),0)</f>
        <v>107009.62</v>
      </c>
    </row>
    <row r="116" spans="1:4" x14ac:dyDescent="0.25">
      <c r="A116" s="90">
        <v>1101203012</v>
      </c>
      <c r="B116" s="90" t="s">
        <v>918</v>
      </c>
      <c r="C116" s="56">
        <f>IFERROR(VLOOKUP(A116,'SAP '!$A$8:$D$393,3,0),0)</f>
        <v>0</v>
      </c>
      <c r="D116" s="184">
        <f>IFERROR(VLOOKUP(A116,'SAP '!A:D,4,0),0)</f>
        <v>0</v>
      </c>
    </row>
    <row r="117" spans="1:4" x14ac:dyDescent="0.25">
      <c r="A117" s="90">
        <v>1101203020</v>
      </c>
      <c r="B117" s="90" t="s">
        <v>748</v>
      </c>
      <c r="C117" s="56">
        <f>IFERROR(VLOOKUP(A117,'SAP '!$A$8:$D$393,3,0),0)</f>
        <v>0</v>
      </c>
      <c r="D117" s="184">
        <f>IFERROR(VLOOKUP(A117,'SAP '!A:D,4,0),0)</f>
        <v>1325922.55</v>
      </c>
    </row>
    <row r="118" spans="1:4" x14ac:dyDescent="0.25">
      <c r="A118" s="90">
        <v>1101203021</v>
      </c>
      <c r="B118" s="90" t="s">
        <v>749</v>
      </c>
      <c r="C118" s="56">
        <f>IFERROR(VLOOKUP(A118,'SAP '!$A$8:$D$393,3,0),0)</f>
        <v>0</v>
      </c>
      <c r="D118" s="184">
        <f>IFERROR(VLOOKUP(A118,'SAP '!A:D,4,0),0)</f>
        <v>406606.5</v>
      </c>
    </row>
    <row r="119" spans="1:4" x14ac:dyDescent="0.25">
      <c r="A119" s="90">
        <v>1101203022</v>
      </c>
      <c r="B119" s="90" t="s">
        <v>919</v>
      </c>
      <c r="C119" s="56">
        <f>IFERROR(VLOOKUP(A119,'SAP '!$A$8:$D$393,3,0),0)</f>
        <v>0</v>
      </c>
      <c r="D119" s="184">
        <f>IFERROR(VLOOKUP(A119,'SAP '!A:D,4,0),0)</f>
        <v>0</v>
      </c>
    </row>
    <row r="120" spans="1:4" x14ac:dyDescent="0.25">
      <c r="A120" s="90">
        <v>1101203240</v>
      </c>
      <c r="B120" s="90" t="s">
        <v>769</v>
      </c>
      <c r="C120" s="56">
        <f>IFERROR(VLOOKUP(A120,'SAP '!$A$8:$D$393,3,0),0)</f>
        <v>1561734.75</v>
      </c>
      <c r="D120" s="184">
        <f>IFERROR(VLOOKUP(A120,'SAP '!A:D,4,0),0)</f>
        <v>0</v>
      </c>
    </row>
    <row r="121" spans="1:4" x14ac:dyDescent="0.25">
      <c r="A121" s="90">
        <v>1101203241</v>
      </c>
      <c r="B121" s="90" t="s">
        <v>770</v>
      </c>
      <c r="C121" s="56">
        <f>IFERROR(VLOOKUP(A121,'SAP '!$A$8:$D$393,3,0),0)</f>
        <v>-5806135.5</v>
      </c>
      <c r="D121" s="184">
        <f>IFERROR(VLOOKUP(A121,'SAP '!A:D,4,0),0)</f>
        <v>0</v>
      </c>
    </row>
    <row r="122" spans="1:4" x14ac:dyDescent="0.25">
      <c r="A122" s="90">
        <v>1101203242</v>
      </c>
      <c r="B122" s="90" t="s">
        <v>896</v>
      </c>
      <c r="C122" s="56">
        <f>IFERROR(VLOOKUP(A122,'SAP '!$A$8:$D$393,3,0),0)</f>
        <v>0</v>
      </c>
      <c r="D122" s="184">
        <f>IFERROR(VLOOKUP(A122,'SAP '!A:D,4,0),0)</f>
        <v>0</v>
      </c>
    </row>
    <row r="123" spans="1:4" x14ac:dyDescent="0.25">
      <c r="A123" s="90">
        <v>1101203250</v>
      </c>
      <c r="B123" s="90" t="s">
        <v>771</v>
      </c>
      <c r="C123" s="56">
        <f>IFERROR(VLOOKUP(A123,'SAP '!$A$8:$D$393,3,0),0)</f>
        <v>131426.15</v>
      </c>
      <c r="D123" s="184">
        <f>IFERROR(VLOOKUP(A123,'SAP '!A:D,4,0),0)</f>
        <v>0</v>
      </c>
    </row>
    <row r="124" spans="1:4" x14ac:dyDescent="0.25">
      <c r="A124" s="90">
        <v>1101203251</v>
      </c>
      <c r="B124" s="90" t="s">
        <v>895</v>
      </c>
      <c r="C124" s="56">
        <f>IFERROR(VLOOKUP(A124,'SAP '!$A$8:$D$393,3,0),0)</f>
        <v>925454.6</v>
      </c>
      <c r="D124" s="184">
        <f>IFERROR(VLOOKUP(A124,'SAP '!A:D,4,0),0)</f>
        <v>0</v>
      </c>
    </row>
    <row r="125" spans="1:4" x14ac:dyDescent="0.25">
      <c r="A125" s="90">
        <v>1101203252</v>
      </c>
      <c r="B125" s="90" t="s">
        <v>772</v>
      </c>
      <c r="C125" s="56">
        <f>IFERROR(VLOOKUP(A125,'SAP '!$A$8:$D$393,3,0),0)</f>
        <v>-481581.63</v>
      </c>
      <c r="D125" s="184">
        <f>IFERROR(VLOOKUP(A125,'SAP '!A:D,4,0),0)</f>
        <v>0</v>
      </c>
    </row>
    <row r="126" spans="1:4" x14ac:dyDescent="0.25">
      <c r="A126" s="90">
        <v>1101203030</v>
      </c>
      <c r="B126" s="90" t="s">
        <v>750</v>
      </c>
      <c r="C126" s="56">
        <f>IFERROR(VLOOKUP(A126,'SAP '!$A$8:$D$393,3,0),0)</f>
        <v>-654071</v>
      </c>
      <c r="D126" s="184">
        <f>IFERROR(VLOOKUP(A126,'SAP '!A:D,4,0),0)</f>
        <v>1000</v>
      </c>
    </row>
    <row r="127" spans="1:4" x14ac:dyDescent="0.25">
      <c r="A127" s="90">
        <v>1101203031</v>
      </c>
      <c r="B127" s="90" t="s">
        <v>904</v>
      </c>
      <c r="C127" s="56">
        <f>IFERROR(VLOOKUP(A127,'SAP '!$A$8:$D$393,3,0),0)</f>
        <v>-1355801.5</v>
      </c>
      <c r="D127" s="184">
        <f>IFERROR(VLOOKUP(A127,'SAP '!A:D,4,0),0)</f>
        <v>352</v>
      </c>
    </row>
    <row r="128" spans="1:4" x14ac:dyDescent="0.25">
      <c r="A128" s="90">
        <v>1101203032</v>
      </c>
      <c r="B128" s="90" t="s">
        <v>905</v>
      </c>
      <c r="C128" s="56">
        <f>IFERROR(VLOOKUP(A128,'SAP '!$A$8:$D$393,3,0),0)</f>
        <v>0</v>
      </c>
      <c r="D128" s="184">
        <f>IFERROR(VLOOKUP(A128,'SAP '!A:D,4,0),0)</f>
        <v>0</v>
      </c>
    </row>
    <row r="129" spans="1:4" x14ac:dyDescent="0.25">
      <c r="A129" s="90">
        <v>1101203040</v>
      </c>
      <c r="B129" s="90" t="s">
        <v>751</v>
      </c>
      <c r="C129" s="56">
        <f>IFERROR(VLOOKUP(A129,'SAP '!$A$8:$D$393,3,0),0)</f>
        <v>348515.5</v>
      </c>
      <c r="D129" s="184">
        <f>IFERROR(VLOOKUP(A129,'SAP '!A:D,4,0),0)</f>
        <v>158044.15</v>
      </c>
    </row>
    <row r="130" spans="1:4" x14ac:dyDescent="0.25">
      <c r="A130" s="90">
        <v>1101203041</v>
      </c>
      <c r="B130" s="90" t="s">
        <v>752</v>
      </c>
      <c r="C130" s="56">
        <f>IFERROR(VLOOKUP(A130,'SAP '!$A$8:$D$393,3,0),0)</f>
        <v>-1937071.5</v>
      </c>
      <c r="D130" s="184">
        <f>IFERROR(VLOOKUP(A130,'SAP '!A:D,4,0),0)</f>
        <v>36718</v>
      </c>
    </row>
    <row r="131" spans="1:4" x14ac:dyDescent="0.25">
      <c r="A131" s="90">
        <v>1101203042</v>
      </c>
      <c r="B131" s="90" t="s">
        <v>920</v>
      </c>
      <c r="C131" s="56">
        <f>IFERROR(VLOOKUP(A131,'SAP '!$A$8:$D$393,3,0),0)</f>
        <v>0</v>
      </c>
      <c r="D131" s="184">
        <f>IFERROR(VLOOKUP(A131,'SAP '!A:D,4,0),0)</f>
        <v>0</v>
      </c>
    </row>
    <row r="132" spans="1:4" x14ac:dyDescent="0.25">
      <c r="A132" s="90">
        <v>1101203050</v>
      </c>
      <c r="B132" s="90" t="s">
        <v>753</v>
      </c>
      <c r="C132" s="56">
        <f>IFERROR(VLOOKUP(A132,'SAP '!$A$8:$D$393,3,0),0)</f>
        <v>369456.5</v>
      </c>
      <c r="D132" s="184">
        <f>IFERROR(VLOOKUP(A132,'SAP '!A:D,4,0),0)</f>
        <v>24273.55</v>
      </c>
    </row>
    <row r="133" spans="1:4" x14ac:dyDescent="0.25">
      <c r="A133" s="90">
        <v>1101203051</v>
      </c>
      <c r="B133" s="90" t="s">
        <v>754</v>
      </c>
      <c r="C133" s="56">
        <f>IFERROR(VLOOKUP(A133,'SAP '!$A$8:$D$393,3,0),0)</f>
        <v>-2759257.8</v>
      </c>
      <c r="D133" s="184">
        <f>IFERROR(VLOOKUP(A133,'SAP '!A:D,4,0),0)</f>
        <v>1676311.66</v>
      </c>
    </row>
    <row r="134" spans="1:4" x14ac:dyDescent="0.25">
      <c r="A134" s="90">
        <v>1101203052</v>
      </c>
      <c r="B134" s="90" t="s">
        <v>921</v>
      </c>
      <c r="C134" s="56">
        <f>IFERROR(VLOOKUP(A134,'SAP '!$A$8:$D$393,3,0),0)</f>
        <v>0</v>
      </c>
      <c r="D134" s="184">
        <f>IFERROR(VLOOKUP(A134,'SAP '!A:D,4,0),0)</f>
        <v>0</v>
      </c>
    </row>
    <row r="135" spans="1:4" x14ac:dyDescent="0.25">
      <c r="A135" s="90">
        <v>1101203060</v>
      </c>
      <c r="B135" s="90" t="s">
        <v>755</v>
      </c>
      <c r="C135" s="56">
        <f>IFERROR(VLOOKUP(A135,'SAP '!$A$8:$D$393,3,0),0)</f>
        <v>290617.25</v>
      </c>
      <c r="D135" s="184">
        <f>IFERROR(VLOOKUP(A135,'SAP '!A:D,4,0),0)</f>
        <v>448711.25</v>
      </c>
    </row>
    <row r="136" spans="1:4" x14ac:dyDescent="0.25">
      <c r="A136" s="90">
        <v>1101203061</v>
      </c>
      <c r="B136" s="90" t="s">
        <v>756</v>
      </c>
      <c r="C136" s="56">
        <f>IFERROR(VLOOKUP(A136,'SAP '!$A$8:$D$393,3,0),0)</f>
        <v>-1862085.01</v>
      </c>
      <c r="D136" s="184">
        <f>IFERROR(VLOOKUP(A136,'SAP '!A:D,4,0),0)</f>
        <v>224015.25</v>
      </c>
    </row>
    <row r="137" spans="1:4" x14ac:dyDescent="0.25">
      <c r="A137" s="90">
        <v>1101203062</v>
      </c>
      <c r="B137" s="90" t="s">
        <v>922</v>
      </c>
      <c r="C137" s="56">
        <f>IFERROR(VLOOKUP(A137,'SAP '!$A$8:$D$393,3,0),0)</f>
        <v>0</v>
      </c>
      <c r="D137" s="184">
        <f>IFERROR(VLOOKUP(A137,'SAP '!A:D,4,0),0)</f>
        <v>0</v>
      </c>
    </row>
    <row r="138" spans="1:4" x14ac:dyDescent="0.25">
      <c r="A138" s="90">
        <v>1101203070</v>
      </c>
      <c r="B138" s="90" t="s">
        <v>757</v>
      </c>
      <c r="C138" s="56">
        <f>IFERROR(VLOOKUP(A138,'SAP '!$A$8:$D$393,3,0),0)</f>
        <v>326994.25</v>
      </c>
      <c r="D138" s="184">
        <f>IFERROR(VLOOKUP(A138,'SAP '!A:D,4,0),0)</f>
        <v>385688</v>
      </c>
    </row>
    <row r="139" spans="1:4" x14ac:dyDescent="0.25">
      <c r="A139" s="90">
        <v>1101203071</v>
      </c>
      <c r="B139" s="90" t="s">
        <v>758</v>
      </c>
      <c r="C139" s="56">
        <f>IFERROR(VLOOKUP(A139,'SAP '!$A$8:$D$393,3,0),0)</f>
        <v>-1577513.94</v>
      </c>
      <c r="D139" s="184">
        <f>IFERROR(VLOOKUP(A139,'SAP '!A:D,4,0),0)</f>
        <v>85878</v>
      </c>
    </row>
    <row r="140" spans="1:4" x14ac:dyDescent="0.25">
      <c r="A140" s="90">
        <v>1101203072</v>
      </c>
      <c r="B140" s="90" t="s">
        <v>906</v>
      </c>
      <c r="C140" s="56">
        <f>IFERROR(VLOOKUP(A140,'SAP '!$A$8:$D$393,3,0),0)</f>
        <v>0</v>
      </c>
      <c r="D140" s="184">
        <f>IFERROR(VLOOKUP(A140,'SAP '!A:D,4,0),0)</f>
        <v>0</v>
      </c>
    </row>
    <row r="141" spans="1:4" x14ac:dyDescent="0.25">
      <c r="A141" s="90">
        <v>1101203080</v>
      </c>
      <c r="B141" s="90" t="s">
        <v>923</v>
      </c>
      <c r="C141" s="56">
        <f>IFERROR(VLOOKUP(A141,'SAP '!$A$8:$D$393,3,0),0)</f>
        <v>0</v>
      </c>
      <c r="D141" s="184">
        <f>IFERROR(VLOOKUP(A141,'SAP '!A:D,4,0),0)</f>
        <v>0</v>
      </c>
    </row>
    <row r="142" spans="1:4" x14ac:dyDescent="0.25">
      <c r="A142" s="90">
        <v>1101203081</v>
      </c>
      <c r="B142" s="90" t="s">
        <v>924</v>
      </c>
      <c r="C142" s="56">
        <f>IFERROR(VLOOKUP(A142,'SAP '!$A$8:$D$393,3,0),0)</f>
        <v>0</v>
      </c>
      <c r="D142" s="184">
        <f>IFERROR(VLOOKUP(A142,'SAP '!A:D,4,0),0)</f>
        <v>0</v>
      </c>
    </row>
    <row r="143" spans="1:4" x14ac:dyDescent="0.25">
      <c r="A143" s="90">
        <v>1101203082</v>
      </c>
      <c r="B143" s="90" t="s">
        <v>925</v>
      </c>
      <c r="C143" s="56">
        <f>IFERROR(VLOOKUP(A143,'SAP '!$A$8:$D$393,3,0),0)</f>
        <v>0</v>
      </c>
      <c r="D143" s="184">
        <f>IFERROR(VLOOKUP(A143,'SAP '!A:D,4,0),0)</f>
        <v>0</v>
      </c>
    </row>
    <row r="144" spans="1:4" x14ac:dyDescent="0.25">
      <c r="A144" s="90">
        <v>1101203090</v>
      </c>
      <c r="B144" s="90" t="s">
        <v>926</v>
      </c>
      <c r="C144" s="56">
        <f>IFERROR(VLOOKUP(A144,'SAP '!$A$8:$D$393,3,0),0)</f>
        <v>0</v>
      </c>
      <c r="D144" s="184">
        <f>IFERROR(VLOOKUP(A144,'SAP '!A:D,4,0),0)</f>
        <v>40192.92</v>
      </c>
    </row>
    <row r="145" spans="1:4" x14ac:dyDescent="0.25">
      <c r="A145" s="90">
        <v>1101203091</v>
      </c>
      <c r="B145" s="90" t="s">
        <v>927</v>
      </c>
      <c r="C145" s="56">
        <f>IFERROR(VLOOKUP(A145,'SAP '!$A$8:$D$393,3,0),0)</f>
        <v>0</v>
      </c>
      <c r="D145" s="184">
        <f>IFERROR(VLOOKUP(A145,'SAP '!A:D,4,0),0)</f>
        <v>1300000</v>
      </c>
    </row>
    <row r="146" spans="1:4" x14ac:dyDescent="0.25">
      <c r="A146" s="90">
        <v>1101203092</v>
      </c>
      <c r="B146" s="90" t="s">
        <v>928</v>
      </c>
      <c r="C146" s="56">
        <f>IFERROR(VLOOKUP(A146,'SAP '!$A$8:$D$393,3,0),0)</f>
        <v>0</v>
      </c>
      <c r="D146" s="184">
        <f>IFERROR(VLOOKUP(A146,'SAP '!A:D,4,0),0)</f>
        <v>-749220.88</v>
      </c>
    </row>
    <row r="147" spans="1:4" x14ac:dyDescent="0.25">
      <c r="A147" s="90">
        <v>1101203100</v>
      </c>
      <c r="B147" s="90" t="s">
        <v>929</v>
      </c>
      <c r="C147" s="56">
        <f>IFERROR(VLOOKUP(A147,'SAP '!$A$8:$D$393,3,0),0)</f>
        <v>0</v>
      </c>
      <c r="D147" s="184">
        <f>IFERROR(VLOOKUP(A147,'SAP '!A:D,4,0),0)</f>
        <v>0</v>
      </c>
    </row>
    <row r="148" spans="1:4" x14ac:dyDescent="0.25">
      <c r="A148" s="90">
        <v>1101203101</v>
      </c>
      <c r="B148" s="90" t="s">
        <v>930</v>
      </c>
      <c r="C148" s="56">
        <f>IFERROR(VLOOKUP(A148,'SAP '!$A$8:$D$393,3,0),0)</f>
        <v>0</v>
      </c>
      <c r="D148" s="184">
        <f>IFERROR(VLOOKUP(A148,'SAP '!A:D,4,0),0)</f>
        <v>0</v>
      </c>
    </row>
    <row r="149" spans="1:4" x14ac:dyDescent="0.25">
      <c r="A149" s="90">
        <v>1101203102</v>
      </c>
      <c r="B149" s="90" t="s">
        <v>931</v>
      </c>
      <c r="C149" s="56">
        <f>IFERROR(VLOOKUP(A149,'SAP '!$A$8:$D$393,3,0),0)</f>
        <v>0</v>
      </c>
      <c r="D149" s="184">
        <f>IFERROR(VLOOKUP(A149,'SAP '!A:D,4,0),0)</f>
        <v>0</v>
      </c>
    </row>
    <row r="150" spans="1:4" x14ac:dyDescent="0.25">
      <c r="A150" s="90">
        <v>1101203110</v>
      </c>
      <c r="B150" s="90" t="s">
        <v>932</v>
      </c>
      <c r="C150" s="56">
        <f>IFERROR(VLOOKUP(A150,'SAP '!$A$8:$D$393,3,0),0)</f>
        <v>0</v>
      </c>
      <c r="D150" s="184">
        <f>IFERROR(VLOOKUP(A150,'SAP '!A:D,4,0),0)</f>
        <v>0</v>
      </c>
    </row>
    <row r="151" spans="1:4" x14ac:dyDescent="0.25">
      <c r="A151" s="90">
        <v>1101203111</v>
      </c>
      <c r="B151" s="90" t="s">
        <v>933</v>
      </c>
      <c r="C151" s="56">
        <f>IFERROR(VLOOKUP(A151,'SAP '!$A$8:$D$393,3,0),0)</f>
        <v>0</v>
      </c>
      <c r="D151" s="184">
        <f>IFERROR(VLOOKUP(A151,'SAP '!A:D,4,0),0)</f>
        <v>0</v>
      </c>
    </row>
    <row r="152" spans="1:4" x14ac:dyDescent="0.25">
      <c r="A152" s="90">
        <v>1101203112</v>
      </c>
      <c r="B152" s="90" t="s">
        <v>934</v>
      </c>
      <c r="C152" s="56">
        <f>IFERROR(VLOOKUP(A152,'SAP '!$A$8:$D$393,3,0),0)</f>
        <v>0</v>
      </c>
      <c r="D152" s="184">
        <f>IFERROR(VLOOKUP(A152,'SAP '!A:D,4,0),0)</f>
        <v>0</v>
      </c>
    </row>
    <row r="153" spans="1:4" x14ac:dyDescent="0.25">
      <c r="A153" s="90">
        <v>1101203120</v>
      </c>
      <c r="B153" s="90" t="s">
        <v>935</v>
      </c>
      <c r="C153" s="56">
        <f>IFERROR(VLOOKUP(A153,'SAP '!$A$8:$D$393,3,0),0)</f>
        <v>0</v>
      </c>
      <c r="D153" s="184">
        <f>IFERROR(VLOOKUP(A153,'SAP '!A:D,4,0),0)</f>
        <v>0</v>
      </c>
    </row>
    <row r="154" spans="1:4" x14ac:dyDescent="0.25">
      <c r="A154" s="90">
        <v>1101203121</v>
      </c>
      <c r="B154" s="90" t="s">
        <v>936</v>
      </c>
      <c r="C154" s="56">
        <f>IFERROR(VLOOKUP(A154,'SAP '!$A$8:$D$393,3,0),0)</f>
        <v>0</v>
      </c>
      <c r="D154" s="184">
        <f>IFERROR(VLOOKUP(A154,'SAP '!A:D,4,0),0)</f>
        <v>0</v>
      </c>
    </row>
    <row r="155" spans="1:4" x14ac:dyDescent="0.25">
      <c r="A155" s="90">
        <v>1101203122</v>
      </c>
      <c r="B155" s="90" t="s">
        <v>937</v>
      </c>
      <c r="C155" s="56">
        <f>IFERROR(VLOOKUP(A155,'SAP '!$A$8:$D$393,3,0),0)</f>
        <v>0</v>
      </c>
      <c r="D155" s="184">
        <f>IFERROR(VLOOKUP(A155,'SAP '!A:D,4,0),0)</f>
        <v>0</v>
      </c>
    </row>
    <row r="156" spans="1:4" x14ac:dyDescent="0.25">
      <c r="A156" s="90">
        <v>1101203130</v>
      </c>
      <c r="B156" s="90" t="s">
        <v>760</v>
      </c>
      <c r="C156" s="56">
        <f>IFERROR(VLOOKUP(A156,'SAP '!$A$8:$D$393,3,0),0)</f>
        <v>0</v>
      </c>
      <c r="D156" s="184">
        <f>IFERROR(VLOOKUP(A156,'SAP '!A:D,4,0),0)</f>
        <v>0</v>
      </c>
    </row>
    <row r="157" spans="1:4" x14ac:dyDescent="0.25">
      <c r="A157" s="90">
        <v>1101203131</v>
      </c>
      <c r="B157" s="90" t="s">
        <v>761</v>
      </c>
      <c r="C157" s="56">
        <f>IFERROR(VLOOKUP(A157,'SAP '!$A$8:$D$393,3,0),0)</f>
        <v>0</v>
      </c>
      <c r="D157" s="184">
        <f>IFERROR(VLOOKUP(A157,'SAP '!A:D,4,0),0)</f>
        <v>0</v>
      </c>
    </row>
    <row r="158" spans="1:4" x14ac:dyDescent="0.25">
      <c r="A158" s="90">
        <v>1101203132</v>
      </c>
      <c r="B158" s="90" t="s">
        <v>938</v>
      </c>
      <c r="C158" s="56">
        <f>IFERROR(VLOOKUP(A158,'SAP '!$A$8:$D$393,3,0),0)</f>
        <v>0</v>
      </c>
      <c r="D158" s="184">
        <f>IFERROR(VLOOKUP(A158,'SAP '!A:D,4,0),0)</f>
        <v>0</v>
      </c>
    </row>
    <row r="159" spans="1:4" x14ac:dyDescent="0.25">
      <c r="A159" s="90">
        <v>1101203140</v>
      </c>
      <c r="B159" s="90" t="s">
        <v>939</v>
      </c>
      <c r="C159" s="56">
        <f>IFERROR(VLOOKUP(A159,'SAP '!$A$8:$D$393,3,0),0)</f>
        <v>0</v>
      </c>
      <c r="D159" s="184">
        <f>IFERROR(VLOOKUP(A159,'SAP '!A:D,4,0),0)</f>
        <v>0</v>
      </c>
    </row>
    <row r="160" spans="1:4" x14ac:dyDescent="0.25">
      <c r="A160" s="90">
        <v>1101203141</v>
      </c>
      <c r="B160" s="90" t="s">
        <v>940</v>
      </c>
      <c r="C160" s="56">
        <f>IFERROR(VLOOKUP(A160,'SAP '!$A$8:$D$393,3,0),0)</f>
        <v>0</v>
      </c>
      <c r="D160" s="184">
        <f>IFERROR(VLOOKUP(A160,'SAP '!A:D,4,0),0)</f>
        <v>0</v>
      </c>
    </row>
    <row r="161" spans="1:4" x14ac:dyDescent="0.25">
      <c r="A161" s="90">
        <v>1101203142</v>
      </c>
      <c r="B161" s="90" t="s">
        <v>941</v>
      </c>
      <c r="C161" s="56">
        <f>IFERROR(VLOOKUP(A161,'SAP '!$A$8:$D$393,3,0),0)</f>
        <v>0</v>
      </c>
      <c r="D161" s="184">
        <f>IFERROR(VLOOKUP(A161,'SAP '!A:D,4,0),0)</f>
        <v>0</v>
      </c>
    </row>
    <row r="162" spans="1:4" x14ac:dyDescent="0.25">
      <c r="A162" s="90">
        <v>1101203150</v>
      </c>
      <c r="B162" s="90" t="s">
        <v>760</v>
      </c>
      <c r="C162" s="56">
        <f>IFERROR(VLOOKUP(A162,'SAP '!$A$8:$D$393,3,0),0)</f>
        <v>0</v>
      </c>
      <c r="D162" s="184">
        <f>IFERROR(VLOOKUP(A162,'SAP '!A:D,4,0),0)</f>
        <v>0</v>
      </c>
    </row>
    <row r="163" spans="1:4" x14ac:dyDescent="0.25">
      <c r="A163" s="90">
        <v>1101203151</v>
      </c>
      <c r="B163" s="90" t="s">
        <v>761</v>
      </c>
      <c r="C163" s="56">
        <f>IFERROR(VLOOKUP(A163,'SAP '!$A$8:$D$393,3,0),0)</f>
        <v>0</v>
      </c>
      <c r="D163" s="184">
        <f>IFERROR(VLOOKUP(A163,'SAP '!A:D,4,0),0)</f>
        <v>0</v>
      </c>
    </row>
    <row r="164" spans="1:4" x14ac:dyDescent="0.25">
      <c r="A164" s="90">
        <v>1101203152</v>
      </c>
      <c r="B164" s="90" t="s">
        <v>938</v>
      </c>
      <c r="C164" s="56">
        <f>IFERROR(VLOOKUP(A164,'SAP '!$A$8:$D$393,3,0),0)</f>
        <v>0</v>
      </c>
      <c r="D164" s="184">
        <f>IFERROR(VLOOKUP(A164,'SAP '!A:D,4,0),0)</f>
        <v>0</v>
      </c>
    </row>
    <row r="165" spans="1:4" x14ac:dyDescent="0.25">
      <c r="A165" s="90">
        <v>1101203230</v>
      </c>
      <c r="B165" s="90" t="s">
        <v>595</v>
      </c>
      <c r="C165" s="56">
        <f>IFERROR(VLOOKUP(A165,'SAP '!$A$8:$D$393,3,0),0)</f>
        <v>382414.75</v>
      </c>
      <c r="D165" s="184">
        <f>IFERROR(VLOOKUP(A165,'SAP '!A:D,4,0),0)</f>
        <v>0</v>
      </c>
    </row>
    <row r="166" spans="1:4" x14ac:dyDescent="0.25">
      <c r="A166" s="90">
        <v>1101203231</v>
      </c>
      <c r="B166" s="90" t="s">
        <v>596</v>
      </c>
      <c r="C166" s="56">
        <f>IFERROR(VLOOKUP(A166,'SAP '!$A$8:$D$393,3,0),0)</f>
        <v>-1169192.25</v>
      </c>
      <c r="D166" s="184">
        <f>IFERROR(VLOOKUP(A166,'SAP '!A:D,4,0),0)</f>
        <v>0</v>
      </c>
    </row>
    <row r="167" spans="1:4" x14ac:dyDescent="0.25">
      <c r="A167" s="90">
        <v>1101203232</v>
      </c>
      <c r="B167" s="90" t="s">
        <v>597</v>
      </c>
      <c r="C167" s="56">
        <f>IFERROR(VLOOKUP(A167,'SAP '!$A$8:$D$393,3,0),0)</f>
        <v>0</v>
      </c>
      <c r="D167" s="184">
        <f>IFERROR(VLOOKUP(A167,'SAP '!A:D,4,0),0)</f>
        <v>0</v>
      </c>
    </row>
    <row r="168" spans="1:4" x14ac:dyDescent="0.25">
      <c r="A168" s="90">
        <v>1101203180</v>
      </c>
      <c r="B168" s="90" t="s">
        <v>762</v>
      </c>
      <c r="C168" s="56">
        <f>IFERROR(VLOOKUP(A168,'SAP '!$A$8:$D$393,3,0),0)</f>
        <v>-12255</v>
      </c>
      <c r="D168" s="184">
        <f>IFERROR(VLOOKUP(A168,'SAP '!A:D,4,0),0)</f>
        <v>1000</v>
      </c>
    </row>
    <row r="169" spans="1:4" x14ac:dyDescent="0.25">
      <c r="A169" s="90">
        <v>1101203181</v>
      </c>
      <c r="B169" s="90" t="s">
        <v>763</v>
      </c>
      <c r="C169" s="56">
        <f>IFERROR(VLOOKUP(A169,'SAP '!$A$8:$D$393,3,0),0)</f>
        <v>-143173.45000000001</v>
      </c>
      <c r="D169" s="184">
        <f>IFERROR(VLOOKUP(A169,'SAP '!A:D,4,0),0)</f>
        <v>22965</v>
      </c>
    </row>
    <row r="170" spans="1:4" x14ac:dyDescent="0.25">
      <c r="A170" s="90">
        <v>1101203182</v>
      </c>
      <c r="B170" s="90" t="s">
        <v>942</v>
      </c>
      <c r="C170" s="56">
        <f>IFERROR(VLOOKUP(A170,'SAP '!$A$8:$D$393,3,0),0)</f>
        <v>0</v>
      </c>
      <c r="D170" s="184">
        <f>IFERROR(VLOOKUP(A170,'SAP '!A:D,4,0),0)</f>
        <v>0</v>
      </c>
    </row>
    <row r="171" spans="1:4" x14ac:dyDescent="0.25">
      <c r="A171" s="139">
        <v>1101203190</v>
      </c>
      <c r="B171" s="90" t="s">
        <v>764</v>
      </c>
      <c r="C171" s="56">
        <f>IFERROR(VLOOKUP(A171,'SAP '!$A$8:$D$393,3,0),0)</f>
        <v>100922.5</v>
      </c>
      <c r="D171" s="184">
        <f>IFERROR(VLOOKUP(A171,'SAP '!A:D,4,0),0)</f>
        <v>245667</v>
      </c>
    </row>
    <row r="172" spans="1:4" x14ac:dyDescent="0.25">
      <c r="A172" s="139">
        <v>1101203191</v>
      </c>
      <c r="B172" s="90" t="s">
        <v>900</v>
      </c>
      <c r="C172" s="56">
        <f>IFERROR(VLOOKUP(A172,'SAP '!$A$8:$D$393,3,0),0)</f>
        <v>-605098.75</v>
      </c>
      <c r="D172" s="184">
        <f>IFERROR(VLOOKUP(A172,'SAP '!A:D,4,0),0)</f>
        <v>1292</v>
      </c>
    </row>
    <row r="173" spans="1:4" x14ac:dyDescent="0.25">
      <c r="A173" s="139">
        <v>1101203192</v>
      </c>
      <c r="B173" s="90" t="s">
        <v>943</v>
      </c>
      <c r="C173" s="56">
        <f>IFERROR(VLOOKUP(A173,'SAP '!$A$8:$D$393,3,0),0)</f>
        <v>0</v>
      </c>
      <c r="D173" s="184">
        <f>IFERROR(VLOOKUP(A173,'SAP '!A:D,4,0),0)</f>
        <v>0</v>
      </c>
    </row>
    <row r="174" spans="1:4" x14ac:dyDescent="0.25">
      <c r="A174" s="139">
        <v>1101203210</v>
      </c>
      <c r="B174" s="90" t="s">
        <v>765</v>
      </c>
      <c r="C174" s="56">
        <f>IFERROR(VLOOKUP(A174,'SAP '!$A$8:$D$393,3,0),0)</f>
        <v>0</v>
      </c>
      <c r="D174" s="184">
        <f>IFERROR(VLOOKUP(A174,'SAP '!A:D,4,0),0)</f>
        <v>1000</v>
      </c>
    </row>
    <row r="175" spans="1:4" x14ac:dyDescent="0.25">
      <c r="A175" s="139">
        <v>1101203211</v>
      </c>
      <c r="B175" s="90" t="s">
        <v>766</v>
      </c>
      <c r="C175" s="56">
        <f>IFERROR(VLOOKUP(A175,'SAP '!$A$8:$D$393,3,0),0)</f>
        <v>-466472</v>
      </c>
      <c r="D175" s="184">
        <f>IFERROR(VLOOKUP(A175,'SAP '!A:D,4,0),0)</f>
        <v>76150</v>
      </c>
    </row>
    <row r="176" spans="1:4" x14ac:dyDescent="0.25">
      <c r="A176" s="139">
        <v>1101203220</v>
      </c>
      <c r="B176" s="90" t="s">
        <v>767</v>
      </c>
      <c r="C176" s="56">
        <f>IFERROR(VLOOKUP(A176,'SAP '!$A$8:$D$393,3,0),0)</f>
        <v>43609</v>
      </c>
      <c r="D176" s="184">
        <f>IFERROR(VLOOKUP(A176,'SAP '!A:D,4,0),0)</f>
        <v>809810</v>
      </c>
    </row>
    <row r="177" spans="1:4" x14ac:dyDescent="0.25">
      <c r="A177" s="139">
        <v>1101203221</v>
      </c>
      <c r="B177" s="90" t="s">
        <v>768</v>
      </c>
      <c r="C177" s="56">
        <f>IFERROR(VLOOKUP(A177,'SAP '!$A$8:$D$393,3,0),0)</f>
        <v>-2133811.75</v>
      </c>
      <c r="D177" s="184">
        <f>IFERROR(VLOOKUP(A177,'SAP '!A:D,4,0),0)</f>
        <v>316325</v>
      </c>
    </row>
    <row r="178" spans="1:4" x14ac:dyDescent="0.25">
      <c r="A178" s="139">
        <v>1101203222</v>
      </c>
      <c r="B178" s="90" t="s">
        <v>907</v>
      </c>
      <c r="C178" s="56">
        <f>IFERROR(VLOOKUP(A178,'SAP '!$A$8:$D$393,3,0),0)</f>
        <v>0</v>
      </c>
      <c r="D178" s="184">
        <f>IFERROR(VLOOKUP(A178,'SAP '!A:D,4,0),0)</f>
        <v>0</v>
      </c>
    </row>
    <row r="179" spans="1:4" x14ac:dyDescent="0.25">
      <c r="A179" s="90">
        <v>1101203160</v>
      </c>
      <c r="B179" s="90" t="s">
        <v>759</v>
      </c>
      <c r="C179" s="56">
        <f>IFERROR(VLOOKUP(A179,'SAP '!$A$8:$D$393,3,0),0)</f>
        <v>-32377</v>
      </c>
      <c r="D179" s="184">
        <f>IFERROR(VLOOKUP(A179,'SAP '!A:D,4,0),0)</f>
        <v>118405</v>
      </c>
    </row>
    <row r="180" spans="1:4" x14ac:dyDescent="0.25">
      <c r="A180" s="90">
        <v>1101203161</v>
      </c>
      <c r="B180" s="90" t="s">
        <v>1072</v>
      </c>
      <c r="C180" s="56">
        <f>IFERROR(VLOOKUP(A180,'SAP '!$A$8:$D$393,3,0),0)</f>
        <v>-149809</v>
      </c>
      <c r="D180" s="184">
        <f>IFERROR(VLOOKUP(A180,'SAP '!A:D,4,0),0)</f>
        <v>100</v>
      </c>
    </row>
    <row r="181" spans="1:4" x14ac:dyDescent="0.25">
      <c r="A181" s="90">
        <v>1101203162</v>
      </c>
      <c r="B181" s="90" t="s">
        <v>946</v>
      </c>
      <c r="C181" s="56">
        <f>IFERROR(VLOOKUP(A181,'SAP '!$A$8:$D$393,3,0),0)</f>
        <v>0</v>
      </c>
      <c r="D181" s="184">
        <f>IFERROR(VLOOKUP(A181,'SAP '!A:D,4,0),0)</f>
        <v>0</v>
      </c>
    </row>
    <row r="182" spans="1:4" x14ac:dyDescent="0.25">
      <c r="A182" s="90">
        <v>1101203170</v>
      </c>
      <c r="B182" s="90" t="s">
        <v>760</v>
      </c>
      <c r="C182" s="56">
        <f>IFERROR(VLOOKUP(A182,'SAP '!$A$8:$D$393,3,0),0)</f>
        <v>0</v>
      </c>
      <c r="D182" s="184">
        <f>IFERROR(VLOOKUP(A182,'SAP '!A:D,4,0),0)</f>
        <v>3305955</v>
      </c>
    </row>
    <row r="183" spans="1:4" x14ac:dyDescent="0.25">
      <c r="A183" s="90">
        <v>1101203171</v>
      </c>
      <c r="B183" s="90" t="s">
        <v>761</v>
      </c>
      <c r="C183" s="56">
        <f>IFERROR(VLOOKUP(A183,'SAP '!$A$8:$D$393,3,0),0)</f>
        <v>0</v>
      </c>
      <c r="D183" s="184">
        <f>IFERROR(VLOOKUP(A183,'SAP '!A:D,4,0),0)</f>
        <v>98976</v>
      </c>
    </row>
    <row r="184" spans="1:4" x14ac:dyDescent="0.25">
      <c r="A184" s="90">
        <v>1101203172</v>
      </c>
      <c r="B184" s="90" t="s">
        <v>938</v>
      </c>
      <c r="C184" s="56">
        <f>IFERROR(VLOOKUP(A184,'SAP '!$A$8:$D$393,3,0),0)</f>
        <v>0</v>
      </c>
      <c r="D184" s="184">
        <f>IFERROR(VLOOKUP(A184,'SAP '!A:D,4,0),0)</f>
        <v>0</v>
      </c>
    </row>
    <row r="185" spans="1:4" x14ac:dyDescent="0.25">
      <c r="A185" s="90">
        <v>1101204000</v>
      </c>
      <c r="B185" s="90" t="s">
        <v>773</v>
      </c>
      <c r="C185" s="56">
        <f>IFERROR(VLOOKUP(A185,'SAP '!$A$8:$D$393,3,0),0)</f>
        <v>4176908.25</v>
      </c>
      <c r="D185" s="184">
        <f>IFERROR(VLOOKUP(A185,'SAP '!A:D,4,0),0)</f>
        <v>4722111</v>
      </c>
    </row>
    <row r="186" spans="1:4" x14ac:dyDescent="0.25">
      <c r="A186" s="90">
        <v>1101204001</v>
      </c>
      <c r="B186" s="90" t="s">
        <v>774</v>
      </c>
      <c r="C186" s="56">
        <f>IFERROR(VLOOKUP(A186,'SAP '!$A$8:$D$393,3,0),0)</f>
        <v>-19730863.59</v>
      </c>
      <c r="D186" s="184">
        <f>IFERROR(VLOOKUP(A186,'SAP '!A:D,4,0),0)</f>
        <v>901737</v>
      </c>
    </row>
    <row r="187" spans="1:4" x14ac:dyDescent="0.25">
      <c r="A187" s="90">
        <v>1101204002</v>
      </c>
      <c r="B187" s="90" t="s">
        <v>947</v>
      </c>
      <c r="C187" s="56">
        <f>IFERROR(VLOOKUP(A187,'SAP '!$A$8:$D$393,3,0),0)</f>
        <v>0</v>
      </c>
      <c r="D187" s="184">
        <f>IFERROR(VLOOKUP(A187,'SAP '!A:D,4,0),0)</f>
        <v>0</v>
      </c>
    </row>
    <row r="188" spans="1:4" x14ac:dyDescent="0.25">
      <c r="A188" s="90">
        <v>1101204010</v>
      </c>
      <c r="B188" s="90" t="s">
        <v>775</v>
      </c>
      <c r="C188" s="56">
        <f>IFERROR(VLOOKUP(A188,'SAP '!$A$8:$D$393,3,0),0)</f>
        <v>-102831.17</v>
      </c>
      <c r="D188" s="184">
        <f>IFERROR(VLOOKUP(A188,'SAP '!A:D,4,0),0)</f>
        <v>315777.5</v>
      </c>
    </row>
    <row r="189" spans="1:4" x14ac:dyDescent="0.25">
      <c r="A189" s="90">
        <v>1101204011</v>
      </c>
      <c r="B189" s="90" t="s">
        <v>776</v>
      </c>
      <c r="C189" s="56">
        <f>IFERROR(VLOOKUP(A189,'SAP '!$A$8:$D$393,3,0),0)</f>
        <v>-1664352.74</v>
      </c>
      <c r="D189" s="184">
        <f>IFERROR(VLOOKUP(A189,'SAP '!A:D,4,0),0)</f>
        <v>48075</v>
      </c>
    </row>
    <row r="190" spans="1:4" x14ac:dyDescent="0.25">
      <c r="A190" s="90">
        <v>1101204012</v>
      </c>
      <c r="B190" s="90" t="s">
        <v>948</v>
      </c>
      <c r="C190" s="56">
        <f>IFERROR(VLOOKUP(A190,'SAP '!$A$8:$D$393,3,0),0)</f>
        <v>0</v>
      </c>
      <c r="D190" s="184">
        <f>IFERROR(VLOOKUP(A190,'SAP '!A:D,4,0),0)</f>
        <v>0</v>
      </c>
    </row>
    <row r="191" spans="1:4" x14ac:dyDescent="0.25">
      <c r="A191" s="90">
        <v>1101204020</v>
      </c>
      <c r="B191" s="90" t="s">
        <v>777</v>
      </c>
      <c r="C191" s="56">
        <f>IFERROR(VLOOKUP(A191,'SAP '!$A$8:$D$393,3,0),0)</f>
        <v>-9902</v>
      </c>
      <c r="D191" s="184">
        <f>IFERROR(VLOOKUP(A191,'SAP '!A:D,4,0),0)</f>
        <v>7691</v>
      </c>
    </row>
    <row r="192" spans="1:4" x14ac:dyDescent="0.25">
      <c r="A192" s="90">
        <v>1101204021</v>
      </c>
      <c r="B192" s="90" t="s">
        <v>949</v>
      </c>
      <c r="C192" s="56">
        <f>IFERROR(VLOOKUP(A192,'SAP '!$A$8:$D$393,3,0),0)</f>
        <v>-777833</v>
      </c>
      <c r="D192" s="184">
        <f>IFERROR(VLOOKUP(A192,'SAP '!A:D,4,0),0)</f>
        <v>199</v>
      </c>
    </row>
    <row r="193" spans="1:4" x14ac:dyDescent="0.25">
      <c r="A193" s="90">
        <v>1101204022</v>
      </c>
      <c r="B193" s="90" t="s">
        <v>950</v>
      </c>
      <c r="C193" s="56">
        <f>IFERROR(VLOOKUP(A193,'SAP '!$A$8:$D$393,3,0),0)</f>
        <v>0</v>
      </c>
      <c r="D193" s="184">
        <f>IFERROR(VLOOKUP(A193,'SAP '!A:D,4,0),0)</f>
        <v>0</v>
      </c>
    </row>
    <row r="194" spans="1:4" x14ac:dyDescent="0.25">
      <c r="A194" s="90">
        <v>1101204030</v>
      </c>
      <c r="B194" s="90" t="s">
        <v>778</v>
      </c>
      <c r="C194" s="56">
        <f>IFERROR(VLOOKUP(A194,'SAP '!$A$8:$D$393,3,0),0)</f>
        <v>0</v>
      </c>
      <c r="D194" s="184">
        <f>IFERROR(VLOOKUP(A194,'SAP '!A:D,4,0),0)</f>
        <v>1000</v>
      </c>
    </row>
    <row r="195" spans="1:4" x14ac:dyDescent="0.25">
      <c r="A195" s="90">
        <v>1101204031</v>
      </c>
      <c r="B195" s="90" t="s">
        <v>779</v>
      </c>
      <c r="C195" s="56">
        <f>IFERROR(VLOOKUP(A195,'SAP '!$A$8:$D$393,3,0),0)</f>
        <v>-2428927.0299999998</v>
      </c>
      <c r="D195" s="184">
        <f>IFERROR(VLOOKUP(A195,'SAP '!A:D,4,0),0)</f>
        <v>20332</v>
      </c>
    </row>
    <row r="196" spans="1:4" x14ac:dyDescent="0.25">
      <c r="A196" s="90">
        <v>1101204032</v>
      </c>
      <c r="B196" s="90" t="s">
        <v>951</v>
      </c>
      <c r="C196" s="56">
        <f>IFERROR(VLOOKUP(A196,'SAP '!$A$8:$D$393,3,0),0)</f>
        <v>0</v>
      </c>
      <c r="D196" s="184">
        <f>IFERROR(VLOOKUP(A196,'SAP '!A:D,4,0),0)</f>
        <v>0</v>
      </c>
    </row>
    <row r="197" spans="1:4" x14ac:dyDescent="0.25">
      <c r="A197" s="90">
        <v>1101204040</v>
      </c>
      <c r="B197" s="90" t="s">
        <v>780</v>
      </c>
      <c r="C197" s="56">
        <f>IFERROR(VLOOKUP(A197,'SAP '!$A$8:$D$393,3,0),0)</f>
        <v>279775</v>
      </c>
      <c r="D197" s="184">
        <f>IFERROR(VLOOKUP(A197,'SAP '!A:D,4,0),0)</f>
        <v>19617</v>
      </c>
    </row>
    <row r="198" spans="1:4" x14ac:dyDescent="0.25">
      <c r="A198" s="90">
        <v>1101204041</v>
      </c>
      <c r="B198" s="90" t="s">
        <v>781</v>
      </c>
      <c r="C198" s="56">
        <f>IFERROR(VLOOKUP(A198,'SAP '!$A$8:$D$393,3,0),0)</f>
        <v>-834182.78</v>
      </c>
      <c r="D198" s="184">
        <f>IFERROR(VLOOKUP(A198,'SAP '!A:D,4,0),0)</f>
        <v>61943</v>
      </c>
    </row>
    <row r="199" spans="1:4" x14ac:dyDescent="0.25">
      <c r="A199" s="90">
        <v>1101204042</v>
      </c>
      <c r="B199" s="90" t="s">
        <v>952</v>
      </c>
      <c r="C199" s="56">
        <f>IFERROR(VLOOKUP(A199,'SAP '!$A$8:$D$393,3,0),0)</f>
        <v>0</v>
      </c>
      <c r="D199" s="184">
        <f>IFERROR(VLOOKUP(A199,'SAP '!A:D,4,0),0)</f>
        <v>0</v>
      </c>
    </row>
    <row r="200" spans="1:4" x14ac:dyDescent="0.25">
      <c r="A200" s="90">
        <v>1101204050</v>
      </c>
      <c r="B200" s="90" t="s">
        <v>782</v>
      </c>
      <c r="C200" s="56">
        <f>IFERROR(VLOOKUP(A200,'SAP '!$A$8:$D$393,3,0),0)</f>
        <v>3930958.85</v>
      </c>
      <c r="D200" s="184">
        <f>IFERROR(VLOOKUP(A200,'SAP '!A:D,4,0),0)</f>
        <v>21604</v>
      </c>
    </row>
    <row r="201" spans="1:4" x14ac:dyDescent="0.25">
      <c r="A201" s="90">
        <v>1101204051</v>
      </c>
      <c r="B201" s="90" t="s">
        <v>783</v>
      </c>
      <c r="C201" s="56">
        <f>IFERROR(VLOOKUP(A201,'SAP '!$A$8:$D$393,3,0),0)</f>
        <v>-3807329.5</v>
      </c>
      <c r="D201" s="184">
        <f>IFERROR(VLOOKUP(A201,'SAP '!A:D,4,0),0)</f>
        <v>145144</v>
      </c>
    </row>
    <row r="202" spans="1:4" x14ac:dyDescent="0.25">
      <c r="A202" s="90">
        <v>1101204052</v>
      </c>
      <c r="B202" s="90" t="s">
        <v>953</v>
      </c>
      <c r="C202" s="56">
        <f>IFERROR(VLOOKUP(A202,'SAP '!$A$8:$D$393,3,0),0)</f>
        <v>0</v>
      </c>
      <c r="D202" s="184">
        <f>IFERROR(VLOOKUP(A202,'SAP '!A:D,4,0),0)</f>
        <v>0</v>
      </c>
    </row>
    <row r="203" spans="1:4" x14ac:dyDescent="0.25">
      <c r="A203" s="90">
        <v>1101204060</v>
      </c>
      <c r="B203" s="90" t="s">
        <v>784</v>
      </c>
      <c r="C203" s="56">
        <f>IFERROR(VLOOKUP(A203,'SAP '!$A$8:$D$393,3,0),0)</f>
        <v>168686</v>
      </c>
      <c r="D203" s="184">
        <f>IFERROR(VLOOKUP(A203,'SAP '!A:D,4,0),0)</f>
        <v>6585</v>
      </c>
    </row>
    <row r="204" spans="1:4" x14ac:dyDescent="0.25">
      <c r="A204" s="90">
        <v>1101204061</v>
      </c>
      <c r="B204" s="90" t="s">
        <v>785</v>
      </c>
      <c r="C204" s="56">
        <f>IFERROR(VLOOKUP(A204,'SAP '!$A$8:$D$393,3,0),0)</f>
        <v>-1073777</v>
      </c>
      <c r="D204" s="184">
        <f>IFERROR(VLOOKUP(A204,'SAP '!A:D,4,0),0)</f>
        <v>2600</v>
      </c>
    </row>
    <row r="205" spans="1:4" x14ac:dyDescent="0.25">
      <c r="A205" s="90">
        <v>1101204062</v>
      </c>
      <c r="B205" s="90" t="s">
        <v>954</v>
      </c>
      <c r="C205" s="56">
        <f>IFERROR(VLOOKUP(A205,'SAP '!$A$8:$D$393,3,0),0)</f>
        <v>0</v>
      </c>
      <c r="D205" s="184">
        <f>IFERROR(VLOOKUP(A205,'SAP '!A:D,4,0),0)</f>
        <v>0</v>
      </c>
    </row>
    <row r="206" spans="1:4" x14ac:dyDescent="0.25">
      <c r="A206" s="90">
        <v>1101204070</v>
      </c>
      <c r="B206" s="90" t="s">
        <v>786</v>
      </c>
      <c r="C206" s="56">
        <f>IFERROR(VLOOKUP(A206,'SAP '!$A$8:$D$393,3,0),0)</f>
        <v>127124</v>
      </c>
      <c r="D206" s="184">
        <f>IFERROR(VLOOKUP(A206,'SAP '!A:D,4,0),0)</f>
        <v>429204</v>
      </c>
    </row>
    <row r="207" spans="1:4" x14ac:dyDescent="0.25">
      <c r="A207" s="90">
        <v>1101204071</v>
      </c>
      <c r="B207" s="90" t="s">
        <v>787</v>
      </c>
      <c r="C207" s="56">
        <f>IFERROR(VLOOKUP(A207,'SAP '!$A$8:$D$393,3,0),0)</f>
        <v>-362404</v>
      </c>
      <c r="D207" s="184">
        <f>IFERROR(VLOOKUP(A207,'SAP '!A:D,4,0),0)</f>
        <v>122730.49</v>
      </c>
    </row>
    <row r="208" spans="1:4" x14ac:dyDescent="0.25">
      <c r="A208" s="90">
        <v>1101204072</v>
      </c>
      <c r="B208" s="90" t="s">
        <v>955</v>
      </c>
      <c r="C208" s="56">
        <f>IFERROR(VLOOKUP(A208,'SAP '!$A$8:$D$393,3,0),0)</f>
        <v>0</v>
      </c>
      <c r="D208" s="184">
        <f>IFERROR(VLOOKUP(A208,'SAP '!A:D,4,0),0)</f>
        <v>0</v>
      </c>
    </row>
    <row r="209" spans="1:4" x14ac:dyDescent="0.25">
      <c r="A209" s="90">
        <v>1101204080</v>
      </c>
      <c r="B209" s="90" t="s">
        <v>788</v>
      </c>
      <c r="C209" s="56">
        <f>IFERROR(VLOOKUP(A209,'SAP '!$A$8:$D$393,3,0),0)</f>
        <v>1138520.75</v>
      </c>
      <c r="D209" s="184">
        <f>IFERROR(VLOOKUP(A209,'SAP '!A:D,4,0),0)</f>
        <v>549589.32999999996</v>
      </c>
    </row>
    <row r="210" spans="1:4" x14ac:dyDescent="0.25">
      <c r="A210" s="90">
        <v>1101204081</v>
      </c>
      <c r="B210" s="90" t="s">
        <v>789</v>
      </c>
      <c r="C210" s="56">
        <f>IFERROR(VLOOKUP(A210,'SAP '!$A$8:$D$393,3,0),0)</f>
        <v>397895.93</v>
      </c>
      <c r="D210" s="184">
        <f>IFERROR(VLOOKUP(A210,'SAP '!A:D,4,0),0)</f>
        <v>1143751.58</v>
      </c>
    </row>
    <row r="211" spans="1:4" x14ac:dyDescent="0.25">
      <c r="A211" s="90">
        <v>1101204082</v>
      </c>
      <c r="B211" s="90" t="s">
        <v>790</v>
      </c>
      <c r="C211" s="56">
        <f>IFERROR(VLOOKUP(A211,'SAP '!$A$8:$D$393,3,0),0)</f>
        <v>-1313720.78</v>
      </c>
      <c r="D211" s="184">
        <f>IFERROR(VLOOKUP(A211,'SAP '!A:D,4,0),0)</f>
        <v>-1195342.98</v>
      </c>
    </row>
    <row r="212" spans="1:4" x14ac:dyDescent="0.25">
      <c r="A212" s="90">
        <v>1101204090</v>
      </c>
      <c r="B212" s="90" t="s">
        <v>956</v>
      </c>
      <c r="C212" s="56">
        <f>IFERROR(VLOOKUP(A212,'SAP '!$A$8:$D$393,3,0),0)</f>
        <v>0</v>
      </c>
      <c r="D212" s="184">
        <f>IFERROR(VLOOKUP(A212,'SAP '!A:D,4,0),0)</f>
        <v>0</v>
      </c>
    </row>
    <row r="213" spans="1:4" x14ac:dyDescent="0.25">
      <c r="A213" s="90">
        <v>1101204091</v>
      </c>
      <c r="B213" s="90" t="s">
        <v>957</v>
      </c>
      <c r="C213" s="56">
        <f>IFERROR(VLOOKUP(A213,'SAP '!$A$8:$D$393,3,0),0)</f>
        <v>0</v>
      </c>
      <c r="D213" s="184">
        <f>IFERROR(VLOOKUP(A213,'SAP '!A:D,4,0),0)</f>
        <v>0</v>
      </c>
    </row>
    <row r="214" spans="1:4" x14ac:dyDescent="0.25">
      <c r="A214" s="90">
        <v>1101204092</v>
      </c>
      <c r="B214" s="90" t="s">
        <v>958</v>
      </c>
      <c r="C214" s="56">
        <f>IFERROR(VLOOKUP(A214,'SAP '!$A$8:$D$393,3,0),0)</f>
        <v>0</v>
      </c>
      <c r="D214" s="184">
        <f>IFERROR(VLOOKUP(A214,'SAP '!A:D,4,0),0)</f>
        <v>0</v>
      </c>
    </row>
    <row r="215" spans="1:4" x14ac:dyDescent="0.25">
      <c r="A215" s="90">
        <v>1101204100</v>
      </c>
      <c r="B215" s="90" t="s">
        <v>959</v>
      </c>
      <c r="C215" s="56">
        <f>IFERROR(VLOOKUP(A215,'SAP '!$A$8:$D$393,3,0),0)</f>
        <v>0</v>
      </c>
      <c r="D215" s="184">
        <f>IFERROR(VLOOKUP(A215,'SAP '!A:D,4,0),0)</f>
        <v>0</v>
      </c>
    </row>
    <row r="216" spans="1:4" x14ac:dyDescent="0.25">
      <c r="A216" s="90">
        <v>1101204101</v>
      </c>
      <c r="B216" s="90" t="s">
        <v>960</v>
      </c>
      <c r="C216" s="56">
        <f>IFERROR(VLOOKUP(A216,'SAP '!$A$8:$D$393,3,0),0)</f>
        <v>0</v>
      </c>
      <c r="D216" s="184">
        <f>IFERROR(VLOOKUP(A216,'SAP '!A:D,4,0),0)</f>
        <v>0</v>
      </c>
    </row>
    <row r="217" spans="1:4" x14ac:dyDescent="0.25">
      <c r="A217" s="90">
        <v>1101204102</v>
      </c>
      <c r="B217" s="90" t="s">
        <v>961</v>
      </c>
      <c r="C217" s="56">
        <f>IFERROR(VLOOKUP(A217,'SAP '!$A$8:$D$393,3,0),0)</f>
        <v>0</v>
      </c>
      <c r="D217" s="184">
        <f>IFERROR(VLOOKUP(A217,'SAP '!A:D,4,0),0)</f>
        <v>0</v>
      </c>
    </row>
    <row r="218" spans="1:4" x14ac:dyDescent="0.25">
      <c r="A218" s="90">
        <v>1101204110</v>
      </c>
      <c r="B218" s="90" t="s">
        <v>962</v>
      </c>
      <c r="C218" s="56">
        <f>IFERROR(VLOOKUP(A218,'SAP '!$A$8:$D$393,3,0),0)</f>
        <v>0</v>
      </c>
      <c r="D218" s="184">
        <f>IFERROR(VLOOKUP(A218,'SAP '!A:D,4,0),0)</f>
        <v>0</v>
      </c>
    </row>
    <row r="219" spans="1:4" x14ac:dyDescent="0.25">
      <c r="A219" s="90">
        <v>1101204111</v>
      </c>
      <c r="B219" s="90" t="s">
        <v>963</v>
      </c>
      <c r="C219" s="56">
        <f>IFERROR(VLOOKUP(A219,'SAP '!$A$8:$D$393,3,0),0)</f>
        <v>0</v>
      </c>
      <c r="D219" s="184">
        <f>IFERROR(VLOOKUP(A219,'SAP '!A:D,4,0),0)</f>
        <v>0</v>
      </c>
    </row>
    <row r="220" spans="1:4" x14ac:dyDescent="0.25">
      <c r="A220" s="90">
        <v>1101204112</v>
      </c>
      <c r="B220" s="90" t="s">
        <v>964</v>
      </c>
      <c r="C220" s="56">
        <f>IFERROR(VLOOKUP(A220,'SAP '!$A$8:$D$393,3,0),0)</f>
        <v>0</v>
      </c>
      <c r="D220" s="184">
        <f>IFERROR(VLOOKUP(A220,'SAP '!A:D,4,0),0)</f>
        <v>0</v>
      </c>
    </row>
    <row r="221" spans="1:4" x14ac:dyDescent="0.25">
      <c r="A221" s="90">
        <v>1101204120</v>
      </c>
      <c r="B221" s="90" t="s">
        <v>965</v>
      </c>
      <c r="C221" s="56">
        <f>IFERROR(VLOOKUP(A221,'SAP '!$A$8:$D$393,3,0),0)</f>
        <v>0</v>
      </c>
      <c r="D221" s="184">
        <f>IFERROR(VLOOKUP(A221,'SAP '!A:D,4,0),0)</f>
        <v>0</v>
      </c>
    </row>
    <row r="222" spans="1:4" x14ac:dyDescent="0.25">
      <c r="A222" s="90">
        <v>1101204121</v>
      </c>
      <c r="B222" s="90" t="s">
        <v>966</v>
      </c>
      <c r="C222" s="56">
        <f>IFERROR(VLOOKUP(A222,'SAP '!$A$8:$D$393,3,0),0)</f>
        <v>0</v>
      </c>
      <c r="D222" s="184">
        <f>IFERROR(VLOOKUP(A222,'SAP '!A:D,4,0),0)</f>
        <v>0</v>
      </c>
    </row>
    <row r="223" spans="1:4" x14ac:dyDescent="0.25">
      <c r="A223" s="90">
        <v>1101204122</v>
      </c>
      <c r="B223" s="90" t="s">
        <v>967</v>
      </c>
      <c r="C223" s="56">
        <f>IFERROR(VLOOKUP(A223,'SAP '!$A$8:$D$393,3,0),0)</f>
        <v>0</v>
      </c>
      <c r="D223" s="184">
        <f>IFERROR(VLOOKUP(A223,'SAP '!A:D,4,0),0)</f>
        <v>0</v>
      </c>
    </row>
    <row r="224" spans="1:4" x14ac:dyDescent="0.25">
      <c r="A224" s="90">
        <v>1101204130</v>
      </c>
      <c r="B224" s="90" t="s">
        <v>968</v>
      </c>
      <c r="C224" s="56">
        <f>IFERROR(VLOOKUP(A224,'SAP '!$A$8:$D$393,3,0),0)</f>
        <v>0</v>
      </c>
      <c r="D224" s="184">
        <f>IFERROR(VLOOKUP(A224,'SAP '!A:D,4,0),0)</f>
        <v>0</v>
      </c>
    </row>
    <row r="225" spans="1:4" x14ac:dyDescent="0.25">
      <c r="A225" s="90">
        <v>1101204131</v>
      </c>
      <c r="B225" s="90" t="s">
        <v>969</v>
      </c>
      <c r="C225" s="56">
        <f>IFERROR(VLOOKUP(A225,'SAP '!$A$8:$D$393,3,0),0)</f>
        <v>0</v>
      </c>
      <c r="D225" s="184">
        <f>IFERROR(VLOOKUP(A225,'SAP '!A:D,4,0),0)</f>
        <v>0</v>
      </c>
    </row>
    <row r="226" spans="1:4" x14ac:dyDescent="0.25">
      <c r="A226" s="90">
        <v>1101204132</v>
      </c>
      <c r="B226" s="90" t="s">
        <v>970</v>
      </c>
      <c r="C226" s="56">
        <f>IFERROR(VLOOKUP(A226,'SAP '!$A$8:$D$393,3,0),0)</f>
        <v>0</v>
      </c>
      <c r="D226" s="184">
        <f>IFERROR(VLOOKUP(A226,'SAP '!A:D,4,0),0)</f>
        <v>0</v>
      </c>
    </row>
    <row r="227" spans="1:4" x14ac:dyDescent="0.25">
      <c r="A227" s="90">
        <v>1101204140</v>
      </c>
      <c r="B227" s="90" t="s">
        <v>971</v>
      </c>
      <c r="C227" s="56">
        <f>IFERROR(VLOOKUP(A227,'SAP '!$A$8:$D$393,3,0),0)</f>
        <v>0</v>
      </c>
      <c r="D227" s="184">
        <f>IFERROR(VLOOKUP(A227,'SAP '!A:D,4,0),0)</f>
        <v>0</v>
      </c>
    </row>
    <row r="228" spans="1:4" x14ac:dyDescent="0.25">
      <c r="A228" s="90">
        <v>1101204141</v>
      </c>
      <c r="B228" s="90" t="s">
        <v>972</v>
      </c>
      <c r="C228" s="56">
        <f>IFERROR(VLOOKUP(A228,'SAP '!$A$8:$D$393,3,0),0)</f>
        <v>0</v>
      </c>
      <c r="D228" s="184">
        <f>IFERROR(VLOOKUP(A228,'SAP '!A:D,4,0),0)</f>
        <v>0</v>
      </c>
    </row>
    <row r="229" spans="1:4" x14ac:dyDescent="0.25">
      <c r="A229" s="90">
        <v>1101204142</v>
      </c>
      <c r="B229" s="90" t="s">
        <v>973</v>
      </c>
      <c r="C229" s="56">
        <f>IFERROR(VLOOKUP(A229,'SAP '!$A$8:$D$393,3,0),0)</f>
        <v>0</v>
      </c>
      <c r="D229" s="184">
        <f>IFERROR(VLOOKUP(A229,'SAP '!A:D,4,0),0)</f>
        <v>0</v>
      </c>
    </row>
    <row r="230" spans="1:4" x14ac:dyDescent="0.25">
      <c r="A230" s="90">
        <v>1101204150</v>
      </c>
      <c r="B230" s="90" t="s">
        <v>791</v>
      </c>
      <c r="C230" s="56">
        <f>IFERROR(VLOOKUP(A230,'SAP '!$A$8:$D$393,3,0),0)</f>
        <v>-361828</v>
      </c>
      <c r="D230" s="184">
        <f>IFERROR(VLOOKUP(A230,'SAP '!A:D,4,0),0)</f>
        <v>1000</v>
      </c>
    </row>
    <row r="231" spans="1:4" x14ac:dyDescent="0.25">
      <c r="A231" s="90">
        <v>1101204151</v>
      </c>
      <c r="B231" s="90" t="s">
        <v>792</v>
      </c>
      <c r="C231" s="56">
        <f>IFERROR(VLOOKUP(A231,'SAP '!$A$8:$D$393,3,0),0)</f>
        <v>-1064655.25</v>
      </c>
      <c r="D231" s="184">
        <f>IFERROR(VLOOKUP(A231,'SAP '!A:D,4,0),0)</f>
        <v>0</v>
      </c>
    </row>
    <row r="232" spans="1:4" x14ac:dyDescent="0.25">
      <c r="A232" s="90">
        <v>1101204152</v>
      </c>
      <c r="B232" s="90" t="s">
        <v>974</v>
      </c>
      <c r="C232" s="56">
        <f>IFERROR(VLOOKUP(A232,'SAP '!$A$8:$D$393,3,0),0)</f>
        <v>0</v>
      </c>
      <c r="D232" s="184">
        <f>IFERROR(VLOOKUP(A232,'SAP '!A:D,4,0),0)</f>
        <v>0</v>
      </c>
    </row>
    <row r="233" spans="1:4" x14ac:dyDescent="0.25">
      <c r="A233" s="137">
        <v>1101204160</v>
      </c>
      <c r="B233" s="89" t="s">
        <v>793</v>
      </c>
      <c r="C233" s="56">
        <f>IFERROR(VLOOKUP(A233,'SAP '!$A$8:$D$393,3,0),0)</f>
        <v>-110802</v>
      </c>
      <c r="D233" s="184">
        <f>IFERROR(VLOOKUP(A233,'SAP '!A:D,4,0),0)</f>
        <v>65742</v>
      </c>
    </row>
    <row r="234" spans="1:4" x14ac:dyDescent="0.25">
      <c r="A234" s="137">
        <v>1101204161</v>
      </c>
      <c r="B234" s="89" t="s">
        <v>794</v>
      </c>
      <c r="C234" s="56">
        <f>IFERROR(VLOOKUP(A234,'SAP '!$A$8:$D$393,3,0),0)</f>
        <v>-498245.1</v>
      </c>
      <c r="D234" s="184">
        <f>IFERROR(VLOOKUP(A234,'SAP '!A:D,4,0),0)</f>
        <v>20127</v>
      </c>
    </row>
    <row r="235" spans="1:4" x14ac:dyDescent="0.25">
      <c r="A235" s="137">
        <v>1101204162</v>
      </c>
      <c r="B235" s="89" t="s">
        <v>975</v>
      </c>
      <c r="C235" s="56">
        <f>IFERROR(VLOOKUP(A235,'SAP '!$A$8:$D$393,3,0),0)</f>
        <v>0</v>
      </c>
      <c r="D235" s="184">
        <f>IFERROR(VLOOKUP(A235,'SAP '!A:D,4,0),0)</f>
        <v>0</v>
      </c>
    </row>
    <row r="236" spans="1:4" x14ac:dyDescent="0.25">
      <c r="A236" s="90">
        <v>1101204170</v>
      </c>
      <c r="B236" s="90" t="s">
        <v>976</v>
      </c>
      <c r="C236" s="56">
        <f>IFERROR(VLOOKUP(A236,'SAP '!$A$8:$D$393,3,0),0)</f>
        <v>0</v>
      </c>
      <c r="D236" s="184">
        <f>IFERROR(VLOOKUP(A236,'SAP '!A:D,4,0),0)</f>
        <v>0</v>
      </c>
    </row>
    <row r="237" spans="1:4" x14ac:dyDescent="0.25">
      <c r="A237" s="90">
        <v>1101204171</v>
      </c>
      <c r="B237" s="90" t="s">
        <v>977</v>
      </c>
      <c r="C237" s="56">
        <f>IFERROR(VLOOKUP(A237,'SAP '!$A$8:$D$393,3,0),0)</f>
        <v>0</v>
      </c>
      <c r="D237" s="184">
        <f>IFERROR(VLOOKUP(A237,'SAP '!A:D,4,0),0)</f>
        <v>0</v>
      </c>
    </row>
    <row r="238" spans="1:4" x14ac:dyDescent="0.25">
      <c r="A238" s="90">
        <v>1101204172</v>
      </c>
      <c r="B238" s="90" t="s">
        <v>978</v>
      </c>
      <c r="C238" s="56">
        <f>IFERROR(VLOOKUP(A238,'SAP '!$A$8:$D$393,3,0),0)</f>
        <v>0</v>
      </c>
      <c r="D238" s="184">
        <f>IFERROR(VLOOKUP(A238,'SAP '!A:D,4,0),0)</f>
        <v>0</v>
      </c>
    </row>
    <row r="239" spans="1:4" x14ac:dyDescent="0.25">
      <c r="A239" s="90">
        <v>1101204180</v>
      </c>
      <c r="B239" s="90" t="s">
        <v>562</v>
      </c>
      <c r="C239" s="56">
        <f>IFERROR(VLOOKUP(A239,'SAP '!$A$8:$D$393,3,0),0)</f>
        <v>1000</v>
      </c>
      <c r="D239" s="184">
        <f>IFERROR(VLOOKUP(A239,'SAP '!A:D,4,0),0)</f>
        <v>1000</v>
      </c>
    </row>
    <row r="240" spans="1:4" x14ac:dyDescent="0.25">
      <c r="A240" s="90">
        <v>1101204181</v>
      </c>
      <c r="B240" s="90" t="s">
        <v>573</v>
      </c>
      <c r="C240" s="56">
        <f>IFERROR(VLOOKUP(A240,'SAP '!$A$8:$D$393,3,0),0)</f>
        <v>-375793.25</v>
      </c>
      <c r="D240" s="184">
        <f>IFERROR(VLOOKUP(A240,'SAP '!A:D,4,0),0)</f>
        <v>0</v>
      </c>
    </row>
    <row r="241" spans="1:4" x14ac:dyDescent="0.25">
      <c r="A241" s="90">
        <v>1101204182</v>
      </c>
      <c r="B241" s="90" t="s">
        <v>574</v>
      </c>
      <c r="C241" s="56">
        <f>IFERROR(VLOOKUP(A241,'SAP '!$A$8:$D$393,3,0),0)</f>
        <v>0</v>
      </c>
      <c r="D241" s="184">
        <f>IFERROR(VLOOKUP(A241,'SAP '!A:D,4,0),0)</f>
        <v>0</v>
      </c>
    </row>
    <row r="242" spans="1:4" x14ac:dyDescent="0.25">
      <c r="A242" s="90">
        <v>1101205000</v>
      </c>
      <c r="B242" s="90" t="s">
        <v>795</v>
      </c>
      <c r="C242" s="56">
        <f>IFERROR(VLOOKUP(A242,'SAP '!$A$8:$D$393,3,0),0)</f>
        <v>1938535.25</v>
      </c>
      <c r="D242" s="184">
        <f>IFERROR(VLOOKUP(A242,'SAP '!A:D,4,0),0)</f>
        <v>1354316</v>
      </c>
    </row>
    <row r="243" spans="1:4" x14ac:dyDescent="0.25">
      <c r="A243" s="90">
        <v>1101205001</v>
      </c>
      <c r="B243" s="90" t="s">
        <v>796</v>
      </c>
      <c r="C243" s="56">
        <f>IFERROR(VLOOKUP(A243,'SAP '!$A$8:$D$393,3,0),0)</f>
        <v>-10650770.75</v>
      </c>
      <c r="D243" s="184">
        <f>IFERROR(VLOOKUP(A243,'SAP '!A:D,4,0),0)</f>
        <v>560308.82999999996</v>
      </c>
    </row>
    <row r="244" spans="1:4" x14ac:dyDescent="0.25">
      <c r="A244" s="90">
        <v>1101205002</v>
      </c>
      <c r="B244" s="90" t="s">
        <v>979</v>
      </c>
      <c r="C244" s="56">
        <f>IFERROR(VLOOKUP(A244,'SAP '!$A$8:$D$393,3,0),0)</f>
        <v>7381146.5899999999</v>
      </c>
      <c r="D244" s="184">
        <f>IFERROR(VLOOKUP(A244,'SAP '!A:D,4,0),0)</f>
        <v>0</v>
      </c>
    </row>
    <row r="245" spans="1:4" x14ac:dyDescent="0.25">
      <c r="A245" s="90">
        <v>1101205010</v>
      </c>
      <c r="B245" s="90" t="s">
        <v>797</v>
      </c>
      <c r="C245" s="56">
        <f>IFERROR(VLOOKUP(A245,'SAP '!$A$8:$D$393,3,0),0)</f>
        <v>-718455.99</v>
      </c>
      <c r="D245" s="184">
        <f>IFERROR(VLOOKUP(A245,'SAP '!A:D,4,0),0)</f>
        <v>1499876.4</v>
      </c>
    </row>
    <row r="246" spans="1:4" x14ac:dyDescent="0.25">
      <c r="A246" s="90">
        <v>1101205011</v>
      </c>
      <c r="B246" s="90" t="s">
        <v>798</v>
      </c>
      <c r="C246" s="56">
        <f>IFERROR(VLOOKUP(A246,'SAP '!$A$8:$D$393,3,0),0)</f>
        <v>-4471137.2</v>
      </c>
      <c r="D246" s="184">
        <f>IFERROR(VLOOKUP(A246,'SAP '!A:D,4,0),0)</f>
        <v>55342</v>
      </c>
    </row>
    <row r="247" spans="1:4" x14ac:dyDescent="0.25">
      <c r="A247" s="90">
        <v>1101205012</v>
      </c>
      <c r="B247" s="90" t="s">
        <v>901</v>
      </c>
      <c r="C247" s="56">
        <f>IFERROR(VLOOKUP(A247,'SAP '!$A$8:$D$393,3,0),0)</f>
        <v>0</v>
      </c>
      <c r="D247" s="184">
        <f>IFERROR(VLOOKUP(A247,'SAP '!A:D,4,0),0)</f>
        <v>0</v>
      </c>
    </row>
    <row r="248" spans="1:4" x14ac:dyDescent="0.25">
      <c r="A248" s="90">
        <v>1101205020</v>
      </c>
      <c r="B248" s="90" t="s">
        <v>799</v>
      </c>
      <c r="C248" s="56">
        <f>IFERROR(VLOOKUP(A248,'SAP '!$A$8:$D$393,3,0),0)</f>
        <v>105933</v>
      </c>
      <c r="D248" s="184">
        <f>IFERROR(VLOOKUP(A248,'SAP '!A:D,4,0),0)</f>
        <v>307158</v>
      </c>
    </row>
    <row r="249" spans="1:4" x14ac:dyDescent="0.25">
      <c r="A249" s="90">
        <v>1101205021</v>
      </c>
      <c r="B249" s="90" t="s">
        <v>800</v>
      </c>
      <c r="C249" s="56">
        <f>IFERROR(VLOOKUP(A249,'SAP '!$A$8:$D$393,3,0),0)</f>
        <v>-525811.5</v>
      </c>
      <c r="D249" s="184">
        <f>IFERROR(VLOOKUP(A249,'SAP '!A:D,4,0),0)</f>
        <v>9575.5</v>
      </c>
    </row>
    <row r="250" spans="1:4" x14ac:dyDescent="0.25">
      <c r="A250" s="90">
        <v>1101205022</v>
      </c>
      <c r="B250" s="90" t="s">
        <v>980</v>
      </c>
      <c r="C250" s="56">
        <f>IFERROR(VLOOKUP(A250,'SAP '!$A$8:$D$393,3,0),0)</f>
        <v>0</v>
      </c>
      <c r="D250" s="184">
        <f>IFERROR(VLOOKUP(A250,'SAP '!A:D,4,0),0)</f>
        <v>0</v>
      </c>
    </row>
    <row r="251" spans="1:4" x14ac:dyDescent="0.25">
      <c r="A251" s="90">
        <v>1101205030</v>
      </c>
      <c r="B251" s="90" t="s">
        <v>801</v>
      </c>
      <c r="C251" s="56">
        <f>IFERROR(VLOOKUP(A251,'SAP '!$A$8:$D$393,3,0),0)</f>
        <v>207112.5</v>
      </c>
      <c r="D251" s="184">
        <f>IFERROR(VLOOKUP(A251,'SAP '!A:D,4,0),0)</f>
        <v>50332</v>
      </c>
    </row>
    <row r="252" spans="1:4" x14ac:dyDescent="0.25">
      <c r="A252" s="90">
        <v>1101205031</v>
      </c>
      <c r="B252" s="90" t="s">
        <v>802</v>
      </c>
      <c r="C252" s="56">
        <f>IFERROR(VLOOKUP(A252,'SAP '!$A$8:$D$393,3,0),0)</f>
        <v>-1762688.36</v>
      </c>
      <c r="D252" s="184">
        <f>IFERROR(VLOOKUP(A252,'SAP '!A:D,4,0),0)</f>
        <v>4604</v>
      </c>
    </row>
    <row r="253" spans="1:4" x14ac:dyDescent="0.25">
      <c r="A253" s="90">
        <v>1101205032</v>
      </c>
      <c r="B253" s="90" t="s">
        <v>981</v>
      </c>
      <c r="C253" s="56">
        <f>IFERROR(VLOOKUP(A253,'SAP '!$A$8:$D$393,3,0),0)</f>
        <v>0</v>
      </c>
      <c r="D253" s="184">
        <f>IFERROR(VLOOKUP(A253,'SAP '!A:D,4,0),0)</f>
        <v>0</v>
      </c>
    </row>
    <row r="254" spans="1:4" x14ac:dyDescent="0.25">
      <c r="A254" s="90">
        <v>1101205040</v>
      </c>
      <c r="B254" s="90" t="s">
        <v>803</v>
      </c>
      <c r="C254" s="56">
        <f>IFERROR(VLOOKUP(A254,'SAP '!$A$8:$D$393,3,0),0)</f>
        <v>878241.75</v>
      </c>
      <c r="D254" s="184">
        <f>IFERROR(VLOOKUP(A254,'SAP '!A:D,4,0),0)</f>
        <v>167165</v>
      </c>
    </row>
    <row r="255" spans="1:4" x14ac:dyDescent="0.25">
      <c r="A255" s="90">
        <v>1101205041</v>
      </c>
      <c r="B255" s="90" t="s">
        <v>804</v>
      </c>
      <c r="C255" s="56">
        <f>IFERROR(VLOOKUP(A255,'SAP '!$A$8:$D$393,3,0),0)</f>
        <v>-943204</v>
      </c>
      <c r="D255" s="184">
        <f>IFERROR(VLOOKUP(A255,'SAP '!A:D,4,0),0)</f>
        <v>54446</v>
      </c>
    </row>
    <row r="256" spans="1:4" x14ac:dyDescent="0.25">
      <c r="A256" s="90">
        <v>1101205042</v>
      </c>
      <c r="B256" s="90" t="s">
        <v>982</v>
      </c>
      <c r="C256" s="56">
        <f>IFERROR(VLOOKUP(A256,'SAP '!$A$8:$D$393,3,0),0)</f>
        <v>0</v>
      </c>
      <c r="D256" s="184">
        <f>IFERROR(VLOOKUP(A256,'SAP '!A:D,4,0),0)</f>
        <v>0</v>
      </c>
    </row>
    <row r="257" spans="1:4" x14ac:dyDescent="0.25">
      <c r="A257" s="90">
        <v>1101205050</v>
      </c>
      <c r="B257" s="90" t="s">
        <v>805</v>
      </c>
      <c r="C257" s="56">
        <f>IFERROR(VLOOKUP(A257,'SAP '!$A$8:$D$393,3,0),0)</f>
        <v>648792</v>
      </c>
      <c r="D257" s="184">
        <f>IFERROR(VLOOKUP(A257,'SAP '!A:D,4,0),0)</f>
        <v>769738</v>
      </c>
    </row>
    <row r="258" spans="1:4" x14ac:dyDescent="0.25">
      <c r="A258" s="90">
        <v>1101205051</v>
      </c>
      <c r="B258" s="90" t="s">
        <v>806</v>
      </c>
      <c r="C258" s="56">
        <f>IFERROR(VLOOKUP(A258,'SAP '!$A$8:$D$393,3,0),0)</f>
        <v>-2998540</v>
      </c>
      <c r="D258" s="184">
        <f>IFERROR(VLOOKUP(A258,'SAP '!A:D,4,0),0)</f>
        <v>92861</v>
      </c>
    </row>
    <row r="259" spans="1:4" x14ac:dyDescent="0.25">
      <c r="A259" s="90">
        <v>1101205052</v>
      </c>
      <c r="B259" s="90" t="s">
        <v>983</v>
      </c>
      <c r="C259" s="56">
        <f>IFERROR(VLOOKUP(A259,'SAP '!$A$8:$D$393,3,0),0)</f>
        <v>0</v>
      </c>
      <c r="D259" s="184">
        <f>IFERROR(VLOOKUP(A259,'SAP '!A:D,4,0),0)</f>
        <v>0</v>
      </c>
    </row>
    <row r="260" spans="1:4" x14ac:dyDescent="0.25">
      <c r="A260" s="90">
        <v>1101205060</v>
      </c>
      <c r="B260" s="90" t="s">
        <v>807</v>
      </c>
      <c r="C260" s="56">
        <f>IFERROR(VLOOKUP(A260,'SAP '!$A$8:$D$393,3,0),0)</f>
        <v>27047</v>
      </c>
      <c r="D260" s="184">
        <f>IFERROR(VLOOKUP(A260,'SAP '!A:D,4,0),0)</f>
        <v>21440</v>
      </c>
    </row>
    <row r="261" spans="1:4" x14ac:dyDescent="0.25">
      <c r="A261" s="90">
        <v>1101205061</v>
      </c>
      <c r="B261" s="90" t="s">
        <v>808</v>
      </c>
      <c r="C261" s="56">
        <f>IFERROR(VLOOKUP(A261,'SAP '!$A$8:$D$393,3,0),0)</f>
        <v>-204012</v>
      </c>
      <c r="D261" s="184">
        <f>IFERROR(VLOOKUP(A261,'SAP '!A:D,4,0),0)</f>
        <v>4880</v>
      </c>
    </row>
    <row r="262" spans="1:4" x14ac:dyDescent="0.25">
      <c r="A262" s="90">
        <v>1101205062</v>
      </c>
      <c r="B262" s="90" t="s">
        <v>984</v>
      </c>
      <c r="C262" s="56">
        <f>IFERROR(VLOOKUP(A262,'SAP '!$A$8:$D$393,3,0),0)</f>
        <v>131228</v>
      </c>
      <c r="D262" s="184">
        <f>IFERROR(VLOOKUP(A262,'SAP '!A:D,4,0),0)</f>
        <v>0</v>
      </c>
    </row>
    <row r="263" spans="1:4" x14ac:dyDescent="0.25">
      <c r="A263" s="90">
        <v>1101205070</v>
      </c>
      <c r="B263" s="90" t="s">
        <v>809</v>
      </c>
      <c r="C263" s="56">
        <f>IFERROR(VLOOKUP(A263,'SAP '!$A$8:$D$393,3,0),0)</f>
        <v>627688</v>
      </c>
      <c r="D263" s="184">
        <f>IFERROR(VLOOKUP(A263,'SAP '!A:D,4,0),0)</f>
        <v>383262</v>
      </c>
    </row>
    <row r="264" spans="1:4" x14ac:dyDescent="0.25">
      <c r="A264" s="90">
        <v>1101205071</v>
      </c>
      <c r="B264" s="90" t="s">
        <v>810</v>
      </c>
      <c r="C264" s="56">
        <f>IFERROR(VLOOKUP(A264,'SAP '!$A$8:$D$393,3,0),0)</f>
        <v>-4016944.5</v>
      </c>
      <c r="D264" s="184">
        <f>IFERROR(VLOOKUP(A264,'SAP '!A:D,4,0),0)</f>
        <v>699633</v>
      </c>
    </row>
    <row r="265" spans="1:4" x14ac:dyDescent="0.25">
      <c r="A265" s="90">
        <v>1101205072</v>
      </c>
      <c r="B265" s="90" t="s">
        <v>985</v>
      </c>
      <c r="C265" s="56">
        <f>IFERROR(VLOOKUP(A265,'SAP '!$A$8:$D$393,3,0),0)</f>
        <v>0</v>
      </c>
      <c r="D265" s="184">
        <f>IFERROR(VLOOKUP(A265,'SAP '!A:D,4,0),0)</f>
        <v>0</v>
      </c>
    </row>
    <row r="266" spans="1:4" x14ac:dyDescent="0.25">
      <c r="A266" s="90">
        <v>1101205080</v>
      </c>
      <c r="B266" s="90" t="s">
        <v>811</v>
      </c>
      <c r="C266" s="56">
        <f>IFERROR(VLOOKUP(A266,'SAP '!$A$8:$D$393,3,0),0)</f>
        <v>256643</v>
      </c>
      <c r="D266" s="184">
        <f>IFERROR(VLOOKUP(A266,'SAP '!A:D,4,0),0)</f>
        <v>103001</v>
      </c>
    </row>
    <row r="267" spans="1:4" x14ac:dyDescent="0.25">
      <c r="A267" s="90">
        <v>1101205081</v>
      </c>
      <c r="B267" s="90" t="s">
        <v>812</v>
      </c>
      <c r="C267" s="56">
        <f>IFERROR(VLOOKUP(A267,'SAP '!$A$8:$D$393,3,0),0)</f>
        <v>-764591.7</v>
      </c>
      <c r="D267" s="184">
        <f>IFERROR(VLOOKUP(A267,'SAP '!A:D,4,0),0)</f>
        <v>18691</v>
      </c>
    </row>
    <row r="268" spans="1:4" x14ac:dyDescent="0.25">
      <c r="A268" s="90">
        <v>1101205082</v>
      </c>
      <c r="B268" s="90" t="s">
        <v>986</v>
      </c>
      <c r="C268" s="56">
        <f>IFERROR(VLOOKUP(A268,'SAP '!$A$8:$D$393,3,0),0)</f>
        <v>0</v>
      </c>
      <c r="D268" s="184">
        <f>IFERROR(VLOOKUP(A268,'SAP '!A:D,4,0),0)</f>
        <v>0</v>
      </c>
    </row>
    <row r="269" spans="1:4" x14ac:dyDescent="0.25">
      <c r="A269" s="90">
        <v>1101205090</v>
      </c>
      <c r="B269" s="90" t="s">
        <v>813</v>
      </c>
      <c r="C269" s="56">
        <f>IFERROR(VLOOKUP(A269,'SAP '!$A$8:$D$393,3,0),0)</f>
        <v>1194544.8799999999</v>
      </c>
      <c r="D269" s="184">
        <f>IFERROR(VLOOKUP(A269,'SAP '!A:D,4,0),0)</f>
        <v>855297.8</v>
      </c>
    </row>
    <row r="270" spans="1:4" x14ac:dyDescent="0.25">
      <c r="A270" s="90">
        <v>1101205091</v>
      </c>
      <c r="B270" s="90" t="s">
        <v>814</v>
      </c>
      <c r="C270" s="56">
        <f>IFERROR(VLOOKUP(A270,'SAP '!$A$8:$D$393,3,0),0)</f>
        <v>-2440763.2200000002</v>
      </c>
      <c r="D270" s="184">
        <f>IFERROR(VLOOKUP(A270,'SAP '!A:D,4,0),0)</f>
        <v>690696.66</v>
      </c>
    </row>
    <row r="271" spans="1:4" x14ac:dyDescent="0.25">
      <c r="A271" s="90">
        <v>1101205092</v>
      </c>
      <c r="B271" s="90" t="s">
        <v>815</v>
      </c>
      <c r="C271" s="56">
        <f>IFERROR(VLOOKUP(A271,'SAP '!$A$8:$D$393,3,0),0)</f>
        <v>1897212.53</v>
      </c>
      <c r="D271" s="184">
        <f>IFERROR(VLOOKUP(A271,'SAP '!A:D,4,0),0)</f>
        <v>-500320</v>
      </c>
    </row>
    <row r="272" spans="1:4" x14ac:dyDescent="0.25">
      <c r="A272" s="90">
        <v>1101205100</v>
      </c>
      <c r="B272" s="90" t="s">
        <v>987</v>
      </c>
      <c r="C272" s="56">
        <f>IFERROR(VLOOKUP(A272,'SAP '!$A$8:$D$393,3,0),0)</f>
        <v>0</v>
      </c>
      <c r="D272" s="184">
        <f>IFERROR(VLOOKUP(A272,'SAP '!A:D,4,0),0)</f>
        <v>0</v>
      </c>
    </row>
    <row r="273" spans="1:4" x14ac:dyDescent="0.25">
      <c r="A273" s="90">
        <v>1101205101</v>
      </c>
      <c r="B273" s="90" t="s">
        <v>988</v>
      </c>
      <c r="C273" s="56">
        <f>IFERROR(VLOOKUP(A273,'SAP '!$A$8:$D$393,3,0),0)</f>
        <v>0</v>
      </c>
      <c r="D273" s="184">
        <f>IFERROR(VLOOKUP(A273,'SAP '!A:D,4,0),0)</f>
        <v>0</v>
      </c>
    </row>
    <row r="274" spans="1:4" x14ac:dyDescent="0.25">
      <c r="A274" s="90">
        <v>1101205102</v>
      </c>
      <c r="B274" s="90" t="s">
        <v>989</v>
      </c>
      <c r="C274" s="56">
        <f>IFERROR(VLOOKUP(A274,'SAP '!$A$8:$D$393,3,0),0)</f>
        <v>0</v>
      </c>
      <c r="D274" s="184">
        <f>IFERROR(VLOOKUP(A274,'SAP '!A:D,4,0),0)</f>
        <v>0</v>
      </c>
    </row>
    <row r="275" spans="1:4" x14ac:dyDescent="0.25">
      <c r="A275" s="90">
        <v>1101205110</v>
      </c>
      <c r="B275" s="90" t="s">
        <v>990</v>
      </c>
      <c r="C275" s="56">
        <f>IFERROR(VLOOKUP(A275,'SAP '!$A$8:$D$393,3,0),0)</f>
        <v>0</v>
      </c>
      <c r="D275" s="184">
        <f>IFERROR(VLOOKUP(A275,'SAP '!A:D,4,0),0)</f>
        <v>0</v>
      </c>
    </row>
    <row r="276" spans="1:4" x14ac:dyDescent="0.25">
      <c r="A276" s="90">
        <v>1101205111</v>
      </c>
      <c r="B276" s="90" t="s">
        <v>991</v>
      </c>
      <c r="C276" s="56">
        <f>IFERROR(VLOOKUP(A276,'SAP '!$A$8:$D$393,3,0),0)</f>
        <v>0</v>
      </c>
      <c r="D276" s="184">
        <f>IFERROR(VLOOKUP(A276,'SAP '!A:D,4,0),0)</f>
        <v>0</v>
      </c>
    </row>
    <row r="277" spans="1:4" x14ac:dyDescent="0.25">
      <c r="A277" s="90">
        <v>1101205112</v>
      </c>
      <c r="B277" s="90" t="s">
        <v>992</v>
      </c>
      <c r="C277" s="56">
        <f>IFERROR(VLOOKUP(A277,'SAP '!$A$8:$D$393,3,0),0)</f>
        <v>0</v>
      </c>
      <c r="D277" s="184">
        <f>IFERROR(VLOOKUP(A277,'SAP '!A:D,4,0),0)</f>
        <v>0</v>
      </c>
    </row>
    <row r="278" spans="1:4" x14ac:dyDescent="0.25">
      <c r="A278" s="90">
        <v>1101205120</v>
      </c>
      <c r="B278" s="90" t="s">
        <v>993</v>
      </c>
      <c r="C278" s="56">
        <f>IFERROR(VLOOKUP(A278,'SAP '!$A$8:$D$393,3,0),0)</f>
        <v>0</v>
      </c>
      <c r="D278" s="184">
        <f>IFERROR(VLOOKUP(A278,'SAP '!A:D,4,0),0)</f>
        <v>0</v>
      </c>
    </row>
    <row r="279" spans="1:4" x14ac:dyDescent="0.25">
      <c r="A279" s="90">
        <v>1101205121</v>
      </c>
      <c r="B279" s="90" t="s">
        <v>994</v>
      </c>
      <c r="C279" s="56">
        <f>IFERROR(VLOOKUP(A279,'SAP '!$A$8:$D$393,3,0),0)</f>
        <v>0</v>
      </c>
      <c r="D279" s="184">
        <f>IFERROR(VLOOKUP(A279,'SAP '!A:D,4,0),0)</f>
        <v>0</v>
      </c>
    </row>
    <row r="280" spans="1:4" x14ac:dyDescent="0.25">
      <c r="A280" s="90">
        <v>1101205122</v>
      </c>
      <c r="B280" s="90" t="s">
        <v>995</v>
      </c>
      <c r="C280" s="56">
        <f>IFERROR(VLOOKUP(A280,'SAP '!$A$8:$D$393,3,0),0)</f>
        <v>0</v>
      </c>
      <c r="D280" s="184">
        <f>IFERROR(VLOOKUP(A280,'SAP '!A:D,4,0),0)</f>
        <v>0</v>
      </c>
    </row>
    <row r="281" spans="1:4" x14ac:dyDescent="0.25">
      <c r="A281" s="90">
        <v>1101205130</v>
      </c>
      <c r="B281" s="90" t="s">
        <v>996</v>
      </c>
      <c r="C281" s="56">
        <f>IFERROR(VLOOKUP(A281,'SAP '!$A$8:$D$393,3,0),0)</f>
        <v>0</v>
      </c>
      <c r="D281" s="184">
        <f>IFERROR(VLOOKUP(A281,'SAP '!A:D,4,0),0)</f>
        <v>0</v>
      </c>
    </row>
    <row r="282" spans="1:4" x14ac:dyDescent="0.25">
      <c r="A282" s="90">
        <v>1101205131</v>
      </c>
      <c r="B282" s="90" t="s">
        <v>997</v>
      </c>
      <c r="C282" s="56">
        <f>IFERROR(VLOOKUP(A282,'SAP '!$A$8:$D$393,3,0),0)</f>
        <v>0</v>
      </c>
      <c r="D282" s="184">
        <f>IFERROR(VLOOKUP(A282,'SAP '!A:D,4,0),0)</f>
        <v>0</v>
      </c>
    </row>
    <row r="283" spans="1:4" x14ac:dyDescent="0.25">
      <c r="A283" s="90">
        <v>1101205132</v>
      </c>
      <c r="B283" s="90" t="s">
        <v>998</v>
      </c>
      <c r="C283" s="56">
        <f>IFERROR(VLOOKUP(A283,'SAP '!$A$8:$D$393,3,0),0)</f>
        <v>0</v>
      </c>
      <c r="D283" s="184">
        <f>IFERROR(VLOOKUP(A283,'SAP '!A:D,4,0),0)</f>
        <v>0</v>
      </c>
    </row>
    <row r="284" spans="1:4" x14ac:dyDescent="0.25">
      <c r="A284" s="90">
        <v>1101205140</v>
      </c>
      <c r="B284" s="90" t="s">
        <v>999</v>
      </c>
      <c r="C284" s="56">
        <f>IFERROR(VLOOKUP(A284,'SAP '!$A$8:$D$393,3,0),0)</f>
        <v>0</v>
      </c>
      <c r="D284" s="184">
        <f>IFERROR(VLOOKUP(A284,'SAP '!A:D,4,0),0)</f>
        <v>0</v>
      </c>
    </row>
    <row r="285" spans="1:4" x14ac:dyDescent="0.25">
      <c r="A285" s="90">
        <v>1101205141</v>
      </c>
      <c r="B285" s="90" t="s">
        <v>1000</v>
      </c>
      <c r="C285" s="56">
        <f>IFERROR(VLOOKUP(A285,'SAP '!$A$8:$D$393,3,0),0)</f>
        <v>0</v>
      </c>
      <c r="D285" s="184">
        <f>IFERROR(VLOOKUP(A285,'SAP '!A:D,4,0),0)</f>
        <v>0</v>
      </c>
    </row>
    <row r="286" spans="1:4" x14ac:dyDescent="0.25">
      <c r="A286" s="90">
        <v>1101205142</v>
      </c>
      <c r="B286" s="90" t="s">
        <v>1001</v>
      </c>
      <c r="C286" s="56">
        <f>IFERROR(VLOOKUP(A286,'SAP '!$A$8:$D$393,3,0),0)</f>
        <v>0</v>
      </c>
      <c r="D286" s="184">
        <f>IFERROR(VLOOKUP(A286,'SAP '!A:D,4,0),0)</f>
        <v>0</v>
      </c>
    </row>
    <row r="287" spans="1:4" x14ac:dyDescent="0.25">
      <c r="A287" s="90">
        <v>1101206000</v>
      </c>
      <c r="B287" s="90" t="s">
        <v>816</v>
      </c>
      <c r="C287" s="56">
        <f>IFERROR(VLOOKUP(A287,'SAP '!$A$8:$D$393,3,0),0)</f>
        <v>-3982895.74</v>
      </c>
      <c r="D287" s="184">
        <f>IFERROR(VLOOKUP(A287,'SAP '!A:D,4,0),0)</f>
        <v>9101929.5099999998</v>
      </c>
    </row>
    <row r="288" spans="1:4" x14ac:dyDescent="0.25">
      <c r="A288" s="90">
        <v>1101206001</v>
      </c>
      <c r="B288" s="90" t="s">
        <v>817</v>
      </c>
      <c r="C288" s="56">
        <f>IFERROR(VLOOKUP(A288,'SAP '!$A$8:$D$393,3,0),0)</f>
        <v>-59805394.189999998</v>
      </c>
      <c r="D288" s="184">
        <f>IFERROR(VLOOKUP(A288,'SAP '!A:D,4,0),0)</f>
        <v>2200189.39</v>
      </c>
    </row>
    <row r="289" spans="1:4" x14ac:dyDescent="0.25">
      <c r="A289" s="90">
        <v>1101206002</v>
      </c>
      <c r="B289" s="90" t="s">
        <v>908</v>
      </c>
      <c r="C289" s="56">
        <f>IFERROR(VLOOKUP(A289,'SAP '!$A$8:$D$393,3,0),0)</f>
        <v>43522125.640000001</v>
      </c>
      <c r="D289" s="184">
        <f>IFERROR(VLOOKUP(A289,'SAP '!A:D,4,0),0)</f>
        <v>0</v>
      </c>
    </row>
    <row r="290" spans="1:4" x14ac:dyDescent="0.25">
      <c r="A290" s="90">
        <v>1101206010</v>
      </c>
      <c r="B290" s="90" t="s">
        <v>818</v>
      </c>
      <c r="C290" s="56">
        <f>IFERROR(VLOOKUP(A290,'SAP '!$A$8:$D$393,3,0),0)</f>
        <v>336699.93</v>
      </c>
      <c r="D290" s="184">
        <f>IFERROR(VLOOKUP(A290,'SAP '!A:D,4,0),0)</f>
        <v>495259.73</v>
      </c>
    </row>
    <row r="291" spans="1:4" x14ac:dyDescent="0.25">
      <c r="A291" s="90">
        <v>1101206011</v>
      </c>
      <c r="B291" s="90" t="s">
        <v>819</v>
      </c>
      <c r="C291" s="56">
        <f>IFERROR(VLOOKUP(A291,'SAP '!$A$8:$D$393,3,0),0)</f>
        <v>-5277</v>
      </c>
      <c r="D291" s="184">
        <f>IFERROR(VLOOKUP(A291,'SAP '!A:D,4,0),0)</f>
        <v>108.5</v>
      </c>
    </row>
    <row r="292" spans="1:4" x14ac:dyDescent="0.25">
      <c r="A292" s="90">
        <v>1101206012</v>
      </c>
      <c r="B292" s="90" t="s">
        <v>1002</v>
      </c>
      <c r="C292" s="56">
        <f>IFERROR(VLOOKUP(A292,'SAP '!$A$8:$D$393,3,0),0)</f>
        <v>0</v>
      </c>
      <c r="D292" s="184">
        <f>IFERROR(VLOOKUP(A292,'SAP '!A:D,4,0),0)</f>
        <v>-54903.83</v>
      </c>
    </row>
    <row r="293" spans="1:4" x14ac:dyDescent="0.25">
      <c r="A293" s="137">
        <v>1101206020</v>
      </c>
      <c r="B293" s="89" t="s">
        <v>820</v>
      </c>
      <c r="C293" s="56">
        <f>IFERROR(VLOOKUP(A293,'SAP '!$A$8:$D$393,3,0),0)</f>
        <v>2788502.81</v>
      </c>
      <c r="D293" s="184">
        <f>IFERROR(VLOOKUP(A293,'SAP '!A:D,4,0),0)</f>
        <v>3246423.92</v>
      </c>
    </row>
    <row r="294" spans="1:4" x14ac:dyDescent="0.25">
      <c r="A294" s="137">
        <v>1101206021</v>
      </c>
      <c r="B294" s="89" t="s">
        <v>821</v>
      </c>
      <c r="C294" s="56">
        <f>IFERROR(VLOOKUP(A294,'SAP '!$A$8:$D$393,3,0),0)</f>
        <v>8805.68</v>
      </c>
      <c r="D294" s="184">
        <f>IFERROR(VLOOKUP(A294,'SAP '!A:D,4,0),0)</f>
        <v>166838.04</v>
      </c>
    </row>
    <row r="295" spans="1:4" x14ac:dyDescent="0.25">
      <c r="A295" s="137">
        <v>1101206022</v>
      </c>
      <c r="B295" s="89" t="s">
        <v>822</v>
      </c>
      <c r="C295" s="56">
        <f>IFERROR(VLOOKUP(A295,'SAP '!$A$8:$D$393,3,0),0)</f>
        <v>0</v>
      </c>
      <c r="D295" s="184">
        <f>IFERROR(VLOOKUP(A295,'SAP '!A:D,4,0),0)</f>
        <v>-639252.56999999995</v>
      </c>
    </row>
    <row r="296" spans="1:4" x14ac:dyDescent="0.25">
      <c r="A296" s="90">
        <v>1101206030</v>
      </c>
      <c r="B296" s="90" t="s">
        <v>823</v>
      </c>
      <c r="C296" s="56">
        <f>IFERROR(VLOOKUP(A296,'SAP '!$A$8:$D$393,3,0),0)</f>
        <v>0</v>
      </c>
      <c r="D296" s="184">
        <f>IFERROR(VLOOKUP(A296,'SAP '!A:D,4,0),0)</f>
        <v>1000</v>
      </c>
    </row>
    <row r="297" spans="1:4" x14ac:dyDescent="0.25">
      <c r="A297" s="90">
        <v>1101206031</v>
      </c>
      <c r="B297" s="90" t="s">
        <v>824</v>
      </c>
      <c r="C297" s="56">
        <f>IFERROR(VLOOKUP(A297,'SAP '!$A$8:$D$393,3,0),0)</f>
        <v>0</v>
      </c>
      <c r="D297" s="184">
        <f>IFERROR(VLOOKUP(A297,'SAP '!A:D,4,0),0)</f>
        <v>0</v>
      </c>
    </row>
    <row r="298" spans="1:4" x14ac:dyDescent="0.25">
      <c r="A298" s="90">
        <v>1101206032</v>
      </c>
      <c r="B298" s="90" t="s">
        <v>1003</v>
      </c>
      <c r="C298" s="56">
        <f>IFERROR(VLOOKUP(A298,'SAP '!$A$8:$D$393,3,0),0)</f>
        <v>0</v>
      </c>
      <c r="D298" s="184">
        <f>IFERROR(VLOOKUP(A298,'SAP '!A:D,4,0),0)</f>
        <v>0</v>
      </c>
    </row>
    <row r="299" spans="1:4" x14ac:dyDescent="0.25">
      <c r="A299" s="90">
        <v>1101206040</v>
      </c>
      <c r="B299" s="90" t="s">
        <v>825</v>
      </c>
      <c r="C299" s="56">
        <f>IFERROR(VLOOKUP(A299,'SAP '!$A$8:$D$393,3,0),0)</f>
        <v>394828</v>
      </c>
      <c r="D299" s="184">
        <f>IFERROR(VLOOKUP(A299,'SAP '!A:D,4,0),0)</f>
        <v>441522</v>
      </c>
    </row>
    <row r="300" spans="1:4" x14ac:dyDescent="0.25">
      <c r="A300" s="90">
        <v>1101206041</v>
      </c>
      <c r="B300" s="90" t="s">
        <v>826</v>
      </c>
      <c r="C300" s="56">
        <f>IFERROR(VLOOKUP(A300,'SAP '!$A$8:$D$393,3,0),0)</f>
        <v>8683</v>
      </c>
      <c r="D300" s="184">
        <f>IFERROR(VLOOKUP(A300,'SAP '!A:D,4,0),0)</f>
        <v>-25382.59</v>
      </c>
    </row>
    <row r="301" spans="1:4" x14ac:dyDescent="0.25">
      <c r="A301" s="90">
        <v>1101206042</v>
      </c>
      <c r="B301" s="90" t="s">
        <v>827</v>
      </c>
      <c r="C301" s="56">
        <f>IFERROR(VLOOKUP(A301,'SAP '!$A$8:$D$393,3,0),0)</f>
        <v>2102703.5</v>
      </c>
      <c r="D301" s="184">
        <f>IFERROR(VLOOKUP(A301,'SAP '!A:D,4,0),0)</f>
        <v>0</v>
      </c>
    </row>
    <row r="302" spans="1:4" x14ac:dyDescent="0.25">
      <c r="A302" s="90">
        <v>1101206050</v>
      </c>
      <c r="B302" s="90" t="s">
        <v>1004</v>
      </c>
      <c r="C302" s="56">
        <f>IFERROR(VLOOKUP(A302,'SAP '!$A$8:$D$393,3,0),0)</f>
        <v>0</v>
      </c>
      <c r="D302" s="184">
        <f>IFERROR(VLOOKUP(A302,'SAP '!A:D,4,0),0)</f>
        <v>0</v>
      </c>
    </row>
    <row r="303" spans="1:4" x14ac:dyDescent="0.25">
      <c r="A303" s="90">
        <v>1101206051</v>
      </c>
      <c r="B303" s="90" t="s">
        <v>1005</v>
      </c>
      <c r="C303" s="56">
        <f>IFERROR(VLOOKUP(A303,'SAP '!$A$8:$D$393,3,0),0)</f>
        <v>0</v>
      </c>
      <c r="D303" s="184">
        <f>IFERROR(VLOOKUP(A303,'SAP '!A:D,4,0),0)</f>
        <v>0</v>
      </c>
    </row>
    <row r="304" spans="1:4" x14ac:dyDescent="0.25">
      <c r="A304" s="90">
        <v>1101206052</v>
      </c>
      <c r="B304" s="90" t="s">
        <v>1006</v>
      </c>
      <c r="C304" s="56">
        <f>IFERROR(VLOOKUP(A304,'SAP '!$A$8:$D$393,3,0),0)</f>
        <v>0</v>
      </c>
      <c r="D304" s="184">
        <f>IFERROR(VLOOKUP(A304,'SAP '!A:D,4,0),0)</f>
        <v>0</v>
      </c>
    </row>
    <row r="305" spans="1:4" x14ac:dyDescent="0.25">
      <c r="A305" s="90">
        <v>1101206060</v>
      </c>
      <c r="B305" s="90" t="s">
        <v>828</v>
      </c>
      <c r="C305" s="56">
        <f>IFERROR(VLOOKUP(A305,'SAP '!$A$8:$D$393,3,0),0)</f>
        <v>-552764.5</v>
      </c>
      <c r="D305" s="184">
        <f>IFERROR(VLOOKUP(A305,'SAP '!A:D,4,0),0)</f>
        <v>2639665.08</v>
      </c>
    </row>
    <row r="306" spans="1:4" x14ac:dyDescent="0.25">
      <c r="A306" s="90">
        <v>1101206061</v>
      </c>
      <c r="B306" s="90" t="s">
        <v>829</v>
      </c>
      <c r="C306" s="56">
        <f>IFERROR(VLOOKUP(A306,'SAP '!$A$8:$D$393,3,0),0)</f>
        <v>-18262356.079999998</v>
      </c>
      <c r="D306" s="184">
        <f>IFERROR(VLOOKUP(A306,'SAP '!A:D,4,0),0)</f>
        <v>942175</v>
      </c>
    </row>
    <row r="307" spans="1:4" x14ac:dyDescent="0.25">
      <c r="A307" s="90">
        <v>1101206062</v>
      </c>
      <c r="B307" s="90" t="s">
        <v>909</v>
      </c>
      <c r="C307" s="56">
        <f>IFERROR(VLOOKUP(A307,'SAP '!$A$8:$D$393,3,0),0)</f>
        <v>0</v>
      </c>
      <c r="D307" s="184">
        <f>IFERROR(VLOOKUP(A307,'SAP '!A:D,4,0),0)</f>
        <v>0</v>
      </c>
    </row>
    <row r="308" spans="1:4" x14ac:dyDescent="0.25">
      <c r="A308" s="90">
        <v>1101206070</v>
      </c>
      <c r="B308" s="90" t="s">
        <v>830</v>
      </c>
      <c r="C308" s="56">
        <f>IFERROR(VLOOKUP(A308,'SAP '!$A$8:$D$393,3,0),0)</f>
        <v>1504586.68</v>
      </c>
      <c r="D308" s="184">
        <f>IFERROR(VLOOKUP(A308,'SAP '!A:D,4,0),0)</f>
        <v>998966.5</v>
      </c>
    </row>
    <row r="309" spans="1:4" x14ac:dyDescent="0.25">
      <c r="A309" s="90">
        <v>1101206071</v>
      </c>
      <c r="B309" s="90" t="s">
        <v>831</v>
      </c>
      <c r="C309" s="56">
        <f>IFERROR(VLOOKUP(A309,'SAP '!$A$8:$D$393,3,0),0)</f>
        <v>-7542273.4199999999</v>
      </c>
      <c r="D309" s="184">
        <f>IFERROR(VLOOKUP(A309,'SAP '!A:D,4,0),0)</f>
        <v>98061</v>
      </c>
    </row>
    <row r="310" spans="1:4" x14ac:dyDescent="0.25">
      <c r="A310" s="90">
        <v>1101206072</v>
      </c>
      <c r="B310" s="90" t="s">
        <v>910</v>
      </c>
      <c r="C310" s="56">
        <f>IFERROR(VLOOKUP(A310,'SAP '!$A$8:$D$393,3,0),0)</f>
        <v>0</v>
      </c>
      <c r="D310" s="184">
        <f>IFERROR(VLOOKUP(A310,'SAP '!A:D,4,0),0)</f>
        <v>0</v>
      </c>
    </row>
    <row r="311" spans="1:4" x14ac:dyDescent="0.25">
      <c r="A311" s="90">
        <v>1101206080</v>
      </c>
      <c r="B311" s="90" t="s">
        <v>832</v>
      </c>
      <c r="C311" s="56">
        <f>IFERROR(VLOOKUP(A311,'SAP '!$A$8:$D$393,3,0),0)</f>
        <v>2082102.52</v>
      </c>
      <c r="D311" s="184">
        <f>IFERROR(VLOOKUP(A311,'SAP '!A:D,4,0),0)</f>
        <v>1685490.51</v>
      </c>
    </row>
    <row r="312" spans="1:4" x14ac:dyDescent="0.25">
      <c r="A312" s="90">
        <v>1101206081</v>
      </c>
      <c r="B312" s="90" t="s">
        <v>833</v>
      </c>
      <c r="C312" s="56">
        <f>IFERROR(VLOOKUP(A312,'SAP '!$A$8:$D$393,3,0),0)</f>
        <v>-10127764.33</v>
      </c>
      <c r="D312" s="184">
        <f>IFERROR(VLOOKUP(A312,'SAP '!A:D,4,0),0)</f>
        <v>700805</v>
      </c>
    </row>
    <row r="313" spans="1:4" x14ac:dyDescent="0.25">
      <c r="A313" s="90">
        <v>1101206082</v>
      </c>
      <c r="B313" s="90" t="s">
        <v>911</v>
      </c>
      <c r="C313" s="56">
        <f>IFERROR(VLOOKUP(A313,'SAP '!$A$8:$D$393,3,0),0)</f>
        <v>0</v>
      </c>
      <c r="D313" s="184">
        <f>IFERROR(VLOOKUP(A313,'SAP '!A:D,4,0),0)</f>
        <v>0</v>
      </c>
    </row>
    <row r="314" spans="1:4" x14ac:dyDescent="0.25">
      <c r="A314" s="90">
        <v>1101206090</v>
      </c>
      <c r="B314" s="90" t="s">
        <v>834</v>
      </c>
      <c r="C314" s="56">
        <f>IFERROR(VLOOKUP(A314,'SAP '!$A$8:$D$393,3,0),0)</f>
        <v>445340.25</v>
      </c>
      <c r="D314" s="184">
        <f>IFERROR(VLOOKUP(A314,'SAP '!A:D,4,0),0)</f>
        <v>221384</v>
      </c>
    </row>
    <row r="315" spans="1:4" x14ac:dyDescent="0.25">
      <c r="A315" s="90">
        <v>1101206091</v>
      </c>
      <c r="B315" s="90" t="s">
        <v>835</v>
      </c>
      <c r="C315" s="56">
        <f>IFERROR(VLOOKUP(A315,'SAP '!$A$8:$D$393,3,0),0)</f>
        <v>-2604413.5</v>
      </c>
      <c r="D315" s="184">
        <f>IFERROR(VLOOKUP(A315,'SAP '!A:D,4,0),0)</f>
        <v>50522</v>
      </c>
    </row>
    <row r="316" spans="1:4" x14ac:dyDescent="0.25">
      <c r="A316" s="90">
        <v>1101206092</v>
      </c>
      <c r="B316" s="90" t="s">
        <v>912</v>
      </c>
      <c r="C316" s="56">
        <f>IFERROR(VLOOKUP(A316,'SAP '!$A$8:$D$393,3,0),0)</f>
        <v>0</v>
      </c>
      <c r="D316" s="184">
        <f>IFERROR(VLOOKUP(A316,'SAP '!A:D,4,0),0)</f>
        <v>0</v>
      </c>
    </row>
    <row r="317" spans="1:4" x14ac:dyDescent="0.25">
      <c r="A317" s="90">
        <v>1101206100</v>
      </c>
      <c r="B317" s="90" t="s">
        <v>836</v>
      </c>
      <c r="C317" s="56">
        <f>IFERROR(VLOOKUP(A317,'SAP '!$A$8:$D$393,3,0),0)</f>
        <v>86666.29</v>
      </c>
      <c r="D317" s="184">
        <f>IFERROR(VLOOKUP(A317,'SAP '!A:D,4,0),0)</f>
        <v>55156.38</v>
      </c>
    </row>
    <row r="318" spans="1:4" x14ac:dyDescent="0.25">
      <c r="A318" s="90">
        <v>1101206101</v>
      </c>
      <c r="B318" s="90" t="s">
        <v>837</v>
      </c>
      <c r="C318" s="56">
        <f>IFERROR(VLOOKUP(A318,'SAP '!$A$8:$D$393,3,0),0)</f>
        <v>-577253.68000000005</v>
      </c>
      <c r="D318" s="184">
        <f>IFERROR(VLOOKUP(A318,'SAP '!A:D,4,0),0)</f>
        <v>39880.959999999999</v>
      </c>
    </row>
    <row r="319" spans="1:4" x14ac:dyDescent="0.25">
      <c r="A319" s="137">
        <v>1101206102</v>
      </c>
      <c r="B319" s="89" t="s">
        <v>913</v>
      </c>
      <c r="C319" s="56">
        <f>IFERROR(VLOOKUP(A319,'SAP '!$A$8:$D$393,3,0),0)</f>
        <v>0</v>
      </c>
      <c r="D319" s="184">
        <f>IFERROR(VLOOKUP(A319,'SAP '!A:D,4,0),0)</f>
        <v>0</v>
      </c>
    </row>
    <row r="320" spans="1:4" x14ac:dyDescent="0.25">
      <c r="A320" s="137">
        <v>1101206110</v>
      </c>
      <c r="B320" s="89" t="s">
        <v>838</v>
      </c>
      <c r="C320" s="56">
        <f>IFERROR(VLOOKUP(A320,'SAP '!$A$8:$D$393,3,0),0)</f>
        <v>-2120186.27</v>
      </c>
      <c r="D320" s="184">
        <f>IFERROR(VLOOKUP(A320,'SAP '!A:D,4,0),0)</f>
        <v>740060.57</v>
      </c>
    </row>
    <row r="321" spans="1:4" x14ac:dyDescent="0.25">
      <c r="A321" s="137">
        <v>1101206111</v>
      </c>
      <c r="B321" s="89" t="s">
        <v>839</v>
      </c>
      <c r="C321" s="56">
        <f>IFERROR(VLOOKUP(A321,'SAP '!$A$8:$D$393,3,0),0)</f>
        <v>1364816.64</v>
      </c>
      <c r="D321" s="184">
        <f>IFERROR(VLOOKUP(A321,'SAP '!A:D,4,0),0)</f>
        <v>1900986.7</v>
      </c>
    </row>
    <row r="322" spans="1:4" x14ac:dyDescent="0.25">
      <c r="A322" s="137">
        <v>1101206112</v>
      </c>
      <c r="B322" s="89" t="s">
        <v>840</v>
      </c>
      <c r="C322" s="56">
        <f>IFERROR(VLOOKUP(A322,'SAP '!$A$8:$D$393,3,0),0)</f>
        <v>2628544.5</v>
      </c>
      <c r="D322" s="184">
        <f>IFERROR(VLOOKUP(A322,'SAP '!A:D,4,0),0)</f>
        <v>-1151573.4099999999</v>
      </c>
    </row>
    <row r="323" spans="1:4" x14ac:dyDescent="0.25">
      <c r="A323" s="90">
        <v>1101206120</v>
      </c>
      <c r="B323" s="90" t="s">
        <v>1007</v>
      </c>
      <c r="C323" s="56">
        <f>IFERROR(VLOOKUP(A323,'SAP '!$A$8:$D$393,3,0),0)</f>
        <v>0</v>
      </c>
      <c r="D323" s="184">
        <f>IFERROR(VLOOKUP(A323,'SAP '!A:D,4,0),0)</f>
        <v>0</v>
      </c>
    </row>
    <row r="324" spans="1:4" x14ac:dyDescent="0.25">
      <c r="A324" s="90">
        <v>1101206121</v>
      </c>
      <c r="B324" s="90" t="s">
        <v>1008</v>
      </c>
      <c r="C324" s="56">
        <f>IFERROR(VLOOKUP(A324,'SAP '!$A$8:$D$393,3,0),0)</f>
        <v>0</v>
      </c>
      <c r="D324" s="184">
        <f>IFERROR(VLOOKUP(A324,'SAP '!A:D,4,0),0)</f>
        <v>0</v>
      </c>
    </row>
    <row r="325" spans="1:4" x14ac:dyDescent="0.25">
      <c r="A325" s="90">
        <v>1101206122</v>
      </c>
      <c r="B325" s="90" t="s">
        <v>1009</v>
      </c>
      <c r="C325" s="56">
        <f>IFERROR(VLOOKUP(A325,'SAP '!$A$8:$D$393,3,0),0)</f>
        <v>0</v>
      </c>
      <c r="D325" s="184">
        <f>IFERROR(VLOOKUP(A325,'SAP '!A:D,4,0),0)</f>
        <v>0</v>
      </c>
    </row>
    <row r="326" spans="1:4" x14ac:dyDescent="0.25">
      <c r="A326" s="90">
        <v>1101206130</v>
      </c>
      <c r="B326" s="90" t="s">
        <v>1010</v>
      </c>
      <c r="C326" s="56">
        <f>IFERROR(VLOOKUP(A326,'SAP '!$A$8:$D$393,3,0),0)</f>
        <v>0</v>
      </c>
      <c r="D326" s="184">
        <f>IFERROR(VLOOKUP(A326,'SAP '!A:D,4,0),0)</f>
        <v>0</v>
      </c>
    </row>
    <row r="327" spans="1:4" x14ac:dyDescent="0.25">
      <c r="A327" s="90">
        <v>1101206131</v>
      </c>
      <c r="B327" s="90" t="s">
        <v>1011</v>
      </c>
      <c r="C327" s="56">
        <f>IFERROR(VLOOKUP(A327,'SAP '!$A$8:$D$393,3,0),0)</f>
        <v>0</v>
      </c>
      <c r="D327" s="184">
        <f>IFERROR(VLOOKUP(A327,'SAP '!A:D,4,0),0)</f>
        <v>0</v>
      </c>
    </row>
    <row r="328" spans="1:4" x14ac:dyDescent="0.25">
      <c r="A328" s="90">
        <v>1101206132</v>
      </c>
      <c r="B328" s="90" t="s">
        <v>1012</v>
      </c>
      <c r="C328" s="56">
        <f>IFERROR(VLOOKUP(A328,'SAP '!$A$8:$D$393,3,0),0)</f>
        <v>0</v>
      </c>
      <c r="D328" s="184">
        <f>IFERROR(VLOOKUP(A328,'SAP '!A:D,4,0),0)</f>
        <v>0</v>
      </c>
    </row>
    <row r="329" spans="1:4" x14ac:dyDescent="0.25">
      <c r="A329" s="90">
        <v>1101206140</v>
      </c>
      <c r="B329" s="90" t="s">
        <v>1013</v>
      </c>
      <c r="C329" s="56">
        <f>IFERROR(VLOOKUP(A329,'SAP '!$A$8:$D$393,3,0),0)</f>
        <v>0</v>
      </c>
      <c r="D329" s="184">
        <f>IFERROR(VLOOKUP(A329,'SAP '!A:D,4,0),0)</f>
        <v>0</v>
      </c>
    </row>
    <row r="330" spans="1:4" x14ac:dyDescent="0.25">
      <c r="A330" s="90">
        <v>1101206141</v>
      </c>
      <c r="B330" s="90" t="s">
        <v>1014</v>
      </c>
      <c r="C330" s="56">
        <f>IFERROR(VLOOKUP(A330,'SAP '!$A$8:$D$393,3,0),0)</f>
        <v>0</v>
      </c>
      <c r="D330" s="184">
        <f>IFERROR(VLOOKUP(A330,'SAP '!A:D,4,0),0)</f>
        <v>0</v>
      </c>
    </row>
    <row r="331" spans="1:4" x14ac:dyDescent="0.25">
      <c r="A331" s="90">
        <v>1101206142</v>
      </c>
      <c r="B331" s="90" t="s">
        <v>1015</v>
      </c>
      <c r="C331" s="56">
        <f>IFERROR(VLOOKUP(A331,'SAP '!$A$8:$D$393,3,0),0)</f>
        <v>0</v>
      </c>
      <c r="D331" s="184">
        <f>IFERROR(VLOOKUP(A331,'SAP '!A:D,4,0),0)</f>
        <v>0</v>
      </c>
    </row>
    <row r="332" spans="1:4" x14ac:dyDescent="0.25">
      <c r="A332" s="90">
        <v>1101206150</v>
      </c>
      <c r="B332" s="90" t="s">
        <v>1016</v>
      </c>
      <c r="C332" s="56">
        <f>IFERROR(VLOOKUP(A332,'SAP '!$A$8:$D$393,3,0),0)</f>
        <v>0</v>
      </c>
      <c r="D332" s="184">
        <f>IFERROR(VLOOKUP(A332,'SAP '!A:D,4,0),0)</f>
        <v>0</v>
      </c>
    </row>
    <row r="333" spans="1:4" x14ac:dyDescent="0.25">
      <c r="A333" s="90">
        <v>1101206151</v>
      </c>
      <c r="B333" s="90" t="s">
        <v>1017</v>
      </c>
      <c r="C333" s="56">
        <f>IFERROR(VLOOKUP(A333,'SAP '!$A$8:$D$393,3,0),0)</f>
        <v>0</v>
      </c>
      <c r="D333" s="184">
        <f>IFERROR(VLOOKUP(A333,'SAP '!A:D,4,0),0)</f>
        <v>0</v>
      </c>
    </row>
    <row r="334" spans="1:4" x14ac:dyDescent="0.25">
      <c r="A334" s="90">
        <v>1101206152</v>
      </c>
      <c r="B334" s="90" t="s">
        <v>1018</v>
      </c>
      <c r="C334" s="56">
        <f>IFERROR(VLOOKUP(A334,'SAP '!$A$8:$D$393,3,0),0)</f>
        <v>0</v>
      </c>
      <c r="D334" s="184">
        <f>IFERROR(VLOOKUP(A334,'SAP '!A:D,4,0),0)</f>
        <v>0</v>
      </c>
    </row>
    <row r="335" spans="1:4" x14ac:dyDescent="0.25">
      <c r="A335" s="90">
        <v>1101206160</v>
      </c>
      <c r="B335" s="90" t="s">
        <v>841</v>
      </c>
      <c r="C335" s="56">
        <f>IFERROR(VLOOKUP(A335,'SAP '!$A$8:$D$393,3,0),0)</f>
        <v>0</v>
      </c>
      <c r="D335" s="184">
        <f>IFERROR(VLOOKUP(A335,'SAP '!A:D,4,0),0)</f>
        <v>10805.28</v>
      </c>
    </row>
    <row r="336" spans="1:4" x14ac:dyDescent="0.25">
      <c r="A336" s="90">
        <v>1101206161</v>
      </c>
      <c r="B336" s="90" t="s">
        <v>842</v>
      </c>
      <c r="C336" s="56">
        <f>IFERROR(VLOOKUP(A336,'SAP '!$A$8:$D$393,3,0),0)</f>
        <v>0</v>
      </c>
      <c r="D336" s="184">
        <f>IFERROR(VLOOKUP(A336,'SAP '!A:D,4,0),0)</f>
        <v>2342</v>
      </c>
    </row>
    <row r="337" spans="1:4" x14ac:dyDescent="0.25">
      <c r="A337" s="90">
        <v>1101206162</v>
      </c>
      <c r="B337" s="90" t="s">
        <v>843</v>
      </c>
      <c r="C337" s="56">
        <f>IFERROR(VLOOKUP(A337,'SAP '!$A$8:$D$393,3,0),0)</f>
        <v>0</v>
      </c>
      <c r="D337" s="184">
        <f>IFERROR(VLOOKUP(A337,'SAP '!A:D,4,0),0)</f>
        <v>37756.39</v>
      </c>
    </row>
    <row r="338" spans="1:4" x14ac:dyDescent="0.25">
      <c r="A338" s="90">
        <v>1101206170</v>
      </c>
      <c r="B338" s="90" t="s">
        <v>844</v>
      </c>
      <c r="C338" s="56">
        <f>IFERROR(VLOOKUP(A338,'SAP '!$A$8:$D$393,3,0),0)</f>
        <v>-176406</v>
      </c>
      <c r="D338" s="184">
        <f>IFERROR(VLOOKUP(A338,'SAP '!A:D,4,0),0)</f>
        <v>27634</v>
      </c>
    </row>
    <row r="339" spans="1:4" x14ac:dyDescent="0.25">
      <c r="A339" s="90">
        <v>1101206171</v>
      </c>
      <c r="B339" s="90" t="s">
        <v>845</v>
      </c>
      <c r="C339" s="56">
        <f>IFERROR(VLOOKUP(A339,'SAP '!$A$8:$D$393,3,0),0)</f>
        <v>-1053929</v>
      </c>
      <c r="D339" s="184">
        <f>IFERROR(VLOOKUP(A339,'SAP '!A:D,4,0),0)</f>
        <v>0</v>
      </c>
    </row>
    <row r="340" spans="1:4" x14ac:dyDescent="0.25">
      <c r="A340" s="90">
        <v>1101206172</v>
      </c>
      <c r="B340" s="90" t="s">
        <v>1019</v>
      </c>
      <c r="C340" s="56">
        <f>IFERROR(VLOOKUP(A340,'SAP '!$A$8:$D$393,3,0),0)</f>
        <v>982641</v>
      </c>
      <c r="D340" s="184">
        <f>IFERROR(VLOOKUP(A340,'SAP '!A:D,4,0),0)</f>
        <v>0</v>
      </c>
    </row>
    <row r="341" spans="1:4" x14ac:dyDescent="0.25">
      <c r="A341" s="90">
        <v>1101206180</v>
      </c>
      <c r="B341" s="90" t="s">
        <v>1020</v>
      </c>
      <c r="C341" s="56">
        <f>IFERROR(VLOOKUP(A341,'SAP '!$A$8:$D$393,3,0),0)</f>
        <v>0</v>
      </c>
      <c r="D341" s="184">
        <f>IFERROR(VLOOKUP(A341,'SAP '!A:D,4,0),0)</f>
        <v>0</v>
      </c>
    </row>
    <row r="342" spans="1:4" x14ac:dyDescent="0.25">
      <c r="A342" s="90">
        <v>1101206181</v>
      </c>
      <c r="B342" s="90" t="s">
        <v>1021</v>
      </c>
      <c r="C342" s="56">
        <f>IFERROR(VLOOKUP(A342,'SAP '!$A$8:$D$393,3,0),0)</f>
        <v>0</v>
      </c>
      <c r="D342" s="184">
        <f>IFERROR(VLOOKUP(A342,'SAP '!A:D,4,0),0)</f>
        <v>0</v>
      </c>
    </row>
    <row r="343" spans="1:4" x14ac:dyDescent="0.25">
      <c r="A343" s="90">
        <v>1101206182</v>
      </c>
      <c r="B343" s="90" t="s">
        <v>1022</v>
      </c>
      <c r="C343" s="56">
        <f>IFERROR(VLOOKUP(A343,'SAP '!$A$8:$D$393,3,0),0)</f>
        <v>0</v>
      </c>
      <c r="D343" s="184">
        <f>IFERROR(VLOOKUP(A343,'SAP '!A:D,4,0),0)</f>
        <v>0</v>
      </c>
    </row>
    <row r="344" spans="1:4" x14ac:dyDescent="0.25">
      <c r="A344" s="90">
        <v>1101206190</v>
      </c>
      <c r="B344" s="90" t="s">
        <v>846</v>
      </c>
      <c r="C344" s="56">
        <f>IFERROR(VLOOKUP(A344,'SAP '!$A$8:$D$393,3,0),0)</f>
        <v>4615888.78</v>
      </c>
      <c r="D344" s="184">
        <f>IFERROR(VLOOKUP(A344,'SAP '!A:D,4,0),0)</f>
        <v>10225026.9</v>
      </c>
    </row>
    <row r="345" spans="1:4" x14ac:dyDescent="0.25">
      <c r="A345" s="90">
        <v>1101206191</v>
      </c>
      <c r="B345" s="90" t="s">
        <v>847</v>
      </c>
      <c r="C345" s="56">
        <f>IFERROR(VLOOKUP(A345,'SAP '!$A$8:$D$393,3,0),0)</f>
        <v>77311483.340000004</v>
      </c>
      <c r="D345" s="184">
        <f>IFERROR(VLOOKUP(A345,'SAP '!A:D,4,0),0)</f>
        <v>-1415627</v>
      </c>
    </row>
    <row r="346" spans="1:4" x14ac:dyDescent="0.25">
      <c r="A346" s="90">
        <v>1101206192</v>
      </c>
      <c r="B346" s="90" t="s">
        <v>1076</v>
      </c>
      <c r="C346" s="56">
        <f>IFERROR(VLOOKUP(A346,'SAP '!$A$8:$D$393,3,0),0)</f>
        <v>-66724441.140000001</v>
      </c>
      <c r="D346" s="184">
        <f>IFERROR(VLOOKUP(A346,'SAP '!A:D,4,0),0)</f>
        <v>-2068153.48</v>
      </c>
    </row>
    <row r="347" spans="1:4" x14ac:dyDescent="0.25">
      <c r="A347" s="90">
        <v>1101206200</v>
      </c>
      <c r="B347" s="90" t="s">
        <v>314</v>
      </c>
      <c r="C347" s="56">
        <f>IFERROR(VLOOKUP(A347,'SAP '!$A$8:$D$393,3,0),0)</f>
        <v>80533.02</v>
      </c>
      <c r="D347" s="184">
        <f>IFERROR(VLOOKUP(A347,'SAP '!A:D,4,0),0)</f>
        <v>6587.79</v>
      </c>
    </row>
    <row r="348" spans="1:4" x14ac:dyDescent="0.25">
      <c r="A348" s="90">
        <v>1101206201</v>
      </c>
      <c r="B348" s="90" t="s">
        <v>315</v>
      </c>
      <c r="C348" s="56">
        <f>IFERROR(VLOOKUP(A348,'SAP '!$A$8:$D$393,3,0),0)</f>
        <v>918.25</v>
      </c>
      <c r="D348" s="184">
        <f>IFERROR(VLOOKUP(A348,'SAP '!A:D,4,0),0)</f>
        <v>-141.04</v>
      </c>
    </row>
    <row r="349" spans="1:4" x14ac:dyDescent="0.25">
      <c r="A349" s="90">
        <v>1101206202</v>
      </c>
      <c r="B349" s="90" t="s">
        <v>448</v>
      </c>
      <c r="C349" s="56">
        <f>IFERROR(VLOOKUP(A349,'SAP '!$A$8:$D$393,3,0),0)</f>
        <v>0</v>
      </c>
      <c r="D349" s="184">
        <f>IFERROR(VLOOKUP(A349,'SAP '!A:D,4,0),0)</f>
        <v>0</v>
      </c>
    </row>
    <row r="350" spans="1:4" x14ac:dyDescent="0.25">
      <c r="A350" s="90">
        <v>1101206220</v>
      </c>
      <c r="B350" s="90" t="s">
        <v>850</v>
      </c>
      <c r="C350" s="56">
        <f>IFERROR(VLOOKUP(A350,'SAP '!$A$8:$D$393,3,0),0)</f>
        <v>68806</v>
      </c>
      <c r="D350" s="184">
        <f>IFERROR(VLOOKUP(A350,'SAP '!A:D,4,0),0)</f>
        <v>98307</v>
      </c>
    </row>
    <row r="351" spans="1:4" x14ac:dyDescent="0.25">
      <c r="A351" s="90">
        <v>1101206221</v>
      </c>
      <c r="B351" s="90" t="s">
        <v>851</v>
      </c>
      <c r="C351" s="56">
        <f>IFERROR(VLOOKUP(A351,'SAP '!$A$8:$D$393,3,0),0)</f>
        <v>-1468708.25</v>
      </c>
      <c r="D351" s="184">
        <f>IFERROR(VLOOKUP(A351,'SAP '!A:D,4,0),0)</f>
        <v>594.75</v>
      </c>
    </row>
    <row r="352" spans="1:4" x14ac:dyDescent="0.25">
      <c r="A352" s="90">
        <v>1101206222</v>
      </c>
      <c r="B352" s="90" t="s">
        <v>914</v>
      </c>
      <c r="C352" s="56">
        <f>IFERROR(VLOOKUP(A352,'SAP '!$A$8:$D$393,3,0),0)</f>
        <v>697011</v>
      </c>
      <c r="D352" s="184">
        <f>IFERROR(VLOOKUP(A352,'SAP '!A:D,4,0),0)</f>
        <v>0</v>
      </c>
    </row>
    <row r="353" spans="1:4" x14ac:dyDescent="0.25">
      <c r="A353" s="90">
        <v>1101206210</v>
      </c>
      <c r="B353" s="90" t="s">
        <v>848</v>
      </c>
      <c r="C353" s="56">
        <f>IFERROR(VLOOKUP(A353,'SAP '!$A$8:$D$393,3,0),0)</f>
        <v>1879518</v>
      </c>
      <c r="D353" s="184">
        <f>IFERROR(VLOOKUP(A353,'SAP '!A:D,4,0),0)</f>
        <v>1640807.25</v>
      </c>
    </row>
    <row r="354" spans="1:4" x14ac:dyDescent="0.25">
      <c r="A354" s="90">
        <v>1101206211</v>
      </c>
      <c r="B354" s="90" t="s">
        <v>849</v>
      </c>
      <c r="C354" s="56">
        <f>IFERROR(VLOOKUP(A354,'SAP '!$A$8:$D$393,3,0),0)</f>
        <v>-11954903.460000001</v>
      </c>
      <c r="D354" s="184">
        <f>IFERROR(VLOOKUP(A354,'SAP '!A:D,4,0),0)</f>
        <v>434450</v>
      </c>
    </row>
    <row r="355" spans="1:4" x14ac:dyDescent="0.25">
      <c r="A355" s="90">
        <v>1101206212</v>
      </c>
      <c r="B355" s="90" t="s">
        <v>1023</v>
      </c>
      <c r="C355" s="56">
        <f>IFERROR(VLOOKUP(A355,'SAP '!$A$8:$D$393,3,0),0)</f>
        <v>0</v>
      </c>
      <c r="D355" s="184">
        <f>IFERROR(VLOOKUP(A355,'SAP '!A:D,4,0),0)</f>
        <v>0</v>
      </c>
    </row>
    <row r="356" spans="1:4" x14ac:dyDescent="0.25">
      <c r="A356" s="90">
        <v>1101207010</v>
      </c>
      <c r="B356" s="90" t="s">
        <v>944</v>
      </c>
      <c r="C356" s="56">
        <f>IFERROR(VLOOKUP(A356,'SAP '!$A$8:$D$393,3,0),0)</f>
        <v>0</v>
      </c>
      <c r="D356" s="184">
        <f>IFERROR(VLOOKUP(A356,'SAP '!A:D,4,0),0)</f>
        <v>0</v>
      </c>
    </row>
    <row r="357" spans="1:4" x14ac:dyDescent="0.25">
      <c r="A357" s="90">
        <v>1101207011</v>
      </c>
      <c r="B357" s="90" t="s">
        <v>945</v>
      </c>
      <c r="C357" s="56">
        <f>IFERROR(VLOOKUP(A357,'SAP '!$A$8:$D$393,3,0),0)</f>
        <v>0</v>
      </c>
      <c r="D357" s="184">
        <f>IFERROR(VLOOKUP(A357,'SAP '!A:D,4,0),0)</f>
        <v>0</v>
      </c>
    </row>
    <row r="358" spans="1:4" x14ac:dyDescent="0.25">
      <c r="A358" s="90">
        <v>1101207012</v>
      </c>
      <c r="B358" s="90" t="s">
        <v>946</v>
      </c>
      <c r="C358" s="56">
        <f>IFERROR(VLOOKUP(A358,'SAP '!$A$8:$D$393,3,0),0)</f>
        <v>0</v>
      </c>
      <c r="D358" s="184">
        <f>IFERROR(VLOOKUP(A358,'SAP '!A:D,4,0),0)</f>
        <v>0</v>
      </c>
    </row>
    <row r="359" spans="1:4" x14ac:dyDescent="0.25">
      <c r="A359" s="90">
        <v>1101301000</v>
      </c>
      <c r="B359" s="90" t="s">
        <v>1024</v>
      </c>
      <c r="C359" s="56">
        <f>IFERROR(VLOOKUP(A359,'SAP '!$A$8:$D$393,3,0),0)</f>
        <v>0</v>
      </c>
      <c r="D359" s="184">
        <f>IFERROR(VLOOKUP(A359,'SAP '!A:D,4,0),0)</f>
        <v>0</v>
      </c>
    </row>
    <row r="360" spans="1:4" x14ac:dyDescent="0.25">
      <c r="A360" s="137">
        <v>1107210000</v>
      </c>
      <c r="B360" s="89" t="s">
        <v>1025</v>
      </c>
      <c r="C360" s="56">
        <f>IFERROR(VLOOKUP(A360,'SAP '!$A$8:$D$393,3,0),0)</f>
        <v>0</v>
      </c>
      <c r="D360" s="184">
        <f>IFERROR(VLOOKUP(A360,'SAP '!A:D,4,0),0)</f>
        <v>0</v>
      </c>
    </row>
    <row r="361" spans="1:4" x14ac:dyDescent="0.25">
      <c r="A361" s="140">
        <v>1107214000</v>
      </c>
      <c r="B361" s="89" t="s">
        <v>853</v>
      </c>
      <c r="C361" s="56">
        <f>IFERROR(VLOOKUP(A361,'SAP '!$A$8:$D$393,3,0),0)</f>
        <v>-4420931.66</v>
      </c>
      <c r="D361" s="184">
        <f>IFERROR(VLOOKUP(A361,'SAP '!A:D,4,0),0)</f>
        <v>6940155.29</v>
      </c>
    </row>
    <row r="362" spans="1:4" x14ac:dyDescent="0.25">
      <c r="A362" s="140">
        <v>1107214001</v>
      </c>
      <c r="B362" s="89" t="s">
        <v>854</v>
      </c>
      <c r="C362" s="56">
        <f>IFERROR(VLOOKUP(A362,'SAP '!$A$8:$D$393,3,0),0)</f>
        <v>-353625</v>
      </c>
      <c r="D362" s="184">
        <f>IFERROR(VLOOKUP(A362,'SAP '!A:D,4,0),0)</f>
        <v>1302113.19</v>
      </c>
    </row>
    <row r="363" spans="1:4" x14ac:dyDescent="0.25">
      <c r="A363" s="140">
        <v>1109104000</v>
      </c>
      <c r="B363" s="89" t="s">
        <v>857</v>
      </c>
      <c r="C363" s="56">
        <f>IFERROR(VLOOKUP(A363,'SAP '!$A$8:$D$393,3,0),0)</f>
        <v>-2386106.9</v>
      </c>
      <c r="D363" s="184">
        <f>IFERROR(VLOOKUP(A363,'SAP '!A:D,4,0),0)</f>
        <v>114566</v>
      </c>
    </row>
    <row r="364" spans="1:4" x14ac:dyDescent="0.25">
      <c r="A364" s="140">
        <v>1109104001</v>
      </c>
      <c r="B364" s="89" t="s">
        <v>858</v>
      </c>
      <c r="C364" s="56">
        <f>IFERROR(VLOOKUP(A364,'SAP '!$A$8:$D$393,3,0),0)</f>
        <v>80250.16</v>
      </c>
      <c r="D364" s="184">
        <f>IFERROR(VLOOKUP(A364,'SAP '!A:D,4,0),0)</f>
        <v>536016.69999999995</v>
      </c>
    </row>
    <row r="365" spans="1:4" x14ac:dyDescent="0.25">
      <c r="A365" s="140">
        <v>1109104002</v>
      </c>
      <c r="B365" s="89" t="s">
        <v>859</v>
      </c>
      <c r="C365" s="56">
        <f>IFERROR(VLOOKUP(A365,'SAP '!$A$8:$D$393,3,0),0)</f>
        <v>-3273410.82</v>
      </c>
      <c r="D365" s="184">
        <f>IFERROR(VLOOKUP(A365,'SAP '!A:D,4,0),0)</f>
        <v>1292492.29</v>
      </c>
    </row>
    <row r="366" spans="1:4" x14ac:dyDescent="0.25">
      <c r="A366" s="140">
        <v>1109104003</v>
      </c>
      <c r="B366" s="89" t="s">
        <v>860</v>
      </c>
      <c r="C366" s="56">
        <f>IFERROR(VLOOKUP(A366,'SAP '!$A$8:$D$393,3,0),0)</f>
        <v>1205537</v>
      </c>
      <c r="D366" s="184">
        <f>IFERROR(VLOOKUP(A366,'SAP '!A:D,4,0),0)</f>
        <v>6321139</v>
      </c>
    </row>
    <row r="367" spans="1:4" x14ac:dyDescent="0.25">
      <c r="A367" s="90">
        <v>1107212000</v>
      </c>
      <c r="B367" s="90" t="s">
        <v>161</v>
      </c>
      <c r="C367" s="56">
        <f>IFERROR(VLOOKUP(A367,'SAP '!$A$8:$D$393,3,0),0)</f>
        <v>0</v>
      </c>
      <c r="D367" s="184">
        <f>IFERROR(VLOOKUP(A367,'SAP '!A:D,4,0),0)</f>
        <v>0</v>
      </c>
    </row>
    <row r="368" spans="1:4" x14ac:dyDescent="0.25">
      <c r="A368" s="137">
        <v>1109105000</v>
      </c>
      <c r="B368" s="89" t="s">
        <v>861</v>
      </c>
      <c r="C368" s="56">
        <f>IFERROR(VLOOKUP(A368,'SAP '!$A$8:$D$393,3,0),0)</f>
        <v>12679904.199999999</v>
      </c>
      <c r="D368" s="184">
        <f>IFERROR(VLOOKUP(A368,'SAP '!A:D,4,0),0)</f>
        <v>13220095.800000001</v>
      </c>
    </row>
    <row r="369" spans="1:4" x14ac:dyDescent="0.25">
      <c r="A369" s="137">
        <v>1109108001</v>
      </c>
      <c r="B369" s="89" t="s">
        <v>1978</v>
      </c>
      <c r="C369" s="56">
        <v>427576.32000000001</v>
      </c>
      <c r="D369" s="184"/>
    </row>
    <row r="370" spans="1:4" x14ac:dyDescent="0.25">
      <c r="A370" s="140">
        <v>1107203000</v>
      </c>
      <c r="B370" s="89" t="s">
        <v>852</v>
      </c>
      <c r="C370" s="56">
        <f>IFERROR(VLOOKUP(A370,'SAP '!$A$8:$D$393,3,0),0)</f>
        <v>0</v>
      </c>
      <c r="D370" s="184">
        <f>IFERROR(VLOOKUP(A370,'SAP '!A:D,4,0),0)</f>
        <v>788565.21</v>
      </c>
    </row>
    <row r="371" spans="1:4" x14ac:dyDescent="0.25">
      <c r="A371" s="137">
        <v>1107215000</v>
      </c>
      <c r="B371" s="89" t="s">
        <v>855</v>
      </c>
      <c r="C371" s="56">
        <f>IFERROR(VLOOKUP(A371,'SAP '!$A$8:$D$393,3,0),0)</f>
        <v>2007812.9</v>
      </c>
      <c r="D371" s="184">
        <f>IFERROR(VLOOKUP(A371,'SAP '!A:D,4,0),0)</f>
        <v>2007812.9</v>
      </c>
    </row>
    <row r="372" spans="1:4" x14ac:dyDescent="0.25">
      <c r="A372" s="90">
        <v>1107215001</v>
      </c>
      <c r="B372" s="90" t="s">
        <v>162</v>
      </c>
      <c r="C372" s="56">
        <f>IFERROR(VLOOKUP(A372,'SAP '!$A$8:$D$393,3,0),0)</f>
        <v>0</v>
      </c>
      <c r="D372" s="184">
        <f>IFERROR(VLOOKUP(A372,'SAP '!A:D,4,0),0)</f>
        <v>0</v>
      </c>
    </row>
    <row r="373" spans="1:4" x14ac:dyDescent="0.25">
      <c r="A373" s="137">
        <v>1109101000</v>
      </c>
      <c r="B373" s="89" t="s">
        <v>856</v>
      </c>
      <c r="C373" s="56">
        <f>IFERROR(VLOOKUP(A373,'SAP '!$A$8:$D$393,3,0),0)</f>
        <v>0</v>
      </c>
      <c r="D373" s="184">
        <f>IFERROR(VLOOKUP(A373,'SAP '!A:D,4,0),0)</f>
        <v>64264.35</v>
      </c>
    </row>
    <row r="374" spans="1:4" x14ac:dyDescent="0.25">
      <c r="A374" s="90">
        <v>1109201000</v>
      </c>
      <c r="B374" s="90" t="s">
        <v>163</v>
      </c>
      <c r="C374" s="56">
        <f>IFERROR(VLOOKUP(A374,'SAP '!$A$8:$D$393,3,0),0)</f>
        <v>0</v>
      </c>
      <c r="D374" s="184">
        <f>IFERROR(VLOOKUP(A374,'SAP '!A:D,4,0),0)</f>
        <v>0</v>
      </c>
    </row>
    <row r="375" spans="1:4" x14ac:dyDescent="0.25">
      <c r="A375" s="137">
        <v>1109203000</v>
      </c>
      <c r="B375" s="89" t="s">
        <v>862</v>
      </c>
      <c r="C375" s="56">
        <f>IFERROR(VLOOKUP(A375,'SAP '!$A$8:$D$393,3,0),0)</f>
        <v>819866.73</v>
      </c>
      <c r="D375" s="184">
        <f>IFERROR(VLOOKUP(A375,'SAP '!A:D,4,0),0)</f>
        <v>9661.65</v>
      </c>
    </row>
    <row r="376" spans="1:4" x14ac:dyDescent="0.25">
      <c r="A376" s="137">
        <v>3101101000</v>
      </c>
      <c r="B376" s="91" t="s">
        <v>888</v>
      </c>
      <c r="C376" s="56">
        <f>IFERROR(VLOOKUP(A376,'SAP '!$A$8:$D$393,3,0),0)</f>
        <v>0</v>
      </c>
      <c r="D376" s="184">
        <f>IFERROR(VLOOKUP(A376,'SAP '!A:D,4,0),0)</f>
        <v>-854082000</v>
      </c>
    </row>
    <row r="377" spans="1:4" x14ac:dyDescent="0.25">
      <c r="A377" s="137">
        <v>3103101000</v>
      </c>
      <c r="B377" s="91" t="s">
        <v>889</v>
      </c>
      <c r="C377" s="56">
        <f>IFERROR(VLOOKUP(A377,'SAP '!$A$8:$D$393,3,0),0)</f>
        <v>146583028.18000001</v>
      </c>
      <c r="D377" s="184">
        <f>IFERROR(VLOOKUP(A377,'SAP '!A:D,4,0),0)</f>
        <v>-3277954946.4400001</v>
      </c>
    </row>
    <row r="378" spans="1:4" x14ac:dyDescent="0.25">
      <c r="A378" s="137">
        <v>3104104000</v>
      </c>
      <c r="B378" s="91" t="s">
        <v>72</v>
      </c>
      <c r="C378" s="56">
        <f>IFERROR(VLOOKUP(A378,'SAP '!$A$8:$D$393,3,0),0)</f>
        <v>0</v>
      </c>
      <c r="D378" s="184">
        <f>IFERROR(VLOOKUP(A378,'SAP '!A:D,4,0),0)</f>
        <v>-92308400</v>
      </c>
    </row>
    <row r="379" spans="1:4" x14ac:dyDescent="0.25">
      <c r="A379" s="137">
        <v>3104105000</v>
      </c>
      <c r="B379" s="91" t="s">
        <v>1026</v>
      </c>
      <c r="C379" s="56">
        <f>IFERROR(VLOOKUP(A379,'SAP '!$A$8:$D$393,3,0),0)</f>
        <v>0</v>
      </c>
      <c r="D379" s="184">
        <f>IFERROR(VLOOKUP(A379,'SAP '!A:D,4,0),0)</f>
        <v>0</v>
      </c>
    </row>
    <row r="380" spans="1:4" x14ac:dyDescent="0.25">
      <c r="A380" s="90">
        <v>3103105000</v>
      </c>
      <c r="B380" s="90" t="s">
        <v>890</v>
      </c>
      <c r="C380" s="56">
        <f>IFERROR(VLOOKUP(A380,'SAP '!$A$8:$D$393,3,0),0)</f>
        <v>0</v>
      </c>
      <c r="D380" s="184">
        <f>IFERROR(VLOOKUP(A380,'SAP '!A:D,4,0),0)</f>
        <v>0</v>
      </c>
    </row>
    <row r="381" spans="1:4" x14ac:dyDescent="0.25">
      <c r="A381" s="137">
        <v>2201101000</v>
      </c>
      <c r="B381" s="91" t="s">
        <v>881</v>
      </c>
      <c r="C381" s="56">
        <f>IFERROR(VLOOKUP(A381,'SAP '!$A$8:$D$393,3,0),0)</f>
        <v>19150082.350000001</v>
      </c>
      <c r="D381" s="184">
        <f>IFERROR(VLOOKUP(A381,'SAP '!A:D,4,0),0)</f>
        <v>-81665921.010000005</v>
      </c>
    </row>
    <row r="382" spans="1:4" x14ac:dyDescent="0.25">
      <c r="A382" s="137">
        <v>2201101001</v>
      </c>
      <c r="B382" s="91" t="s">
        <v>882</v>
      </c>
      <c r="C382" s="56">
        <f>IFERROR(VLOOKUP(A382,'SAP '!$A$8:$D$393,3,0),0)</f>
        <v>0</v>
      </c>
      <c r="D382" s="184">
        <f>IFERROR(VLOOKUP(A382,'SAP '!A:D,4,0),0)</f>
        <v>0</v>
      </c>
    </row>
    <row r="383" spans="1:4" x14ac:dyDescent="0.25">
      <c r="A383" s="137">
        <v>2201101002</v>
      </c>
      <c r="B383" s="91" t="s">
        <v>883</v>
      </c>
      <c r="C383" s="56">
        <f>IFERROR(VLOOKUP(A383,'SAP '!$A$8:$D$393,3,0),0)</f>
        <v>2238705.0099999998</v>
      </c>
      <c r="D383" s="184">
        <f>IFERROR(VLOOKUP(A383,'SAP '!A:D,4,0),0)</f>
        <v>-6500235.7300000004</v>
      </c>
    </row>
    <row r="384" spans="1:4" x14ac:dyDescent="0.25">
      <c r="A384" s="137">
        <v>2201101003</v>
      </c>
      <c r="B384" s="91" t="s">
        <v>1077</v>
      </c>
      <c r="C384" s="56">
        <f>IFERROR(VLOOKUP(A384,'SAP '!$A$8:$D$393,3,0),0)</f>
        <v>0</v>
      </c>
      <c r="D384" s="184">
        <f>IFERROR(VLOOKUP(A384,'SAP '!A:D,4,0),0)</f>
        <v>0</v>
      </c>
    </row>
    <row r="385" spans="1:4" x14ac:dyDescent="0.25">
      <c r="A385" s="137">
        <v>2204201000</v>
      </c>
      <c r="B385" s="91" t="s">
        <v>884</v>
      </c>
      <c r="C385" s="56">
        <f>IFERROR(VLOOKUP(A385,'SAP '!$A$8:$D$393,3,0),0)</f>
        <v>93930418.859999999</v>
      </c>
      <c r="D385" s="184">
        <f>IFERROR(VLOOKUP(A385,'SAP '!A:D,4,0),0)</f>
        <v>-348615398.00999999</v>
      </c>
    </row>
    <row r="386" spans="1:4" x14ac:dyDescent="0.25">
      <c r="A386" s="137">
        <v>2204203000</v>
      </c>
      <c r="B386" s="91" t="s">
        <v>885</v>
      </c>
      <c r="C386" s="56">
        <f>IFERROR(VLOOKUP(A386,'SAP '!$A$8:$D$393,3,0),0)</f>
        <v>0</v>
      </c>
      <c r="D386" s="184">
        <f>IFERROR(VLOOKUP(A386,'SAP '!A:D,4,0),0)</f>
        <v>-300000000</v>
      </c>
    </row>
    <row r="387" spans="1:4" x14ac:dyDescent="0.25">
      <c r="A387" s="137">
        <v>2207101001</v>
      </c>
      <c r="B387" s="91" t="s">
        <v>887</v>
      </c>
      <c r="C387" s="56">
        <f>IFERROR(VLOOKUP(A387,'SAP '!$A$8:$D$393,3,0),0)</f>
        <v>-5023717.46</v>
      </c>
      <c r="D387" s="184">
        <f>IFERROR(VLOOKUP(A387,'SAP '!A:D,4,0),0)</f>
        <v>-40890756.460000001</v>
      </c>
    </row>
    <row r="388" spans="1:4" x14ac:dyDescent="0.25">
      <c r="A388" s="137">
        <v>2108201000</v>
      </c>
      <c r="B388" s="91" t="s">
        <v>1027</v>
      </c>
      <c r="C388" s="56">
        <f>IFERROR(VLOOKUP(A388,'SAP '!$A$8:$D$393,3,0),0)</f>
        <v>0</v>
      </c>
      <c r="D388" s="184">
        <f>IFERROR(VLOOKUP(A388,'SAP '!A:D,4,0),0)</f>
        <v>0</v>
      </c>
    </row>
    <row r="389" spans="1:4" x14ac:dyDescent="0.25">
      <c r="A389" s="92">
        <v>2105101000</v>
      </c>
      <c r="B389" s="92" t="s">
        <v>199</v>
      </c>
      <c r="C389" s="56">
        <f>IFERROR(VLOOKUP(A389,'SAP '!$A$8:$D$393,3,0),0)</f>
        <v>0</v>
      </c>
      <c r="D389" s="184">
        <f>IFERROR(VLOOKUP(A389,'SAP '!A:D,4,0),0)</f>
        <v>0</v>
      </c>
    </row>
    <row r="390" spans="1:4" x14ac:dyDescent="0.25">
      <c r="A390" s="90">
        <v>2203101000</v>
      </c>
      <c r="B390" s="90" t="s">
        <v>200</v>
      </c>
      <c r="C390" s="56">
        <f>IFERROR(VLOOKUP(A390,'SAP '!$A$8:$D$393,3,0),0)</f>
        <v>0</v>
      </c>
      <c r="D390" s="184">
        <f>IFERROR(VLOOKUP(A390,'SAP '!A:D,4,0),0)</f>
        <v>0</v>
      </c>
    </row>
    <row r="391" spans="1:4" x14ac:dyDescent="0.25">
      <c r="A391" s="90">
        <v>2203102000</v>
      </c>
      <c r="B391" s="90" t="s">
        <v>201</v>
      </c>
      <c r="C391" s="56">
        <f>IFERROR(VLOOKUP(A391,'SAP '!$A$8:$D$393,3,0),0)</f>
        <v>0</v>
      </c>
      <c r="D391" s="184">
        <f>IFERROR(VLOOKUP(A391,'SAP '!A:D,4,0),0)</f>
        <v>0</v>
      </c>
    </row>
    <row r="392" spans="1:4" x14ac:dyDescent="0.25">
      <c r="A392" s="90">
        <v>2203103000</v>
      </c>
      <c r="B392" s="90" t="s">
        <v>202</v>
      </c>
      <c r="C392" s="56">
        <f>IFERROR(VLOOKUP(A392,'SAP '!$A$8:$D$393,3,0),0)</f>
        <v>0</v>
      </c>
      <c r="D392" s="184">
        <f>IFERROR(VLOOKUP(A392,'SAP '!A:D,4,0),0)</f>
        <v>0</v>
      </c>
    </row>
    <row r="393" spans="1:4" x14ac:dyDescent="0.25">
      <c r="A393" s="90">
        <v>2203301000</v>
      </c>
      <c r="B393" s="92" t="s">
        <v>228</v>
      </c>
      <c r="C393" s="56">
        <f>IFERROR(VLOOKUP(A393,'SAP '!$A$8:$D$393,3,0),0)</f>
        <v>0</v>
      </c>
      <c r="D393" s="184">
        <f>IFERROR(VLOOKUP(A393,'SAP '!A:D,4,0),0)</f>
        <v>0</v>
      </c>
    </row>
    <row r="394" spans="1:4" x14ac:dyDescent="0.25">
      <c r="A394" s="137">
        <v>2205103000</v>
      </c>
      <c r="B394" s="89" t="s">
        <v>1028</v>
      </c>
      <c r="C394" s="56">
        <f>IFERROR(VLOOKUP(A394,'SAP '!$A$8:$D$393,3,0),0)</f>
        <v>0</v>
      </c>
      <c r="D394" s="184">
        <f>IFERROR(VLOOKUP(A394,'SAP '!A:D,4,0),0)</f>
        <v>0</v>
      </c>
    </row>
    <row r="395" spans="1:4" x14ac:dyDescent="0.25">
      <c r="A395" s="90">
        <v>2207101000</v>
      </c>
      <c r="B395" s="91" t="s">
        <v>886</v>
      </c>
      <c r="C395" s="56">
        <f>IFERROR(VLOOKUP(A395,'SAP '!$A$8:$D$393,3,0),0)</f>
        <v>0</v>
      </c>
      <c r="D395" s="184">
        <f>IFERROR(VLOOKUP(A395,'SAP '!A:D,4,0),0)</f>
        <v>-26450209.940000001</v>
      </c>
    </row>
    <row r="396" spans="1:4" x14ac:dyDescent="0.25">
      <c r="A396" s="140">
        <v>2103101000</v>
      </c>
      <c r="B396" s="91" t="s">
        <v>867</v>
      </c>
      <c r="C396" s="56">
        <f>IFERROR(VLOOKUP(A396,'SAP '!$A$8:$D$393,3,0),0)</f>
        <v>-11857706.16</v>
      </c>
      <c r="D396" s="184">
        <f>IFERROR(VLOOKUP(A396,'SAP '!A:D,4,0),0)</f>
        <v>-13742411.369999999</v>
      </c>
    </row>
    <row r="397" spans="1:4" x14ac:dyDescent="0.25">
      <c r="A397" s="140">
        <v>2103102000</v>
      </c>
      <c r="B397" s="91" t="s">
        <v>868</v>
      </c>
      <c r="C397" s="56">
        <f>IFERROR(VLOOKUP(A397,'SAP '!$A$8:$D$393,3,0),0)</f>
        <v>-184121</v>
      </c>
      <c r="D397" s="184">
        <f>IFERROR(VLOOKUP(A397,'SAP '!A:D,4,0),0)</f>
        <v>-1058003.8600000001</v>
      </c>
    </row>
    <row r="398" spans="1:4" x14ac:dyDescent="0.25">
      <c r="A398" s="140">
        <v>2103103000</v>
      </c>
      <c r="B398" s="91" t="s">
        <v>869</v>
      </c>
      <c r="C398" s="56">
        <f>IFERROR(VLOOKUP(A398,'SAP '!$A$8:$D$393,3,0),0)</f>
        <v>-58027874.460000001</v>
      </c>
      <c r="D398" s="184">
        <f>IFERROR(VLOOKUP(A398,'SAP '!A:D,4,0),0)</f>
        <v>-69894545.730000004</v>
      </c>
    </row>
    <row r="399" spans="1:4" x14ac:dyDescent="0.25">
      <c r="A399" s="141">
        <v>2108101000</v>
      </c>
      <c r="B399" s="91" t="s">
        <v>1029</v>
      </c>
      <c r="C399" s="56">
        <f>IFERROR(VLOOKUP(A399,'SAP '!$A$8:$D$393,3,0),0)</f>
        <v>0</v>
      </c>
      <c r="D399" s="184">
        <f>IFERROR(VLOOKUP(A399,'SAP '!A:D,4,0),0)</f>
        <v>-207138914.28999999</v>
      </c>
    </row>
    <row r="400" spans="1:4" x14ac:dyDescent="0.25">
      <c r="A400" s="141">
        <v>2108600001</v>
      </c>
      <c r="B400" s="91" t="s">
        <v>2041</v>
      </c>
      <c r="C400" s="56">
        <v>-44914640.189999998</v>
      </c>
      <c r="D400" s="184"/>
    </row>
    <row r="401" spans="1:4" x14ac:dyDescent="0.25">
      <c r="A401" s="137">
        <v>2107101000</v>
      </c>
      <c r="B401" s="91" t="s">
        <v>880</v>
      </c>
      <c r="C401" s="56">
        <f>IFERROR(VLOOKUP(A401,'SAP '!$A$8:$D$393,3,0),0)</f>
        <v>0</v>
      </c>
      <c r="D401" s="184">
        <f>IFERROR(VLOOKUP(A401,'SAP '!A:D,4,0),0)</f>
        <v>-12297387</v>
      </c>
    </row>
    <row r="402" spans="1:4" x14ac:dyDescent="0.25">
      <c r="A402" s="137">
        <v>2107101001</v>
      </c>
      <c r="B402" s="91" t="s">
        <v>1088</v>
      </c>
      <c r="C402" s="56">
        <f>IFERROR(VLOOKUP(A402,'SAP '!$A$8:$D$393,3,0),0)</f>
        <v>-31357034</v>
      </c>
      <c r="D402" s="184">
        <f>IFERROR(VLOOKUP(A402,'SAP '!A:D,4,0),0)</f>
        <v>0</v>
      </c>
    </row>
    <row r="403" spans="1:4" x14ac:dyDescent="0.25">
      <c r="A403" s="137">
        <v>2101101000</v>
      </c>
      <c r="B403" s="91" t="s">
        <v>864</v>
      </c>
      <c r="C403" s="56">
        <f>IFERROR(VLOOKUP(A403,'SAP '!$A$8:$D$393,3,0),0)</f>
        <v>532442.99</v>
      </c>
      <c r="D403" s="184">
        <f>IFERROR(VLOOKUP(A403,'SAP '!A:D,4,0),0)</f>
        <v>-19150082.329999998</v>
      </c>
    </row>
    <row r="404" spans="1:4" x14ac:dyDescent="0.25">
      <c r="A404" s="137">
        <v>2101101001</v>
      </c>
      <c r="B404" s="91" t="s">
        <v>865</v>
      </c>
      <c r="C404" s="56">
        <f>IFERROR(VLOOKUP(A404,'SAP '!$A$8:$D$393,3,0),0)</f>
        <v>1402620.09</v>
      </c>
      <c r="D404" s="184">
        <f>IFERROR(VLOOKUP(A404,'SAP '!A:D,4,0),0)</f>
        <v>-1402620.09</v>
      </c>
    </row>
    <row r="405" spans="1:4" x14ac:dyDescent="0.25">
      <c r="A405" s="137">
        <v>2101101002</v>
      </c>
      <c r="B405" s="91" t="s">
        <v>866</v>
      </c>
      <c r="C405" s="56">
        <f>IFERROR(VLOOKUP(A405,'SAP '!$A$8:$D$393,3,0),0)</f>
        <v>-0.01</v>
      </c>
      <c r="D405" s="184">
        <f>IFERROR(VLOOKUP(A405,'SAP '!A:D,4,0),0)</f>
        <v>-2238704.9900000002</v>
      </c>
    </row>
    <row r="406" spans="1:4" x14ac:dyDescent="0.25">
      <c r="A406" s="137">
        <v>2103501000</v>
      </c>
      <c r="B406" s="91" t="s">
        <v>870</v>
      </c>
      <c r="C406" s="56">
        <f>IFERROR(VLOOKUP(A406,'SAP '!$A$8:$D$393,3,0),0)</f>
        <v>368620.75</v>
      </c>
      <c r="D406" s="184">
        <f>IFERROR(VLOOKUP(A406,'SAP '!A:D,4,0),0)</f>
        <v>-347817.29</v>
      </c>
    </row>
    <row r="407" spans="1:4" x14ac:dyDescent="0.25">
      <c r="A407" s="137">
        <v>2103501001</v>
      </c>
      <c r="B407" s="91" t="s">
        <v>871</v>
      </c>
      <c r="C407" s="56">
        <f>IFERROR(VLOOKUP(A407,'SAP '!$A$8:$D$393,3,0),0)</f>
        <v>7076106.9100000001</v>
      </c>
      <c r="D407" s="184">
        <f>IFERROR(VLOOKUP(A407,'SAP '!A:D,4,0),0)</f>
        <v>142038.38</v>
      </c>
    </row>
    <row r="408" spans="1:4" x14ac:dyDescent="0.25">
      <c r="A408" s="137">
        <v>2103602000</v>
      </c>
      <c r="B408" s="91" t="s">
        <v>1030</v>
      </c>
      <c r="C408" s="56">
        <f>IFERROR(VLOOKUP(A408,'SAP '!$A$8:$D$393,3,0),0)</f>
        <v>0</v>
      </c>
      <c r="D408" s="184">
        <f>IFERROR(VLOOKUP(A408,'SAP '!A:D,4,0),0)</f>
        <v>0</v>
      </c>
    </row>
    <row r="409" spans="1:4" x14ac:dyDescent="0.25">
      <c r="A409" s="137">
        <v>2103701000</v>
      </c>
      <c r="B409" s="91" t="s">
        <v>872</v>
      </c>
      <c r="C409" s="56">
        <f>IFERROR(VLOOKUP(A409,'SAP '!$A$8:$D$393,3,0),0)</f>
        <v>0</v>
      </c>
      <c r="D409" s="184">
        <f>IFERROR(VLOOKUP(A409,'SAP '!A:D,4,0),0)</f>
        <v>-18303</v>
      </c>
    </row>
    <row r="410" spans="1:4" x14ac:dyDescent="0.25">
      <c r="A410" s="137">
        <v>2104302001</v>
      </c>
      <c r="B410" s="91" t="s">
        <v>347</v>
      </c>
      <c r="C410" s="56">
        <f>IFERROR(VLOOKUP(A410,'SAP '!$A$8:$D$393,3,0),0)</f>
        <v>-93930418.859999999</v>
      </c>
      <c r="D410" s="184">
        <f>IFERROR(VLOOKUP(A410,'SAP '!A:D,4,0),0)</f>
        <v>-60304622.590000004</v>
      </c>
    </row>
    <row r="411" spans="1:4" x14ac:dyDescent="0.25">
      <c r="A411" s="137">
        <v>2106103000</v>
      </c>
      <c r="B411" s="91" t="s">
        <v>873</v>
      </c>
      <c r="C411" s="56">
        <f>IFERROR(VLOOKUP(A411,'SAP '!$A$8:$D$393,3,0),0)</f>
        <v>99521.15</v>
      </c>
      <c r="D411" s="184">
        <f>IFERROR(VLOOKUP(A411,'SAP '!A:D,4,0),0)</f>
        <v>-136130.85</v>
      </c>
    </row>
    <row r="412" spans="1:4" x14ac:dyDescent="0.25">
      <c r="A412" s="137">
        <v>2106103001</v>
      </c>
      <c r="B412" s="91" t="s">
        <v>874</v>
      </c>
      <c r="C412" s="56">
        <f>IFERROR(VLOOKUP(A412,'SAP '!$A$8:$D$393,3,0),0)</f>
        <v>28881785.190000001</v>
      </c>
      <c r="D412" s="184">
        <f>IFERROR(VLOOKUP(A412,'SAP '!A:D,4,0),0)</f>
        <v>-8249552.7400000002</v>
      </c>
    </row>
    <row r="413" spans="1:4" x14ac:dyDescent="0.25">
      <c r="A413" s="140">
        <v>7010101001</v>
      </c>
      <c r="B413" s="183" t="s">
        <v>564</v>
      </c>
      <c r="C413" s="56">
        <f>IFERROR(VLOOKUP(A413,'SAP '!$A$8:$D$393,3,0),0)</f>
        <v>0</v>
      </c>
      <c r="D413" s="184">
        <f>IFERROR(VLOOKUP(A413,'SAP '!A:D,4,0),0)</f>
        <v>0</v>
      </c>
    </row>
    <row r="414" spans="1:4" x14ac:dyDescent="0.25">
      <c r="A414" s="140">
        <v>7010101002</v>
      </c>
      <c r="B414" s="183" t="s">
        <v>565</v>
      </c>
      <c r="C414" s="56">
        <f>IFERROR(VLOOKUP(A414,'SAP '!$A$8:$D$393,3,0),0)</f>
        <v>0</v>
      </c>
      <c r="D414" s="184">
        <f>IFERROR(VLOOKUP(A414,'SAP '!A:D,4,0),0)</f>
        <v>0</v>
      </c>
    </row>
    <row r="415" spans="1:4" x14ac:dyDescent="0.25">
      <c r="A415" s="140">
        <v>7010101003</v>
      </c>
      <c r="B415" s="183" t="s">
        <v>891</v>
      </c>
      <c r="C415" s="56">
        <f>IFERROR(VLOOKUP(A415,'SAP '!$A$8:$D$393,3,0),0)</f>
        <v>0</v>
      </c>
      <c r="D415" s="184">
        <f>IFERROR(VLOOKUP(A415,'SAP '!A:D,4,0),0)</f>
        <v>0</v>
      </c>
    </row>
    <row r="416" spans="1:4" x14ac:dyDescent="0.25">
      <c r="A416" s="140">
        <v>7010101004</v>
      </c>
      <c r="B416" s="183" t="s">
        <v>598</v>
      </c>
      <c r="C416" s="56">
        <f>IFERROR(VLOOKUP(A416,'SAP '!$A$8:$D$393,3,0),0)</f>
        <v>0</v>
      </c>
      <c r="D416" s="184">
        <f>IFERROR(VLOOKUP(A416,'SAP '!A:D,4,0),0)</f>
        <v>0</v>
      </c>
    </row>
    <row r="417" spans="1:4" x14ac:dyDescent="0.25">
      <c r="A417" s="140">
        <v>7010101006</v>
      </c>
      <c r="B417" s="183" t="s">
        <v>588</v>
      </c>
      <c r="C417" s="56">
        <f>IFERROR(VLOOKUP(A417,'SAP '!$A$8:$D$393,3,0),0)</f>
        <v>0</v>
      </c>
      <c r="D417" s="184">
        <f>IFERROR(VLOOKUP(A417,'SAP '!A:D,4,0),0)</f>
        <v>0</v>
      </c>
    </row>
    <row r="418" spans="1:4" x14ac:dyDescent="0.25">
      <c r="A418" s="140">
        <v>7010101008</v>
      </c>
      <c r="B418" s="183" t="s">
        <v>599</v>
      </c>
      <c r="C418" s="56">
        <f>IFERROR(VLOOKUP(A418,'SAP '!$A$8:$D$393,3,0),0)</f>
        <v>0</v>
      </c>
      <c r="D418" s="184">
        <f>IFERROR(VLOOKUP(A418,'SAP '!A:D,4,0),0)</f>
        <v>0</v>
      </c>
    </row>
    <row r="419" spans="1:4" x14ac:dyDescent="0.25">
      <c r="A419" s="140">
        <v>7010101007</v>
      </c>
      <c r="B419" s="183" t="s">
        <v>892</v>
      </c>
      <c r="C419" s="56">
        <f>IFERROR(VLOOKUP(A419,'SAP '!$A$8:$D$393,3,0),0)</f>
        <v>0</v>
      </c>
      <c r="D419" s="184">
        <f>IFERROR(VLOOKUP(A419,'SAP '!A:D,4,0),0)</f>
        <v>0</v>
      </c>
    </row>
    <row r="420" spans="1:4" x14ac:dyDescent="0.25">
      <c r="A420" s="140">
        <v>7010101009</v>
      </c>
      <c r="B420" s="183" t="s">
        <v>589</v>
      </c>
      <c r="C420" s="56">
        <f>IFERROR(VLOOKUP(A420,'SAP '!$A$8:$D$393,3,0),0)</f>
        <v>0</v>
      </c>
      <c r="D420" s="184">
        <f>IFERROR(VLOOKUP(A420,'SAP '!A:D,4,0),0)</f>
        <v>0</v>
      </c>
    </row>
    <row r="421" spans="1:4" x14ac:dyDescent="0.25">
      <c r="A421" s="140">
        <v>7010101014</v>
      </c>
      <c r="B421" s="183" t="s">
        <v>566</v>
      </c>
      <c r="C421" s="56">
        <f>IFERROR(VLOOKUP(A421,'SAP '!$A$8:$D$393,3,0),0)</f>
        <v>0</v>
      </c>
      <c r="D421" s="184">
        <f>IFERROR(VLOOKUP(A421,'SAP '!A:D,4,0),0)</f>
        <v>0</v>
      </c>
    </row>
    <row r="422" spans="1:4" x14ac:dyDescent="0.25">
      <c r="A422" s="140">
        <v>7010101015</v>
      </c>
      <c r="B422" s="183" t="s">
        <v>567</v>
      </c>
      <c r="C422" s="56">
        <f>IFERROR(VLOOKUP(A422,'SAP '!$A$8:$D$393,3,0),0)</f>
        <v>0</v>
      </c>
      <c r="D422" s="184">
        <f>IFERROR(VLOOKUP(A422,'SAP '!A:D,4,0),0)</f>
        <v>0</v>
      </c>
    </row>
    <row r="423" spans="1:4" x14ac:dyDescent="0.25">
      <c r="A423" s="140">
        <v>7010101017</v>
      </c>
      <c r="B423" s="183" t="s">
        <v>568</v>
      </c>
      <c r="C423" s="56">
        <f>IFERROR(VLOOKUP(A423,'SAP '!$A$8:$D$393,3,0),0)</f>
        <v>0</v>
      </c>
      <c r="D423" s="184">
        <f>IFERROR(VLOOKUP(A423,'SAP '!A:D,4,0),0)</f>
        <v>0</v>
      </c>
    </row>
    <row r="424" spans="1:4" x14ac:dyDescent="0.25">
      <c r="A424" s="140">
        <v>7010101027</v>
      </c>
      <c r="B424" s="183" t="s">
        <v>590</v>
      </c>
      <c r="C424" s="56">
        <f>IFERROR(VLOOKUP(A424,'SAP '!$A$8:$D$393,3,0),0)</f>
        <v>0</v>
      </c>
      <c r="D424" s="184">
        <f>IFERROR(VLOOKUP(A424,'SAP '!A:D,4,0),0)</f>
        <v>0</v>
      </c>
    </row>
    <row r="425" spans="1:4" x14ac:dyDescent="0.25">
      <c r="A425" s="140">
        <v>7010101028</v>
      </c>
      <c r="B425" s="183" t="s">
        <v>591</v>
      </c>
      <c r="C425" s="56">
        <f>IFERROR(VLOOKUP(A425,'SAP '!$A$8:$D$393,3,0),0)</f>
        <v>0</v>
      </c>
      <c r="D425" s="184">
        <f>IFERROR(VLOOKUP(A425,'SAP '!A:D,4,0),0)</f>
        <v>0</v>
      </c>
    </row>
    <row r="426" spans="1:4" x14ac:dyDescent="0.25">
      <c r="A426" s="140"/>
      <c r="B426" s="183" t="s">
        <v>127</v>
      </c>
      <c r="C426" s="56">
        <f>IFERROR(VLOOKUP(A426,'SAP '!$A$8:$D$393,3,0),0)</f>
        <v>0</v>
      </c>
      <c r="D426" s="184">
        <f>IFERROR(VLOOKUP(A426,'SAP '!A:D,4,0),0)</f>
        <v>0</v>
      </c>
    </row>
    <row r="427" spans="1:4" x14ac:dyDescent="0.25">
      <c r="A427" s="140"/>
      <c r="B427" s="183" t="s">
        <v>127</v>
      </c>
      <c r="C427" s="56">
        <f>IFERROR(VLOOKUP(A427,'SAP '!$A$8:$D$393,3,0),0)</f>
        <v>0</v>
      </c>
      <c r="D427" s="184">
        <f>IFERROR(VLOOKUP(A427,'SAP '!A:D,4,0),0)</f>
        <v>0</v>
      </c>
    </row>
    <row r="428" spans="1:4" x14ac:dyDescent="0.25">
      <c r="A428" s="140"/>
      <c r="B428" s="183" t="s">
        <v>127</v>
      </c>
      <c r="C428" s="56">
        <f>IFERROR(VLOOKUP(A428,'SAP '!$A$8:$D$393,3,0),0)</f>
        <v>0</v>
      </c>
      <c r="D428" s="184">
        <f>IFERROR(VLOOKUP(A428,'SAP '!A:D,4,0),0)</f>
        <v>0</v>
      </c>
    </row>
    <row r="429" spans="1:4" x14ac:dyDescent="0.25">
      <c r="A429" s="137">
        <v>2106103002</v>
      </c>
      <c r="B429" s="91" t="s">
        <v>540</v>
      </c>
      <c r="C429" s="56">
        <f>IFERROR(VLOOKUP(A429,'SAP '!$A$8:$D$393,3,0),0)</f>
        <v>3283889.23</v>
      </c>
      <c r="D429" s="184">
        <f>IFERROR(VLOOKUP(A429,'SAP '!A:D,4,0),0)</f>
        <v>-8349378</v>
      </c>
    </row>
    <row r="430" spans="1:4" x14ac:dyDescent="0.25">
      <c r="A430" s="137">
        <v>2106201000</v>
      </c>
      <c r="B430" s="91" t="s">
        <v>875</v>
      </c>
      <c r="C430" s="56">
        <f>IFERROR(VLOOKUP(A430,'SAP '!$A$8:$D$393,3,0),0)</f>
        <v>-15605</v>
      </c>
      <c r="D430" s="184">
        <f>IFERROR(VLOOKUP(A430,'SAP '!A:D,4,0),0)</f>
        <v>-31443.86</v>
      </c>
    </row>
    <row r="431" spans="1:4" x14ac:dyDescent="0.25">
      <c r="A431" s="137">
        <v>2106201001</v>
      </c>
      <c r="B431" s="91" t="s">
        <v>1031</v>
      </c>
      <c r="C431" s="56">
        <f>IFERROR(VLOOKUP(A431,'SAP '!$A$8:$D$393,3,0),0)</f>
        <v>0</v>
      </c>
      <c r="D431" s="184">
        <f>IFERROR(VLOOKUP(A431,'SAP '!A:D,4,0),0)</f>
        <v>0</v>
      </c>
    </row>
    <row r="432" spans="1:4" x14ac:dyDescent="0.25">
      <c r="A432" s="137">
        <v>2106201002</v>
      </c>
      <c r="B432" s="91" t="s">
        <v>1032</v>
      </c>
      <c r="C432" s="56">
        <f>IFERROR(VLOOKUP(A432,'SAP '!$A$8:$D$393,3,0),0)</f>
        <v>0</v>
      </c>
      <c r="D432" s="184">
        <f>IFERROR(VLOOKUP(A432,'SAP '!A:D,4,0),0)</f>
        <v>0</v>
      </c>
    </row>
    <row r="433" spans="1:4" x14ac:dyDescent="0.25">
      <c r="A433" s="137">
        <v>2106201003</v>
      </c>
      <c r="B433" s="91" t="s">
        <v>1033</v>
      </c>
      <c r="C433" s="56">
        <f>IFERROR(VLOOKUP(A433,'SAP '!$A$8:$D$393,3,0),0)</f>
        <v>0</v>
      </c>
      <c r="D433" s="184">
        <f>IFERROR(VLOOKUP(A433,'SAP '!A:D,4,0),0)</f>
        <v>0</v>
      </c>
    </row>
    <row r="434" spans="1:4" x14ac:dyDescent="0.25">
      <c r="A434" s="137">
        <v>2106201004</v>
      </c>
      <c r="B434" s="91" t="s">
        <v>1034</v>
      </c>
      <c r="C434" s="56">
        <f>IFERROR(VLOOKUP(A434,'SAP '!$A$8:$D$393,3,0),0)</f>
        <v>18531</v>
      </c>
      <c r="D434" s="184">
        <f>IFERROR(VLOOKUP(A434,'SAP '!A:D,4,0),0)</f>
        <v>0</v>
      </c>
    </row>
    <row r="435" spans="1:4" x14ac:dyDescent="0.25">
      <c r="A435" s="137">
        <v>2106201005</v>
      </c>
      <c r="B435" s="91" t="s">
        <v>1035</v>
      </c>
      <c r="C435" s="56">
        <f>IFERROR(VLOOKUP(A435,'SAP '!$A$8:$D$393,3,0),0)</f>
        <v>0</v>
      </c>
      <c r="D435" s="184">
        <f>IFERROR(VLOOKUP(A435,'SAP '!A:D,4,0),0)</f>
        <v>0</v>
      </c>
    </row>
    <row r="436" spans="1:4" x14ac:dyDescent="0.25">
      <c r="A436" s="137">
        <v>2106301003</v>
      </c>
      <c r="B436" s="91" t="s">
        <v>1036</v>
      </c>
      <c r="C436" s="56">
        <f>IFERROR(VLOOKUP(A436,'SAP '!$A$8:$D$393,3,0),0)</f>
        <v>0</v>
      </c>
      <c r="D436" s="184">
        <f>IFERROR(VLOOKUP(A436,'SAP '!A:D,4,0),0)</f>
        <v>0</v>
      </c>
    </row>
    <row r="437" spans="1:4" x14ac:dyDescent="0.25">
      <c r="A437" s="137">
        <v>2106301004</v>
      </c>
      <c r="B437" s="91" t="s">
        <v>876</v>
      </c>
      <c r="C437" s="56">
        <f>IFERROR(VLOOKUP(A437,'SAP '!$A$8:$D$393,3,0),0)</f>
        <v>1273872.98</v>
      </c>
      <c r="D437" s="184">
        <f>IFERROR(VLOOKUP(A437,'SAP '!A:D,4,0),0)</f>
        <v>-750000</v>
      </c>
    </row>
    <row r="438" spans="1:4" x14ac:dyDescent="0.25">
      <c r="A438" s="137">
        <v>2106301005</v>
      </c>
      <c r="B438" s="91" t="s">
        <v>1037</v>
      </c>
      <c r="C438" s="56">
        <f>IFERROR(VLOOKUP(A438,'SAP '!$A$8:$D$393,3,0),0)</f>
        <v>0</v>
      </c>
      <c r="D438" s="184">
        <f>IFERROR(VLOOKUP(A438,'SAP '!A:D,4,0),0)</f>
        <v>0</v>
      </c>
    </row>
    <row r="439" spans="1:4" x14ac:dyDescent="0.25">
      <c r="A439" s="140">
        <v>2106501000</v>
      </c>
      <c r="B439" s="91" t="s">
        <v>877</v>
      </c>
      <c r="C439" s="56">
        <f>IFERROR(VLOOKUP(A439,'SAP '!$A$8:$D$393,3,0),0)</f>
        <v>370607.61</v>
      </c>
      <c r="D439" s="184">
        <f>IFERROR(VLOOKUP(A439,'SAP '!A:D,4,0),0)</f>
        <v>-140661</v>
      </c>
    </row>
    <row r="440" spans="1:4" x14ac:dyDescent="0.25">
      <c r="A440" s="137">
        <v>2106601000</v>
      </c>
      <c r="B440" s="91" t="s">
        <v>878</v>
      </c>
      <c r="C440" s="56">
        <f>IFERROR(VLOOKUP(A440,'SAP '!$A$8:$D$393,3,0),0)</f>
        <v>-30000</v>
      </c>
      <c r="D440" s="184">
        <f>IFERROR(VLOOKUP(A440,'SAP '!A:D,4,0),0)</f>
        <v>-3140000</v>
      </c>
    </row>
    <row r="441" spans="1:4" x14ac:dyDescent="0.25">
      <c r="A441" s="140">
        <v>2106601001</v>
      </c>
      <c r="B441" s="91" t="s">
        <v>879</v>
      </c>
      <c r="C441" s="56">
        <f>IFERROR(VLOOKUP(A441,'SAP '!$A$8:$D$393,3,0),0)</f>
        <v>-1020464.48</v>
      </c>
      <c r="D441" s="184">
        <f>IFERROR(VLOOKUP(A441,'SAP '!A:D,4,0),0)</f>
        <v>-3464675.33</v>
      </c>
    </row>
    <row r="442" spans="1:4" x14ac:dyDescent="0.25">
      <c r="A442" s="140">
        <v>2106602000</v>
      </c>
      <c r="B442" s="91" t="s">
        <v>1038</v>
      </c>
      <c r="C442" s="56">
        <f>IFERROR(VLOOKUP(A442,'SAP '!$A$8:$D$393,3,0),0)</f>
        <v>0</v>
      </c>
      <c r="D442" s="184">
        <f>IFERROR(VLOOKUP(A442,'SAP '!A:D,4,0),0)</f>
        <v>0</v>
      </c>
    </row>
    <row r="443" spans="1:4" x14ac:dyDescent="0.25">
      <c r="A443" s="137">
        <v>2106703000</v>
      </c>
      <c r="B443" s="91" t="s">
        <v>1039</v>
      </c>
      <c r="C443" s="56">
        <f>IFERROR(VLOOKUP(A443,'SAP '!$A$8:$D$393,3,0),0)</f>
        <v>-23071613</v>
      </c>
      <c r="D443" s="184">
        <f>IFERROR(VLOOKUP(A443,'SAP '!A:D,4,0),0)</f>
        <v>0</v>
      </c>
    </row>
    <row r="444" spans="1:4" x14ac:dyDescent="0.25">
      <c r="A444" s="1581">
        <v>2106703001</v>
      </c>
      <c r="B444" s="1582" t="s">
        <v>2037</v>
      </c>
      <c r="C444" s="56">
        <v>-99285178.310000002</v>
      </c>
      <c r="D444" s="184"/>
    </row>
    <row r="445" spans="1:4" x14ac:dyDescent="0.25">
      <c r="A445" s="142">
        <v>2104101000</v>
      </c>
      <c r="B445" s="93" t="s">
        <v>1040</v>
      </c>
      <c r="C445" s="56">
        <f>IFERROR(VLOOKUP(A445,'SAP '!$A$8:$D$393,3,0),0)</f>
        <v>0</v>
      </c>
      <c r="D445" s="184">
        <f>IFERROR(VLOOKUP(A445,'SAP '!A:D,4,0),0)</f>
        <v>0</v>
      </c>
    </row>
    <row r="446" spans="1:4" x14ac:dyDescent="0.25">
      <c r="A446" s="137">
        <v>2106301002</v>
      </c>
      <c r="B446" s="89" t="s">
        <v>1041</v>
      </c>
      <c r="C446" s="56">
        <f>IFERROR(VLOOKUP(A446,'SAP '!$A$8:$D$393,3,0),0)</f>
        <v>0</v>
      </c>
      <c r="D446" s="184">
        <f>IFERROR(VLOOKUP(A446,'SAP '!A:D,4,0),0)</f>
        <v>0</v>
      </c>
    </row>
    <row r="447" spans="1:4" x14ac:dyDescent="0.25">
      <c r="A447" s="137">
        <v>2106301003</v>
      </c>
      <c r="B447" s="89" t="s">
        <v>1036</v>
      </c>
      <c r="C447" s="56">
        <f>IFERROR(VLOOKUP(A447,'SAP '!$A$8:$D$393,3,0),0)</f>
        <v>0</v>
      </c>
      <c r="D447" s="184">
        <f>IFERROR(VLOOKUP(A447,'SAP '!A:D,4,0),0)</f>
        <v>0</v>
      </c>
    </row>
    <row r="448" spans="1:4" x14ac:dyDescent="0.25">
      <c r="A448" s="142">
        <v>2106301000</v>
      </c>
      <c r="B448" s="93" t="s">
        <v>1042</v>
      </c>
      <c r="C448" s="56">
        <f>IFERROR(VLOOKUP(A448,'SAP '!$A$8:$D$393,3,0),0)</f>
        <v>0</v>
      </c>
      <c r="D448" s="184">
        <f>IFERROR(VLOOKUP(A448,'SAP '!A:D,4,0),0)</f>
        <v>0</v>
      </c>
    </row>
    <row r="449" spans="1:4" x14ac:dyDescent="0.25">
      <c r="A449" s="141">
        <v>2103401000</v>
      </c>
      <c r="B449" s="89" t="s">
        <v>1043</v>
      </c>
      <c r="C449" s="56">
        <f>IFERROR(VLOOKUP(A449,'SAP '!$A$8:$D$393,3,0),0)</f>
        <v>-30343980.149999999</v>
      </c>
      <c r="D449" s="184">
        <f>IFERROR(VLOOKUP(A449,'SAP '!A:D,4,0),0)</f>
        <v>0</v>
      </c>
    </row>
    <row r="450" spans="1:4" x14ac:dyDescent="0.25">
      <c r="A450" s="141">
        <v>2106202000</v>
      </c>
      <c r="B450" s="89" t="s">
        <v>1044</v>
      </c>
      <c r="C450" s="56">
        <f>IFERROR(VLOOKUP(A450,'SAP '!$A$8:$D$393,3,0),0)</f>
        <v>-126787.5</v>
      </c>
      <c r="D450" s="184">
        <f>IFERROR(VLOOKUP(A450,'SAP '!A:D,4,0),0)</f>
        <v>-120750</v>
      </c>
    </row>
    <row r="451" spans="1:4" x14ac:dyDescent="0.25">
      <c r="A451" s="141">
        <v>2106301006</v>
      </c>
      <c r="B451" s="89" t="s">
        <v>1045</v>
      </c>
      <c r="C451" s="56">
        <f>IFERROR(VLOOKUP(A451,'SAP '!$A$8:$D$393,3,0),0)</f>
        <v>0</v>
      </c>
      <c r="D451" s="184">
        <f>IFERROR(VLOOKUP(A451,'SAP '!A:D,4,0),0)</f>
        <v>0</v>
      </c>
    </row>
    <row r="452" spans="1:4" x14ac:dyDescent="0.25">
      <c r="A452" s="141">
        <v>2106501001</v>
      </c>
      <c r="B452" s="89" t="s">
        <v>1046</v>
      </c>
      <c r="C452" s="56">
        <f>IFERROR(VLOOKUP(A452,'SAP '!$A$8:$D$393,3,0),0)</f>
        <v>-5544</v>
      </c>
      <c r="D452" s="184">
        <f>IFERROR(VLOOKUP(A452,'SAP '!A:D,4,0),0)</f>
        <v>0</v>
      </c>
    </row>
    <row r="453" spans="1:4" x14ac:dyDescent="0.25">
      <c r="A453" s="90">
        <v>2103301000</v>
      </c>
      <c r="B453" s="90" t="s">
        <v>1047</v>
      </c>
      <c r="C453" s="56">
        <f>IFERROR(VLOOKUP(A453,'SAP '!$A$8:$D$393,3,0),0)</f>
        <v>0</v>
      </c>
      <c r="D453" s="184">
        <f>IFERROR(VLOOKUP(A453,'SAP '!A:D,4,0),0)</f>
        <v>0</v>
      </c>
    </row>
    <row r="454" spans="1:4" x14ac:dyDescent="0.25">
      <c r="A454" s="90">
        <v>2106301001</v>
      </c>
      <c r="B454" s="90" t="s">
        <v>1048</v>
      </c>
      <c r="C454" s="56">
        <f>IFERROR(VLOOKUP(A454,'SAP '!$A$8:$D$393,3,0),0)</f>
        <v>0</v>
      </c>
      <c r="D454" s="184">
        <f>IFERROR(VLOOKUP(A454,'SAP '!A:D,4,0),0)</f>
        <v>0</v>
      </c>
    </row>
    <row r="455" spans="1:4" x14ac:dyDescent="0.25">
      <c r="A455" s="90">
        <v>2106401000</v>
      </c>
      <c r="B455" s="90" t="s">
        <v>1049</v>
      </c>
      <c r="C455" s="56">
        <f>IFERROR(VLOOKUP(A455,'SAP '!$A$8:$D$393,3,0),0)</f>
        <v>0</v>
      </c>
      <c r="D455" s="184">
        <f>IFERROR(VLOOKUP(A455,'SAP '!A:D,4,0),0)</f>
        <v>0</v>
      </c>
    </row>
    <row r="456" spans="1:4" x14ac:dyDescent="0.25">
      <c r="A456" s="137">
        <v>4101102000</v>
      </c>
      <c r="B456" s="91" t="s">
        <v>607</v>
      </c>
      <c r="C456" s="56">
        <f>IFERROR(VLOOKUP(A456,'SAP '!$A$8:$D$393,3,0),0)</f>
        <v>-6476653.9100000001</v>
      </c>
      <c r="D456" s="184">
        <f>IFERROR(VLOOKUP(A456,'SAP '!A:D,4,0),0)</f>
        <v>-7157366.1900000004</v>
      </c>
    </row>
    <row r="457" spans="1:4" x14ac:dyDescent="0.25">
      <c r="A457" s="137">
        <v>4101102001</v>
      </c>
      <c r="B457" s="91" t="s">
        <v>608</v>
      </c>
      <c r="C457" s="56">
        <f>IFERROR(VLOOKUP(A457,'SAP '!$A$8:$D$393,3,0),0)</f>
        <v>-131572</v>
      </c>
      <c r="D457" s="184">
        <f>IFERROR(VLOOKUP(A457,'SAP '!A:D,4,0),0)</f>
        <v>-115931</v>
      </c>
    </row>
    <row r="458" spans="1:4" x14ac:dyDescent="0.25">
      <c r="A458" s="137">
        <v>4101104000</v>
      </c>
      <c r="B458" s="91" t="s">
        <v>609</v>
      </c>
      <c r="C458" s="56">
        <f>IFERROR(VLOOKUP(A458,'SAP '!$A$8:$D$393,3,0),0)</f>
        <v>-1505150</v>
      </c>
      <c r="D458" s="184">
        <f>IFERROR(VLOOKUP(A458,'SAP '!A:D,4,0),0)</f>
        <v>-1069150</v>
      </c>
    </row>
    <row r="459" spans="1:4" x14ac:dyDescent="0.25">
      <c r="A459" s="137">
        <v>4101104001</v>
      </c>
      <c r="B459" s="91" t="s">
        <v>610</v>
      </c>
      <c r="C459" s="56">
        <f>IFERROR(VLOOKUP(A459,'SAP '!$A$8:$D$393,3,0),0)</f>
        <v>-118532545.55</v>
      </c>
      <c r="D459" s="184">
        <f>IFERROR(VLOOKUP(A459,'SAP '!A:D,4,0),0)</f>
        <v>-91485095.890000001</v>
      </c>
    </row>
    <row r="460" spans="1:4" x14ac:dyDescent="0.25">
      <c r="A460" s="137">
        <v>4101104002</v>
      </c>
      <c r="B460" s="91" t="s">
        <v>611</v>
      </c>
      <c r="C460" s="56">
        <f>IFERROR(VLOOKUP(A460,'SAP '!$A$8:$D$393,3,0),0)</f>
        <v>-13435920.039999999</v>
      </c>
      <c r="D460" s="184">
        <f>IFERROR(VLOOKUP(A460,'SAP '!A:D,4,0),0)</f>
        <v>-13890054.27</v>
      </c>
    </row>
    <row r="461" spans="1:4" x14ac:dyDescent="0.25">
      <c r="A461" s="137">
        <v>4101104003</v>
      </c>
      <c r="B461" s="91" t="s">
        <v>612</v>
      </c>
      <c r="C461" s="56">
        <f>IFERROR(VLOOKUP(A461,'SAP '!$A$8:$D$393,3,0),0)</f>
        <v>-52299978.549999997</v>
      </c>
      <c r="D461" s="184">
        <f>IFERROR(VLOOKUP(A461,'SAP '!A:D,4,0),0)</f>
        <v>-67929597.290000007</v>
      </c>
    </row>
    <row r="462" spans="1:4" x14ac:dyDescent="0.25">
      <c r="A462" s="137">
        <v>4101104004</v>
      </c>
      <c r="B462" s="91" t="s">
        <v>613</v>
      </c>
      <c r="C462" s="56">
        <f>IFERROR(VLOOKUP(A462,'SAP '!$A$8:$D$393,3,0),0)</f>
        <v>-276864.45</v>
      </c>
      <c r="D462" s="184">
        <f>IFERROR(VLOOKUP(A462,'SAP '!A:D,4,0),0)</f>
        <v>-326550.8</v>
      </c>
    </row>
    <row r="463" spans="1:4" x14ac:dyDescent="0.25">
      <c r="A463" s="137">
        <v>4101104005</v>
      </c>
      <c r="B463" s="91" t="s">
        <v>614</v>
      </c>
      <c r="C463" s="56">
        <f>IFERROR(VLOOKUP(A463,'SAP '!$A$8:$D$393,3,0),0)</f>
        <v>-5427.05</v>
      </c>
      <c r="D463" s="184">
        <f>IFERROR(VLOOKUP(A463,'SAP '!A:D,4,0),0)</f>
        <v>-91342.42</v>
      </c>
    </row>
    <row r="464" spans="1:4" x14ac:dyDescent="0.25">
      <c r="A464" s="137">
        <v>4101104006</v>
      </c>
      <c r="B464" s="91" t="s">
        <v>615</v>
      </c>
      <c r="C464" s="56">
        <f>IFERROR(VLOOKUP(A464,'SAP '!$A$8:$D$393,3,0),0)</f>
        <v>-103200</v>
      </c>
      <c r="D464" s="184">
        <f>IFERROR(VLOOKUP(A464,'SAP '!A:D,4,0),0)</f>
        <v>-56100</v>
      </c>
    </row>
    <row r="465" spans="1:4" x14ac:dyDescent="0.25">
      <c r="A465" s="137">
        <v>4101105000</v>
      </c>
      <c r="B465" s="91" t="s">
        <v>616</v>
      </c>
      <c r="C465" s="56">
        <f>IFERROR(VLOOKUP(A465,'SAP '!$A$8:$D$393,3,0),0)</f>
        <v>-1557492.29</v>
      </c>
      <c r="D465" s="184">
        <f>IFERROR(VLOOKUP(A465,'SAP '!A:D,4,0),0)</f>
        <v>-4604849.24</v>
      </c>
    </row>
    <row r="466" spans="1:4" x14ac:dyDescent="0.25">
      <c r="A466" s="137">
        <v>4101105001</v>
      </c>
      <c r="B466" s="91" t="s">
        <v>617</v>
      </c>
      <c r="C466" s="56">
        <f>IFERROR(VLOOKUP(A466,'SAP '!$A$8:$D$393,3,0),0)</f>
        <v>-9347013.2400000002</v>
      </c>
      <c r="D466" s="184">
        <f>IFERROR(VLOOKUP(A466,'SAP '!A:D,4,0),0)</f>
        <v>-5734537.6500000004</v>
      </c>
    </row>
    <row r="467" spans="1:4" x14ac:dyDescent="0.25">
      <c r="A467" s="137">
        <v>4101105002</v>
      </c>
      <c r="B467" s="91" t="s">
        <v>618</v>
      </c>
      <c r="C467" s="56">
        <f>IFERROR(VLOOKUP(A467,'SAP '!$A$8:$D$393,3,0),0)</f>
        <v>-21592605.98</v>
      </c>
      <c r="D467" s="184">
        <f>IFERROR(VLOOKUP(A467,'SAP '!A:D,4,0),0)</f>
        <v>-32739156.140000001</v>
      </c>
    </row>
    <row r="468" spans="1:4" x14ac:dyDescent="0.25">
      <c r="A468" s="137">
        <v>4101105003</v>
      </c>
      <c r="B468" s="91" t="s">
        <v>619</v>
      </c>
      <c r="C468" s="56">
        <f>IFERROR(VLOOKUP(A468,'SAP '!$A$8:$D$393,3,0),0)</f>
        <v>-139196.65</v>
      </c>
      <c r="D468" s="184">
        <f>IFERROR(VLOOKUP(A468,'SAP '!A:D,4,0),0)</f>
        <v>-309850</v>
      </c>
    </row>
    <row r="469" spans="1:4" x14ac:dyDescent="0.25">
      <c r="A469" s="137">
        <v>4101105004</v>
      </c>
      <c r="B469" s="91" t="s">
        <v>620</v>
      </c>
      <c r="C469" s="56">
        <f>IFERROR(VLOOKUP(A469,'SAP '!$A$8:$D$393,3,0),0)</f>
        <v>0</v>
      </c>
      <c r="D469" s="184">
        <f>IFERROR(VLOOKUP(A469,'SAP '!A:D,4,0),0)</f>
        <v>-131272</v>
      </c>
    </row>
    <row r="470" spans="1:4" x14ac:dyDescent="0.25">
      <c r="A470" s="137">
        <v>4101105005</v>
      </c>
      <c r="B470" s="91" t="s">
        <v>621</v>
      </c>
      <c r="C470" s="56">
        <f>IFERROR(VLOOKUP(A470,'SAP '!$A$8:$D$393,3,0),0)</f>
        <v>-155468.78</v>
      </c>
      <c r="D470" s="184">
        <f>IFERROR(VLOOKUP(A470,'SAP '!A:D,4,0),0)</f>
        <v>-103470.02</v>
      </c>
    </row>
    <row r="471" spans="1:4" x14ac:dyDescent="0.25">
      <c r="A471" s="90">
        <v>4101105006</v>
      </c>
      <c r="B471" s="90" t="s">
        <v>173</v>
      </c>
      <c r="C471" s="56">
        <f>IFERROR(VLOOKUP(A471,'SAP '!$A$8:$D$393,3,0),0)</f>
        <v>0</v>
      </c>
      <c r="D471" s="184">
        <f>IFERROR(VLOOKUP(A471,'SAP '!A:D,4,0),0)</f>
        <v>0</v>
      </c>
    </row>
    <row r="472" spans="1:4" x14ac:dyDescent="0.25">
      <c r="A472" s="137">
        <v>4101105007</v>
      </c>
      <c r="B472" s="91" t="s">
        <v>622</v>
      </c>
      <c r="C472" s="56">
        <f>IFERROR(VLOOKUP(A472,'SAP '!$A$8:$D$393,3,0),0)</f>
        <v>-74085</v>
      </c>
      <c r="D472" s="184">
        <f>IFERROR(VLOOKUP(A472,'SAP '!A:D,4,0),0)</f>
        <v>-78955</v>
      </c>
    </row>
    <row r="473" spans="1:4" x14ac:dyDescent="0.25">
      <c r="A473" s="137">
        <v>4101105008</v>
      </c>
      <c r="B473" s="91" t="s">
        <v>623</v>
      </c>
      <c r="C473" s="56">
        <f>IFERROR(VLOOKUP(A473,'SAP '!$A$8:$D$393,3,0),0)</f>
        <v>-506262.6</v>
      </c>
      <c r="D473" s="184">
        <f>IFERROR(VLOOKUP(A473,'SAP '!A:D,4,0),0)</f>
        <v>-610515.6</v>
      </c>
    </row>
    <row r="474" spans="1:4" x14ac:dyDescent="0.25">
      <c r="A474" s="137">
        <v>4101105009</v>
      </c>
      <c r="B474" s="91" t="s">
        <v>624</v>
      </c>
      <c r="C474" s="56">
        <f>IFERROR(VLOOKUP(A474,'SAP '!$A$8:$D$393,3,0),0)</f>
        <v>-95</v>
      </c>
      <c r="D474" s="184">
        <f>IFERROR(VLOOKUP(A474,'SAP '!A:D,4,0),0)</f>
        <v>-2565</v>
      </c>
    </row>
    <row r="475" spans="1:4" x14ac:dyDescent="0.25">
      <c r="A475" s="137">
        <v>4101105011</v>
      </c>
      <c r="B475" s="91" t="s">
        <v>625</v>
      </c>
      <c r="C475" s="56">
        <f>IFERROR(VLOOKUP(A475,'SAP '!$A$8:$D$393,3,0),0)</f>
        <v>-564053</v>
      </c>
      <c r="D475" s="184">
        <f>IFERROR(VLOOKUP(A475,'SAP '!A:D,4,0),0)</f>
        <v>-290034.23</v>
      </c>
    </row>
    <row r="476" spans="1:4" x14ac:dyDescent="0.25">
      <c r="A476" s="137">
        <v>4101105012</v>
      </c>
      <c r="B476" s="91" t="s">
        <v>232</v>
      </c>
      <c r="C476" s="56">
        <f>IFERROR(VLOOKUP(A476,'SAP '!$A$8:$D$393,3,0),0)</f>
        <v>0</v>
      </c>
      <c r="D476" s="184">
        <f>IFERROR(VLOOKUP(A476,'SAP '!A:D,4,0),0)</f>
        <v>0</v>
      </c>
    </row>
    <row r="477" spans="1:4" x14ac:dyDescent="0.25">
      <c r="A477" s="137">
        <v>4101105013</v>
      </c>
      <c r="B477" s="91" t="s">
        <v>626</v>
      </c>
      <c r="C477" s="56">
        <f>IFERROR(VLOOKUP(A477,'SAP '!$A$8:$D$393,3,0),0)</f>
        <v>0</v>
      </c>
      <c r="D477" s="184">
        <f>IFERROR(VLOOKUP(A477,'SAP '!A:D,4,0),0)</f>
        <v>-8089711.3600000003</v>
      </c>
    </row>
    <row r="478" spans="1:4" x14ac:dyDescent="0.25">
      <c r="A478" s="137">
        <v>4101105014</v>
      </c>
      <c r="B478" s="91" t="s">
        <v>235</v>
      </c>
      <c r="C478" s="56">
        <f>IFERROR(VLOOKUP(A478,'SAP '!$A$8:$D$393,3,0),0)</f>
        <v>-759215.5</v>
      </c>
      <c r="D478" s="184">
        <f>IFERROR(VLOOKUP(A478,'SAP '!A:D,4,0),0)</f>
        <v>-3903857.03</v>
      </c>
    </row>
    <row r="479" spans="1:4" x14ac:dyDescent="0.25">
      <c r="A479" s="137">
        <v>4101105015</v>
      </c>
      <c r="B479" s="91" t="s">
        <v>233</v>
      </c>
      <c r="C479" s="56">
        <f>IFERROR(VLOOKUP(A479,'SAP '!$A$8:$D$393,3,0),0)</f>
        <v>-200000</v>
      </c>
      <c r="D479" s="184">
        <f>IFERROR(VLOOKUP(A479,'SAP '!A:D,4,0),0)</f>
        <v>0</v>
      </c>
    </row>
    <row r="480" spans="1:4" x14ac:dyDescent="0.25">
      <c r="A480" s="137">
        <v>4101101000</v>
      </c>
      <c r="B480" s="91" t="s">
        <v>627</v>
      </c>
      <c r="C480" s="56">
        <f>IFERROR(VLOOKUP(A480,'SAP '!$A$8:$D$393,3,0),0)</f>
        <v>-589248.22</v>
      </c>
      <c r="D480" s="184">
        <f>IFERROR(VLOOKUP(A480,'SAP '!A:D,4,0),0)</f>
        <v>-658026.05000000005</v>
      </c>
    </row>
    <row r="481" spans="1:4" x14ac:dyDescent="0.25">
      <c r="A481" s="137">
        <v>4101103000</v>
      </c>
      <c r="B481" s="91" t="s">
        <v>628</v>
      </c>
      <c r="C481" s="56">
        <f>IFERROR(VLOOKUP(A481,'SAP '!$A$8:$D$393,3,0),0)</f>
        <v>0</v>
      </c>
      <c r="D481" s="184">
        <f>IFERROR(VLOOKUP(A481,'SAP '!A:D,4,0),0)</f>
        <v>-1129688.74</v>
      </c>
    </row>
    <row r="482" spans="1:4" x14ac:dyDescent="0.25">
      <c r="A482" s="137">
        <v>4101103001</v>
      </c>
      <c r="B482" s="91" t="s">
        <v>1050</v>
      </c>
      <c r="C482" s="56">
        <f>IFERROR(VLOOKUP(A482,'SAP '!$A$8:$D$393,3,0),0)</f>
        <v>0</v>
      </c>
      <c r="D482" s="184">
        <f>IFERROR(VLOOKUP(A482,'SAP '!A:D,4,0),0)</f>
        <v>0</v>
      </c>
    </row>
    <row r="483" spans="1:4" x14ac:dyDescent="0.25">
      <c r="A483" s="137">
        <v>4101106000</v>
      </c>
      <c r="B483" s="91" t="s">
        <v>629</v>
      </c>
      <c r="C483" s="56">
        <f>IFERROR(VLOOKUP(A483,'SAP '!$A$8:$D$393,3,0),0)</f>
        <v>0</v>
      </c>
      <c r="D483" s="184">
        <f>IFERROR(VLOOKUP(A483,'SAP '!A:D,4,0),0)</f>
        <v>-289324.49</v>
      </c>
    </row>
    <row r="484" spans="1:4" x14ac:dyDescent="0.25">
      <c r="A484" s="137">
        <v>4101106001</v>
      </c>
      <c r="B484" s="91" t="s">
        <v>630</v>
      </c>
      <c r="C484" s="56">
        <f>IFERROR(VLOOKUP(A484,'SAP '!$A$8:$D$393,3,0),0)</f>
        <v>0</v>
      </c>
      <c r="D484" s="184">
        <f>IFERROR(VLOOKUP(A484,'SAP '!A:D,4,0),0)</f>
        <v>-61742.8</v>
      </c>
    </row>
    <row r="485" spans="1:4" x14ac:dyDescent="0.25">
      <c r="A485" s="137">
        <v>4101106002</v>
      </c>
      <c r="B485" s="91" t="s">
        <v>631</v>
      </c>
      <c r="C485" s="56">
        <f>IFERROR(VLOOKUP(A485,'SAP '!$A$8:$D$393,3,0),0)</f>
        <v>0</v>
      </c>
      <c r="D485" s="184">
        <f>IFERROR(VLOOKUP(A485,'SAP '!A:D,4,0),0)</f>
        <v>-28044.1</v>
      </c>
    </row>
    <row r="486" spans="1:4" x14ac:dyDescent="0.25">
      <c r="A486" s="88">
        <v>4101108001</v>
      </c>
      <c r="B486" s="187" t="s">
        <v>563</v>
      </c>
      <c r="C486" s="56">
        <f>IFERROR(VLOOKUP(A486,'SAP '!$A$8:$D$393,3,0),0)</f>
        <v>-164598</v>
      </c>
      <c r="D486" s="184">
        <f>IFERROR(VLOOKUP(A486,'SAP '!A:D,4,0),0)</f>
        <v>-181139</v>
      </c>
    </row>
    <row r="487" spans="1:4" x14ac:dyDescent="0.25">
      <c r="A487" s="88">
        <v>4101104007</v>
      </c>
      <c r="B487" s="85" t="s">
        <v>561</v>
      </c>
      <c r="C487" s="56">
        <f>IFERROR(VLOOKUP(A487,'SAP '!$A$8:$D$393,3,0),0)</f>
        <v>-92123504.829999998</v>
      </c>
      <c r="D487" s="184">
        <f>IFERROR(VLOOKUP(A487,'SAP '!A:D,4,0),0)</f>
        <v>-65565484.829999998</v>
      </c>
    </row>
    <row r="488" spans="1:4" x14ac:dyDescent="0.25">
      <c r="A488" s="137">
        <v>4102102000</v>
      </c>
      <c r="B488" s="91" t="s">
        <v>632</v>
      </c>
      <c r="C488" s="56">
        <f>IFERROR(VLOOKUP(A488,'SAP '!$A$8:$D$393,3,0),0)</f>
        <v>-208089.8</v>
      </c>
      <c r="D488" s="184">
        <f>IFERROR(VLOOKUP(A488,'SAP '!A:D,4,0),0)</f>
        <v>-258458.9</v>
      </c>
    </row>
    <row r="489" spans="1:4" x14ac:dyDescent="0.25">
      <c r="A489" s="137">
        <v>4102103000</v>
      </c>
      <c r="B489" s="91" t="s">
        <v>633</v>
      </c>
      <c r="C489" s="56">
        <f>IFERROR(VLOOKUP(A489,'SAP '!$A$8:$D$393,3,0),0)</f>
        <v>-59504</v>
      </c>
      <c r="D489" s="184">
        <f>IFERROR(VLOOKUP(A489,'SAP '!A:D,4,0),0)</f>
        <v>0</v>
      </c>
    </row>
    <row r="490" spans="1:4" x14ac:dyDescent="0.25">
      <c r="A490" s="137">
        <v>4102103001</v>
      </c>
      <c r="B490" s="91" t="s">
        <v>634</v>
      </c>
      <c r="C490" s="56">
        <f>IFERROR(VLOOKUP(A490,'SAP '!$A$8:$D$393,3,0),0)</f>
        <v>0</v>
      </c>
      <c r="D490" s="184">
        <f>IFERROR(VLOOKUP(A490,'SAP '!A:D,4,0),0)</f>
        <v>0</v>
      </c>
    </row>
    <row r="491" spans="1:4" x14ac:dyDescent="0.25">
      <c r="A491" s="137">
        <v>4102103002</v>
      </c>
      <c r="B491" s="91" t="s">
        <v>635</v>
      </c>
      <c r="C491" s="56">
        <f>IFERROR(VLOOKUP(A491,'SAP '!$A$8:$D$393,3,0),0)</f>
        <v>-12550</v>
      </c>
      <c r="D491" s="184">
        <f>IFERROR(VLOOKUP(A491,'SAP '!A:D,4,0),0)</f>
        <v>-412008</v>
      </c>
    </row>
    <row r="492" spans="1:4" x14ac:dyDescent="0.25">
      <c r="A492" s="137">
        <v>4102103003</v>
      </c>
      <c r="B492" s="91" t="s">
        <v>636</v>
      </c>
      <c r="C492" s="56">
        <f>IFERROR(VLOOKUP(A492,'SAP '!$A$8:$D$393,3,0),0)</f>
        <v>-7390</v>
      </c>
      <c r="D492" s="184">
        <f>IFERROR(VLOOKUP(A492,'SAP '!A:D,4,0),0)</f>
        <v>-4003</v>
      </c>
    </row>
    <row r="493" spans="1:4" x14ac:dyDescent="0.25">
      <c r="A493" s="137">
        <v>4102105000</v>
      </c>
      <c r="B493" s="91" t="s">
        <v>637</v>
      </c>
      <c r="C493" s="56">
        <f>IFERROR(VLOOKUP(A493,'SAP '!$A$8:$D$393,3,0),0)</f>
        <v>-49731</v>
      </c>
      <c r="D493" s="184">
        <f>IFERROR(VLOOKUP(A493,'SAP '!A:D,4,0),0)</f>
        <v>0</v>
      </c>
    </row>
    <row r="494" spans="1:4" x14ac:dyDescent="0.25">
      <c r="A494" s="137">
        <v>4102105002</v>
      </c>
      <c r="B494" s="91" t="s">
        <v>638</v>
      </c>
      <c r="C494" s="56">
        <f>IFERROR(VLOOKUP(A494,'SAP '!$A$8:$D$393,3,0),0)</f>
        <v>-190838.2</v>
      </c>
      <c r="D494" s="184">
        <f>IFERROR(VLOOKUP(A494,'SAP '!A:D,4,0),0)</f>
        <v>0</v>
      </c>
    </row>
    <row r="495" spans="1:4" x14ac:dyDescent="0.25">
      <c r="A495" s="137">
        <v>4102106000</v>
      </c>
      <c r="B495" s="91" t="s">
        <v>639</v>
      </c>
      <c r="C495" s="56">
        <f>IFERROR(VLOOKUP(A495,'SAP '!$A$8:$D$393,3,0),0)</f>
        <v>-57702.9</v>
      </c>
      <c r="D495" s="184">
        <f>IFERROR(VLOOKUP(A495,'SAP '!A:D,4,0),0)</f>
        <v>-96548.3</v>
      </c>
    </row>
    <row r="496" spans="1:4" x14ac:dyDescent="0.25">
      <c r="A496" s="140">
        <v>4102108000</v>
      </c>
      <c r="B496" s="92" t="s">
        <v>1051</v>
      </c>
      <c r="C496" s="56">
        <f>IFERROR(VLOOKUP(A496,'SAP '!$A$8:$D$393,3,0),0)</f>
        <v>0</v>
      </c>
      <c r="D496" s="184">
        <f>IFERROR(VLOOKUP(A496,'SAP '!A:D,4,0),0)</f>
        <v>0</v>
      </c>
    </row>
    <row r="497" spans="1:16376" x14ac:dyDescent="0.25">
      <c r="A497" s="137">
        <v>4102108001</v>
      </c>
      <c r="B497" s="91" t="s">
        <v>640</v>
      </c>
      <c r="C497" s="56">
        <f>IFERROR(VLOOKUP(A497,'SAP '!$A$8:$D$393,3,0),0)</f>
        <v>0</v>
      </c>
      <c r="D497" s="184">
        <f>IFERROR(VLOOKUP(A497,'SAP '!A:D,4,0),0)</f>
        <v>26323.439999999999</v>
      </c>
    </row>
    <row r="498" spans="1:16376" x14ac:dyDescent="0.25">
      <c r="A498" s="137">
        <v>4102109000</v>
      </c>
      <c r="B498" s="91" t="s">
        <v>1052</v>
      </c>
      <c r="C498" s="56">
        <f>IFERROR(VLOOKUP(A498,'SAP '!$A$8:$D$393,3,0),0)</f>
        <v>0</v>
      </c>
      <c r="D498" s="184">
        <f>IFERROR(VLOOKUP(A498,'SAP '!A:D,4,0),0)</f>
        <v>0</v>
      </c>
    </row>
    <row r="499" spans="1:16376" x14ac:dyDescent="0.25">
      <c r="A499" s="137">
        <v>4102110001</v>
      </c>
      <c r="B499" s="91" t="s">
        <v>1053</v>
      </c>
      <c r="C499" s="56">
        <f>IFERROR(VLOOKUP(A499,'SAP '!$A$8:$D$393,3,0),0)</f>
        <v>0</v>
      </c>
      <c r="D499" s="184">
        <f>IFERROR(VLOOKUP(A499,'SAP '!A:D,4,0),0)</f>
        <v>0</v>
      </c>
    </row>
    <row r="500" spans="1:16376" x14ac:dyDescent="0.25">
      <c r="A500" s="137">
        <v>4102110003</v>
      </c>
      <c r="B500" s="91" t="s">
        <v>641</v>
      </c>
      <c r="C500" s="56">
        <f>IFERROR(VLOOKUP(A500,'SAP '!$A$8:$D$393,3,0),0)</f>
        <v>0</v>
      </c>
      <c r="D500" s="184">
        <f>IFERROR(VLOOKUP(A500,'SAP '!A:D,4,0),0)</f>
        <v>0</v>
      </c>
    </row>
    <row r="501" spans="1:16376" x14ac:dyDescent="0.25">
      <c r="A501" s="137">
        <v>4102110005</v>
      </c>
      <c r="B501" s="91" t="s">
        <v>1054</v>
      </c>
      <c r="C501" s="56">
        <f>IFERROR(VLOOKUP(A501,'SAP '!$A$8:$D$393,3,0),0)</f>
        <v>0</v>
      </c>
      <c r="D501" s="184">
        <f>IFERROR(VLOOKUP(A501,'SAP '!A:D,4,0),0)</f>
        <v>0</v>
      </c>
    </row>
    <row r="502" spans="1:16376" x14ac:dyDescent="0.25">
      <c r="A502" s="59">
        <v>4102110007</v>
      </c>
      <c r="B502" s="59" t="s">
        <v>643</v>
      </c>
      <c r="C502" s="56">
        <f>IFERROR(VLOOKUP(A502,'SAP '!$A$8:$D$393,3,0),0)</f>
        <v>-62544</v>
      </c>
      <c r="D502" s="184">
        <f>IFERROR(VLOOKUP(A502,'SAP '!A:D,4,0),0)</f>
        <v>0</v>
      </c>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c r="AA502" s="126"/>
      <c r="AB502" s="126"/>
      <c r="AC502" s="126"/>
      <c r="AD502" s="126"/>
      <c r="AE502" s="126"/>
      <c r="AF502" s="126"/>
      <c r="AG502" s="126"/>
      <c r="AH502" s="126"/>
      <c r="AI502" s="126"/>
      <c r="AJ502" s="126"/>
      <c r="AK502" s="126"/>
      <c r="AL502" s="126"/>
      <c r="AM502" s="126"/>
      <c r="AN502" s="126"/>
      <c r="AO502" s="126"/>
      <c r="AP502" s="126"/>
      <c r="AQ502" s="126"/>
      <c r="AR502" s="126"/>
      <c r="AS502" s="126"/>
      <c r="AT502" s="126"/>
      <c r="AU502" s="126"/>
      <c r="AV502" s="126"/>
      <c r="AW502" s="126"/>
      <c r="AX502" s="126"/>
      <c r="AY502" s="126"/>
      <c r="AZ502" s="126"/>
      <c r="BA502" s="126"/>
      <c r="BB502" s="126"/>
      <c r="BC502" s="126"/>
      <c r="BD502" s="126"/>
      <c r="BE502" s="126"/>
      <c r="BF502" s="126"/>
      <c r="BG502" s="126"/>
      <c r="BH502" s="126"/>
      <c r="BI502" s="126"/>
      <c r="BJ502" s="126"/>
      <c r="BK502" s="126"/>
      <c r="BL502" s="126"/>
      <c r="BM502" s="126"/>
      <c r="BN502" s="126"/>
      <c r="BO502" s="126"/>
      <c r="BP502" s="126"/>
      <c r="BQ502" s="126"/>
      <c r="BR502" s="126"/>
      <c r="BS502" s="126"/>
      <c r="BT502" s="126"/>
      <c r="BU502" s="126"/>
      <c r="BV502" s="126"/>
      <c r="BW502" s="126"/>
      <c r="BX502" s="126"/>
      <c r="BY502" s="126"/>
      <c r="BZ502" s="126"/>
      <c r="CA502" s="126"/>
      <c r="CB502" s="126"/>
      <c r="CC502" s="126"/>
      <c r="CD502" s="126"/>
      <c r="CE502" s="126"/>
      <c r="CF502" s="126"/>
      <c r="CG502" s="126"/>
      <c r="CH502" s="126"/>
      <c r="CI502" s="126"/>
      <c r="CJ502" s="126"/>
      <c r="CK502" s="126"/>
      <c r="CL502" s="126"/>
      <c r="CM502" s="126"/>
      <c r="CN502" s="126"/>
      <c r="CO502" s="126"/>
      <c r="CP502" s="126"/>
      <c r="CQ502" s="126"/>
      <c r="CR502" s="126"/>
      <c r="CS502" s="126"/>
      <c r="CT502" s="126"/>
      <c r="CU502" s="126"/>
      <c r="CV502" s="126"/>
      <c r="CW502" s="126"/>
      <c r="CX502" s="126"/>
      <c r="CY502" s="126"/>
      <c r="CZ502" s="126"/>
      <c r="DA502" s="126"/>
      <c r="DB502" s="126"/>
      <c r="DC502" s="126"/>
      <c r="DD502" s="126"/>
      <c r="DE502" s="126"/>
      <c r="DF502" s="126"/>
      <c r="DG502" s="126"/>
      <c r="DH502" s="126"/>
      <c r="DI502" s="126"/>
      <c r="DJ502" s="126"/>
      <c r="DK502" s="126"/>
      <c r="DL502" s="126"/>
      <c r="DM502" s="126"/>
      <c r="DN502" s="126"/>
      <c r="DO502" s="126"/>
      <c r="DP502" s="126"/>
      <c r="DQ502" s="126"/>
      <c r="DR502" s="126"/>
      <c r="DS502" s="126"/>
      <c r="DT502" s="126"/>
      <c r="DU502" s="126"/>
      <c r="DV502" s="126"/>
      <c r="DW502" s="126"/>
      <c r="DX502" s="126"/>
      <c r="DY502" s="126"/>
      <c r="DZ502" s="126"/>
      <c r="EA502" s="126"/>
      <c r="EB502" s="126"/>
      <c r="EC502" s="126"/>
      <c r="ED502" s="126"/>
      <c r="EE502" s="126"/>
      <c r="EF502" s="126"/>
      <c r="EG502" s="126"/>
      <c r="EH502" s="126"/>
      <c r="EI502" s="126"/>
      <c r="EJ502" s="126"/>
      <c r="EK502" s="126"/>
      <c r="EL502" s="126"/>
      <c r="EM502" s="126"/>
      <c r="EN502" s="126"/>
      <c r="EO502" s="126"/>
      <c r="EP502" s="126"/>
      <c r="EQ502" s="126"/>
      <c r="ER502" s="126"/>
      <c r="ES502" s="126"/>
      <c r="ET502" s="126"/>
      <c r="EU502" s="126"/>
      <c r="EV502" s="126"/>
      <c r="EW502" s="126"/>
      <c r="EX502" s="126"/>
      <c r="EY502" s="126"/>
      <c r="EZ502" s="126"/>
      <c r="FA502" s="126"/>
      <c r="FB502" s="126"/>
      <c r="FC502" s="126"/>
      <c r="FD502" s="126"/>
      <c r="FE502" s="126"/>
      <c r="FF502" s="126"/>
      <c r="FG502" s="126"/>
      <c r="FH502" s="126"/>
      <c r="FI502" s="126"/>
      <c r="FJ502" s="126"/>
      <c r="FK502" s="126"/>
      <c r="FL502" s="126"/>
      <c r="FM502" s="126"/>
      <c r="FN502" s="126"/>
      <c r="FO502" s="126"/>
      <c r="FP502" s="126"/>
      <c r="FQ502" s="126"/>
      <c r="FR502" s="126"/>
      <c r="FS502" s="126"/>
      <c r="FT502" s="126"/>
      <c r="FU502" s="126"/>
      <c r="FV502" s="126"/>
      <c r="FW502" s="126"/>
      <c r="FX502" s="126"/>
      <c r="FY502" s="126"/>
      <c r="FZ502" s="126"/>
      <c r="GA502" s="126"/>
      <c r="GB502" s="126"/>
      <c r="GC502" s="126"/>
      <c r="GD502" s="126"/>
      <c r="GE502" s="126"/>
      <c r="GF502" s="126"/>
      <c r="GG502" s="126"/>
      <c r="GH502" s="126"/>
      <c r="GI502" s="126"/>
      <c r="GJ502" s="126"/>
      <c r="GK502" s="126"/>
      <c r="GL502" s="126"/>
      <c r="GM502" s="126"/>
      <c r="GN502" s="126"/>
      <c r="GO502" s="126"/>
      <c r="GP502" s="126"/>
      <c r="GQ502" s="126"/>
      <c r="GR502" s="126"/>
      <c r="GS502" s="126"/>
      <c r="GT502" s="126"/>
      <c r="GU502" s="126"/>
      <c r="GV502" s="126"/>
      <c r="GW502" s="126"/>
      <c r="GX502" s="126"/>
      <c r="GY502" s="126"/>
      <c r="GZ502" s="126"/>
      <c r="HA502" s="126"/>
      <c r="HB502" s="126"/>
      <c r="HC502" s="126"/>
      <c r="HD502" s="126"/>
      <c r="HE502" s="126"/>
      <c r="HF502" s="126"/>
      <c r="HG502" s="126"/>
      <c r="HH502" s="126"/>
      <c r="HI502" s="126"/>
      <c r="HJ502" s="126"/>
      <c r="HK502" s="126"/>
      <c r="HL502" s="126"/>
      <c r="HM502" s="126"/>
      <c r="HN502" s="126"/>
      <c r="HO502" s="126"/>
      <c r="HP502" s="126"/>
      <c r="HQ502" s="126"/>
      <c r="HR502" s="126"/>
      <c r="HS502" s="126"/>
      <c r="HT502" s="126"/>
      <c r="HU502" s="126"/>
      <c r="HV502" s="126"/>
      <c r="HW502" s="126"/>
      <c r="HX502" s="126"/>
      <c r="HY502" s="126"/>
      <c r="HZ502" s="126"/>
      <c r="IA502" s="126"/>
      <c r="IB502" s="126"/>
      <c r="IC502" s="126"/>
      <c r="ID502" s="126"/>
      <c r="IE502" s="126"/>
      <c r="IF502" s="126"/>
      <c r="IG502" s="126"/>
      <c r="IH502" s="126"/>
      <c r="II502" s="126"/>
      <c r="IJ502" s="126"/>
      <c r="IK502" s="126"/>
      <c r="IL502" s="126"/>
      <c r="IM502" s="126"/>
      <c r="IN502" s="126"/>
      <c r="IO502" s="126"/>
      <c r="IP502" s="126"/>
      <c r="IQ502" s="126"/>
      <c r="IR502" s="126"/>
      <c r="IS502" s="126"/>
      <c r="IT502" s="126"/>
      <c r="IU502" s="126"/>
      <c r="IV502" s="126"/>
      <c r="IW502" s="126"/>
      <c r="IX502" s="126"/>
      <c r="IY502" s="126"/>
      <c r="IZ502" s="126"/>
      <c r="JA502" s="126"/>
      <c r="JB502" s="126"/>
      <c r="JC502" s="126"/>
      <c r="JD502" s="126"/>
      <c r="JE502" s="126"/>
      <c r="JF502" s="126"/>
      <c r="JG502" s="126"/>
      <c r="JH502" s="126"/>
      <c r="JI502" s="126"/>
      <c r="JJ502" s="126"/>
      <c r="JK502" s="126"/>
      <c r="JL502" s="126"/>
      <c r="JM502" s="126"/>
      <c r="JN502" s="126"/>
      <c r="JO502" s="126"/>
      <c r="JP502" s="126"/>
      <c r="JQ502" s="126"/>
      <c r="JR502" s="126"/>
      <c r="JS502" s="126"/>
      <c r="JT502" s="126"/>
      <c r="JU502" s="126"/>
      <c r="JV502" s="126"/>
      <c r="JW502" s="126"/>
      <c r="JX502" s="126"/>
      <c r="JY502" s="126"/>
      <c r="JZ502" s="126"/>
      <c r="KA502" s="126"/>
      <c r="KB502" s="126"/>
      <c r="KC502" s="126"/>
      <c r="KD502" s="126"/>
      <c r="KE502" s="126"/>
      <c r="KF502" s="126"/>
      <c r="KG502" s="126"/>
      <c r="KH502" s="126"/>
      <c r="KI502" s="126"/>
      <c r="KJ502" s="126"/>
      <c r="KK502" s="126"/>
      <c r="KL502" s="126"/>
      <c r="KM502" s="126"/>
      <c r="KN502" s="126"/>
      <c r="KO502" s="126"/>
      <c r="KP502" s="126"/>
      <c r="KQ502" s="126"/>
      <c r="KR502" s="126"/>
      <c r="KS502" s="126"/>
      <c r="KT502" s="126"/>
      <c r="KU502" s="126"/>
      <c r="KV502" s="126"/>
      <c r="KW502" s="126"/>
      <c r="KX502" s="126"/>
      <c r="KY502" s="126"/>
      <c r="KZ502" s="126"/>
      <c r="LA502" s="126"/>
      <c r="LB502" s="126"/>
      <c r="LC502" s="126"/>
      <c r="LD502" s="126"/>
      <c r="LE502" s="126"/>
      <c r="LF502" s="126"/>
      <c r="LG502" s="126"/>
      <c r="LH502" s="126"/>
      <c r="LI502" s="126"/>
      <c r="LJ502" s="126"/>
      <c r="LK502" s="126"/>
      <c r="LL502" s="126"/>
      <c r="LM502" s="126"/>
      <c r="LN502" s="126"/>
      <c r="LO502" s="126"/>
      <c r="LP502" s="126"/>
      <c r="LQ502" s="126"/>
      <c r="LR502" s="126"/>
      <c r="LS502" s="126"/>
      <c r="LT502" s="126"/>
      <c r="LU502" s="126"/>
      <c r="LV502" s="126"/>
      <c r="LW502" s="126"/>
      <c r="LX502" s="126"/>
      <c r="LY502" s="126"/>
      <c r="LZ502" s="126"/>
      <c r="MA502" s="126"/>
      <c r="MB502" s="126"/>
      <c r="MC502" s="126"/>
      <c r="MD502" s="126"/>
      <c r="ME502" s="126"/>
      <c r="MF502" s="126"/>
      <c r="MG502" s="126"/>
      <c r="MH502" s="126"/>
      <c r="MI502" s="126"/>
      <c r="MJ502" s="126"/>
      <c r="MK502" s="126"/>
      <c r="ML502" s="126"/>
      <c r="MM502" s="126"/>
      <c r="MN502" s="126"/>
      <c r="MO502" s="126"/>
      <c r="MP502" s="126"/>
      <c r="MQ502" s="126"/>
      <c r="MR502" s="126"/>
      <c r="MS502" s="126"/>
      <c r="MT502" s="126"/>
      <c r="MU502" s="126"/>
      <c r="MV502" s="126"/>
      <c r="MW502" s="126"/>
      <c r="MX502" s="126"/>
      <c r="MY502" s="126"/>
      <c r="MZ502" s="126"/>
      <c r="NA502" s="126"/>
      <c r="NB502" s="126"/>
      <c r="NC502" s="126"/>
      <c r="ND502" s="126"/>
      <c r="NE502" s="126"/>
      <c r="NF502" s="126"/>
      <c r="NG502" s="126"/>
      <c r="NH502" s="126"/>
      <c r="NI502" s="126"/>
      <c r="NJ502" s="126"/>
      <c r="NK502" s="126"/>
      <c r="NL502" s="126"/>
      <c r="NM502" s="126"/>
      <c r="NN502" s="126"/>
      <c r="NO502" s="126"/>
      <c r="NP502" s="126"/>
      <c r="NQ502" s="126"/>
      <c r="NR502" s="126"/>
      <c r="NS502" s="126"/>
      <c r="NT502" s="126"/>
      <c r="NU502" s="126"/>
      <c r="NV502" s="126"/>
      <c r="NW502" s="126"/>
      <c r="NX502" s="126"/>
      <c r="NY502" s="126"/>
      <c r="NZ502" s="126"/>
      <c r="OA502" s="126"/>
      <c r="OB502" s="126"/>
      <c r="OC502" s="126"/>
      <c r="OD502" s="126"/>
      <c r="OE502" s="126"/>
      <c r="OF502" s="126"/>
      <c r="OG502" s="126"/>
      <c r="OH502" s="126"/>
      <c r="OI502" s="126"/>
      <c r="OJ502" s="126"/>
      <c r="OK502" s="126"/>
      <c r="OL502" s="126"/>
      <c r="OM502" s="126"/>
      <c r="ON502" s="126"/>
      <c r="OO502" s="126"/>
      <c r="OP502" s="126"/>
      <c r="OQ502" s="126"/>
      <c r="OR502" s="126"/>
      <c r="OS502" s="126"/>
      <c r="OT502" s="126"/>
      <c r="OU502" s="126"/>
      <c r="OV502" s="126"/>
      <c r="OW502" s="126"/>
      <c r="OX502" s="126"/>
      <c r="OY502" s="126"/>
      <c r="OZ502" s="126"/>
      <c r="PA502" s="126"/>
      <c r="PB502" s="126"/>
      <c r="PC502" s="126"/>
      <c r="PD502" s="126"/>
      <c r="PE502" s="126"/>
      <c r="PF502" s="126"/>
      <c r="PG502" s="126"/>
      <c r="PH502" s="126"/>
      <c r="PI502" s="126"/>
      <c r="PJ502" s="126"/>
      <c r="PK502" s="126"/>
      <c r="PL502" s="126"/>
      <c r="PM502" s="126"/>
      <c r="PN502" s="126"/>
      <c r="PO502" s="126"/>
      <c r="PP502" s="126"/>
      <c r="PQ502" s="126"/>
      <c r="PR502" s="126"/>
      <c r="PS502" s="126"/>
      <c r="PT502" s="126"/>
      <c r="PU502" s="126"/>
      <c r="PV502" s="126"/>
      <c r="PW502" s="126"/>
      <c r="PX502" s="126"/>
      <c r="PY502" s="126"/>
      <c r="PZ502" s="126"/>
      <c r="QA502" s="126"/>
      <c r="QB502" s="126"/>
      <c r="QC502" s="126"/>
      <c r="QD502" s="126"/>
      <c r="QE502" s="126"/>
      <c r="QF502" s="126"/>
      <c r="QG502" s="126"/>
      <c r="QH502" s="126"/>
      <c r="QI502" s="126"/>
      <c r="QJ502" s="126"/>
      <c r="QK502" s="126"/>
      <c r="QL502" s="126"/>
      <c r="QM502" s="126"/>
      <c r="QN502" s="126"/>
      <c r="QO502" s="126"/>
      <c r="QP502" s="126"/>
      <c r="QQ502" s="126"/>
      <c r="QR502" s="126"/>
      <c r="QS502" s="126"/>
      <c r="QT502" s="126"/>
      <c r="QU502" s="126"/>
      <c r="QV502" s="126"/>
      <c r="QW502" s="126"/>
      <c r="QX502" s="126"/>
      <c r="QY502" s="126"/>
      <c r="QZ502" s="126"/>
      <c r="RA502" s="126"/>
      <c r="RB502" s="126"/>
      <c r="RC502" s="126"/>
      <c r="RD502" s="126"/>
      <c r="RE502" s="126"/>
      <c r="RF502" s="126"/>
      <c r="RG502" s="126"/>
      <c r="RH502" s="126"/>
      <c r="RI502" s="126"/>
      <c r="RJ502" s="126"/>
      <c r="RK502" s="126"/>
      <c r="RL502" s="126"/>
      <c r="RM502" s="126"/>
      <c r="RN502" s="126"/>
      <c r="RO502" s="126"/>
      <c r="RP502" s="126"/>
      <c r="RQ502" s="126"/>
      <c r="RR502" s="126"/>
      <c r="RS502" s="126"/>
      <c r="RT502" s="126"/>
      <c r="RU502" s="126"/>
      <c r="RV502" s="126"/>
      <c r="RW502" s="126"/>
      <c r="RX502" s="126"/>
      <c r="RY502" s="126"/>
      <c r="RZ502" s="126"/>
      <c r="SA502" s="126"/>
      <c r="SB502" s="126"/>
      <c r="SC502" s="126"/>
      <c r="SD502" s="126"/>
      <c r="SE502" s="126"/>
      <c r="SF502" s="126"/>
      <c r="SG502" s="126"/>
      <c r="SH502" s="126"/>
      <c r="SI502" s="126"/>
      <c r="SJ502" s="126"/>
      <c r="SK502" s="126"/>
      <c r="SL502" s="126"/>
      <c r="SM502" s="126"/>
      <c r="SN502" s="126"/>
      <c r="SO502" s="126"/>
      <c r="SP502" s="126"/>
      <c r="SQ502" s="126"/>
      <c r="SR502" s="126"/>
      <c r="SS502" s="126"/>
      <c r="ST502" s="126"/>
      <c r="SU502" s="126"/>
      <c r="SV502" s="126"/>
      <c r="SW502" s="126"/>
      <c r="SX502" s="126"/>
      <c r="SY502" s="126"/>
      <c r="SZ502" s="126"/>
      <c r="TA502" s="126"/>
      <c r="TB502" s="126"/>
      <c r="TC502" s="126"/>
      <c r="TD502" s="126"/>
      <c r="TE502" s="126"/>
      <c r="TF502" s="126"/>
      <c r="TG502" s="126"/>
      <c r="TH502" s="126"/>
      <c r="TI502" s="126"/>
      <c r="TJ502" s="126"/>
      <c r="TK502" s="126"/>
      <c r="TL502" s="126"/>
      <c r="TM502" s="126"/>
      <c r="TN502" s="126"/>
      <c r="TO502" s="126"/>
      <c r="TP502" s="126"/>
      <c r="TQ502" s="126"/>
      <c r="TR502" s="126"/>
      <c r="TS502" s="126"/>
      <c r="TT502" s="126"/>
      <c r="TU502" s="126"/>
      <c r="TV502" s="126"/>
      <c r="TW502" s="126"/>
      <c r="TX502" s="126"/>
      <c r="TY502" s="126"/>
      <c r="TZ502" s="126"/>
      <c r="UA502" s="126"/>
      <c r="UB502" s="126"/>
      <c r="UC502" s="126"/>
      <c r="UD502" s="126"/>
      <c r="UE502" s="126"/>
      <c r="UF502" s="126"/>
      <c r="UG502" s="126"/>
      <c r="UH502" s="126"/>
      <c r="UI502" s="126"/>
      <c r="UJ502" s="126"/>
      <c r="UK502" s="126"/>
      <c r="UL502" s="126"/>
      <c r="UM502" s="126"/>
      <c r="UN502" s="126"/>
      <c r="UO502" s="126"/>
      <c r="UP502" s="126"/>
      <c r="UQ502" s="126"/>
      <c r="UR502" s="126"/>
      <c r="US502" s="126"/>
      <c r="UT502" s="126"/>
      <c r="UU502" s="126"/>
      <c r="UV502" s="126"/>
      <c r="UW502" s="126"/>
      <c r="UX502" s="126"/>
      <c r="UY502" s="126"/>
      <c r="UZ502" s="126"/>
      <c r="VA502" s="126"/>
      <c r="VB502" s="126"/>
      <c r="VC502" s="126"/>
      <c r="VD502" s="126"/>
      <c r="VE502" s="126"/>
      <c r="VF502" s="126"/>
      <c r="VG502" s="126"/>
      <c r="VH502" s="126"/>
      <c r="VI502" s="126"/>
      <c r="VJ502" s="126"/>
      <c r="VK502" s="126"/>
      <c r="VL502" s="126"/>
      <c r="VM502" s="126"/>
      <c r="VN502" s="126"/>
      <c r="VO502" s="126"/>
      <c r="VP502" s="126"/>
      <c r="VQ502" s="126"/>
      <c r="VR502" s="126"/>
      <c r="VS502" s="126"/>
      <c r="VT502" s="126"/>
      <c r="VU502" s="126"/>
      <c r="VV502" s="126"/>
      <c r="VW502" s="126"/>
      <c r="VX502" s="126"/>
      <c r="VY502" s="126"/>
      <c r="VZ502" s="126"/>
      <c r="WA502" s="126"/>
      <c r="WB502" s="126"/>
      <c r="WC502" s="126"/>
      <c r="WD502" s="126"/>
      <c r="WE502" s="126"/>
      <c r="WF502" s="126"/>
      <c r="WG502" s="126"/>
      <c r="WH502" s="126"/>
      <c r="WI502" s="126"/>
      <c r="WJ502" s="126"/>
      <c r="WK502" s="126"/>
      <c r="WL502" s="126"/>
      <c r="WM502" s="126"/>
      <c r="WN502" s="126"/>
      <c r="WO502" s="126"/>
      <c r="WP502" s="126"/>
      <c r="WQ502" s="126"/>
      <c r="WR502" s="126"/>
      <c r="WS502" s="126"/>
      <c r="WT502" s="126"/>
      <c r="WU502" s="126"/>
      <c r="WV502" s="126"/>
      <c r="WW502" s="126"/>
      <c r="WX502" s="126"/>
      <c r="WY502" s="126"/>
      <c r="WZ502" s="126"/>
      <c r="XA502" s="126"/>
      <c r="XB502" s="126"/>
      <c r="XC502" s="126"/>
      <c r="XD502" s="126"/>
      <c r="XE502" s="126"/>
      <c r="XF502" s="126"/>
      <c r="XG502" s="126"/>
      <c r="XH502" s="126"/>
      <c r="XI502" s="126"/>
      <c r="XJ502" s="126"/>
      <c r="XK502" s="126"/>
      <c r="XL502" s="126"/>
      <c r="XM502" s="126"/>
      <c r="XN502" s="126"/>
      <c r="XO502" s="126"/>
      <c r="XP502" s="126"/>
      <c r="XQ502" s="126"/>
      <c r="XR502" s="126"/>
      <c r="XS502" s="126"/>
      <c r="XT502" s="126"/>
      <c r="XU502" s="126"/>
      <c r="XV502" s="126"/>
      <c r="XW502" s="126"/>
      <c r="XX502" s="126"/>
      <c r="XY502" s="126"/>
      <c r="XZ502" s="126"/>
      <c r="YA502" s="126"/>
      <c r="YB502" s="126"/>
      <c r="YC502" s="126"/>
      <c r="YD502" s="126"/>
      <c r="YE502" s="126"/>
      <c r="YF502" s="126"/>
      <c r="YG502" s="126"/>
      <c r="YH502" s="126"/>
      <c r="YI502" s="126"/>
      <c r="YJ502" s="126"/>
      <c r="YK502" s="126"/>
      <c r="YL502" s="126"/>
      <c r="YM502" s="126"/>
      <c r="YN502" s="126"/>
      <c r="YO502" s="126"/>
      <c r="YP502" s="126"/>
      <c r="YQ502" s="126"/>
      <c r="YR502" s="126"/>
      <c r="YS502" s="126"/>
      <c r="YT502" s="126"/>
      <c r="YU502" s="126"/>
      <c r="YV502" s="126"/>
      <c r="YW502" s="126"/>
      <c r="YX502" s="126"/>
      <c r="YY502" s="126"/>
      <c r="YZ502" s="126"/>
      <c r="ZA502" s="126"/>
      <c r="ZB502" s="126"/>
      <c r="ZC502" s="126"/>
      <c r="ZD502" s="126"/>
      <c r="ZE502" s="126"/>
      <c r="ZF502" s="126"/>
      <c r="ZG502" s="126"/>
      <c r="ZH502" s="126"/>
      <c r="ZI502" s="126"/>
      <c r="ZJ502" s="126"/>
      <c r="ZK502" s="126"/>
      <c r="ZL502" s="126"/>
      <c r="ZM502" s="126"/>
      <c r="ZN502" s="126"/>
      <c r="ZO502" s="126"/>
      <c r="ZP502" s="126"/>
      <c r="ZQ502" s="126"/>
      <c r="ZR502" s="126"/>
      <c r="ZS502" s="126"/>
      <c r="ZT502" s="126"/>
      <c r="ZU502" s="126"/>
      <c r="ZV502" s="126"/>
      <c r="ZW502" s="126"/>
      <c r="ZX502" s="126"/>
      <c r="ZY502" s="126"/>
      <c r="ZZ502" s="126"/>
      <c r="AAA502" s="126"/>
      <c r="AAB502" s="126"/>
      <c r="AAC502" s="126"/>
      <c r="AAD502" s="126"/>
      <c r="AAE502" s="126"/>
      <c r="AAF502" s="126"/>
      <c r="AAG502" s="126"/>
      <c r="AAH502" s="126"/>
      <c r="AAI502" s="126"/>
      <c r="AAJ502" s="126"/>
      <c r="AAK502" s="126"/>
      <c r="AAL502" s="126"/>
      <c r="AAM502" s="126"/>
      <c r="AAN502" s="126"/>
      <c r="AAO502" s="126"/>
      <c r="AAP502" s="126"/>
      <c r="AAQ502" s="126"/>
      <c r="AAR502" s="126"/>
      <c r="AAS502" s="126"/>
      <c r="AAT502" s="126"/>
      <c r="AAU502" s="126"/>
      <c r="AAV502" s="126"/>
      <c r="AAW502" s="126"/>
      <c r="AAX502" s="126"/>
      <c r="AAY502" s="126"/>
      <c r="AAZ502" s="126"/>
      <c r="ABA502" s="126"/>
      <c r="ABB502" s="126"/>
      <c r="ABC502" s="126"/>
      <c r="ABD502" s="126"/>
      <c r="ABE502" s="126"/>
      <c r="ABF502" s="126"/>
      <c r="ABG502" s="126"/>
      <c r="ABH502" s="126"/>
      <c r="ABI502" s="126"/>
      <c r="ABJ502" s="126"/>
      <c r="ABK502" s="126"/>
      <c r="ABL502" s="126"/>
      <c r="ABM502" s="126"/>
      <c r="ABN502" s="126"/>
      <c r="ABO502" s="126"/>
      <c r="ABP502" s="126"/>
      <c r="ABQ502" s="126"/>
      <c r="ABR502" s="126"/>
      <c r="ABS502" s="126"/>
      <c r="ABT502" s="126"/>
      <c r="ABU502" s="126"/>
      <c r="ABV502" s="126"/>
      <c r="ABW502" s="126"/>
      <c r="ABX502" s="126"/>
      <c r="ABY502" s="126"/>
      <c r="ABZ502" s="126"/>
      <c r="ACA502" s="126"/>
      <c r="ACB502" s="126"/>
      <c r="ACC502" s="126"/>
      <c r="ACD502" s="126"/>
      <c r="ACE502" s="126"/>
      <c r="ACF502" s="126"/>
      <c r="ACG502" s="126"/>
      <c r="ACH502" s="126"/>
      <c r="ACI502" s="126"/>
      <c r="ACJ502" s="126"/>
      <c r="ACK502" s="126"/>
      <c r="ACL502" s="126"/>
      <c r="ACM502" s="126"/>
      <c r="ACN502" s="126"/>
      <c r="ACO502" s="126"/>
      <c r="ACP502" s="126"/>
      <c r="ACQ502" s="126"/>
      <c r="ACR502" s="126"/>
      <c r="ACS502" s="126"/>
      <c r="ACT502" s="126"/>
      <c r="ACU502" s="126"/>
      <c r="ACV502" s="126"/>
      <c r="ACW502" s="126"/>
      <c r="ACX502" s="126"/>
      <c r="ACY502" s="126"/>
      <c r="ACZ502" s="126"/>
      <c r="ADA502" s="126"/>
      <c r="ADB502" s="126"/>
      <c r="ADC502" s="126"/>
      <c r="ADD502" s="126"/>
      <c r="ADE502" s="126"/>
      <c r="ADF502" s="126"/>
      <c r="ADG502" s="126"/>
      <c r="ADH502" s="126"/>
      <c r="ADI502" s="126"/>
      <c r="ADJ502" s="126"/>
      <c r="ADK502" s="126"/>
      <c r="ADL502" s="126"/>
      <c r="ADM502" s="126"/>
      <c r="ADN502" s="126"/>
      <c r="ADO502" s="126"/>
      <c r="ADP502" s="126"/>
      <c r="ADQ502" s="126"/>
      <c r="ADR502" s="126"/>
      <c r="ADS502" s="126"/>
      <c r="ADT502" s="126"/>
      <c r="ADU502" s="126"/>
      <c r="ADV502" s="126"/>
      <c r="ADW502" s="126"/>
      <c r="ADX502" s="126"/>
      <c r="ADY502" s="126"/>
      <c r="ADZ502" s="126"/>
      <c r="AEA502" s="126"/>
      <c r="AEB502" s="126"/>
      <c r="AEC502" s="126"/>
      <c r="AED502" s="126"/>
      <c r="AEE502" s="126"/>
      <c r="AEF502" s="126"/>
      <c r="AEG502" s="126"/>
      <c r="AEH502" s="126"/>
      <c r="AEI502" s="126"/>
      <c r="AEJ502" s="126"/>
      <c r="AEK502" s="126"/>
      <c r="AEL502" s="126"/>
      <c r="AEM502" s="126"/>
      <c r="AEN502" s="126"/>
      <c r="AEO502" s="126"/>
      <c r="AEP502" s="126"/>
      <c r="AEQ502" s="126"/>
      <c r="AER502" s="126"/>
      <c r="AES502" s="126"/>
      <c r="AET502" s="126"/>
      <c r="AEU502" s="126"/>
      <c r="AEV502" s="126"/>
      <c r="AEW502" s="126"/>
      <c r="AEX502" s="126"/>
      <c r="AEY502" s="126"/>
      <c r="AEZ502" s="126"/>
      <c r="AFA502" s="126"/>
      <c r="AFB502" s="126"/>
      <c r="AFC502" s="126"/>
      <c r="AFD502" s="126"/>
      <c r="AFE502" s="126"/>
      <c r="AFF502" s="126"/>
      <c r="AFG502" s="126"/>
      <c r="AFH502" s="126"/>
      <c r="AFI502" s="126"/>
      <c r="AFJ502" s="126"/>
      <c r="AFK502" s="126"/>
      <c r="AFL502" s="126"/>
      <c r="AFM502" s="126"/>
      <c r="AFN502" s="126"/>
      <c r="AFO502" s="126"/>
      <c r="AFP502" s="126"/>
      <c r="AFQ502" s="126"/>
      <c r="AFR502" s="126"/>
      <c r="AFS502" s="126"/>
      <c r="AFT502" s="126"/>
      <c r="AFU502" s="126"/>
      <c r="AFV502" s="126"/>
      <c r="AFW502" s="126"/>
      <c r="AFX502" s="126"/>
      <c r="AFY502" s="126"/>
      <c r="AFZ502" s="126"/>
      <c r="AGA502" s="126"/>
      <c r="AGB502" s="126"/>
      <c r="AGC502" s="126"/>
      <c r="AGD502" s="126"/>
      <c r="AGE502" s="126"/>
      <c r="AGF502" s="126"/>
      <c r="AGG502" s="126"/>
      <c r="AGH502" s="126"/>
      <c r="AGI502" s="126"/>
      <c r="AGJ502" s="126"/>
      <c r="AGK502" s="126"/>
      <c r="AGL502" s="126"/>
      <c r="AGM502" s="126"/>
      <c r="AGN502" s="126"/>
      <c r="AGO502" s="126"/>
      <c r="AGP502" s="126"/>
      <c r="AGQ502" s="126"/>
      <c r="AGR502" s="126"/>
      <c r="AGS502" s="126"/>
      <c r="AGT502" s="126"/>
      <c r="AGU502" s="126"/>
      <c r="AGV502" s="126"/>
      <c r="AGW502" s="126"/>
      <c r="AGX502" s="126"/>
      <c r="AGY502" s="126"/>
      <c r="AGZ502" s="126"/>
      <c r="AHA502" s="126"/>
      <c r="AHB502" s="126"/>
      <c r="AHC502" s="126"/>
      <c r="AHD502" s="126"/>
      <c r="AHE502" s="126"/>
      <c r="AHF502" s="126"/>
      <c r="AHG502" s="126"/>
      <c r="AHH502" s="126"/>
      <c r="AHI502" s="126"/>
      <c r="AHJ502" s="126"/>
      <c r="AHK502" s="126"/>
      <c r="AHL502" s="126"/>
      <c r="AHM502" s="126"/>
      <c r="AHN502" s="126"/>
      <c r="AHO502" s="126"/>
      <c r="AHP502" s="126"/>
      <c r="AHQ502" s="126"/>
      <c r="AHR502" s="126"/>
      <c r="AHS502" s="126"/>
      <c r="AHT502" s="126"/>
      <c r="AHU502" s="126"/>
      <c r="AHV502" s="126"/>
      <c r="AHW502" s="126"/>
      <c r="AHX502" s="126"/>
      <c r="AHY502" s="126"/>
      <c r="AHZ502" s="126"/>
      <c r="AIA502" s="126"/>
      <c r="AIB502" s="126"/>
      <c r="AIC502" s="126"/>
      <c r="AID502" s="126"/>
      <c r="AIE502" s="126"/>
      <c r="AIF502" s="126"/>
      <c r="AIG502" s="126"/>
      <c r="AIH502" s="126"/>
      <c r="AII502" s="126"/>
      <c r="AIJ502" s="126"/>
      <c r="AIK502" s="126"/>
      <c r="AIL502" s="126"/>
      <c r="AIM502" s="126"/>
      <c r="AIN502" s="126"/>
      <c r="AIO502" s="126"/>
      <c r="AIP502" s="126"/>
      <c r="AIQ502" s="126"/>
      <c r="AIR502" s="126"/>
      <c r="AIS502" s="126"/>
      <c r="AIT502" s="126"/>
      <c r="AIU502" s="126"/>
      <c r="AIV502" s="126"/>
      <c r="AIW502" s="126"/>
      <c r="AIX502" s="126"/>
      <c r="AIY502" s="126"/>
      <c r="AIZ502" s="126"/>
      <c r="AJA502" s="126"/>
      <c r="AJB502" s="126"/>
      <c r="AJC502" s="126"/>
      <c r="AJD502" s="126"/>
      <c r="AJE502" s="126"/>
      <c r="AJF502" s="126"/>
      <c r="AJG502" s="126"/>
      <c r="AJH502" s="126"/>
      <c r="AJI502" s="126"/>
      <c r="AJJ502" s="126"/>
      <c r="AJK502" s="126"/>
      <c r="AJL502" s="126"/>
      <c r="AJM502" s="126"/>
      <c r="AJN502" s="126"/>
      <c r="AJO502" s="126"/>
      <c r="AJP502" s="126"/>
      <c r="AJQ502" s="126"/>
      <c r="AJR502" s="126"/>
      <c r="AJS502" s="126"/>
      <c r="AJT502" s="126"/>
      <c r="AJU502" s="126"/>
      <c r="AJV502" s="126"/>
      <c r="AJW502" s="126"/>
      <c r="AJX502" s="126"/>
      <c r="AJY502" s="126"/>
      <c r="AJZ502" s="126"/>
      <c r="AKA502" s="126"/>
      <c r="AKB502" s="126"/>
      <c r="AKC502" s="126"/>
      <c r="AKD502" s="126"/>
      <c r="AKE502" s="126"/>
      <c r="AKF502" s="126"/>
      <c r="AKG502" s="126"/>
      <c r="AKH502" s="126"/>
      <c r="AKI502" s="126"/>
      <c r="AKJ502" s="126"/>
      <c r="AKK502" s="126"/>
      <c r="AKL502" s="126"/>
      <c r="AKM502" s="126"/>
      <c r="AKN502" s="126"/>
      <c r="AKO502" s="126"/>
      <c r="AKP502" s="126"/>
      <c r="AKQ502" s="126"/>
      <c r="AKR502" s="126"/>
      <c r="AKS502" s="126"/>
      <c r="AKT502" s="126"/>
      <c r="AKU502" s="126"/>
      <c r="AKV502" s="126"/>
      <c r="AKW502" s="126"/>
      <c r="AKX502" s="126"/>
      <c r="AKY502" s="126"/>
      <c r="AKZ502" s="126"/>
      <c r="ALA502" s="126"/>
      <c r="ALB502" s="126"/>
      <c r="ALC502" s="126"/>
      <c r="ALD502" s="126"/>
      <c r="ALE502" s="126"/>
      <c r="ALF502" s="126"/>
      <c r="ALG502" s="126"/>
      <c r="ALH502" s="126"/>
      <c r="ALI502" s="126"/>
      <c r="ALJ502" s="126"/>
      <c r="ALK502" s="126"/>
      <c r="ALL502" s="126"/>
      <c r="ALM502" s="126"/>
      <c r="ALN502" s="126"/>
      <c r="ALO502" s="126"/>
      <c r="ALP502" s="126"/>
      <c r="ALQ502" s="126"/>
      <c r="ALR502" s="126"/>
      <c r="ALS502" s="126"/>
      <c r="ALT502" s="126"/>
      <c r="ALU502" s="126"/>
      <c r="ALV502" s="126"/>
      <c r="ALW502" s="126"/>
      <c r="ALX502" s="126"/>
      <c r="ALY502" s="126"/>
      <c r="ALZ502" s="126"/>
      <c r="AMA502" s="126"/>
      <c r="AMB502" s="126"/>
      <c r="AMC502" s="126"/>
      <c r="AMD502" s="126"/>
      <c r="AME502" s="126"/>
      <c r="AMF502" s="126"/>
      <c r="AMG502" s="126"/>
      <c r="AMH502" s="126"/>
      <c r="AMI502" s="126"/>
      <c r="AMJ502" s="126"/>
      <c r="AMK502" s="126"/>
      <c r="AML502" s="126"/>
      <c r="AMM502" s="126"/>
      <c r="AMN502" s="126"/>
      <c r="AMO502" s="126"/>
      <c r="AMP502" s="126"/>
      <c r="AMQ502" s="126"/>
      <c r="AMR502" s="126"/>
      <c r="AMS502" s="126"/>
      <c r="AMT502" s="126"/>
      <c r="AMU502" s="126"/>
      <c r="AMV502" s="126"/>
      <c r="AMW502" s="126"/>
      <c r="AMX502" s="126"/>
      <c r="AMY502" s="126"/>
      <c r="AMZ502" s="126"/>
      <c r="ANA502" s="126"/>
      <c r="ANB502" s="126"/>
      <c r="ANC502" s="126"/>
      <c r="AND502" s="126"/>
      <c r="ANE502" s="126"/>
      <c r="ANF502" s="126"/>
      <c r="ANG502" s="126"/>
      <c r="ANH502" s="126"/>
      <c r="ANI502" s="126"/>
      <c r="ANJ502" s="126"/>
      <c r="ANK502" s="126"/>
      <c r="ANL502" s="126"/>
      <c r="ANM502" s="126"/>
      <c r="ANN502" s="126"/>
      <c r="ANO502" s="126"/>
      <c r="ANP502" s="126"/>
      <c r="ANQ502" s="126"/>
      <c r="ANR502" s="126"/>
      <c r="ANS502" s="126"/>
      <c r="ANT502" s="126"/>
      <c r="ANU502" s="126"/>
      <c r="ANV502" s="126"/>
      <c r="ANW502" s="126"/>
      <c r="ANX502" s="126"/>
      <c r="ANY502" s="126"/>
      <c r="ANZ502" s="126"/>
      <c r="AOA502" s="126"/>
      <c r="AOB502" s="126"/>
      <c r="AOC502" s="126"/>
      <c r="AOD502" s="126"/>
      <c r="AOE502" s="126"/>
      <c r="AOF502" s="126"/>
      <c r="AOG502" s="126"/>
      <c r="AOH502" s="126"/>
      <c r="AOI502" s="126"/>
      <c r="AOJ502" s="126"/>
      <c r="AOK502" s="126"/>
      <c r="AOL502" s="126"/>
      <c r="AOM502" s="126"/>
      <c r="AON502" s="126"/>
      <c r="AOO502" s="126"/>
      <c r="AOP502" s="126"/>
      <c r="AOQ502" s="126"/>
      <c r="AOR502" s="126"/>
      <c r="AOS502" s="126"/>
      <c r="AOT502" s="126"/>
      <c r="AOU502" s="126"/>
      <c r="AOV502" s="126"/>
      <c r="AOW502" s="126"/>
      <c r="AOX502" s="126"/>
      <c r="AOY502" s="126"/>
      <c r="AOZ502" s="126"/>
      <c r="APA502" s="126"/>
      <c r="APB502" s="126"/>
      <c r="APC502" s="126"/>
      <c r="APD502" s="126"/>
      <c r="APE502" s="126"/>
      <c r="APF502" s="126"/>
      <c r="APG502" s="126"/>
      <c r="APH502" s="126"/>
      <c r="API502" s="126"/>
      <c r="APJ502" s="126"/>
      <c r="APK502" s="126"/>
      <c r="APL502" s="126"/>
      <c r="APM502" s="126"/>
      <c r="APN502" s="126"/>
      <c r="APO502" s="126"/>
      <c r="APP502" s="126"/>
      <c r="APQ502" s="126"/>
      <c r="APR502" s="126"/>
      <c r="APS502" s="126"/>
      <c r="APT502" s="126"/>
      <c r="APU502" s="126"/>
      <c r="APV502" s="126"/>
      <c r="APW502" s="126"/>
      <c r="APX502" s="126"/>
      <c r="APY502" s="126"/>
      <c r="APZ502" s="126"/>
      <c r="AQA502" s="126"/>
      <c r="AQB502" s="126"/>
      <c r="AQC502" s="126"/>
      <c r="AQD502" s="126"/>
      <c r="AQE502" s="126"/>
      <c r="AQF502" s="126"/>
      <c r="AQG502" s="126"/>
      <c r="AQH502" s="126"/>
      <c r="AQI502" s="126"/>
      <c r="AQJ502" s="126"/>
      <c r="AQK502" s="126"/>
      <c r="AQL502" s="126"/>
      <c r="AQM502" s="126"/>
      <c r="AQN502" s="126"/>
      <c r="AQO502" s="126"/>
      <c r="AQP502" s="126"/>
      <c r="AQQ502" s="126"/>
      <c r="AQR502" s="126"/>
      <c r="AQS502" s="126"/>
      <c r="AQT502" s="126"/>
      <c r="AQU502" s="126"/>
      <c r="AQV502" s="126"/>
      <c r="AQW502" s="126"/>
      <c r="AQX502" s="126"/>
      <c r="AQY502" s="126"/>
      <c r="AQZ502" s="126"/>
      <c r="ARA502" s="126"/>
      <c r="ARB502" s="126"/>
      <c r="ARC502" s="126"/>
      <c r="ARD502" s="126"/>
      <c r="ARE502" s="126"/>
      <c r="ARF502" s="126"/>
      <c r="ARG502" s="126"/>
      <c r="ARH502" s="126"/>
      <c r="ARI502" s="126"/>
      <c r="ARJ502" s="126"/>
      <c r="ARK502" s="126"/>
      <c r="ARL502" s="126"/>
      <c r="ARM502" s="126"/>
      <c r="ARN502" s="126"/>
      <c r="ARO502" s="126"/>
      <c r="ARP502" s="126"/>
      <c r="ARQ502" s="126"/>
      <c r="ARR502" s="126"/>
      <c r="ARS502" s="126"/>
      <c r="ART502" s="126"/>
      <c r="ARU502" s="126"/>
      <c r="ARV502" s="126"/>
      <c r="ARW502" s="126"/>
      <c r="ARX502" s="126"/>
      <c r="ARY502" s="126"/>
      <c r="ARZ502" s="126"/>
      <c r="ASA502" s="126"/>
      <c r="ASB502" s="126"/>
      <c r="ASC502" s="126"/>
      <c r="ASD502" s="126"/>
      <c r="ASE502" s="126"/>
      <c r="ASF502" s="126"/>
      <c r="ASG502" s="126"/>
      <c r="ASH502" s="126"/>
      <c r="ASI502" s="126"/>
      <c r="ASJ502" s="126"/>
      <c r="ASK502" s="126"/>
      <c r="ASL502" s="126"/>
      <c r="ASM502" s="126"/>
      <c r="ASN502" s="126"/>
      <c r="ASO502" s="126"/>
      <c r="ASP502" s="126"/>
      <c r="ASQ502" s="126"/>
      <c r="ASR502" s="126"/>
      <c r="ASS502" s="126"/>
      <c r="AST502" s="126"/>
      <c r="ASU502" s="126"/>
      <c r="ASV502" s="126"/>
      <c r="ASW502" s="126"/>
      <c r="ASX502" s="126"/>
      <c r="ASY502" s="126"/>
      <c r="ASZ502" s="126"/>
      <c r="ATA502" s="126"/>
      <c r="ATB502" s="126"/>
      <c r="ATC502" s="126"/>
      <c r="ATD502" s="126"/>
      <c r="ATE502" s="126"/>
      <c r="ATF502" s="126"/>
      <c r="ATG502" s="126"/>
      <c r="ATH502" s="126"/>
      <c r="ATI502" s="126"/>
      <c r="ATJ502" s="126"/>
      <c r="ATK502" s="126"/>
      <c r="ATL502" s="126"/>
      <c r="ATM502" s="126"/>
      <c r="ATN502" s="126"/>
      <c r="ATO502" s="126"/>
      <c r="ATP502" s="126"/>
      <c r="ATQ502" s="126"/>
      <c r="ATR502" s="126"/>
      <c r="ATS502" s="126"/>
      <c r="ATT502" s="126"/>
      <c r="ATU502" s="126"/>
      <c r="ATV502" s="126"/>
      <c r="ATW502" s="126"/>
      <c r="ATX502" s="126"/>
      <c r="ATY502" s="126"/>
      <c r="ATZ502" s="126"/>
      <c r="AUA502" s="126"/>
      <c r="AUB502" s="126"/>
      <c r="AUC502" s="126"/>
      <c r="AUD502" s="126"/>
      <c r="AUE502" s="126"/>
      <c r="AUF502" s="126"/>
      <c r="AUG502" s="126"/>
      <c r="AUH502" s="126"/>
      <c r="AUI502" s="126"/>
      <c r="AUJ502" s="126"/>
      <c r="AUK502" s="126"/>
      <c r="AUL502" s="126"/>
      <c r="AUM502" s="126"/>
      <c r="AUN502" s="126"/>
      <c r="AUO502" s="126"/>
      <c r="AUP502" s="126"/>
      <c r="AUQ502" s="126"/>
      <c r="AUR502" s="126"/>
      <c r="AUS502" s="126"/>
      <c r="AUT502" s="126"/>
      <c r="AUU502" s="126"/>
      <c r="AUV502" s="126"/>
      <c r="AUW502" s="126"/>
      <c r="AUX502" s="126"/>
      <c r="AUY502" s="126"/>
      <c r="AUZ502" s="126"/>
      <c r="AVA502" s="126"/>
      <c r="AVB502" s="126"/>
      <c r="AVC502" s="126"/>
      <c r="AVD502" s="126"/>
      <c r="AVE502" s="126"/>
      <c r="AVF502" s="126"/>
      <c r="AVG502" s="126"/>
      <c r="AVH502" s="126"/>
      <c r="AVI502" s="126"/>
      <c r="AVJ502" s="126"/>
      <c r="AVK502" s="126"/>
      <c r="AVL502" s="126"/>
      <c r="AVM502" s="126"/>
      <c r="AVN502" s="126"/>
      <c r="AVO502" s="126"/>
      <c r="AVP502" s="126"/>
      <c r="AVQ502" s="126"/>
      <c r="AVR502" s="126"/>
      <c r="AVS502" s="126"/>
      <c r="AVT502" s="126"/>
      <c r="AVU502" s="126"/>
      <c r="AVV502" s="126"/>
      <c r="AVW502" s="126"/>
      <c r="AVX502" s="126"/>
      <c r="AVY502" s="126"/>
      <c r="AVZ502" s="126"/>
      <c r="AWA502" s="126"/>
      <c r="AWB502" s="126"/>
      <c r="AWC502" s="126"/>
      <c r="AWD502" s="126"/>
      <c r="AWE502" s="126"/>
      <c r="AWF502" s="126"/>
      <c r="AWG502" s="126"/>
      <c r="AWH502" s="126"/>
      <c r="AWI502" s="126"/>
      <c r="AWJ502" s="126"/>
      <c r="AWK502" s="126"/>
      <c r="AWL502" s="126"/>
      <c r="AWM502" s="126"/>
      <c r="AWN502" s="126"/>
      <c r="AWO502" s="126"/>
      <c r="AWP502" s="126"/>
      <c r="AWQ502" s="126"/>
      <c r="AWR502" s="126"/>
      <c r="AWS502" s="126"/>
      <c r="AWT502" s="126"/>
      <c r="AWU502" s="126"/>
      <c r="AWV502" s="126"/>
      <c r="AWW502" s="126"/>
      <c r="AWX502" s="126"/>
      <c r="AWY502" s="126"/>
      <c r="AWZ502" s="126"/>
      <c r="AXA502" s="126"/>
      <c r="AXB502" s="126"/>
      <c r="AXC502" s="126"/>
      <c r="AXD502" s="126"/>
      <c r="AXE502" s="126"/>
      <c r="AXF502" s="126"/>
      <c r="AXG502" s="126"/>
      <c r="AXH502" s="126"/>
      <c r="AXI502" s="126"/>
      <c r="AXJ502" s="126"/>
      <c r="AXK502" s="126"/>
      <c r="AXL502" s="126"/>
      <c r="AXM502" s="126"/>
      <c r="AXN502" s="126"/>
      <c r="AXO502" s="126"/>
      <c r="AXP502" s="126"/>
      <c r="AXQ502" s="126"/>
      <c r="AXR502" s="126"/>
      <c r="AXS502" s="126"/>
      <c r="AXT502" s="126"/>
      <c r="AXU502" s="126"/>
      <c r="AXV502" s="126"/>
      <c r="AXW502" s="126"/>
      <c r="AXX502" s="126"/>
      <c r="AXY502" s="126"/>
      <c r="AXZ502" s="126"/>
      <c r="AYA502" s="126"/>
      <c r="AYB502" s="126"/>
      <c r="AYC502" s="126"/>
      <c r="AYD502" s="126"/>
      <c r="AYE502" s="126"/>
      <c r="AYF502" s="126"/>
      <c r="AYG502" s="126"/>
      <c r="AYH502" s="126"/>
      <c r="AYI502" s="126"/>
      <c r="AYJ502" s="126"/>
      <c r="AYK502" s="126"/>
      <c r="AYL502" s="126"/>
      <c r="AYM502" s="126"/>
      <c r="AYN502" s="126"/>
      <c r="AYO502" s="126"/>
      <c r="AYP502" s="126"/>
      <c r="AYQ502" s="126"/>
      <c r="AYR502" s="126"/>
      <c r="AYS502" s="126"/>
      <c r="AYT502" s="126"/>
      <c r="AYU502" s="126"/>
      <c r="AYV502" s="126"/>
      <c r="AYW502" s="126"/>
      <c r="AYX502" s="126"/>
      <c r="AYY502" s="126"/>
      <c r="AYZ502" s="126"/>
      <c r="AZA502" s="126"/>
      <c r="AZB502" s="126"/>
      <c r="AZC502" s="126"/>
      <c r="AZD502" s="126"/>
      <c r="AZE502" s="126"/>
      <c r="AZF502" s="126"/>
      <c r="AZG502" s="126"/>
      <c r="AZH502" s="126"/>
      <c r="AZI502" s="126"/>
      <c r="AZJ502" s="126"/>
      <c r="AZK502" s="126"/>
      <c r="AZL502" s="126"/>
      <c r="AZM502" s="126"/>
      <c r="AZN502" s="126"/>
      <c r="AZO502" s="126"/>
      <c r="AZP502" s="126"/>
      <c r="AZQ502" s="126"/>
      <c r="AZR502" s="126"/>
      <c r="AZS502" s="126"/>
      <c r="AZT502" s="126"/>
      <c r="AZU502" s="126"/>
      <c r="AZV502" s="126"/>
      <c r="AZW502" s="126"/>
      <c r="AZX502" s="126"/>
      <c r="AZY502" s="126"/>
      <c r="AZZ502" s="126"/>
      <c r="BAA502" s="126"/>
      <c r="BAB502" s="126"/>
      <c r="BAC502" s="126"/>
      <c r="BAD502" s="126"/>
      <c r="BAE502" s="126"/>
      <c r="BAF502" s="126"/>
      <c r="BAG502" s="126"/>
      <c r="BAH502" s="126"/>
      <c r="BAI502" s="126"/>
      <c r="BAJ502" s="126"/>
      <c r="BAK502" s="126"/>
      <c r="BAL502" s="126"/>
      <c r="BAM502" s="126"/>
      <c r="BAN502" s="126"/>
      <c r="BAO502" s="126"/>
      <c r="BAP502" s="126"/>
      <c r="BAQ502" s="126"/>
      <c r="BAR502" s="126"/>
      <c r="BAS502" s="126"/>
      <c r="BAT502" s="126"/>
      <c r="BAU502" s="126"/>
      <c r="BAV502" s="126"/>
      <c r="BAW502" s="126"/>
      <c r="BAX502" s="126"/>
      <c r="BAY502" s="126"/>
      <c r="BAZ502" s="126"/>
      <c r="BBA502" s="126"/>
      <c r="BBB502" s="126"/>
      <c r="BBC502" s="126"/>
      <c r="BBD502" s="126"/>
      <c r="BBE502" s="126"/>
      <c r="BBF502" s="126"/>
      <c r="BBG502" s="126"/>
      <c r="BBH502" s="126"/>
      <c r="BBI502" s="126"/>
      <c r="BBJ502" s="126"/>
      <c r="BBK502" s="126"/>
      <c r="BBL502" s="126"/>
      <c r="BBM502" s="126"/>
      <c r="BBN502" s="126"/>
      <c r="BBO502" s="126"/>
      <c r="BBP502" s="126"/>
      <c r="BBQ502" s="126"/>
      <c r="BBR502" s="126"/>
      <c r="BBS502" s="126"/>
      <c r="BBT502" s="126"/>
      <c r="BBU502" s="126"/>
      <c r="BBV502" s="126"/>
      <c r="BBW502" s="126"/>
      <c r="BBX502" s="126"/>
      <c r="BBY502" s="126"/>
      <c r="BBZ502" s="126"/>
      <c r="BCA502" s="126"/>
      <c r="BCB502" s="126"/>
      <c r="BCC502" s="126"/>
      <c r="BCD502" s="126"/>
      <c r="BCE502" s="126"/>
      <c r="BCF502" s="126"/>
      <c r="BCG502" s="126"/>
      <c r="BCH502" s="126"/>
      <c r="BCI502" s="126"/>
      <c r="BCJ502" s="126"/>
      <c r="BCK502" s="126"/>
      <c r="BCL502" s="126"/>
      <c r="BCM502" s="126"/>
      <c r="BCN502" s="126"/>
      <c r="BCO502" s="126"/>
      <c r="BCP502" s="126"/>
      <c r="BCQ502" s="126"/>
      <c r="BCR502" s="126"/>
      <c r="BCS502" s="126"/>
      <c r="BCT502" s="126"/>
      <c r="BCU502" s="126"/>
      <c r="BCV502" s="126"/>
      <c r="BCW502" s="126"/>
      <c r="BCX502" s="126"/>
      <c r="BCY502" s="126"/>
      <c r="BCZ502" s="126"/>
      <c r="BDA502" s="126"/>
      <c r="BDB502" s="126"/>
      <c r="BDC502" s="126"/>
      <c r="BDD502" s="126"/>
      <c r="BDE502" s="126"/>
      <c r="BDF502" s="126"/>
      <c r="BDG502" s="126"/>
      <c r="BDH502" s="126"/>
      <c r="BDI502" s="126"/>
      <c r="BDJ502" s="126"/>
      <c r="BDK502" s="126"/>
      <c r="BDL502" s="126"/>
      <c r="BDM502" s="126"/>
      <c r="BDN502" s="126"/>
      <c r="BDO502" s="126"/>
      <c r="BDP502" s="126"/>
      <c r="BDQ502" s="126"/>
      <c r="BDR502" s="126"/>
      <c r="BDS502" s="126"/>
      <c r="BDT502" s="126"/>
      <c r="BDU502" s="126"/>
      <c r="BDV502" s="126"/>
      <c r="BDW502" s="126"/>
      <c r="BDX502" s="126"/>
      <c r="BDY502" s="126"/>
      <c r="BDZ502" s="126"/>
      <c r="BEA502" s="126"/>
      <c r="BEB502" s="126"/>
      <c r="BEC502" s="126"/>
      <c r="BED502" s="126"/>
      <c r="BEE502" s="126"/>
      <c r="BEF502" s="126"/>
      <c r="BEG502" s="126"/>
      <c r="BEH502" s="126"/>
      <c r="BEI502" s="126"/>
      <c r="BEJ502" s="126"/>
      <c r="BEK502" s="126"/>
      <c r="BEL502" s="126"/>
      <c r="BEM502" s="126"/>
      <c r="BEN502" s="126"/>
      <c r="BEO502" s="126"/>
      <c r="BEP502" s="126"/>
      <c r="BEQ502" s="126"/>
      <c r="BER502" s="126"/>
      <c r="BES502" s="126"/>
      <c r="BET502" s="126"/>
      <c r="BEU502" s="126"/>
      <c r="BEV502" s="126"/>
      <c r="BEW502" s="126"/>
      <c r="BEX502" s="126"/>
      <c r="BEY502" s="126"/>
      <c r="BEZ502" s="126"/>
      <c r="BFA502" s="126"/>
      <c r="BFB502" s="126"/>
      <c r="BFC502" s="126"/>
      <c r="BFD502" s="126"/>
      <c r="BFE502" s="126"/>
      <c r="BFF502" s="126"/>
      <c r="BFG502" s="126"/>
      <c r="BFH502" s="126"/>
      <c r="BFI502" s="126"/>
      <c r="BFJ502" s="126"/>
      <c r="BFK502" s="126"/>
      <c r="BFL502" s="126"/>
      <c r="BFM502" s="126"/>
      <c r="BFN502" s="126"/>
      <c r="BFO502" s="126"/>
      <c r="BFP502" s="126"/>
      <c r="BFQ502" s="126"/>
      <c r="BFR502" s="126"/>
      <c r="BFS502" s="126"/>
      <c r="BFT502" s="126"/>
      <c r="BFU502" s="126"/>
      <c r="BFV502" s="126"/>
      <c r="BFW502" s="126"/>
      <c r="BFX502" s="126"/>
      <c r="BFY502" s="126"/>
      <c r="BFZ502" s="126"/>
      <c r="BGA502" s="126"/>
      <c r="BGB502" s="126"/>
      <c r="BGC502" s="126"/>
      <c r="BGD502" s="126"/>
      <c r="BGE502" s="126"/>
      <c r="BGF502" s="126"/>
      <c r="BGG502" s="126"/>
      <c r="BGH502" s="126"/>
      <c r="BGI502" s="126"/>
      <c r="BGJ502" s="126"/>
      <c r="BGK502" s="126"/>
      <c r="BGL502" s="126"/>
      <c r="BGM502" s="126"/>
      <c r="BGN502" s="126"/>
      <c r="BGO502" s="126"/>
      <c r="BGP502" s="126"/>
      <c r="BGQ502" s="126"/>
      <c r="BGR502" s="126"/>
      <c r="BGS502" s="126"/>
      <c r="BGT502" s="126"/>
      <c r="BGU502" s="126"/>
      <c r="BGV502" s="126"/>
      <c r="BGW502" s="126"/>
      <c r="BGX502" s="126"/>
      <c r="BGY502" s="126"/>
      <c r="BGZ502" s="126"/>
      <c r="BHA502" s="126"/>
      <c r="BHB502" s="126"/>
      <c r="BHC502" s="126"/>
      <c r="BHD502" s="126"/>
      <c r="BHE502" s="126"/>
      <c r="BHF502" s="126"/>
      <c r="BHG502" s="126"/>
      <c r="BHH502" s="126"/>
      <c r="BHI502" s="126"/>
      <c r="BHJ502" s="126"/>
      <c r="BHK502" s="126"/>
      <c r="BHL502" s="126"/>
      <c r="BHM502" s="126"/>
      <c r="BHN502" s="126"/>
      <c r="BHO502" s="126"/>
      <c r="BHP502" s="126"/>
      <c r="BHQ502" s="126"/>
      <c r="BHR502" s="126"/>
      <c r="BHS502" s="126"/>
      <c r="BHT502" s="126"/>
      <c r="BHU502" s="126"/>
      <c r="BHV502" s="126"/>
      <c r="BHW502" s="126"/>
      <c r="BHX502" s="126"/>
      <c r="BHY502" s="126"/>
      <c r="BHZ502" s="126"/>
      <c r="BIA502" s="126"/>
      <c r="BIB502" s="126"/>
      <c r="BIC502" s="126"/>
      <c r="BID502" s="126"/>
      <c r="BIE502" s="126"/>
      <c r="BIF502" s="126"/>
      <c r="BIG502" s="126"/>
      <c r="BIH502" s="126"/>
      <c r="BII502" s="126"/>
      <c r="BIJ502" s="126"/>
      <c r="BIK502" s="126"/>
      <c r="BIL502" s="126"/>
      <c r="BIM502" s="126"/>
      <c r="BIN502" s="126"/>
      <c r="BIO502" s="126"/>
      <c r="BIP502" s="126"/>
      <c r="BIQ502" s="126"/>
      <c r="BIR502" s="126"/>
      <c r="BIS502" s="126"/>
      <c r="BIT502" s="126"/>
      <c r="BIU502" s="126"/>
      <c r="BIV502" s="126"/>
      <c r="BIW502" s="126"/>
      <c r="BIX502" s="126"/>
      <c r="BIY502" s="126"/>
      <c r="BIZ502" s="126"/>
      <c r="BJA502" s="126"/>
      <c r="BJB502" s="126"/>
      <c r="BJC502" s="126"/>
      <c r="BJD502" s="126"/>
      <c r="BJE502" s="126"/>
      <c r="BJF502" s="126"/>
      <c r="BJG502" s="126"/>
      <c r="BJH502" s="126"/>
      <c r="BJI502" s="126"/>
      <c r="BJJ502" s="126"/>
      <c r="BJK502" s="126"/>
      <c r="BJL502" s="126"/>
      <c r="BJM502" s="126"/>
      <c r="BJN502" s="126"/>
      <c r="BJO502" s="126"/>
      <c r="BJP502" s="126"/>
      <c r="BJQ502" s="126"/>
      <c r="BJR502" s="126"/>
      <c r="BJS502" s="126"/>
      <c r="BJT502" s="126"/>
      <c r="BJU502" s="126"/>
      <c r="BJV502" s="126"/>
      <c r="BJW502" s="126"/>
      <c r="BJX502" s="126"/>
      <c r="BJY502" s="126"/>
      <c r="BJZ502" s="126"/>
      <c r="BKA502" s="126"/>
      <c r="BKB502" s="126"/>
      <c r="BKC502" s="126"/>
      <c r="BKD502" s="126"/>
      <c r="BKE502" s="126"/>
      <c r="BKF502" s="126"/>
      <c r="BKG502" s="126"/>
      <c r="BKH502" s="126"/>
      <c r="BKI502" s="126"/>
      <c r="BKJ502" s="126"/>
      <c r="BKK502" s="126"/>
      <c r="BKL502" s="126"/>
      <c r="BKM502" s="126"/>
      <c r="BKN502" s="126"/>
      <c r="BKO502" s="126"/>
      <c r="BKP502" s="126"/>
      <c r="BKQ502" s="126"/>
      <c r="BKR502" s="126"/>
      <c r="BKS502" s="126"/>
      <c r="BKT502" s="126"/>
      <c r="BKU502" s="126"/>
      <c r="BKV502" s="126"/>
      <c r="BKW502" s="126"/>
      <c r="BKX502" s="126"/>
      <c r="BKY502" s="126"/>
      <c r="BKZ502" s="126"/>
      <c r="BLA502" s="126"/>
      <c r="BLB502" s="126"/>
      <c r="BLC502" s="126"/>
      <c r="BLD502" s="126"/>
      <c r="BLE502" s="126"/>
      <c r="BLF502" s="126"/>
      <c r="BLG502" s="126"/>
      <c r="BLH502" s="126"/>
      <c r="BLI502" s="126"/>
      <c r="BLJ502" s="126"/>
      <c r="BLK502" s="126"/>
      <c r="BLL502" s="126"/>
      <c r="BLM502" s="126"/>
      <c r="BLN502" s="126"/>
      <c r="BLO502" s="126"/>
      <c r="BLP502" s="126"/>
      <c r="BLQ502" s="126"/>
      <c r="BLR502" s="126"/>
      <c r="BLS502" s="126"/>
      <c r="BLT502" s="126"/>
      <c r="BLU502" s="126"/>
      <c r="BLV502" s="126"/>
      <c r="BLW502" s="126"/>
      <c r="BLX502" s="126"/>
      <c r="BLY502" s="126"/>
      <c r="BLZ502" s="126"/>
      <c r="BMA502" s="126"/>
      <c r="BMB502" s="126"/>
      <c r="BMC502" s="126"/>
      <c r="BMD502" s="126"/>
      <c r="BME502" s="126"/>
      <c r="BMF502" s="126"/>
      <c r="BMG502" s="126"/>
      <c r="BMH502" s="126"/>
      <c r="BMI502" s="126"/>
      <c r="BMJ502" s="126"/>
      <c r="BMK502" s="126"/>
      <c r="BML502" s="126"/>
      <c r="BMM502" s="126"/>
      <c r="BMN502" s="126"/>
      <c r="BMO502" s="126"/>
      <c r="BMP502" s="126"/>
      <c r="BMQ502" s="126"/>
      <c r="BMR502" s="126"/>
      <c r="BMS502" s="126"/>
      <c r="BMT502" s="126"/>
      <c r="BMU502" s="126"/>
      <c r="BMV502" s="126"/>
      <c r="BMW502" s="126"/>
      <c r="BMX502" s="126"/>
      <c r="BMY502" s="126"/>
      <c r="BMZ502" s="126"/>
      <c r="BNA502" s="126"/>
      <c r="BNB502" s="126"/>
      <c r="BNC502" s="126"/>
      <c r="BND502" s="126"/>
      <c r="BNE502" s="126"/>
      <c r="BNF502" s="126"/>
      <c r="BNG502" s="126"/>
      <c r="BNH502" s="126"/>
      <c r="BNI502" s="126"/>
      <c r="BNJ502" s="126"/>
      <c r="BNK502" s="126"/>
      <c r="BNL502" s="126"/>
      <c r="BNM502" s="126"/>
      <c r="BNN502" s="126"/>
      <c r="BNO502" s="126"/>
      <c r="BNP502" s="126"/>
      <c r="BNQ502" s="126"/>
      <c r="BNR502" s="126"/>
      <c r="BNS502" s="126"/>
      <c r="BNT502" s="126"/>
      <c r="BNU502" s="126"/>
      <c r="BNV502" s="126"/>
      <c r="BNW502" s="126"/>
      <c r="BNX502" s="126"/>
      <c r="BNY502" s="126"/>
      <c r="BNZ502" s="126"/>
      <c r="BOA502" s="126"/>
      <c r="BOB502" s="126"/>
      <c r="BOC502" s="126"/>
      <c r="BOD502" s="126"/>
      <c r="BOE502" s="126"/>
      <c r="BOF502" s="126"/>
      <c r="BOG502" s="126"/>
      <c r="BOH502" s="126"/>
      <c r="BOI502" s="126"/>
      <c r="BOJ502" s="126"/>
      <c r="BOK502" s="126"/>
      <c r="BOL502" s="126"/>
      <c r="BOM502" s="126"/>
      <c r="BON502" s="126"/>
      <c r="BOO502" s="126"/>
      <c r="BOP502" s="126"/>
      <c r="BOQ502" s="126"/>
      <c r="BOR502" s="126"/>
      <c r="BOS502" s="126"/>
      <c r="BOT502" s="126"/>
      <c r="BOU502" s="126"/>
      <c r="BOV502" s="126"/>
      <c r="BOW502" s="126"/>
      <c r="BOX502" s="126"/>
      <c r="BOY502" s="126"/>
      <c r="BOZ502" s="126"/>
      <c r="BPA502" s="126"/>
      <c r="BPB502" s="126"/>
      <c r="BPC502" s="126"/>
      <c r="BPD502" s="126"/>
      <c r="BPE502" s="126"/>
      <c r="BPF502" s="126"/>
      <c r="BPG502" s="126"/>
      <c r="BPH502" s="126"/>
      <c r="BPI502" s="126"/>
      <c r="BPJ502" s="126"/>
      <c r="BPK502" s="126"/>
      <c r="BPL502" s="126"/>
      <c r="BPM502" s="126"/>
      <c r="BPN502" s="126"/>
      <c r="BPO502" s="126"/>
      <c r="BPP502" s="126"/>
      <c r="BPQ502" s="126"/>
      <c r="BPR502" s="126"/>
      <c r="BPS502" s="126"/>
      <c r="BPT502" s="126"/>
      <c r="BPU502" s="126"/>
      <c r="BPV502" s="126"/>
      <c r="BPW502" s="126"/>
      <c r="BPX502" s="126"/>
      <c r="BPY502" s="126"/>
      <c r="BPZ502" s="126"/>
      <c r="BQA502" s="126"/>
      <c r="BQB502" s="126"/>
      <c r="BQC502" s="126"/>
      <c r="BQD502" s="126"/>
      <c r="BQE502" s="126"/>
      <c r="BQF502" s="126"/>
      <c r="BQG502" s="126"/>
      <c r="BQH502" s="126"/>
      <c r="BQI502" s="126"/>
      <c r="BQJ502" s="126"/>
      <c r="BQK502" s="126"/>
      <c r="BQL502" s="126"/>
      <c r="BQM502" s="126"/>
      <c r="BQN502" s="126"/>
      <c r="BQO502" s="126"/>
      <c r="BQP502" s="126"/>
      <c r="BQQ502" s="126"/>
      <c r="BQR502" s="126"/>
      <c r="BQS502" s="126"/>
      <c r="BQT502" s="126"/>
      <c r="BQU502" s="126"/>
      <c r="BQV502" s="126"/>
      <c r="BQW502" s="126"/>
      <c r="BQX502" s="126"/>
      <c r="BQY502" s="126"/>
      <c r="BQZ502" s="126"/>
      <c r="BRA502" s="126"/>
      <c r="BRB502" s="126"/>
      <c r="BRC502" s="126"/>
      <c r="BRD502" s="126"/>
      <c r="BRE502" s="126"/>
      <c r="BRF502" s="126"/>
      <c r="BRG502" s="126"/>
      <c r="BRH502" s="126"/>
      <c r="BRI502" s="126"/>
      <c r="BRJ502" s="126"/>
      <c r="BRK502" s="126"/>
      <c r="BRL502" s="126"/>
      <c r="BRM502" s="126"/>
      <c r="BRN502" s="126"/>
      <c r="BRO502" s="126"/>
      <c r="BRP502" s="126"/>
      <c r="BRQ502" s="126"/>
      <c r="BRR502" s="126"/>
      <c r="BRS502" s="126"/>
      <c r="BRT502" s="126"/>
      <c r="BRU502" s="126"/>
      <c r="BRV502" s="126"/>
      <c r="BRW502" s="126"/>
      <c r="BRX502" s="126"/>
      <c r="BRY502" s="126"/>
      <c r="BRZ502" s="126"/>
      <c r="BSA502" s="126"/>
      <c r="BSB502" s="126"/>
      <c r="BSC502" s="126"/>
      <c r="BSD502" s="126"/>
      <c r="BSE502" s="126"/>
      <c r="BSF502" s="126"/>
      <c r="BSG502" s="126"/>
      <c r="BSH502" s="126"/>
      <c r="BSI502" s="126"/>
      <c r="BSJ502" s="126"/>
      <c r="BSK502" s="126"/>
      <c r="BSL502" s="126"/>
      <c r="BSM502" s="126"/>
      <c r="BSN502" s="126"/>
      <c r="BSO502" s="126"/>
      <c r="BSP502" s="126"/>
      <c r="BSQ502" s="126"/>
      <c r="BSR502" s="126"/>
      <c r="BSS502" s="126"/>
      <c r="BST502" s="126"/>
      <c r="BSU502" s="126"/>
      <c r="BSV502" s="126"/>
      <c r="BSW502" s="126"/>
      <c r="BSX502" s="126"/>
      <c r="BSY502" s="126"/>
      <c r="BSZ502" s="126"/>
      <c r="BTA502" s="126"/>
      <c r="BTB502" s="126"/>
      <c r="BTC502" s="126"/>
      <c r="BTD502" s="126"/>
      <c r="BTE502" s="126"/>
      <c r="BTF502" s="126"/>
      <c r="BTG502" s="126"/>
      <c r="BTH502" s="126"/>
      <c r="BTI502" s="126"/>
      <c r="BTJ502" s="126"/>
      <c r="BTK502" s="126"/>
      <c r="BTL502" s="126"/>
      <c r="BTM502" s="126"/>
      <c r="BTN502" s="126"/>
      <c r="BTO502" s="126"/>
      <c r="BTP502" s="126"/>
      <c r="BTQ502" s="126"/>
      <c r="BTR502" s="126"/>
      <c r="BTS502" s="126"/>
      <c r="BTT502" s="126"/>
      <c r="BTU502" s="126"/>
      <c r="BTV502" s="126"/>
      <c r="BTW502" s="126"/>
      <c r="BTX502" s="126"/>
      <c r="BTY502" s="126"/>
      <c r="BTZ502" s="126"/>
      <c r="BUA502" s="126"/>
      <c r="BUB502" s="126"/>
      <c r="BUC502" s="126"/>
      <c r="BUD502" s="126"/>
      <c r="BUE502" s="126"/>
      <c r="BUF502" s="126"/>
      <c r="BUG502" s="126"/>
      <c r="BUH502" s="126"/>
      <c r="BUI502" s="126"/>
      <c r="BUJ502" s="126"/>
      <c r="BUK502" s="126"/>
      <c r="BUL502" s="126"/>
      <c r="BUM502" s="126"/>
      <c r="BUN502" s="126"/>
      <c r="BUO502" s="126"/>
      <c r="BUP502" s="126"/>
      <c r="BUQ502" s="126"/>
      <c r="BUR502" s="126"/>
      <c r="BUS502" s="126"/>
      <c r="BUT502" s="126"/>
      <c r="BUU502" s="126"/>
      <c r="BUV502" s="126"/>
      <c r="BUW502" s="126"/>
      <c r="BUX502" s="126"/>
      <c r="BUY502" s="126"/>
      <c r="BUZ502" s="126"/>
      <c r="BVA502" s="126"/>
      <c r="BVB502" s="126"/>
      <c r="BVC502" s="126"/>
      <c r="BVD502" s="126"/>
      <c r="BVE502" s="126"/>
      <c r="BVF502" s="126"/>
      <c r="BVG502" s="126"/>
      <c r="BVH502" s="126"/>
      <c r="BVI502" s="126"/>
      <c r="BVJ502" s="126"/>
      <c r="BVK502" s="126"/>
      <c r="BVL502" s="126"/>
      <c r="BVM502" s="126"/>
      <c r="BVN502" s="126"/>
      <c r="BVO502" s="126"/>
      <c r="BVP502" s="126"/>
      <c r="BVQ502" s="126"/>
      <c r="BVR502" s="126"/>
      <c r="BVS502" s="126"/>
      <c r="BVT502" s="126"/>
      <c r="BVU502" s="126"/>
      <c r="BVV502" s="126"/>
      <c r="BVW502" s="126"/>
      <c r="BVX502" s="126"/>
      <c r="BVY502" s="126"/>
      <c r="BVZ502" s="126"/>
      <c r="BWA502" s="126"/>
      <c r="BWB502" s="126"/>
      <c r="BWC502" s="126"/>
      <c r="BWD502" s="126"/>
      <c r="BWE502" s="126"/>
      <c r="BWF502" s="126"/>
      <c r="BWG502" s="126"/>
      <c r="BWH502" s="126"/>
      <c r="BWI502" s="126"/>
      <c r="BWJ502" s="126"/>
      <c r="BWK502" s="126"/>
      <c r="BWL502" s="126"/>
      <c r="BWM502" s="126"/>
      <c r="BWN502" s="126"/>
      <c r="BWO502" s="126"/>
      <c r="BWP502" s="126"/>
      <c r="BWQ502" s="126"/>
      <c r="BWR502" s="126"/>
      <c r="BWS502" s="126"/>
      <c r="BWT502" s="126"/>
      <c r="BWU502" s="126"/>
      <c r="BWV502" s="126"/>
      <c r="BWW502" s="126"/>
      <c r="BWX502" s="126"/>
      <c r="BWY502" s="126"/>
      <c r="BWZ502" s="126"/>
      <c r="BXA502" s="126"/>
      <c r="BXB502" s="126"/>
      <c r="BXC502" s="126"/>
      <c r="BXD502" s="126"/>
      <c r="BXE502" s="126"/>
      <c r="BXF502" s="126"/>
      <c r="BXG502" s="126"/>
      <c r="BXH502" s="126"/>
      <c r="BXI502" s="126"/>
      <c r="BXJ502" s="126"/>
      <c r="BXK502" s="126"/>
      <c r="BXL502" s="126"/>
      <c r="BXM502" s="126"/>
      <c r="BXN502" s="126"/>
      <c r="BXO502" s="126"/>
      <c r="BXP502" s="126"/>
      <c r="BXQ502" s="126"/>
      <c r="BXR502" s="126"/>
      <c r="BXS502" s="126"/>
      <c r="BXT502" s="126"/>
      <c r="BXU502" s="126"/>
      <c r="BXV502" s="126"/>
      <c r="BXW502" s="126"/>
      <c r="BXX502" s="126"/>
      <c r="BXY502" s="126"/>
      <c r="BXZ502" s="126"/>
      <c r="BYA502" s="126"/>
      <c r="BYB502" s="126"/>
      <c r="BYC502" s="126"/>
      <c r="BYD502" s="126"/>
      <c r="BYE502" s="126"/>
      <c r="BYF502" s="126"/>
      <c r="BYG502" s="126"/>
      <c r="BYH502" s="126"/>
      <c r="BYI502" s="126"/>
      <c r="BYJ502" s="126"/>
      <c r="BYK502" s="126"/>
      <c r="BYL502" s="126"/>
      <c r="BYM502" s="126"/>
      <c r="BYN502" s="126"/>
      <c r="BYO502" s="126"/>
      <c r="BYP502" s="126"/>
      <c r="BYQ502" s="126"/>
      <c r="BYR502" s="126"/>
      <c r="BYS502" s="126"/>
      <c r="BYT502" s="126"/>
      <c r="BYU502" s="126"/>
      <c r="BYV502" s="126"/>
      <c r="BYW502" s="126"/>
      <c r="BYX502" s="126"/>
      <c r="BYY502" s="126"/>
      <c r="BYZ502" s="126"/>
      <c r="BZA502" s="126"/>
      <c r="BZB502" s="126"/>
      <c r="BZC502" s="126"/>
      <c r="BZD502" s="126"/>
      <c r="BZE502" s="126"/>
      <c r="BZF502" s="126"/>
      <c r="BZG502" s="126"/>
      <c r="BZH502" s="126"/>
      <c r="BZI502" s="126"/>
      <c r="BZJ502" s="126"/>
      <c r="BZK502" s="126"/>
      <c r="BZL502" s="126"/>
      <c r="BZM502" s="126"/>
      <c r="BZN502" s="126"/>
      <c r="BZO502" s="126"/>
      <c r="BZP502" s="126"/>
      <c r="BZQ502" s="126"/>
      <c r="BZR502" s="126"/>
      <c r="BZS502" s="126"/>
      <c r="BZT502" s="126"/>
      <c r="BZU502" s="126"/>
      <c r="BZV502" s="126"/>
      <c r="BZW502" s="126"/>
      <c r="BZX502" s="126"/>
      <c r="BZY502" s="126"/>
      <c r="BZZ502" s="126"/>
      <c r="CAA502" s="126"/>
      <c r="CAB502" s="126"/>
      <c r="CAC502" s="126"/>
      <c r="CAD502" s="126"/>
      <c r="CAE502" s="126"/>
      <c r="CAF502" s="126"/>
      <c r="CAG502" s="126"/>
      <c r="CAH502" s="126"/>
      <c r="CAI502" s="126"/>
      <c r="CAJ502" s="126"/>
      <c r="CAK502" s="126"/>
      <c r="CAL502" s="126"/>
      <c r="CAM502" s="126"/>
      <c r="CAN502" s="126"/>
      <c r="CAO502" s="126"/>
      <c r="CAP502" s="126"/>
      <c r="CAQ502" s="126"/>
      <c r="CAR502" s="126"/>
      <c r="CAS502" s="126"/>
      <c r="CAT502" s="126"/>
      <c r="CAU502" s="126"/>
      <c r="CAV502" s="126"/>
      <c r="CAW502" s="126"/>
      <c r="CAX502" s="126"/>
      <c r="CAY502" s="126"/>
      <c r="CAZ502" s="126"/>
      <c r="CBA502" s="126"/>
      <c r="CBB502" s="126"/>
      <c r="CBC502" s="126"/>
      <c r="CBD502" s="126"/>
      <c r="CBE502" s="126"/>
      <c r="CBF502" s="126"/>
      <c r="CBG502" s="126"/>
      <c r="CBH502" s="126"/>
      <c r="CBI502" s="126"/>
      <c r="CBJ502" s="126"/>
      <c r="CBK502" s="126"/>
      <c r="CBL502" s="126"/>
      <c r="CBM502" s="126"/>
      <c r="CBN502" s="126"/>
      <c r="CBO502" s="126"/>
      <c r="CBP502" s="126"/>
      <c r="CBQ502" s="126"/>
      <c r="CBR502" s="126"/>
      <c r="CBS502" s="126"/>
      <c r="CBT502" s="126"/>
      <c r="CBU502" s="126"/>
      <c r="CBV502" s="126"/>
      <c r="CBW502" s="126"/>
      <c r="CBX502" s="126"/>
      <c r="CBY502" s="126"/>
      <c r="CBZ502" s="126"/>
      <c r="CCA502" s="126"/>
      <c r="CCB502" s="126"/>
      <c r="CCC502" s="126"/>
      <c r="CCD502" s="126"/>
      <c r="CCE502" s="126"/>
      <c r="CCF502" s="126"/>
      <c r="CCG502" s="126"/>
      <c r="CCH502" s="126"/>
      <c r="CCI502" s="126"/>
      <c r="CCJ502" s="126"/>
      <c r="CCK502" s="126"/>
      <c r="CCL502" s="126"/>
      <c r="CCM502" s="126"/>
      <c r="CCN502" s="126"/>
      <c r="CCO502" s="126"/>
      <c r="CCP502" s="126"/>
      <c r="CCQ502" s="126"/>
      <c r="CCR502" s="126"/>
      <c r="CCS502" s="126"/>
      <c r="CCT502" s="126"/>
      <c r="CCU502" s="126"/>
      <c r="CCV502" s="126"/>
      <c r="CCW502" s="126"/>
      <c r="CCX502" s="126"/>
      <c r="CCY502" s="126"/>
      <c r="CCZ502" s="126"/>
      <c r="CDA502" s="126"/>
      <c r="CDB502" s="126"/>
      <c r="CDC502" s="126"/>
      <c r="CDD502" s="126"/>
      <c r="CDE502" s="126"/>
      <c r="CDF502" s="126"/>
      <c r="CDG502" s="126"/>
      <c r="CDH502" s="126"/>
      <c r="CDI502" s="126"/>
      <c r="CDJ502" s="126"/>
      <c r="CDK502" s="126"/>
      <c r="CDL502" s="126"/>
      <c r="CDM502" s="126"/>
      <c r="CDN502" s="126"/>
      <c r="CDO502" s="126"/>
      <c r="CDP502" s="126"/>
      <c r="CDQ502" s="126"/>
      <c r="CDR502" s="126"/>
      <c r="CDS502" s="126"/>
      <c r="CDT502" s="126"/>
      <c r="CDU502" s="126"/>
      <c r="CDV502" s="126"/>
      <c r="CDW502" s="126"/>
      <c r="CDX502" s="126"/>
      <c r="CDY502" s="126"/>
      <c r="CDZ502" s="126"/>
      <c r="CEA502" s="126"/>
      <c r="CEB502" s="126"/>
      <c r="CEC502" s="126"/>
      <c r="CED502" s="126"/>
      <c r="CEE502" s="126"/>
      <c r="CEF502" s="126"/>
      <c r="CEG502" s="126"/>
      <c r="CEH502" s="126"/>
      <c r="CEI502" s="126"/>
      <c r="CEJ502" s="126"/>
      <c r="CEK502" s="126"/>
      <c r="CEL502" s="126"/>
      <c r="CEM502" s="126"/>
      <c r="CEN502" s="126"/>
      <c r="CEO502" s="126"/>
      <c r="CEP502" s="126"/>
      <c r="CEQ502" s="126"/>
      <c r="CER502" s="126"/>
      <c r="CES502" s="126"/>
      <c r="CET502" s="126"/>
      <c r="CEU502" s="126"/>
      <c r="CEV502" s="126"/>
      <c r="CEW502" s="126"/>
      <c r="CEX502" s="126"/>
      <c r="CEY502" s="126"/>
      <c r="CEZ502" s="126"/>
      <c r="CFA502" s="126"/>
      <c r="CFB502" s="126"/>
      <c r="CFC502" s="126"/>
      <c r="CFD502" s="126"/>
      <c r="CFE502" s="126"/>
      <c r="CFF502" s="126"/>
      <c r="CFG502" s="126"/>
      <c r="CFH502" s="126"/>
      <c r="CFI502" s="126"/>
      <c r="CFJ502" s="126"/>
      <c r="CFK502" s="126"/>
      <c r="CFL502" s="126"/>
      <c r="CFM502" s="126"/>
      <c r="CFN502" s="126"/>
      <c r="CFO502" s="126"/>
      <c r="CFP502" s="126"/>
      <c r="CFQ502" s="126"/>
      <c r="CFR502" s="126"/>
      <c r="CFS502" s="126"/>
      <c r="CFT502" s="126"/>
      <c r="CFU502" s="126"/>
      <c r="CFV502" s="126"/>
      <c r="CFW502" s="126"/>
      <c r="CFX502" s="126"/>
      <c r="CFY502" s="126"/>
      <c r="CFZ502" s="126"/>
      <c r="CGA502" s="126"/>
      <c r="CGB502" s="126"/>
      <c r="CGC502" s="126"/>
      <c r="CGD502" s="126"/>
      <c r="CGE502" s="126"/>
      <c r="CGF502" s="126"/>
      <c r="CGG502" s="126"/>
      <c r="CGH502" s="126"/>
      <c r="CGI502" s="126"/>
      <c r="CGJ502" s="126"/>
      <c r="CGK502" s="126"/>
      <c r="CGL502" s="126"/>
      <c r="CGM502" s="126"/>
      <c r="CGN502" s="126"/>
      <c r="CGO502" s="126"/>
      <c r="CGP502" s="126"/>
      <c r="CGQ502" s="126"/>
      <c r="CGR502" s="126"/>
      <c r="CGS502" s="126"/>
      <c r="CGT502" s="126"/>
      <c r="CGU502" s="126"/>
      <c r="CGV502" s="126"/>
      <c r="CGW502" s="126"/>
      <c r="CGX502" s="126"/>
      <c r="CGY502" s="126"/>
      <c r="CGZ502" s="126"/>
      <c r="CHA502" s="126"/>
      <c r="CHB502" s="126"/>
      <c r="CHC502" s="126"/>
      <c r="CHD502" s="126"/>
      <c r="CHE502" s="126"/>
      <c r="CHF502" s="126"/>
      <c r="CHG502" s="126"/>
      <c r="CHH502" s="126"/>
      <c r="CHI502" s="126"/>
      <c r="CHJ502" s="126"/>
      <c r="CHK502" s="126"/>
      <c r="CHL502" s="126"/>
      <c r="CHM502" s="126"/>
      <c r="CHN502" s="126"/>
      <c r="CHO502" s="126"/>
      <c r="CHP502" s="126"/>
      <c r="CHQ502" s="126"/>
      <c r="CHR502" s="126"/>
      <c r="CHS502" s="126"/>
      <c r="CHT502" s="126"/>
      <c r="CHU502" s="126"/>
      <c r="CHV502" s="126"/>
      <c r="CHW502" s="126"/>
      <c r="CHX502" s="126"/>
      <c r="CHY502" s="126"/>
      <c r="CHZ502" s="126"/>
      <c r="CIA502" s="126"/>
      <c r="CIB502" s="126"/>
      <c r="CIC502" s="126"/>
      <c r="CID502" s="126"/>
      <c r="CIE502" s="126"/>
      <c r="CIF502" s="126"/>
      <c r="CIG502" s="126"/>
      <c r="CIH502" s="126"/>
      <c r="CII502" s="126"/>
      <c r="CIJ502" s="126"/>
      <c r="CIK502" s="126"/>
      <c r="CIL502" s="126"/>
      <c r="CIM502" s="126"/>
      <c r="CIN502" s="126"/>
      <c r="CIO502" s="126"/>
      <c r="CIP502" s="126"/>
      <c r="CIQ502" s="126"/>
      <c r="CIR502" s="126"/>
      <c r="CIS502" s="126"/>
      <c r="CIT502" s="126"/>
      <c r="CIU502" s="126"/>
      <c r="CIV502" s="126"/>
      <c r="CIW502" s="126"/>
      <c r="CIX502" s="126"/>
      <c r="CIY502" s="126"/>
      <c r="CIZ502" s="126"/>
      <c r="CJA502" s="126"/>
      <c r="CJB502" s="126"/>
      <c r="CJC502" s="126"/>
      <c r="CJD502" s="126"/>
      <c r="CJE502" s="126"/>
      <c r="CJF502" s="126"/>
      <c r="CJG502" s="126"/>
      <c r="CJH502" s="126"/>
      <c r="CJI502" s="126"/>
      <c r="CJJ502" s="126"/>
      <c r="CJK502" s="126"/>
      <c r="CJL502" s="126"/>
      <c r="CJM502" s="126"/>
      <c r="CJN502" s="126"/>
      <c r="CJO502" s="126"/>
      <c r="CJP502" s="126"/>
      <c r="CJQ502" s="126"/>
      <c r="CJR502" s="126"/>
      <c r="CJS502" s="126"/>
      <c r="CJT502" s="126"/>
      <c r="CJU502" s="126"/>
      <c r="CJV502" s="126"/>
      <c r="CJW502" s="126"/>
      <c r="CJX502" s="126"/>
      <c r="CJY502" s="126"/>
      <c r="CJZ502" s="126"/>
      <c r="CKA502" s="126"/>
      <c r="CKB502" s="126"/>
      <c r="CKC502" s="126"/>
      <c r="CKD502" s="126"/>
      <c r="CKE502" s="126"/>
      <c r="CKF502" s="126"/>
      <c r="CKG502" s="126"/>
      <c r="CKH502" s="126"/>
      <c r="CKI502" s="126"/>
      <c r="CKJ502" s="126"/>
      <c r="CKK502" s="126"/>
      <c r="CKL502" s="126"/>
      <c r="CKM502" s="126"/>
      <c r="CKN502" s="126"/>
      <c r="CKO502" s="126"/>
      <c r="CKP502" s="126"/>
      <c r="CKQ502" s="126"/>
      <c r="CKR502" s="126"/>
      <c r="CKS502" s="126"/>
      <c r="CKT502" s="126"/>
      <c r="CKU502" s="126"/>
      <c r="CKV502" s="126"/>
      <c r="CKW502" s="126"/>
      <c r="CKX502" s="126"/>
      <c r="CKY502" s="126"/>
      <c r="CKZ502" s="126"/>
      <c r="CLA502" s="126"/>
      <c r="CLB502" s="126"/>
      <c r="CLC502" s="126"/>
      <c r="CLD502" s="126"/>
      <c r="CLE502" s="126"/>
      <c r="CLF502" s="126"/>
      <c r="CLG502" s="126"/>
      <c r="CLH502" s="126"/>
      <c r="CLI502" s="126"/>
      <c r="CLJ502" s="126"/>
      <c r="CLK502" s="126"/>
      <c r="CLL502" s="126"/>
      <c r="CLM502" s="126"/>
      <c r="CLN502" s="126"/>
      <c r="CLO502" s="126"/>
      <c r="CLP502" s="126"/>
      <c r="CLQ502" s="126"/>
      <c r="CLR502" s="126"/>
      <c r="CLS502" s="126"/>
      <c r="CLT502" s="126"/>
      <c r="CLU502" s="126"/>
      <c r="CLV502" s="126"/>
      <c r="CLW502" s="126"/>
      <c r="CLX502" s="126"/>
      <c r="CLY502" s="126"/>
      <c r="CLZ502" s="126"/>
      <c r="CMA502" s="126"/>
      <c r="CMB502" s="126"/>
      <c r="CMC502" s="126"/>
      <c r="CMD502" s="126"/>
      <c r="CME502" s="126"/>
      <c r="CMF502" s="126"/>
      <c r="CMG502" s="126"/>
      <c r="CMH502" s="126"/>
      <c r="CMI502" s="126"/>
      <c r="CMJ502" s="126"/>
      <c r="CMK502" s="126"/>
      <c r="CML502" s="126"/>
      <c r="CMM502" s="126"/>
      <c r="CMN502" s="126"/>
      <c r="CMO502" s="126"/>
      <c r="CMP502" s="126"/>
      <c r="CMQ502" s="126"/>
      <c r="CMR502" s="126"/>
      <c r="CMS502" s="126"/>
      <c r="CMT502" s="126"/>
      <c r="CMU502" s="126"/>
      <c r="CMV502" s="126"/>
      <c r="CMW502" s="126"/>
      <c r="CMX502" s="126"/>
      <c r="CMY502" s="126"/>
      <c r="CMZ502" s="126"/>
      <c r="CNA502" s="126"/>
      <c r="CNB502" s="126"/>
      <c r="CNC502" s="126"/>
      <c r="CND502" s="126"/>
      <c r="CNE502" s="126"/>
      <c r="CNF502" s="126"/>
      <c r="CNG502" s="126"/>
      <c r="CNH502" s="126"/>
      <c r="CNI502" s="126"/>
      <c r="CNJ502" s="126"/>
      <c r="CNK502" s="126"/>
      <c r="CNL502" s="126"/>
      <c r="CNM502" s="126"/>
      <c r="CNN502" s="126"/>
      <c r="CNO502" s="126"/>
      <c r="CNP502" s="126"/>
      <c r="CNQ502" s="126"/>
      <c r="CNR502" s="126"/>
      <c r="CNS502" s="126"/>
      <c r="CNT502" s="126"/>
      <c r="CNU502" s="126"/>
      <c r="CNV502" s="126"/>
      <c r="CNW502" s="126"/>
      <c r="CNX502" s="126"/>
      <c r="CNY502" s="126"/>
      <c r="CNZ502" s="126"/>
      <c r="COA502" s="126"/>
      <c r="COB502" s="126"/>
      <c r="COC502" s="126"/>
      <c r="COD502" s="126"/>
      <c r="COE502" s="126"/>
      <c r="COF502" s="126"/>
      <c r="COG502" s="126"/>
      <c r="COH502" s="126"/>
      <c r="COI502" s="126"/>
      <c r="COJ502" s="126"/>
      <c r="COK502" s="126"/>
      <c r="COL502" s="126"/>
      <c r="COM502" s="126"/>
      <c r="CON502" s="126"/>
      <c r="COO502" s="126"/>
      <c r="COP502" s="126"/>
      <c r="COQ502" s="126"/>
      <c r="COR502" s="126"/>
      <c r="COS502" s="126"/>
      <c r="COT502" s="126"/>
      <c r="COU502" s="126"/>
      <c r="COV502" s="126"/>
      <c r="COW502" s="126"/>
      <c r="COX502" s="126"/>
      <c r="COY502" s="126"/>
      <c r="COZ502" s="126"/>
      <c r="CPA502" s="126"/>
      <c r="CPB502" s="126"/>
      <c r="CPC502" s="126"/>
      <c r="CPD502" s="126"/>
      <c r="CPE502" s="126"/>
      <c r="CPF502" s="126"/>
      <c r="CPG502" s="126"/>
      <c r="CPH502" s="126"/>
      <c r="CPI502" s="126"/>
      <c r="CPJ502" s="126"/>
      <c r="CPK502" s="126"/>
      <c r="CPL502" s="126"/>
      <c r="CPM502" s="126"/>
      <c r="CPN502" s="126"/>
      <c r="CPO502" s="126"/>
      <c r="CPP502" s="126"/>
      <c r="CPQ502" s="126"/>
      <c r="CPR502" s="126"/>
      <c r="CPS502" s="126"/>
      <c r="CPT502" s="126"/>
      <c r="CPU502" s="126"/>
      <c r="CPV502" s="126"/>
      <c r="CPW502" s="126"/>
      <c r="CPX502" s="126"/>
      <c r="CPY502" s="126"/>
      <c r="CPZ502" s="126"/>
      <c r="CQA502" s="126"/>
      <c r="CQB502" s="126"/>
      <c r="CQC502" s="126"/>
      <c r="CQD502" s="126"/>
      <c r="CQE502" s="126"/>
      <c r="CQF502" s="126"/>
      <c r="CQG502" s="126"/>
      <c r="CQH502" s="126"/>
      <c r="CQI502" s="126"/>
      <c r="CQJ502" s="126"/>
      <c r="CQK502" s="126"/>
      <c r="CQL502" s="126"/>
      <c r="CQM502" s="126"/>
      <c r="CQN502" s="126"/>
      <c r="CQO502" s="126"/>
      <c r="CQP502" s="126"/>
      <c r="CQQ502" s="126"/>
      <c r="CQR502" s="126"/>
      <c r="CQS502" s="126"/>
      <c r="CQT502" s="126"/>
      <c r="CQU502" s="126"/>
      <c r="CQV502" s="126"/>
      <c r="CQW502" s="126"/>
      <c r="CQX502" s="126"/>
      <c r="CQY502" s="126"/>
      <c r="CQZ502" s="126"/>
      <c r="CRA502" s="126"/>
      <c r="CRB502" s="126"/>
      <c r="CRC502" s="126"/>
      <c r="CRD502" s="126"/>
      <c r="CRE502" s="126"/>
      <c r="CRF502" s="126"/>
      <c r="CRG502" s="126"/>
      <c r="CRH502" s="126"/>
      <c r="CRI502" s="126"/>
      <c r="CRJ502" s="126"/>
      <c r="CRK502" s="126"/>
      <c r="CRL502" s="126"/>
      <c r="CRM502" s="126"/>
      <c r="CRN502" s="126"/>
      <c r="CRO502" s="126"/>
      <c r="CRP502" s="126"/>
      <c r="CRQ502" s="126"/>
      <c r="CRR502" s="126"/>
      <c r="CRS502" s="126"/>
      <c r="CRT502" s="126"/>
      <c r="CRU502" s="126"/>
      <c r="CRV502" s="126"/>
      <c r="CRW502" s="126"/>
      <c r="CRX502" s="126"/>
      <c r="CRY502" s="126"/>
      <c r="CRZ502" s="126"/>
      <c r="CSA502" s="126"/>
      <c r="CSB502" s="126"/>
      <c r="CSC502" s="126"/>
      <c r="CSD502" s="126"/>
      <c r="CSE502" s="126"/>
      <c r="CSF502" s="126"/>
      <c r="CSG502" s="126"/>
      <c r="CSH502" s="126"/>
      <c r="CSI502" s="126"/>
      <c r="CSJ502" s="126"/>
      <c r="CSK502" s="126"/>
      <c r="CSL502" s="126"/>
      <c r="CSM502" s="126"/>
      <c r="CSN502" s="126"/>
      <c r="CSO502" s="126"/>
      <c r="CSP502" s="126"/>
      <c r="CSQ502" s="126"/>
      <c r="CSR502" s="126"/>
      <c r="CSS502" s="126"/>
      <c r="CST502" s="126"/>
      <c r="CSU502" s="126"/>
      <c r="CSV502" s="126"/>
      <c r="CSW502" s="126"/>
      <c r="CSX502" s="126"/>
      <c r="CSY502" s="126"/>
      <c r="CSZ502" s="126"/>
      <c r="CTA502" s="126"/>
      <c r="CTB502" s="126"/>
      <c r="CTC502" s="126"/>
      <c r="CTD502" s="126"/>
      <c r="CTE502" s="126"/>
      <c r="CTF502" s="126"/>
      <c r="CTG502" s="126"/>
      <c r="CTH502" s="126"/>
      <c r="CTI502" s="126"/>
      <c r="CTJ502" s="126"/>
      <c r="CTK502" s="126"/>
      <c r="CTL502" s="126"/>
      <c r="CTM502" s="126"/>
      <c r="CTN502" s="126"/>
      <c r="CTO502" s="126"/>
      <c r="CTP502" s="126"/>
      <c r="CTQ502" s="126"/>
      <c r="CTR502" s="126"/>
      <c r="CTS502" s="126"/>
      <c r="CTT502" s="126"/>
      <c r="CTU502" s="126"/>
      <c r="CTV502" s="126"/>
      <c r="CTW502" s="126"/>
      <c r="CTX502" s="126"/>
      <c r="CTY502" s="126"/>
      <c r="CTZ502" s="126"/>
      <c r="CUA502" s="126"/>
      <c r="CUB502" s="126"/>
      <c r="CUC502" s="126"/>
      <c r="CUD502" s="126"/>
      <c r="CUE502" s="126"/>
      <c r="CUF502" s="126"/>
      <c r="CUG502" s="126"/>
      <c r="CUH502" s="126"/>
      <c r="CUI502" s="126"/>
      <c r="CUJ502" s="126"/>
      <c r="CUK502" s="126"/>
      <c r="CUL502" s="126"/>
      <c r="CUM502" s="126"/>
      <c r="CUN502" s="126"/>
      <c r="CUO502" s="126"/>
      <c r="CUP502" s="126"/>
      <c r="CUQ502" s="126"/>
      <c r="CUR502" s="126"/>
      <c r="CUS502" s="126"/>
      <c r="CUT502" s="126"/>
      <c r="CUU502" s="126"/>
      <c r="CUV502" s="126"/>
      <c r="CUW502" s="126"/>
      <c r="CUX502" s="126"/>
      <c r="CUY502" s="126"/>
      <c r="CUZ502" s="126"/>
      <c r="CVA502" s="126"/>
      <c r="CVB502" s="126"/>
      <c r="CVC502" s="126"/>
      <c r="CVD502" s="126"/>
      <c r="CVE502" s="126"/>
      <c r="CVF502" s="126"/>
      <c r="CVG502" s="126"/>
      <c r="CVH502" s="126"/>
      <c r="CVI502" s="126"/>
      <c r="CVJ502" s="126"/>
      <c r="CVK502" s="126"/>
      <c r="CVL502" s="126"/>
      <c r="CVM502" s="126"/>
      <c r="CVN502" s="126"/>
      <c r="CVO502" s="126"/>
      <c r="CVP502" s="126"/>
      <c r="CVQ502" s="126"/>
      <c r="CVR502" s="126"/>
      <c r="CVS502" s="126"/>
      <c r="CVT502" s="126"/>
      <c r="CVU502" s="126"/>
      <c r="CVV502" s="126"/>
      <c r="CVW502" s="126"/>
      <c r="CVX502" s="126"/>
      <c r="CVY502" s="126"/>
      <c r="CVZ502" s="126"/>
      <c r="CWA502" s="126"/>
      <c r="CWB502" s="126"/>
      <c r="CWC502" s="126"/>
      <c r="CWD502" s="126"/>
      <c r="CWE502" s="126"/>
      <c r="CWF502" s="126"/>
      <c r="CWG502" s="126"/>
      <c r="CWH502" s="126"/>
      <c r="CWI502" s="126"/>
      <c r="CWJ502" s="126"/>
      <c r="CWK502" s="126"/>
      <c r="CWL502" s="126"/>
      <c r="CWM502" s="126"/>
      <c r="CWN502" s="126"/>
      <c r="CWO502" s="126"/>
      <c r="CWP502" s="126"/>
      <c r="CWQ502" s="126"/>
      <c r="CWR502" s="126"/>
      <c r="CWS502" s="126"/>
      <c r="CWT502" s="126"/>
      <c r="CWU502" s="126"/>
      <c r="CWV502" s="126"/>
      <c r="CWW502" s="126"/>
      <c r="CWX502" s="126"/>
      <c r="CWY502" s="126"/>
      <c r="CWZ502" s="126"/>
      <c r="CXA502" s="126"/>
      <c r="CXB502" s="126"/>
      <c r="CXC502" s="126"/>
      <c r="CXD502" s="126"/>
      <c r="CXE502" s="126"/>
      <c r="CXF502" s="126"/>
      <c r="CXG502" s="126"/>
      <c r="CXH502" s="126"/>
      <c r="CXI502" s="126"/>
      <c r="CXJ502" s="126"/>
      <c r="CXK502" s="126"/>
      <c r="CXL502" s="126"/>
      <c r="CXM502" s="126"/>
      <c r="CXN502" s="126"/>
      <c r="CXO502" s="126"/>
      <c r="CXP502" s="126"/>
      <c r="CXQ502" s="126"/>
      <c r="CXR502" s="126"/>
      <c r="CXS502" s="126"/>
      <c r="CXT502" s="126"/>
      <c r="CXU502" s="126"/>
      <c r="CXV502" s="126"/>
      <c r="CXW502" s="126"/>
      <c r="CXX502" s="126"/>
      <c r="CXY502" s="126"/>
      <c r="CXZ502" s="126"/>
      <c r="CYA502" s="126"/>
      <c r="CYB502" s="126"/>
      <c r="CYC502" s="126"/>
      <c r="CYD502" s="126"/>
      <c r="CYE502" s="126"/>
      <c r="CYF502" s="126"/>
      <c r="CYG502" s="126"/>
      <c r="CYH502" s="126"/>
      <c r="CYI502" s="126"/>
      <c r="CYJ502" s="126"/>
      <c r="CYK502" s="126"/>
      <c r="CYL502" s="126"/>
      <c r="CYM502" s="126"/>
      <c r="CYN502" s="126"/>
      <c r="CYO502" s="126"/>
      <c r="CYP502" s="126"/>
      <c r="CYQ502" s="126"/>
      <c r="CYR502" s="126"/>
      <c r="CYS502" s="126"/>
      <c r="CYT502" s="126"/>
      <c r="CYU502" s="126"/>
      <c r="CYV502" s="126"/>
      <c r="CYW502" s="126"/>
      <c r="CYX502" s="126"/>
      <c r="CYY502" s="126"/>
      <c r="CYZ502" s="126"/>
      <c r="CZA502" s="126"/>
      <c r="CZB502" s="126"/>
      <c r="CZC502" s="126"/>
      <c r="CZD502" s="126"/>
      <c r="CZE502" s="126"/>
      <c r="CZF502" s="126"/>
      <c r="CZG502" s="126"/>
      <c r="CZH502" s="126"/>
      <c r="CZI502" s="126"/>
      <c r="CZJ502" s="126"/>
      <c r="CZK502" s="126"/>
      <c r="CZL502" s="126"/>
      <c r="CZM502" s="126"/>
      <c r="CZN502" s="126"/>
      <c r="CZO502" s="126"/>
      <c r="CZP502" s="126"/>
      <c r="CZQ502" s="126"/>
      <c r="CZR502" s="126"/>
      <c r="CZS502" s="126"/>
      <c r="CZT502" s="126"/>
      <c r="CZU502" s="126"/>
      <c r="CZV502" s="126"/>
      <c r="CZW502" s="126"/>
      <c r="CZX502" s="126"/>
      <c r="CZY502" s="126"/>
      <c r="CZZ502" s="126"/>
      <c r="DAA502" s="126"/>
      <c r="DAB502" s="126"/>
      <c r="DAC502" s="126"/>
      <c r="DAD502" s="126"/>
      <c r="DAE502" s="126"/>
      <c r="DAF502" s="126"/>
      <c r="DAG502" s="126"/>
      <c r="DAH502" s="126"/>
      <c r="DAI502" s="126"/>
      <c r="DAJ502" s="126"/>
      <c r="DAK502" s="126"/>
      <c r="DAL502" s="126"/>
      <c r="DAM502" s="126"/>
      <c r="DAN502" s="126"/>
      <c r="DAO502" s="126"/>
      <c r="DAP502" s="126"/>
      <c r="DAQ502" s="126"/>
      <c r="DAR502" s="126"/>
      <c r="DAS502" s="126"/>
      <c r="DAT502" s="126"/>
      <c r="DAU502" s="126"/>
      <c r="DAV502" s="126"/>
      <c r="DAW502" s="126"/>
      <c r="DAX502" s="126"/>
      <c r="DAY502" s="126"/>
      <c r="DAZ502" s="126"/>
      <c r="DBA502" s="126"/>
      <c r="DBB502" s="126"/>
      <c r="DBC502" s="126"/>
      <c r="DBD502" s="126"/>
      <c r="DBE502" s="126"/>
      <c r="DBF502" s="126"/>
      <c r="DBG502" s="126"/>
      <c r="DBH502" s="126"/>
      <c r="DBI502" s="126"/>
      <c r="DBJ502" s="126"/>
      <c r="DBK502" s="126"/>
      <c r="DBL502" s="126"/>
      <c r="DBM502" s="126"/>
      <c r="DBN502" s="126"/>
      <c r="DBO502" s="126"/>
      <c r="DBP502" s="126"/>
      <c r="DBQ502" s="126"/>
      <c r="DBR502" s="126"/>
      <c r="DBS502" s="126"/>
      <c r="DBT502" s="126"/>
      <c r="DBU502" s="126"/>
      <c r="DBV502" s="126"/>
      <c r="DBW502" s="126"/>
      <c r="DBX502" s="126"/>
      <c r="DBY502" s="126"/>
      <c r="DBZ502" s="126"/>
      <c r="DCA502" s="126"/>
      <c r="DCB502" s="126"/>
      <c r="DCC502" s="126"/>
      <c r="DCD502" s="126"/>
      <c r="DCE502" s="126"/>
      <c r="DCF502" s="126"/>
      <c r="DCG502" s="126"/>
      <c r="DCH502" s="126"/>
      <c r="DCI502" s="126"/>
      <c r="DCJ502" s="126"/>
      <c r="DCK502" s="126"/>
      <c r="DCL502" s="126"/>
      <c r="DCM502" s="126"/>
      <c r="DCN502" s="126"/>
      <c r="DCO502" s="126"/>
      <c r="DCP502" s="126"/>
      <c r="DCQ502" s="126"/>
      <c r="DCR502" s="126"/>
      <c r="DCS502" s="126"/>
      <c r="DCT502" s="126"/>
      <c r="DCU502" s="126"/>
      <c r="DCV502" s="126"/>
      <c r="DCW502" s="126"/>
      <c r="DCX502" s="126"/>
      <c r="DCY502" s="126"/>
      <c r="DCZ502" s="126"/>
      <c r="DDA502" s="126"/>
      <c r="DDB502" s="126"/>
      <c r="DDC502" s="126"/>
      <c r="DDD502" s="126"/>
      <c r="DDE502" s="126"/>
      <c r="DDF502" s="126"/>
      <c r="DDG502" s="126"/>
      <c r="DDH502" s="126"/>
      <c r="DDI502" s="126"/>
      <c r="DDJ502" s="126"/>
      <c r="DDK502" s="126"/>
      <c r="DDL502" s="126"/>
      <c r="DDM502" s="126"/>
      <c r="DDN502" s="126"/>
      <c r="DDO502" s="126"/>
      <c r="DDP502" s="126"/>
      <c r="DDQ502" s="126"/>
      <c r="DDR502" s="126"/>
      <c r="DDS502" s="126"/>
      <c r="DDT502" s="126"/>
      <c r="DDU502" s="126"/>
      <c r="DDV502" s="126"/>
      <c r="DDW502" s="126"/>
      <c r="DDX502" s="126"/>
      <c r="DDY502" s="126"/>
      <c r="DDZ502" s="126"/>
      <c r="DEA502" s="126"/>
      <c r="DEB502" s="126"/>
      <c r="DEC502" s="126"/>
      <c r="DED502" s="126"/>
      <c r="DEE502" s="126"/>
      <c r="DEF502" s="126"/>
      <c r="DEG502" s="126"/>
      <c r="DEH502" s="126"/>
      <c r="DEI502" s="126"/>
      <c r="DEJ502" s="126"/>
      <c r="DEK502" s="126"/>
      <c r="DEL502" s="126"/>
      <c r="DEM502" s="126"/>
      <c r="DEN502" s="126"/>
      <c r="DEO502" s="126"/>
      <c r="DEP502" s="126"/>
      <c r="DEQ502" s="126"/>
      <c r="DER502" s="126"/>
      <c r="DES502" s="126"/>
      <c r="DET502" s="126"/>
      <c r="DEU502" s="126"/>
      <c r="DEV502" s="126"/>
      <c r="DEW502" s="126"/>
      <c r="DEX502" s="126"/>
      <c r="DEY502" s="126"/>
      <c r="DEZ502" s="126"/>
      <c r="DFA502" s="126"/>
      <c r="DFB502" s="126"/>
      <c r="DFC502" s="126"/>
      <c r="DFD502" s="126"/>
      <c r="DFE502" s="126"/>
      <c r="DFF502" s="126"/>
      <c r="DFG502" s="126"/>
      <c r="DFH502" s="126"/>
      <c r="DFI502" s="126"/>
      <c r="DFJ502" s="126"/>
      <c r="DFK502" s="126"/>
      <c r="DFL502" s="126"/>
      <c r="DFM502" s="126"/>
      <c r="DFN502" s="126"/>
      <c r="DFO502" s="126"/>
      <c r="DFP502" s="126"/>
      <c r="DFQ502" s="126"/>
      <c r="DFR502" s="126"/>
      <c r="DFS502" s="126"/>
      <c r="DFT502" s="126"/>
      <c r="DFU502" s="126"/>
      <c r="DFV502" s="126"/>
      <c r="DFW502" s="126"/>
      <c r="DFX502" s="126"/>
      <c r="DFY502" s="126"/>
      <c r="DFZ502" s="126"/>
      <c r="DGA502" s="126"/>
      <c r="DGB502" s="126"/>
      <c r="DGC502" s="126"/>
      <c r="DGD502" s="126"/>
      <c r="DGE502" s="126"/>
      <c r="DGF502" s="126"/>
      <c r="DGG502" s="126"/>
      <c r="DGH502" s="126"/>
      <c r="DGI502" s="126"/>
      <c r="DGJ502" s="126"/>
      <c r="DGK502" s="126"/>
      <c r="DGL502" s="126"/>
      <c r="DGM502" s="126"/>
      <c r="DGN502" s="126"/>
      <c r="DGO502" s="126"/>
      <c r="DGP502" s="126"/>
      <c r="DGQ502" s="126"/>
      <c r="DGR502" s="126"/>
      <c r="DGS502" s="126"/>
      <c r="DGT502" s="126"/>
      <c r="DGU502" s="126"/>
      <c r="DGV502" s="126"/>
      <c r="DGW502" s="126"/>
      <c r="DGX502" s="126"/>
      <c r="DGY502" s="126"/>
      <c r="DGZ502" s="126"/>
      <c r="DHA502" s="126"/>
      <c r="DHB502" s="126"/>
      <c r="DHC502" s="126"/>
      <c r="DHD502" s="126"/>
      <c r="DHE502" s="126"/>
      <c r="DHF502" s="126"/>
      <c r="DHG502" s="126"/>
      <c r="DHH502" s="126"/>
      <c r="DHI502" s="126"/>
      <c r="DHJ502" s="126"/>
      <c r="DHK502" s="126"/>
      <c r="DHL502" s="126"/>
      <c r="DHM502" s="126"/>
      <c r="DHN502" s="126"/>
      <c r="DHO502" s="126"/>
      <c r="DHP502" s="126"/>
      <c r="DHQ502" s="126"/>
      <c r="DHR502" s="126"/>
      <c r="DHS502" s="126"/>
      <c r="DHT502" s="126"/>
      <c r="DHU502" s="126"/>
      <c r="DHV502" s="126"/>
      <c r="DHW502" s="126"/>
      <c r="DHX502" s="126"/>
      <c r="DHY502" s="126"/>
      <c r="DHZ502" s="126"/>
      <c r="DIA502" s="126"/>
      <c r="DIB502" s="126"/>
      <c r="DIC502" s="126"/>
      <c r="DID502" s="126"/>
      <c r="DIE502" s="126"/>
      <c r="DIF502" s="126"/>
      <c r="DIG502" s="126"/>
      <c r="DIH502" s="126"/>
      <c r="DII502" s="126"/>
      <c r="DIJ502" s="126"/>
      <c r="DIK502" s="126"/>
      <c r="DIL502" s="126"/>
      <c r="DIM502" s="126"/>
      <c r="DIN502" s="126"/>
      <c r="DIO502" s="126"/>
      <c r="DIP502" s="126"/>
      <c r="DIQ502" s="126"/>
      <c r="DIR502" s="126"/>
      <c r="DIS502" s="126"/>
      <c r="DIT502" s="126"/>
      <c r="DIU502" s="126"/>
      <c r="DIV502" s="126"/>
      <c r="DIW502" s="126"/>
      <c r="DIX502" s="126"/>
      <c r="DIY502" s="126"/>
      <c r="DIZ502" s="126"/>
      <c r="DJA502" s="126"/>
      <c r="DJB502" s="126"/>
      <c r="DJC502" s="126"/>
      <c r="DJD502" s="126"/>
      <c r="DJE502" s="126"/>
      <c r="DJF502" s="126"/>
      <c r="DJG502" s="126"/>
      <c r="DJH502" s="126"/>
      <c r="DJI502" s="126"/>
      <c r="DJJ502" s="126"/>
      <c r="DJK502" s="126"/>
      <c r="DJL502" s="126"/>
      <c r="DJM502" s="126"/>
      <c r="DJN502" s="126"/>
      <c r="DJO502" s="126"/>
      <c r="DJP502" s="126"/>
      <c r="DJQ502" s="126"/>
      <c r="DJR502" s="126"/>
      <c r="DJS502" s="126"/>
      <c r="DJT502" s="126"/>
      <c r="DJU502" s="126"/>
      <c r="DJV502" s="126"/>
      <c r="DJW502" s="126"/>
      <c r="DJX502" s="126"/>
      <c r="DJY502" s="126"/>
      <c r="DJZ502" s="126"/>
      <c r="DKA502" s="126"/>
      <c r="DKB502" s="126"/>
      <c r="DKC502" s="126"/>
      <c r="DKD502" s="126"/>
      <c r="DKE502" s="126"/>
      <c r="DKF502" s="126"/>
      <c r="DKG502" s="126"/>
      <c r="DKH502" s="126"/>
      <c r="DKI502" s="126"/>
      <c r="DKJ502" s="126"/>
      <c r="DKK502" s="126"/>
      <c r="DKL502" s="126"/>
      <c r="DKM502" s="126"/>
      <c r="DKN502" s="126"/>
      <c r="DKO502" s="126"/>
      <c r="DKP502" s="126"/>
      <c r="DKQ502" s="126"/>
      <c r="DKR502" s="126"/>
      <c r="DKS502" s="126"/>
      <c r="DKT502" s="126"/>
      <c r="DKU502" s="126"/>
      <c r="DKV502" s="126"/>
      <c r="DKW502" s="126"/>
      <c r="DKX502" s="126"/>
      <c r="DKY502" s="126"/>
      <c r="DKZ502" s="126"/>
      <c r="DLA502" s="126"/>
      <c r="DLB502" s="126"/>
      <c r="DLC502" s="126"/>
      <c r="DLD502" s="126"/>
      <c r="DLE502" s="126"/>
      <c r="DLF502" s="126"/>
      <c r="DLG502" s="126"/>
      <c r="DLH502" s="126"/>
      <c r="DLI502" s="126"/>
      <c r="DLJ502" s="126"/>
      <c r="DLK502" s="126"/>
      <c r="DLL502" s="126"/>
      <c r="DLM502" s="126"/>
      <c r="DLN502" s="126"/>
      <c r="DLO502" s="126"/>
      <c r="DLP502" s="126"/>
      <c r="DLQ502" s="126"/>
      <c r="DLR502" s="126"/>
      <c r="DLS502" s="126"/>
      <c r="DLT502" s="126"/>
      <c r="DLU502" s="126"/>
      <c r="DLV502" s="126"/>
      <c r="DLW502" s="126"/>
      <c r="DLX502" s="126"/>
      <c r="DLY502" s="126"/>
      <c r="DLZ502" s="126"/>
      <c r="DMA502" s="126"/>
      <c r="DMB502" s="126"/>
      <c r="DMC502" s="126"/>
      <c r="DMD502" s="126"/>
      <c r="DME502" s="126"/>
      <c r="DMF502" s="126"/>
      <c r="DMG502" s="126"/>
      <c r="DMH502" s="126"/>
      <c r="DMI502" s="126"/>
      <c r="DMJ502" s="126"/>
      <c r="DMK502" s="126"/>
      <c r="DML502" s="126"/>
      <c r="DMM502" s="126"/>
      <c r="DMN502" s="126"/>
      <c r="DMO502" s="126"/>
      <c r="DMP502" s="126"/>
      <c r="DMQ502" s="126"/>
      <c r="DMR502" s="126"/>
      <c r="DMS502" s="126"/>
      <c r="DMT502" s="126"/>
      <c r="DMU502" s="126"/>
      <c r="DMV502" s="126"/>
      <c r="DMW502" s="126"/>
      <c r="DMX502" s="126"/>
      <c r="DMY502" s="126"/>
      <c r="DMZ502" s="126"/>
      <c r="DNA502" s="126"/>
      <c r="DNB502" s="126"/>
      <c r="DNC502" s="126"/>
      <c r="DND502" s="126"/>
      <c r="DNE502" s="126"/>
      <c r="DNF502" s="126"/>
      <c r="DNG502" s="126"/>
      <c r="DNH502" s="126"/>
      <c r="DNI502" s="126"/>
      <c r="DNJ502" s="126"/>
      <c r="DNK502" s="126"/>
      <c r="DNL502" s="126"/>
      <c r="DNM502" s="126"/>
      <c r="DNN502" s="126"/>
      <c r="DNO502" s="126"/>
      <c r="DNP502" s="126"/>
      <c r="DNQ502" s="126"/>
      <c r="DNR502" s="126"/>
      <c r="DNS502" s="126"/>
      <c r="DNT502" s="126"/>
      <c r="DNU502" s="126"/>
      <c r="DNV502" s="126"/>
      <c r="DNW502" s="126"/>
      <c r="DNX502" s="126"/>
      <c r="DNY502" s="126"/>
      <c r="DNZ502" s="126"/>
      <c r="DOA502" s="126"/>
      <c r="DOB502" s="126"/>
      <c r="DOC502" s="126"/>
      <c r="DOD502" s="126"/>
      <c r="DOE502" s="126"/>
      <c r="DOF502" s="126"/>
      <c r="DOG502" s="126"/>
      <c r="DOH502" s="126"/>
      <c r="DOI502" s="126"/>
      <c r="DOJ502" s="126"/>
      <c r="DOK502" s="126"/>
      <c r="DOL502" s="126"/>
      <c r="DOM502" s="126"/>
      <c r="DON502" s="126"/>
      <c r="DOO502" s="126"/>
      <c r="DOP502" s="126"/>
      <c r="DOQ502" s="126"/>
      <c r="DOR502" s="126"/>
      <c r="DOS502" s="126"/>
      <c r="DOT502" s="126"/>
      <c r="DOU502" s="126"/>
      <c r="DOV502" s="126"/>
      <c r="DOW502" s="126"/>
      <c r="DOX502" s="126"/>
      <c r="DOY502" s="126"/>
      <c r="DOZ502" s="126"/>
      <c r="DPA502" s="126"/>
      <c r="DPB502" s="126"/>
      <c r="DPC502" s="126"/>
      <c r="DPD502" s="126"/>
      <c r="DPE502" s="126"/>
      <c r="DPF502" s="126"/>
      <c r="DPG502" s="126"/>
      <c r="DPH502" s="126"/>
      <c r="DPI502" s="126"/>
      <c r="DPJ502" s="126"/>
      <c r="DPK502" s="126"/>
      <c r="DPL502" s="126"/>
      <c r="DPM502" s="126"/>
      <c r="DPN502" s="126"/>
      <c r="DPO502" s="126"/>
      <c r="DPP502" s="126"/>
      <c r="DPQ502" s="126"/>
      <c r="DPR502" s="126"/>
      <c r="DPS502" s="126"/>
      <c r="DPT502" s="126"/>
      <c r="DPU502" s="126"/>
      <c r="DPV502" s="126"/>
      <c r="DPW502" s="126"/>
      <c r="DPX502" s="126"/>
      <c r="DPY502" s="126"/>
      <c r="DPZ502" s="126"/>
      <c r="DQA502" s="126"/>
      <c r="DQB502" s="126"/>
      <c r="DQC502" s="126"/>
      <c r="DQD502" s="126"/>
      <c r="DQE502" s="126"/>
      <c r="DQF502" s="126"/>
      <c r="DQG502" s="126"/>
      <c r="DQH502" s="126"/>
      <c r="DQI502" s="126"/>
      <c r="DQJ502" s="126"/>
      <c r="DQK502" s="126"/>
      <c r="DQL502" s="126"/>
      <c r="DQM502" s="126"/>
      <c r="DQN502" s="126"/>
      <c r="DQO502" s="126"/>
      <c r="DQP502" s="126"/>
      <c r="DQQ502" s="126"/>
      <c r="DQR502" s="126"/>
      <c r="DQS502" s="126"/>
      <c r="DQT502" s="126"/>
      <c r="DQU502" s="126"/>
      <c r="DQV502" s="126"/>
      <c r="DQW502" s="126"/>
      <c r="DQX502" s="126"/>
      <c r="DQY502" s="126"/>
      <c r="DQZ502" s="126"/>
      <c r="DRA502" s="126"/>
      <c r="DRB502" s="126"/>
      <c r="DRC502" s="126"/>
      <c r="DRD502" s="126"/>
      <c r="DRE502" s="126"/>
      <c r="DRF502" s="126"/>
      <c r="DRG502" s="126"/>
      <c r="DRH502" s="126"/>
      <c r="DRI502" s="126"/>
      <c r="DRJ502" s="126"/>
      <c r="DRK502" s="126"/>
      <c r="DRL502" s="126"/>
      <c r="DRM502" s="126"/>
      <c r="DRN502" s="126"/>
      <c r="DRO502" s="126"/>
      <c r="DRP502" s="126"/>
      <c r="DRQ502" s="126"/>
      <c r="DRR502" s="126"/>
      <c r="DRS502" s="126"/>
      <c r="DRT502" s="126"/>
      <c r="DRU502" s="126"/>
      <c r="DRV502" s="126"/>
      <c r="DRW502" s="126"/>
      <c r="DRX502" s="126"/>
      <c r="DRY502" s="126"/>
      <c r="DRZ502" s="126"/>
      <c r="DSA502" s="126"/>
      <c r="DSB502" s="126"/>
      <c r="DSC502" s="126"/>
      <c r="DSD502" s="126"/>
      <c r="DSE502" s="126"/>
      <c r="DSF502" s="126"/>
      <c r="DSG502" s="126"/>
      <c r="DSH502" s="126"/>
      <c r="DSI502" s="126"/>
      <c r="DSJ502" s="126"/>
      <c r="DSK502" s="126"/>
      <c r="DSL502" s="126"/>
      <c r="DSM502" s="126"/>
      <c r="DSN502" s="126"/>
      <c r="DSO502" s="126"/>
      <c r="DSP502" s="126"/>
      <c r="DSQ502" s="126"/>
      <c r="DSR502" s="126"/>
      <c r="DSS502" s="126"/>
      <c r="DST502" s="126"/>
      <c r="DSU502" s="126"/>
      <c r="DSV502" s="126"/>
      <c r="DSW502" s="126"/>
      <c r="DSX502" s="126"/>
      <c r="DSY502" s="126"/>
      <c r="DSZ502" s="126"/>
      <c r="DTA502" s="126"/>
      <c r="DTB502" s="126"/>
      <c r="DTC502" s="126"/>
      <c r="DTD502" s="126"/>
      <c r="DTE502" s="126"/>
      <c r="DTF502" s="126"/>
      <c r="DTG502" s="126"/>
      <c r="DTH502" s="126"/>
      <c r="DTI502" s="126"/>
      <c r="DTJ502" s="126"/>
      <c r="DTK502" s="126"/>
      <c r="DTL502" s="126"/>
      <c r="DTM502" s="126"/>
      <c r="DTN502" s="126"/>
      <c r="DTO502" s="126"/>
      <c r="DTP502" s="126"/>
      <c r="DTQ502" s="126"/>
      <c r="DTR502" s="126"/>
      <c r="DTS502" s="126"/>
      <c r="DTT502" s="126"/>
      <c r="DTU502" s="126"/>
      <c r="DTV502" s="126"/>
      <c r="DTW502" s="126"/>
      <c r="DTX502" s="126"/>
      <c r="DTY502" s="126"/>
      <c r="DTZ502" s="126"/>
      <c r="DUA502" s="126"/>
      <c r="DUB502" s="126"/>
      <c r="DUC502" s="126"/>
      <c r="DUD502" s="126"/>
      <c r="DUE502" s="126"/>
      <c r="DUF502" s="126"/>
      <c r="DUG502" s="126"/>
      <c r="DUH502" s="126"/>
      <c r="DUI502" s="126"/>
      <c r="DUJ502" s="126"/>
      <c r="DUK502" s="126"/>
      <c r="DUL502" s="126"/>
      <c r="DUM502" s="126"/>
      <c r="DUN502" s="126"/>
      <c r="DUO502" s="126"/>
      <c r="DUP502" s="126"/>
      <c r="DUQ502" s="126"/>
      <c r="DUR502" s="126"/>
      <c r="DUS502" s="126"/>
      <c r="DUT502" s="126"/>
      <c r="DUU502" s="126"/>
      <c r="DUV502" s="126"/>
      <c r="DUW502" s="126"/>
      <c r="DUX502" s="126"/>
      <c r="DUY502" s="126"/>
      <c r="DUZ502" s="126"/>
      <c r="DVA502" s="126"/>
      <c r="DVB502" s="126"/>
      <c r="DVC502" s="126"/>
      <c r="DVD502" s="126"/>
      <c r="DVE502" s="126"/>
      <c r="DVF502" s="126"/>
      <c r="DVG502" s="126"/>
      <c r="DVH502" s="126"/>
      <c r="DVI502" s="126"/>
      <c r="DVJ502" s="126"/>
      <c r="DVK502" s="126"/>
      <c r="DVL502" s="126"/>
      <c r="DVM502" s="126"/>
      <c r="DVN502" s="126"/>
      <c r="DVO502" s="126"/>
      <c r="DVP502" s="126"/>
      <c r="DVQ502" s="126"/>
      <c r="DVR502" s="126"/>
      <c r="DVS502" s="126"/>
      <c r="DVT502" s="126"/>
      <c r="DVU502" s="126"/>
      <c r="DVV502" s="126"/>
      <c r="DVW502" s="126"/>
      <c r="DVX502" s="126"/>
      <c r="DVY502" s="126"/>
      <c r="DVZ502" s="126"/>
      <c r="DWA502" s="126"/>
      <c r="DWB502" s="126"/>
      <c r="DWC502" s="126"/>
      <c r="DWD502" s="126"/>
      <c r="DWE502" s="126"/>
      <c r="DWF502" s="126"/>
      <c r="DWG502" s="126"/>
      <c r="DWH502" s="126"/>
      <c r="DWI502" s="126"/>
      <c r="DWJ502" s="126"/>
      <c r="DWK502" s="126"/>
      <c r="DWL502" s="126"/>
      <c r="DWM502" s="126"/>
      <c r="DWN502" s="126"/>
      <c r="DWO502" s="126"/>
      <c r="DWP502" s="126"/>
      <c r="DWQ502" s="126"/>
      <c r="DWR502" s="126"/>
      <c r="DWS502" s="126"/>
      <c r="DWT502" s="126"/>
      <c r="DWU502" s="126"/>
      <c r="DWV502" s="126"/>
      <c r="DWW502" s="126"/>
      <c r="DWX502" s="126"/>
      <c r="DWY502" s="126"/>
      <c r="DWZ502" s="126"/>
      <c r="DXA502" s="126"/>
      <c r="DXB502" s="126"/>
      <c r="DXC502" s="126"/>
      <c r="DXD502" s="126"/>
      <c r="DXE502" s="126"/>
      <c r="DXF502" s="126"/>
      <c r="DXG502" s="126"/>
      <c r="DXH502" s="126"/>
      <c r="DXI502" s="126"/>
      <c r="DXJ502" s="126"/>
      <c r="DXK502" s="126"/>
      <c r="DXL502" s="126"/>
      <c r="DXM502" s="126"/>
      <c r="DXN502" s="126"/>
      <c r="DXO502" s="126"/>
      <c r="DXP502" s="126"/>
      <c r="DXQ502" s="126"/>
      <c r="DXR502" s="126"/>
      <c r="DXS502" s="126"/>
      <c r="DXT502" s="126"/>
      <c r="DXU502" s="126"/>
      <c r="DXV502" s="126"/>
      <c r="DXW502" s="126"/>
      <c r="DXX502" s="126"/>
      <c r="DXY502" s="126"/>
      <c r="DXZ502" s="126"/>
      <c r="DYA502" s="126"/>
      <c r="DYB502" s="126"/>
      <c r="DYC502" s="126"/>
      <c r="DYD502" s="126"/>
      <c r="DYE502" s="126"/>
      <c r="DYF502" s="126"/>
      <c r="DYG502" s="126"/>
      <c r="DYH502" s="126"/>
      <c r="DYI502" s="126"/>
      <c r="DYJ502" s="126"/>
      <c r="DYK502" s="126"/>
      <c r="DYL502" s="126"/>
      <c r="DYM502" s="126"/>
      <c r="DYN502" s="126"/>
      <c r="DYO502" s="126"/>
      <c r="DYP502" s="126"/>
      <c r="DYQ502" s="126"/>
      <c r="DYR502" s="126"/>
      <c r="DYS502" s="126"/>
      <c r="DYT502" s="126"/>
      <c r="DYU502" s="126"/>
      <c r="DYV502" s="126"/>
      <c r="DYW502" s="126"/>
      <c r="DYX502" s="126"/>
      <c r="DYY502" s="126"/>
      <c r="DYZ502" s="126"/>
      <c r="DZA502" s="126"/>
      <c r="DZB502" s="126"/>
      <c r="DZC502" s="126"/>
      <c r="DZD502" s="126"/>
      <c r="DZE502" s="126"/>
      <c r="DZF502" s="126"/>
      <c r="DZG502" s="126"/>
      <c r="DZH502" s="126"/>
      <c r="DZI502" s="126"/>
      <c r="DZJ502" s="126"/>
      <c r="DZK502" s="126"/>
      <c r="DZL502" s="126"/>
      <c r="DZM502" s="126"/>
      <c r="DZN502" s="126"/>
      <c r="DZO502" s="126"/>
      <c r="DZP502" s="126"/>
      <c r="DZQ502" s="126"/>
      <c r="DZR502" s="126"/>
      <c r="DZS502" s="126"/>
      <c r="DZT502" s="126"/>
      <c r="DZU502" s="126"/>
      <c r="DZV502" s="126"/>
      <c r="DZW502" s="126"/>
      <c r="DZX502" s="126"/>
      <c r="DZY502" s="126"/>
      <c r="DZZ502" s="126"/>
      <c r="EAA502" s="126"/>
      <c r="EAB502" s="126"/>
      <c r="EAC502" s="126"/>
      <c r="EAD502" s="126"/>
      <c r="EAE502" s="126"/>
      <c r="EAF502" s="126"/>
      <c r="EAG502" s="126"/>
      <c r="EAH502" s="126"/>
      <c r="EAI502" s="126"/>
      <c r="EAJ502" s="126"/>
      <c r="EAK502" s="126"/>
      <c r="EAL502" s="126"/>
      <c r="EAM502" s="126"/>
      <c r="EAN502" s="126"/>
      <c r="EAO502" s="126"/>
      <c r="EAP502" s="126"/>
      <c r="EAQ502" s="126"/>
      <c r="EAR502" s="126"/>
      <c r="EAS502" s="126"/>
      <c r="EAT502" s="126"/>
      <c r="EAU502" s="126"/>
      <c r="EAV502" s="126"/>
      <c r="EAW502" s="126"/>
      <c r="EAX502" s="126"/>
      <c r="EAY502" s="126"/>
      <c r="EAZ502" s="126"/>
      <c r="EBA502" s="126"/>
      <c r="EBB502" s="126"/>
      <c r="EBC502" s="126"/>
      <c r="EBD502" s="126"/>
      <c r="EBE502" s="126"/>
      <c r="EBF502" s="126"/>
      <c r="EBG502" s="126"/>
      <c r="EBH502" s="126"/>
      <c r="EBI502" s="126"/>
      <c r="EBJ502" s="126"/>
      <c r="EBK502" s="126"/>
      <c r="EBL502" s="126"/>
      <c r="EBM502" s="126"/>
      <c r="EBN502" s="126"/>
      <c r="EBO502" s="126"/>
      <c r="EBP502" s="126"/>
      <c r="EBQ502" s="126"/>
      <c r="EBR502" s="126"/>
      <c r="EBS502" s="126"/>
      <c r="EBT502" s="126"/>
      <c r="EBU502" s="126"/>
      <c r="EBV502" s="126"/>
      <c r="EBW502" s="126"/>
      <c r="EBX502" s="126"/>
      <c r="EBY502" s="126"/>
      <c r="EBZ502" s="126"/>
      <c r="ECA502" s="126"/>
      <c r="ECB502" s="126"/>
      <c r="ECC502" s="126"/>
      <c r="ECD502" s="126"/>
      <c r="ECE502" s="126"/>
      <c r="ECF502" s="126"/>
      <c r="ECG502" s="126"/>
      <c r="ECH502" s="126"/>
      <c r="ECI502" s="126"/>
      <c r="ECJ502" s="126"/>
      <c r="ECK502" s="126"/>
      <c r="ECL502" s="126"/>
      <c r="ECM502" s="126"/>
      <c r="ECN502" s="126"/>
      <c r="ECO502" s="126"/>
      <c r="ECP502" s="126"/>
      <c r="ECQ502" s="126"/>
      <c r="ECR502" s="126"/>
      <c r="ECS502" s="126"/>
      <c r="ECT502" s="126"/>
      <c r="ECU502" s="126"/>
      <c r="ECV502" s="126"/>
      <c r="ECW502" s="126"/>
      <c r="ECX502" s="126"/>
      <c r="ECY502" s="126"/>
      <c r="ECZ502" s="126"/>
      <c r="EDA502" s="126"/>
      <c r="EDB502" s="126"/>
      <c r="EDC502" s="126"/>
      <c r="EDD502" s="126"/>
      <c r="EDE502" s="126"/>
      <c r="EDF502" s="126"/>
      <c r="EDG502" s="126"/>
      <c r="EDH502" s="126"/>
      <c r="EDI502" s="126"/>
      <c r="EDJ502" s="126"/>
      <c r="EDK502" s="126"/>
      <c r="EDL502" s="126"/>
      <c r="EDM502" s="126"/>
      <c r="EDN502" s="126"/>
      <c r="EDO502" s="126"/>
      <c r="EDP502" s="126"/>
      <c r="EDQ502" s="126"/>
      <c r="EDR502" s="126"/>
      <c r="EDS502" s="126"/>
      <c r="EDT502" s="126"/>
      <c r="EDU502" s="126"/>
      <c r="EDV502" s="126"/>
      <c r="EDW502" s="126"/>
      <c r="EDX502" s="126"/>
      <c r="EDY502" s="126"/>
      <c r="EDZ502" s="126"/>
      <c r="EEA502" s="126"/>
      <c r="EEB502" s="126"/>
      <c r="EEC502" s="126"/>
      <c r="EED502" s="126"/>
      <c r="EEE502" s="126"/>
      <c r="EEF502" s="126"/>
      <c r="EEG502" s="126"/>
      <c r="EEH502" s="126"/>
      <c r="EEI502" s="126"/>
      <c r="EEJ502" s="126"/>
      <c r="EEK502" s="126"/>
      <c r="EEL502" s="126"/>
      <c r="EEM502" s="126"/>
      <c r="EEN502" s="126"/>
      <c r="EEO502" s="126"/>
      <c r="EEP502" s="126"/>
      <c r="EEQ502" s="126"/>
      <c r="EER502" s="126"/>
      <c r="EES502" s="126"/>
      <c r="EET502" s="126"/>
      <c r="EEU502" s="126"/>
      <c r="EEV502" s="126"/>
      <c r="EEW502" s="126"/>
      <c r="EEX502" s="126"/>
      <c r="EEY502" s="126"/>
      <c r="EEZ502" s="126"/>
      <c r="EFA502" s="126"/>
      <c r="EFB502" s="126"/>
      <c r="EFC502" s="126"/>
      <c r="EFD502" s="126"/>
      <c r="EFE502" s="126"/>
      <c r="EFF502" s="126"/>
      <c r="EFG502" s="126"/>
      <c r="EFH502" s="126"/>
      <c r="EFI502" s="126"/>
      <c r="EFJ502" s="126"/>
      <c r="EFK502" s="126"/>
      <c r="EFL502" s="126"/>
      <c r="EFM502" s="126"/>
      <c r="EFN502" s="126"/>
      <c r="EFO502" s="126"/>
      <c r="EFP502" s="126"/>
      <c r="EFQ502" s="126"/>
      <c r="EFR502" s="126"/>
      <c r="EFS502" s="126"/>
      <c r="EFT502" s="126"/>
      <c r="EFU502" s="126"/>
      <c r="EFV502" s="126"/>
      <c r="EFW502" s="126"/>
      <c r="EFX502" s="126"/>
      <c r="EFY502" s="126"/>
      <c r="EFZ502" s="126"/>
      <c r="EGA502" s="126"/>
      <c r="EGB502" s="126"/>
      <c r="EGC502" s="126"/>
      <c r="EGD502" s="126"/>
      <c r="EGE502" s="126"/>
      <c r="EGF502" s="126"/>
      <c r="EGG502" s="126"/>
      <c r="EGH502" s="126"/>
      <c r="EGI502" s="126"/>
      <c r="EGJ502" s="126"/>
      <c r="EGK502" s="126"/>
      <c r="EGL502" s="126"/>
      <c r="EGM502" s="126"/>
      <c r="EGN502" s="126"/>
      <c r="EGO502" s="126"/>
      <c r="EGP502" s="126"/>
      <c r="EGQ502" s="126"/>
      <c r="EGR502" s="126"/>
      <c r="EGS502" s="126"/>
      <c r="EGT502" s="126"/>
      <c r="EGU502" s="126"/>
      <c r="EGV502" s="126"/>
      <c r="EGW502" s="126"/>
      <c r="EGX502" s="126"/>
      <c r="EGY502" s="126"/>
      <c r="EGZ502" s="126"/>
      <c r="EHA502" s="126"/>
      <c r="EHB502" s="126"/>
      <c r="EHC502" s="126"/>
      <c r="EHD502" s="126"/>
      <c r="EHE502" s="126"/>
      <c r="EHF502" s="126"/>
      <c r="EHG502" s="126"/>
      <c r="EHH502" s="126"/>
      <c r="EHI502" s="126"/>
      <c r="EHJ502" s="126"/>
      <c r="EHK502" s="126"/>
      <c r="EHL502" s="126"/>
      <c r="EHM502" s="126"/>
      <c r="EHN502" s="126"/>
      <c r="EHO502" s="126"/>
      <c r="EHP502" s="126"/>
      <c r="EHQ502" s="126"/>
      <c r="EHR502" s="126"/>
      <c r="EHS502" s="126"/>
      <c r="EHT502" s="126"/>
      <c r="EHU502" s="126"/>
      <c r="EHV502" s="126"/>
      <c r="EHW502" s="126"/>
      <c r="EHX502" s="126"/>
      <c r="EHY502" s="126"/>
      <c r="EHZ502" s="126"/>
      <c r="EIA502" s="126"/>
      <c r="EIB502" s="126"/>
      <c r="EIC502" s="126"/>
      <c r="EID502" s="126"/>
      <c r="EIE502" s="126"/>
      <c r="EIF502" s="126"/>
      <c r="EIG502" s="126"/>
      <c r="EIH502" s="126"/>
      <c r="EII502" s="126"/>
      <c r="EIJ502" s="126"/>
      <c r="EIK502" s="126"/>
      <c r="EIL502" s="126"/>
      <c r="EIM502" s="126"/>
      <c r="EIN502" s="126"/>
      <c r="EIO502" s="126"/>
      <c r="EIP502" s="126"/>
      <c r="EIQ502" s="126"/>
      <c r="EIR502" s="126"/>
      <c r="EIS502" s="126"/>
      <c r="EIT502" s="126"/>
      <c r="EIU502" s="126"/>
      <c r="EIV502" s="126"/>
      <c r="EIW502" s="126"/>
      <c r="EIX502" s="126"/>
      <c r="EIY502" s="126"/>
      <c r="EIZ502" s="126"/>
      <c r="EJA502" s="126"/>
      <c r="EJB502" s="126"/>
      <c r="EJC502" s="126"/>
      <c r="EJD502" s="126"/>
      <c r="EJE502" s="126"/>
      <c r="EJF502" s="126"/>
      <c r="EJG502" s="126"/>
      <c r="EJH502" s="126"/>
      <c r="EJI502" s="126"/>
      <c r="EJJ502" s="126"/>
      <c r="EJK502" s="126"/>
      <c r="EJL502" s="126"/>
      <c r="EJM502" s="126"/>
      <c r="EJN502" s="126"/>
      <c r="EJO502" s="126"/>
      <c r="EJP502" s="126"/>
      <c r="EJQ502" s="126"/>
      <c r="EJR502" s="126"/>
      <c r="EJS502" s="126"/>
      <c r="EJT502" s="126"/>
      <c r="EJU502" s="126"/>
      <c r="EJV502" s="126"/>
      <c r="EJW502" s="126"/>
      <c r="EJX502" s="126"/>
      <c r="EJY502" s="126"/>
      <c r="EJZ502" s="126"/>
      <c r="EKA502" s="126"/>
      <c r="EKB502" s="126"/>
      <c r="EKC502" s="126"/>
      <c r="EKD502" s="126"/>
      <c r="EKE502" s="126"/>
      <c r="EKF502" s="126"/>
      <c r="EKG502" s="126"/>
      <c r="EKH502" s="126"/>
      <c r="EKI502" s="126"/>
      <c r="EKJ502" s="126"/>
      <c r="EKK502" s="126"/>
      <c r="EKL502" s="126"/>
      <c r="EKM502" s="126"/>
      <c r="EKN502" s="126"/>
      <c r="EKO502" s="126"/>
      <c r="EKP502" s="126"/>
      <c r="EKQ502" s="126"/>
      <c r="EKR502" s="126"/>
      <c r="EKS502" s="126"/>
      <c r="EKT502" s="126"/>
      <c r="EKU502" s="126"/>
      <c r="EKV502" s="126"/>
      <c r="EKW502" s="126"/>
      <c r="EKX502" s="126"/>
      <c r="EKY502" s="126"/>
      <c r="EKZ502" s="126"/>
      <c r="ELA502" s="126"/>
      <c r="ELB502" s="126"/>
      <c r="ELC502" s="126"/>
      <c r="ELD502" s="126"/>
      <c r="ELE502" s="126"/>
      <c r="ELF502" s="126"/>
      <c r="ELG502" s="126"/>
      <c r="ELH502" s="126"/>
      <c r="ELI502" s="126"/>
      <c r="ELJ502" s="126"/>
      <c r="ELK502" s="126"/>
      <c r="ELL502" s="126"/>
      <c r="ELM502" s="126"/>
      <c r="ELN502" s="126"/>
      <c r="ELO502" s="126"/>
      <c r="ELP502" s="126"/>
      <c r="ELQ502" s="126"/>
      <c r="ELR502" s="126"/>
      <c r="ELS502" s="126"/>
      <c r="ELT502" s="126"/>
      <c r="ELU502" s="126"/>
      <c r="ELV502" s="126"/>
      <c r="ELW502" s="126"/>
      <c r="ELX502" s="126"/>
      <c r="ELY502" s="126"/>
      <c r="ELZ502" s="126"/>
      <c r="EMA502" s="126"/>
      <c r="EMB502" s="126"/>
      <c r="EMC502" s="126"/>
      <c r="EMD502" s="126"/>
      <c r="EME502" s="126"/>
      <c r="EMF502" s="126"/>
      <c r="EMG502" s="126"/>
      <c r="EMH502" s="126"/>
      <c r="EMI502" s="126"/>
      <c r="EMJ502" s="126"/>
      <c r="EMK502" s="126"/>
      <c r="EML502" s="126"/>
      <c r="EMM502" s="126"/>
      <c r="EMN502" s="126"/>
      <c r="EMO502" s="126"/>
      <c r="EMP502" s="126"/>
      <c r="EMQ502" s="126"/>
      <c r="EMR502" s="126"/>
      <c r="EMS502" s="126"/>
      <c r="EMT502" s="126"/>
      <c r="EMU502" s="126"/>
      <c r="EMV502" s="126"/>
      <c r="EMW502" s="126"/>
      <c r="EMX502" s="126"/>
      <c r="EMY502" s="126"/>
      <c r="EMZ502" s="126"/>
      <c r="ENA502" s="126"/>
      <c r="ENB502" s="126"/>
      <c r="ENC502" s="126"/>
      <c r="END502" s="126"/>
      <c r="ENE502" s="126"/>
      <c r="ENF502" s="126"/>
      <c r="ENG502" s="126"/>
      <c r="ENH502" s="126"/>
      <c r="ENI502" s="126"/>
      <c r="ENJ502" s="126"/>
      <c r="ENK502" s="126"/>
      <c r="ENL502" s="126"/>
      <c r="ENM502" s="126"/>
      <c r="ENN502" s="126"/>
      <c r="ENO502" s="126"/>
      <c r="ENP502" s="126"/>
      <c r="ENQ502" s="126"/>
      <c r="ENR502" s="126"/>
      <c r="ENS502" s="126"/>
      <c r="ENT502" s="126"/>
      <c r="ENU502" s="126"/>
      <c r="ENV502" s="126"/>
      <c r="ENW502" s="126"/>
      <c r="ENX502" s="126"/>
      <c r="ENY502" s="126"/>
      <c r="ENZ502" s="126"/>
      <c r="EOA502" s="126"/>
      <c r="EOB502" s="126"/>
      <c r="EOC502" s="126"/>
      <c r="EOD502" s="126"/>
      <c r="EOE502" s="126"/>
      <c r="EOF502" s="126"/>
      <c r="EOG502" s="126"/>
      <c r="EOH502" s="126"/>
      <c r="EOI502" s="126"/>
      <c r="EOJ502" s="126"/>
      <c r="EOK502" s="126"/>
      <c r="EOL502" s="126"/>
      <c r="EOM502" s="126"/>
      <c r="EON502" s="126"/>
      <c r="EOO502" s="126"/>
      <c r="EOP502" s="126"/>
      <c r="EOQ502" s="126"/>
      <c r="EOR502" s="126"/>
      <c r="EOS502" s="126"/>
      <c r="EOT502" s="126"/>
      <c r="EOU502" s="126"/>
      <c r="EOV502" s="126"/>
      <c r="EOW502" s="126"/>
      <c r="EOX502" s="126"/>
      <c r="EOY502" s="126"/>
      <c r="EOZ502" s="126"/>
      <c r="EPA502" s="126"/>
      <c r="EPB502" s="126"/>
      <c r="EPC502" s="126"/>
      <c r="EPD502" s="126"/>
      <c r="EPE502" s="126"/>
      <c r="EPF502" s="126"/>
      <c r="EPG502" s="126"/>
      <c r="EPH502" s="126"/>
      <c r="EPI502" s="126"/>
      <c r="EPJ502" s="126"/>
      <c r="EPK502" s="126"/>
      <c r="EPL502" s="126"/>
      <c r="EPM502" s="126"/>
      <c r="EPN502" s="126"/>
      <c r="EPO502" s="126"/>
      <c r="EPP502" s="126"/>
      <c r="EPQ502" s="126"/>
      <c r="EPR502" s="126"/>
      <c r="EPS502" s="126"/>
      <c r="EPT502" s="126"/>
      <c r="EPU502" s="126"/>
      <c r="EPV502" s="126"/>
      <c r="EPW502" s="126"/>
      <c r="EPX502" s="126"/>
      <c r="EPY502" s="126"/>
      <c r="EPZ502" s="126"/>
      <c r="EQA502" s="126"/>
      <c r="EQB502" s="126"/>
      <c r="EQC502" s="126"/>
      <c r="EQD502" s="126"/>
      <c r="EQE502" s="126"/>
      <c r="EQF502" s="126"/>
      <c r="EQG502" s="126"/>
      <c r="EQH502" s="126"/>
      <c r="EQI502" s="126"/>
      <c r="EQJ502" s="126"/>
      <c r="EQK502" s="126"/>
      <c r="EQL502" s="126"/>
      <c r="EQM502" s="126"/>
      <c r="EQN502" s="126"/>
      <c r="EQO502" s="126"/>
      <c r="EQP502" s="126"/>
      <c r="EQQ502" s="126"/>
      <c r="EQR502" s="126"/>
      <c r="EQS502" s="126"/>
      <c r="EQT502" s="126"/>
      <c r="EQU502" s="126"/>
      <c r="EQV502" s="126"/>
      <c r="EQW502" s="126"/>
      <c r="EQX502" s="126"/>
      <c r="EQY502" s="126"/>
      <c r="EQZ502" s="126"/>
      <c r="ERA502" s="126"/>
      <c r="ERB502" s="126"/>
      <c r="ERC502" s="126"/>
      <c r="ERD502" s="126"/>
      <c r="ERE502" s="126"/>
      <c r="ERF502" s="126"/>
      <c r="ERG502" s="126"/>
      <c r="ERH502" s="126"/>
      <c r="ERI502" s="126"/>
      <c r="ERJ502" s="126"/>
      <c r="ERK502" s="126"/>
      <c r="ERL502" s="126"/>
      <c r="ERM502" s="126"/>
      <c r="ERN502" s="126"/>
      <c r="ERO502" s="126"/>
      <c r="ERP502" s="126"/>
      <c r="ERQ502" s="126"/>
      <c r="ERR502" s="126"/>
      <c r="ERS502" s="126"/>
      <c r="ERT502" s="126"/>
      <c r="ERU502" s="126"/>
      <c r="ERV502" s="126"/>
      <c r="ERW502" s="126"/>
      <c r="ERX502" s="126"/>
      <c r="ERY502" s="126"/>
      <c r="ERZ502" s="126"/>
      <c r="ESA502" s="126"/>
      <c r="ESB502" s="126"/>
      <c r="ESC502" s="126"/>
      <c r="ESD502" s="126"/>
      <c r="ESE502" s="126"/>
      <c r="ESF502" s="126"/>
      <c r="ESG502" s="126"/>
      <c r="ESH502" s="126"/>
      <c r="ESI502" s="126"/>
      <c r="ESJ502" s="126"/>
      <c r="ESK502" s="126"/>
      <c r="ESL502" s="126"/>
      <c r="ESM502" s="126"/>
      <c r="ESN502" s="126"/>
      <c r="ESO502" s="126"/>
      <c r="ESP502" s="126"/>
      <c r="ESQ502" s="126"/>
      <c r="ESR502" s="126"/>
      <c r="ESS502" s="126"/>
      <c r="EST502" s="126"/>
      <c r="ESU502" s="126"/>
      <c r="ESV502" s="126"/>
      <c r="ESW502" s="126"/>
      <c r="ESX502" s="126"/>
      <c r="ESY502" s="126"/>
      <c r="ESZ502" s="126"/>
      <c r="ETA502" s="126"/>
      <c r="ETB502" s="126"/>
      <c r="ETC502" s="126"/>
      <c r="ETD502" s="126"/>
      <c r="ETE502" s="126"/>
      <c r="ETF502" s="126"/>
      <c r="ETG502" s="126"/>
      <c r="ETH502" s="126"/>
      <c r="ETI502" s="126"/>
      <c r="ETJ502" s="126"/>
      <c r="ETK502" s="126"/>
      <c r="ETL502" s="126"/>
      <c r="ETM502" s="126"/>
      <c r="ETN502" s="126"/>
      <c r="ETO502" s="126"/>
      <c r="ETP502" s="126"/>
      <c r="ETQ502" s="126"/>
      <c r="ETR502" s="126"/>
      <c r="ETS502" s="126"/>
      <c r="ETT502" s="126"/>
      <c r="ETU502" s="126"/>
      <c r="ETV502" s="126"/>
      <c r="ETW502" s="126"/>
      <c r="ETX502" s="126"/>
      <c r="ETY502" s="126"/>
      <c r="ETZ502" s="126"/>
      <c r="EUA502" s="126"/>
      <c r="EUB502" s="126"/>
      <c r="EUC502" s="126"/>
      <c r="EUD502" s="126"/>
      <c r="EUE502" s="126"/>
      <c r="EUF502" s="126"/>
      <c r="EUG502" s="126"/>
      <c r="EUH502" s="126"/>
      <c r="EUI502" s="126"/>
      <c r="EUJ502" s="126"/>
      <c r="EUK502" s="126"/>
      <c r="EUL502" s="126"/>
      <c r="EUM502" s="126"/>
      <c r="EUN502" s="126"/>
      <c r="EUO502" s="126"/>
      <c r="EUP502" s="126"/>
      <c r="EUQ502" s="126"/>
      <c r="EUR502" s="126"/>
      <c r="EUS502" s="126"/>
      <c r="EUT502" s="126"/>
      <c r="EUU502" s="126"/>
      <c r="EUV502" s="126"/>
      <c r="EUW502" s="126"/>
      <c r="EUX502" s="126"/>
      <c r="EUY502" s="126"/>
      <c r="EUZ502" s="126"/>
      <c r="EVA502" s="126"/>
      <c r="EVB502" s="126"/>
      <c r="EVC502" s="126"/>
      <c r="EVD502" s="126"/>
      <c r="EVE502" s="126"/>
      <c r="EVF502" s="126"/>
      <c r="EVG502" s="126"/>
      <c r="EVH502" s="126"/>
      <c r="EVI502" s="126"/>
      <c r="EVJ502" s="126"/>
      <c r="EVK502" s="126"/>
      <c r="EVL502" s="126"/>
      <c r="EVM502" s="126"/>
      <c r="EVN502" s="126"/>
      <c r="EVO502" s="126"/>
      <c r="EVP502" s="126"/>
      <c r="EVQ502" s="126"/>
      <c r="EVR502" s="126"/>
      <c r="EVS502" s="126"/>
      <c r="EVT502" s="126"/>
      <c r="EVU502" s="126"/>
      <c r="EVV502" s="126"/>
      <c r="EVW502" s="126"/>
      <c r="EVX502" s="126"/>
      <c r="EVY502" s="126"/>
      <c r="EVZ502" s="126"/>
      <c r="EWA502" s="126"/>
      <c r="EWB502" s="126"/>
      <c r="EWC502" s="126"/>
      <c r="EWD502" s="126"/>
      <c r="EWE502" s="126"/>
      <c r="EWF502" s="126"/>
      <c r="EWG502" s="126"/>
      <c r="EWH502" s="126"/>
      <c r="EWI502" s="126"/>
      <c r="EWJ502" s="126"/>
      <c r="EWK502" s="126"/>
      <c r="EWL502" s="126"/>
      <c r="EWM502" s="126"/>
      <c r="EWN502" s="126"/>
      <c r="EWO502" s="126"/>
      <c r="EWP502" s="126"/>
      <c r="EWQ502" s="126"/>
      <c r="EWR502" s="126"/>
      <c r="EWS502" s="126"/>
      <c r="EWT502" s="126"/>
      <c r="EWU502" s="126"/>
      <c r="EWV502" s="126"/>
      <c r="EWW502" s="126"/>
      <c r="EWX502" s="126"/>
      <c r="EWY502" s="126"/>
      <c r="EWZ502" s="126"/>
      <c r="EXA502" s="126"/>
      <c r="EXB502" s="126"/>
      <c r="EXC502" s="126"/>
      <c r="EXD502" s="126"/>
      <c r="EXE502" s="126"/>
      <c r="EXF502" s="126"/>
      <c r="EXG502" s="126"/>
      <c r="EXH502" s="126"/>
      <c r="EXI502" s="126"/>
      <c r="EXJ502" s="126"/>
      <c r="EXK502" s="126"/>
      <c r="EXL502" s="126"/>
      <c r="EXM502" s="126"/>
      <c r="EXN502" s="126"/>
      <c r="EXO502" s="126"/>
      <c r="EXP502" s="126"/>
      <c r="EXQ502" s="126"/>
      <c r="EXR502" s="126"/>
      <c r="EXS502" s="126"/>
      <c r="EXT502" s="126"/>
      <c r="EXU502" s="126"/>
      <c r="EXV502" s="126"/>
      <c r="EXW502" s="126"/>
      <c r="EXX502" s="126"/>
      <c r="EXY502" s="126"/>
      <c r="EXZ502" s="126"/>
      <c r="EYA502" s="126"/>
      <c r="EYB502" s="126"/>
      <c r="EYC502" s="126"/>
      <c r="EYD502" s="126"/>
      <c r="EYE502" s="126"/>
      <c r="EYF502" s="126"/>
      <c r="EYG502" s="126"/>
      <c r="EYH502" s="126"/>
      <c r="EYI502" s="126"/>
      <c r="EYJ502" s="126"/>
      <c r="EYK502" s="126"/>
      <c r="EYL502" s="126"/>
      <c r="EYM502" s="126"/>
      <c r="EYN502" s="126"/>
      <c r="EYO502" s="126"/>
      <c r="EYP502" s="126"/>
      <c r="EYQ502" s="126"/>
      <c r="EYR502" s="126"/>
      <c r="EYS502" s="126"/>
      <c r="EYT502" s="126"/>
      <c r="EYU502" s="126"/>
      <c r="EYV502" s="126"/>
      <c r="EYW502" s="126"/>
      <c r="EYX502" s="126"/>
      <c r="EYY502" s="126"/>
      <c r="EYZ502" s="126"/>
      <c r="EZA502" s="126"/>
      <c r="EZB502" s="126"/>
      <c r="EZC502" s="126"/>
      <c r="EZD502" s="126"/>
      <c r="EZE502" s="126"/>
      <c r="EZF502" s="126"/>
      <c r="EZG502" s="126"/>
      <c r="EZH502" s="126"/>
      <c r="EZI502" s="126"/>
      <c r="EZJ502" s="126"/>
      <c r="EZK502" s="126"/>
      <c r="EZL502" s="126"/>
      <c r="EZM502" s="126"/>
      <c r="EZN502" s="126"/>
      <c r="EZO502" s="126"/>
      <c r="EZP502" s="126"/>
      <c r="EZQ502" s="126"/>
      <c r="EZR502" s="126"/>
      <c r="EZS502" s="126"/>
      <c r="EZT502" s="126"/>
      <c r="EZU502" s="126"/>
      <c r="EZV502" s="126"/>
      <c r="EZW502" s="126"/>
      <c r="EZX502" s="126"/>
      <c r="EZY502" s="126"/>
      <c r="EZZ502" s="126"/>
      <c r="FAA502" s="126"/>
      <c r="FAB502" s="126"/>
      <c r="FAC502" s="126"/>
      <c r="FAD502" s="126"/>
      <c r="FAE502" s="126"/>
      <c r="FAF502" s="126"/>
      <c r="FAG502" s="126"/>
      <c r="FAH502" s="126"/>
      <c r="FAI502" s="126"/>
      <c r="FAJ502" s="126"/>
      <c r="FAK502" s="126"/>
      <c r="FAL502" s="126"/>
      <c r="FAM502" s="126"/>
      <c r="FAN502" s="126"/>
      <c r="FAO502" s="126"/>
      <c r="FAP502" s="126"/>
      <c r="FAQ502" s="126"/>
      <c r="FAR502" s="126"/>
      <c r="FAS502" s="126"/>
      <c r="FAT502" s="126"/>
      <c r="FAU502" s="126"/>
      <c r="FAV502" s="126"/>
      <c r="FAW502" s="126"/>
      <c r="FAX502" s="126"/>
      <c r="FAY502" s="126"/>
      <c r="FAZ502" s="126"/>
      <c r="FBA502" s="126"/>
      <c r="FBB502" s="126"/>
      <c r="FBC502" s="126"/>
      <c r="FBD502" s="126"/>
      <c r="FBE502" s="126"/>
      <c r="FBF502" s="126"/>
      <c r="FBG502" s="126"/>
      <c r="FBH502" s="126"/>
      <c r="FBI502" s="126"/>
      <c r="FBJ502" s="126"/>
      <c r="FBK502" s="126"/>
      <c r="FBL502" s="126"/>
      <c r="FBM502" s="126"/>
      <c r="FBN502" s="126"/>
      <c r="FBO502" s="126"/>
      <c r="FBP502" s="126"/>
      <c r="FBQ502" s="126"/>
      <c r="FBR502" s="126"/>
      <c r="FBS502" s="126"/>
      <c r="FBT502" s="126"/>
      <c r="FBU502" s="126"/>
      <c r="FBV502" s="126"/>
      <c r="FBW502" s="126"/>
      <c r="FBX502" s="126"/>
      <c r="FBY502" s="126"/>
      <c r="FBZ502" s="126"/>
      <c r="FCA502" s="126"/>
      <c r="FCB502" s="126"/>
      <c r="FCC502" s="126"/>
      <c r="FCD502" s="126"/>
      <c r="FCE502" s="126"/>
      <c r="FCF502" s="126"/>
      <c r="FCG502" s="126"/>
      <c r="FCH502" s="126"/>
      <c r="FCI502" s="126"/>
      <c r="FCJ502" s="126"/>
      <c r="FCK502" s="126"/>
      <c r="FCL502" s="126"/>
      <c r="FCM502" s="126"/>
      <c r="FCN502" s="126"/>
      <c r="FCO502" s="126"/>
      <c r="FCP502" s="126"/>
      <c r="FCQ502" s="126"/>
      <c r="FCR502" s="126"/>
      <c r="FCS502" s="126"/>
      <c r="FCT502" s="126"/>
      <c r="FCU502" s="126"/>
      <c r="FCV502" s="126"/>
      <c r="FCW502" s="126"/>
      <c r="FCX502" s="126"/>
      <c r="FCY502" s="126"/>
      <c r="FCZ502" s="126"/>
      <c r="FDA502" s="126"/>
      <c r="FDB502" s="126"/>
      <c r="FDC502" s="126"/>
      <c r="FDD502" s="126"/>
      <c r="FDE502" s="126"/>
      <c r="FDF502" s="126"/>
      <c r="FDG502" s="126"/>
      <c r="FDH502" s="126"/>
      <c r="FDI502" s="126"/>
      <c r="FDJ502" s="126"/>
      <c r="FDK502" s="126"/>
      <c r="FDL502" s="126"/>
      <c r="FDM502" s="126"/>
      <c r="FDN502" s="126"/>
      <c r="FDO502" s="126"/>
      <c r="FDP502" s="126"/>
      <c r="FDQ502" s="126"/>
      <c r="FDR502" s="126"/>
      <c r="FDS502" s="126"/>
      <c r="FDT502" s="126"/>
      <c r="FDU502" s="126"/>
      <c r="FDV502" s="126"/>
      <c r="FDW502" s="126"/>
      <c r="FDX502" s="126"/>
      <c r="FDY502" s="126"/>
      <c r="FDZ502" s="126"/>
      <c r="FEA502" s="126"/>
      <c r="FEB502" s="126"/>
      <c r="FEC502" s="126"/>
      <c r="FED502" s="126"/>
      <c r="FEE502" s="126"/>
      <c r="FEF502" s="126"/>
      <c r="FEG502" s="126"/>
      <c r="FEH502" s="126"/>
      <c r="FEI502" s="126"/>
      <c r="FEJ502" s="126"/>
      <c r="FEK502" s="126"/>
      <c r="FEL502" s="126"/>
      <c r="FEM502" s="126"/>
      <c r="FEN502" s="126"/>
      <c r="FEO502" s="126"/>
      <c r="FEP502" s="126"/>
      <c r="FEQ502" s="126"/>
      <c r="FER502" s="126"/>
      <c r="FES502" s="126"/>
      <c r="FET502" s="126"/>
      <c r="FEU502" s="126"/>
      <c r="FEV502" s="126"/>
      <c r="FEW502" s="126"/>
      <c r="FEX502" s="126"/>
      <c r="FEY502" s="126"/>
      <c r="FEZ502" s="126"/>
      <c r="FFA502" s="126"/>
      <c r="FFB502" s="126"/>
      <c r="FFC502" s="126"/>
      <c r="FFD502" s="126"/>
      <c r="FFE502" s="126"/>
      <c r="FFF502" s="126"/>
      <c r="FFG502" s="126"/>
      <c r="FFH502" s="126"/>
      <c r="FFI502" s="126"/>
      <c r="FFJ502" s="126"/>
      <c r="FFK502" s="126"/>
      <c r="FFL502" s="126"/>
      <c r="FFM502" s="126"/>
      <c r="FFN502" s="126"/>
      <c r="FFO502" s="126"/>
      <c r="FFP502" s="126"/>
      <c r="FFQ502" s="126"/>
      <c r="FFR502" s="126"/>
      <c r="FFS502" s="126"/>
      <c r="FFT502" s="126"/>
      <c r="FFU502" s="126"/>
      <c r="FFV502" s="126"/>
      <c r="FFW502" s="126"/>
      <c r="FFX502" s="126"/>
      <c r="FFY502" s="126"/>
      <c r="FFZ502" s="126"/>
      <c r="FGA502" s="126"/>
      <c r="FGB502" s="126"/>
      <c r="FGC502" s="126"/>
      <c r="FGD502" s="126"/>
      <c r="FGE502" s="126"/>
      <c r="FGF502" s="126"/>
      <c r="FGG502" s="126"/>
      <c r="FGH502" s="126"/>
      <c r="FGI502" s="126"/>
      <c r="FGJ502" s="126"/>
      <c r="FGK502" s="126"/>
      <c r="FGL502" s="126"/>
      <c r="FGM502" s="126"/>
      <c r="FGN502" s="126"/>
      <c r="FGO502" s="126"/>
      <c r="FGP502" s="126"/>
      <c r="FGQ502" s="126"/>
      <c r="FGR502" s="126"/>
      <c r="FGS502" s="126"/>
      <c r="FGT502" s="126"/>
      <c r="FGU502" s="126"/>
      <c r="FGV502" s="126"/>
      <c r="FGW502" s="126"/>
      <c r="FGX502" s="126"/>
      <c r="FGY502" s="126"/>
      <c r="FGZ502" s="126"/>
      <c r="FHA502" s="126"/>
      <c r="FHB502" s="126"/>
      <c r="FHC502" s="126"/>
      <c r="FHD502" s="126"/>
      <c r="FHE502" s="126"/>
      <c r="FHF502" s="126"/>
      <c r="FHG502" s="126"/>
      <c r="FHH502" s="126"/>
      <c r="FHI502" s="126"/>
      <c r="FHJ502" s="126"/>
      <c r="FHK502" s="126"/>
      <c r="FHL502" s="126"/>
      <c r="FHM502" s="126"/>
      <c r="FHN502" s="126"/>
      <c r="FHO502" s="126"/>
      <c r="FHP502" s="126"/>
      <c r="FHQ502" s="126"/>
      <c r="FHR502" s="126"/>
      <c r="FHS502" s="126"/>
      <c r="FHT502" s="126"/>
      <c r="FHU502" s="126"/>
      <c r="FHV502" s="126"/>
      <c r="FHW502" s="126"/>
      <c r="FHX502" s="126"/>
      <c r="FHY502" s="126"/>
      <c r="FHZ502" s="126"/>
      <c r="FIA502" s="126"/>
      <c r="FIB502" s="126"/>
      <c r="FIC502" s="126"/>
      <c r="FID502" s="126"/>
      <c r="FIE502" s="126"/>
      <c r="FIF502" s="126"/>
      <c r="FIG502" s="126"/>
      <c r="FIH502" s="126"/>
      <c r="FII502" s="126"/>
      <c r="FIJ502" s="126"/>
      <c r="FIK502" s="126"/>
      <c r="FIL502" s="126"/>
      <c r="FIM502" s="126"/>
      <c r="FIN502" s="126"/>
      <c r="FIO502" s="126"/>
      <c r="FIP502" s="126"/>
      <c r="FIQ502" s="126"/>
      <c r="FIR502" s="126"/>
      <c r="FIS502" s="126"/>
      <c r="FIT502" s="126"/>
      <c r="FIU502" s="126"/>
      <c r="FIV502" s="126"/>
      <c r="FIW502" s="126"/>
      <c r="FIX502" s="126"/>
      <c r="FIY502" s="126"/>
      <c r="FIZ502" s="126"/>
      <c r="FJA502" s="126"/>
      <c r="FJB502" s="126"/>
      <c r="FJC502" s="126"/>
      <c r="FJD502" s="126"/>
      <c r="FJE502" s="126"/>
      <c r="FJF502" s="126"/>
      <c r="FJG502" s="126"/>
      <c r="FJH502" s="126"/>
      <c r="FJI502" s="126"/>
      <c r="FJJ502" s="126"/>
      <c r="FJK502" s="126"/>
      <c r="FJL502" s="126"/>
      <c r="FJM502" s="126"/>
      <c r="FJN502" s="126"/>
      <c r="FJO502" s="126"/>
      <c r="FJP502" s="126"/>
      <c r="FJQ502" s="126"/>
      <c r="FJR502" s="126"/>
      <c r="FJS502" s="126"/>
      <c r="FJT502" s="126"/>
      <c r="FJU502" s="126"/>
      <c r="FJV502" s="126"/>
      <c r="FJW502" s="126"/>
      <c r="FJX502" s="126"/>
      <c r="FJY502" s="126"/>
      <c r="FJZ502" s="126"/>
      <c r="FKA502" s="126"/>
      <c r="FKB502" s="126"/>
      <c r="FKC502" s="126"/>
      <c r="FKD502" s="126"/>
      <c r="FKE502" s="126"/>
      <c r="FKF502" s="126"/>
      <c r="FKG502" s="126"/>
      <c r="FKH502" s="126"/>
      <c r="FKI502" s="126"/>
      <c r="FKJ502" s="126"/>
      <c r="FKK502" s="126"/>
      <c r="FKL502" s="126"/>
      <c r="FKM502" s="126"/>
      <c r="FKN502" s="126"/>
      <c r="FKO502" s="126"/>
      <c r="FKP502" s="126"/>
      <c r="FKQ502" s="126"/>
      <c r="FKR502" s="126"/>
      <c r="FKS502" s="126"/>
      <c r="FKT502" s="126"/>
      <c r="FKU502" s="126"/>
      <c r="FKV502" s="126"/>
      <c r="FKW502" s="126"/>
      <c r="FKX502" s="126"/>
      <c r="FKY502" s="126"/>
      <c r="FKZ502" s="126"/>
      <c r="FLA502" s="126"/>
      <c r="FLB502" s="126"/>
      <c r="FLC502" s="126"/>
      <c r="FLD502" s="126"/>
      <c r="FLE502" s="126"/>
      <c r="FLF502" s="126"/>
      <c r="FLG502" s="126"/>
      <c r="FLH502" s="126"/>
      <c r="FLI502" s="126"/>
      <c r="FLJ502" s="126"/>
      <c r="FLK502" s="126"/>
      <c r="FLL502" s="126"/>
      <c r="FLM502" s="126"/>
      <c r="FLN502" s="126"/>
      <c r="FLO502" s="126"/>
      <c r="FLP502" s="126"/>
      <c r="FLQ502" s="126"/>
      <c r="FLR502" s="126"/>
      <c r="FLS502" s="126"/>
      <c r="FLT502" s="126"/>
      <c r="FLU502" s="126"/>
      <c r="FLV502" s="126"/>
      <c r="FLW502" s="126"/>
      <c r="FLX502" s="126"/>
      <c r="FLY502" s="126"/>
      <c r="FLZ502" s="126"/>
      <c r="FMA502" s="126"/>
      <c r="FMB502" s="126"/>
      <c r="FMC502" s="126"/>
      <c r="FMD502" s="126"/>
      <c r="FME502" s="126"/>
      <c r="FMF502" s="126"/>
      <c r="FMG502" s="126"/>
      <c r="FMH502" s="126"/>
      <c r="FMI502" s="126"/>
      <c r="FMJ502" s="126"/>
      <c r="FMK502" s="126"/>
      <c r="FML502" s="126"/>
      <c r="FMM502" s="126"/>
      <c r="FMN502" s="126"/>
      <c r="FMO502" s="126"/>
      <c r="FMP502" s="126"/>
      <c r="FMQ502" s="126"/>
      <c r="FMR502" s="126"/>
      <c r="FMS502" s="126"/>
      <c r="FMT502" s="126"/>
      <c r="FMU502" s="126"/>
      <c r="FMV502" s="126"/>
      <c r="FMW502" s="126"/>
      <c r="FMX502" s="126"/>
      <c r="FMY502" s="126"/>
      <c r="FMZ502" s="126"/>
      <c r="FNA502" s="126"/>
      <c r="FNB502" s="126"/>
      <c r="FNC502" s="126"/>
      <c r="FND502" s="126"/>
      <c r="FNE502" s="126"/>
      <c r="FNF502" s="126"/>
      <c r="FNG502" s="126"/>
      <c r="FNH502" s="126"/>
      <c r="FNI502" s="126"/>
      <c r="FNJ502" s="126"/>
      <c r="FNK502" s="126"/>
      <c r="FNL502" s="126"/>
      <c r="FNM502" s="126"/>
      <c r="FNN502" s="126"/>
      <c r="FNO502" s="126"/>
      <c r="FNP502" s="126"/>
      <c r="FNQ502" s="126"/>
      <c r="FNR502" s="126"/>
      <c r="FNS502" s="126"/>
      <c r="FNT502" s="126"/>
      <c r="FNU502" s="126"/>
      <c r="FNV502" s="126"/>
      <c r="FNW502" s="126"/>
      <c r="FNX502" s="126"/>
      <c r="FNY502" s="126"/>
      <c r="FNZ502" s="126"/>
      <c r="FOA502" s="126"/>
      <c r="FOB502" s="126"/>
      <c r="FOC502" s="126"/>
      <c r="FOD502" s="126"/>
      <c r="FOE502" s="126"/>
      <c r="FOF502" s="126"/>
      <c r="FOG502" s="126"/>
      <c r="FOH502" s="126"/>
      <c r="FOI502" s="126"/>
      <c r="FOJ502" s="126"/>
      <c r="FOK502" s="126"/>
      <c r="FOL502" s="126"/>
      <c r="FOM502" s="126"/>
      <c r="FON502" s="126"/>
      <c r="FOO502" s="126"/>
      <c r="FOP502" s="126"/>
      <c r="FOQ502" s="126"/>
      <c r="FOR502" s="126"/>
      <c r="FOS502" s="126"/>
      <c r="FOT502" s="126"/>
      <c r="FOU502" s="126"/>
      <c r="FOV502" s="126"/>
      <c r="FOW502" s="126"/>
      <c r="FOX502" s="126"/>
      <c r="FOY502" s="126"/>
      <c r="FOZ502" s="126"/>
      <c r="FPA502" s="126"/>
      <c r="FPB502" s="126"/>
      <c r="FPC502" s="126"/>
      <c r="FPD502" s="126"/>
      <c r="FPE502" s="126"/>
      <c r="FPF502" s="126"/>
      <c r="FPG502" s="126"/>
      <c r="FPH502" s="126"/>
      <c r="FPI502" s="126"/>
      <c r="FPJ502" s="126"/>
      <c r="FPK502" s="126"/>
      <c r="FPL502" s="126"/>
      <c r="FPM502" s="126"/>
      <c r="FPN502" s="126"/>
      <c r="FPO502" s="126"/>
      <c r="FPP502" s="126"/>
      <c r="FPQ502" s="126"/>
      <c r="FPR502" s="126"/>
      <c r="FPS502" s="126"/>
      <c r="FPT502" s="126"/>
      <c r="FPU502" s="126"/>
      <c r="FPV502" s="126"/>
      <c r="FPW502" s="126"/>
      <c r="FPX502" s="126"/>
      <c r="FPY502" s="126"/>
      <c r="FPZ502" s="126"/>
      <c r="FQA502" s="126"/>
      <c r="FQB502" s="126"/>
      <c r="FQC502" s="126"/>
      <c r="FQD502" s="126"/>
      <c r="FQE502" s="126"/>
      <c r="FQF502" s="126"/>
      <c r="FQG502" s="126"/>
      <c r="FQH502" s="126"/>
      <c r="FQI502" s="126"/>
      <c r="FQJ502" s="126"/>
      <c r="FQK502" s="126"/>
      <c r="FQL502" s="126"/>
      <c r="FQM502" s="126"/>
      <c r="FQN502" s="126"/>
      <c r="FQO502" s="126"/>
      <c r="FQP502" s="126"/>
      <c r="FQQ502" s="126"/>
      <c r="FQR502" s="126"/>
      <c r="FQS502" s="126"/>
      <c r="FQT502" s="126"/>
      <c r="FQU502" s="126"/>
      <c r="FQV502" s="126"/>
      <c r="FQW502" s="126"/>
      <c r="FQX502" s="126"/>
      <c r="FQY502" s="126"/>
      <c r="FQZ502" s="126"/>
      <c r="FRA502" s="126"/>
      <c r="FRB502" s="126"/>
      <c r="FRC502" s="126"/>
      <c r="FRD502" s="126"/>
      <c r="FRE502" s="126"/>
      <c r="FRF502" s="126"/>
      <c r="FRG502" s="126"/>
      <c r="FRH502" s="126"/>
      <c r="FRI502" s="126"/>
      <c r="FRJ502" s="126"/>
      <c r="FRK502" s="126"/>
      <c r="FRL502" s="126"/>
      <c r="FRM502" s="126"/>
      <c r="FRN502" s="126"/>
      <c r="FRO502" s="126"/>
      <c r="FRP502" s="126"/>
      <c r="FRQ502" s="126"/>
      <c r="FRR502" s="126"/>
      <c r="FRS502" s="126"/>
      <c r="FRT502" s="126"/>
      <c r="FRU502" s="126"/>
      <c r="FRV502" s="126"/>
      <c r="FRW502" s="126"/>
      <c r="FRX502" s="126"/>
      <c r="FRY502" s="126"/>
      <c r="FRZ502" s="126"/>
      <c r="FSA502" s="126"/>
      <c r="FSB502" s="126"/>
      <c r="FSC502" s="126"/>
      <c r="FSD502" s="126"/>
      <c r="FSE502" s="126"/>
      <c r="FSF502" s="126"/>
      <c r="FSG502" s="126"/>
      <c r="FSH502" s="126"/>
      <c r="FSI502" s="126"/>
      <c r="FSJ502" s="126"/>
      <c r="FSK502" s="126"/>
      <c r="FSL502" s="126"/>
      <c r="FSM502" s="126"/>
      <c r="FSN502" s="126"/>
      <c r="FSO502" s="126"/>
      <c r="FSP502" s="126"/>
      <c r="FSQ502" s="126"/>
      <c r="FSR502" s="126"/>
      <c r="FSS502" s="126"/>
      <c r="FST502" s="126"/>
      <c r="FSU502" s="126"/>
      <c r="FSV502" s="126"/>
      <c r="FSW502" s="126"/>
      <c r="FSX502" s="126"/>
      <c r="FSY502" s="126"/>
      <c r="FSZ502" s="126"/>
      <c r="FTA502" s="126"/>
      <c r="FTB502" s="126"/>
      <c r="FTC502" s="126"/>
      <c r="FTD502" s="126"/>
      <c r="FTE502" s="126"/>
      <c r="FTF502" s="126"/>
      <c r="FTG502" s="126"/>
      <c r="FTH502" s="126"/>
      <c r="FTI502" s="126"/>
      <c r="FTJ502" s="126"/>
      <c r="FTK502" s="126"/>
      <c r="FTL502" s="126"/>
      <c r="FTM502" s="126"/>
      <c r="FTN502" s="126"/>
      <c r="FTO502" s="126"/>
      <c r="FTP502" s="126"/>
      <c r="FTQ502" s="126"/>
      <c r="FTR502" s="126"/>
      <c r="FTS502" s="126"/>
      <c r="FTT502" s="126"/>
      <c r="FTU502" s="126"/>
      <c r="FTV502" s="126"/>
      <c r="FTW502" s="126"/>
      <c r="FTX502" s="126"/>
      <c r="FTY502" s="126"/>
      <c r="FTZ502" s="126"/>
      <c r="FUA502" s="126"/>
      <c r="FUB502" s="126"/>
      <c r="FUC502" s="126"/>
      <c r="FUD502" s="126"/>
      <c r="FUE502" s="126"/>
      <c r="FUF502" s="126"/>
      <c r="FUG502" s="126"/>
      <c r="FUH502" s="126"/>
      <c r="FUI502" s="126"/>
      <c r="FUJ502" s="126"/>
      <c r="FUK502" s="126"/>
      <c r="FUL502" s="126"/>
      <c r="FUM502" s="126"/>
      <c r="FUN502" s="126"/>
      <c r="FUO502" s="126"/>
      <c r="FUP502" s="126"/>
      <c r="FUQ502" s="126"/>
      <c r="FUR502" s="126"/>
      <c r="FUS502" s="126"/>
      <c r="FUT502" s="126"/>
      <c r="FUU502" s="126"/>
      <c r="FUV502" s="126"/>
      <c r="FUW502" s="126"/>
      <c r="FUX502" s="126"/>
      <c r="FUY502" s="126"/>
      <c r="FUZ502" s="126"/>
      <c r="FVA502" s="126"/>
      <c r="FVB502" s="126"/>
      <c r="FVC502" s="126"/>
      <c r="FVD502" s="126"/>
      <c r="FVE502" s="126"/>
      <c r="FVF502" s="126"/>
      <c r="FVG502" s="126"/>
      <c r="FVH502" s="126"/>
      <c r="FVI502" s="126"/>
      <c r="FVJ502" s="126"/>
      <c r="FVK502" s="126"/>
      <c r="FVL502" s="126"/>
      <c r="FVM502" s="126"/>
      <c r="FVN502" s="126"/>
      <c r="FVO502" s="126"/>
      <c r="FVP502" s="126"/>
      <c r="FVQ502" s="126"/>
      <c r="FVR502" s="126"/>
      <c r="FVS502" s="126"/>
      <c r="FVT502" s="126"/>
      <c r="FVU502" s="126"/>
      <c r="FVV502" s="126"/>
      <c r="FVW502" s="126"/>
      <c r="FVX502" s="126"/>
      <c r="FVY502" s="126"/>
      <c r="FVZ502" s="126"/>
      <c r="FWA502" s="126"/>
      <c r="FWB502" s="126"/>
      <c r="FWC502" s="126"/>
      <c r="FWD502" s="126"/>
      <c r="FWE502" s="126"/>
      <c r="FWF502" s="126"/>
      <c r="FWG502" s="126"/>
      <c r="FWH502" s="126"/>
      <c r="FWI502" s="126"/>
      <c r="FWJ502" s="126"/>
      <c r="FWK502" s="126"/>
      <c r="FWL502" s="126"/>
      <c r="FWM502" s="126"/>
      <c r="FWN502" s="126"/>
      <c r="FWO502" s="126"/>
      <c r="FWP502" s="126"/>
      <c r="FWQ502" s="126"/>
      <c r="FWR502" s="126"/>
      <c r="FWS502" s="126"/>
      <c r="FWT502" s="126"/>
      <c r="FWU502" s="126"/>
      <c r="FWV502" s="126"/>
      <c r="FWW502" s="126"/>
      <c r="FWX502" s="126"/>
      <c r="FWY502" s="126"/>
      <c r="FWZ502" s="126"/>
      <c r="FXA502" s="126"/>
      <c r="FXB502" s="126"/>
      <c r="FXC502" s="126"/>
      <c r="FXD502" s="126"/>
      <c r="FXE502" s="126"/>
      <c r="FXF502" s="126"/>
      <c r="FXG502" s="126"/>
      <c r="FXH502" s="126"/>
      <c r="FXI502" s="126"/>
      <c r="FXJ502" s="126"/>
      <c r="FXK502" s="126"/>
      <c r="FXL502" s="126"/>
      <c r="FXM502" s="126"/>
      <c r="FXN502" s="126"/>
      <c r="FXO502" s="126"/>
      <c r="FXP502" s="126"/>
      <c r="FXQ502" s="126"/>
      <c r="FXR502" s="126"/>
      <c r="FXS502" s="126"/>
      <c r="FXT502" s="126"/>
      <c r="FXU502" s="126"/>
      <c r="FXV502" s="126"/>
      <c r="FXW502" s="126"/>
      <c r="FXX502" s="126"/>
      <c r="FXY502" s="126"/>
      <c r="FXZ502" s="126"/>
      <c r="FYA502" s="126"/>
      <c r="FYB502" s="126"/>
      <c r="FYC502" s="126"/>
      <c r="FYD502" s="126"/>
      <c r="FYE502" s="126"/>
      <c r="FYF502" s="126"/>
      <c r="FYG502" s="126"/>
      <c r="FYH502" s="126"/>
      <c r="FYI502" s="126"/>
      <c r="FYJ502" s="126"/>
      <c r="FYK502" s="126"/>
      <c r="FYL502" s="126"/>
      <c r="FYM502" s="126"/>
      <c r="FYN502" s="126"/>
      <c r="FYO502" s="126"/>
      <c r="FYP502" s="126"/>
      <c r="FYQ502" s="126"/>
      <c r="FYR502" s="126"/>
      <c r="FYS502" s="126"/>
      <c r="FYT502" s="126"/>
      <c r="FYU502" s="126"/>
      <c r="FYV502" s="126"/>
      <c r="FYW502" s="126"/>
      <c r="FYX502" s="126"/>
      <c r="FYY502" s="126"/>
      <c r="FYZ502" s="126"/>
      <c r="FZA502" s="126"/>
      <c r="FZB502" s="126"/>
      <c r="FZC502" s="126"/>
      <c r="FZD502" s="126"/>
      <c r="FZE502" s="126"/>
      <c r="FZF502" s="126"/>
      <c r="FZG502" s="126"/>
      <c r="FZH502" s="126"/>
      <c r="FZI502" s="126"/>
      <c r="FZJ502" s="126"/>
      <c r="FZK502" s="126"/>
      <c r="FZL502" s="126"/>
      <c r="FZM502" s="126"/>
      <c r="FZN502" s="126"/>
      <c r="FZO502" s="126"/>
      <c r="FZP502" s="126"/>
      <c r="FZQ502" s="126"/>
      <c r="FZR502" s="126"/>
      <c r="FZS502" s="126"/>
      <c r="FZT502" s="126"/>
      <c r="FZU502" s="126"/>
      <c r="FZV502" s="126"/>
      <c r="FZW502" s="126"/>
      <c r="FZX502" s="126"/>
      <c r="FZY502" s="126"/>
      <c r="FZZ502" s="126"/>
      <c r="GAA502" s="126"/>
      <c r="GAB502" s="126"/>
      <c r="GAC502" s="126"/>
      <c r="GAD502" s="126"/>
      <c r="GAE502" s="126"/>
      <c r="GAF502" s="126"/>
      <c r="GAG502" s="126"/>
      <c r="GAH502" s="126"/>
      <c r="GAI502" s="126"/>
      <c r="GAJ502" s="126"/>
      <c r="GAK502" s="126"/>
      <c r="GAL502" s="126"/>
      <c r="GAM502" s="126"/>
      <c r="GAN502" s="126"/>
      <c r="GAO502" s="126"/>
      <c r="GAP502" s="126"/>
      <c r="GAQ502" s="126"/>
      <c r="GAR502" s="126"/>
      <c r="GAS502" s="126"/>
      <c r="GAT502" s="126"/>
      <c r="GAU502" s="126"/>
      <c r="GAV502" s="126"/>
      <c r="GAW502" s="126"/>
      <c r="GAX502" s="126"/>
      <c r="GAY502" s="126"/>
      <c r="GAZ502" s="126"/>
      <c r="GBA502" s="126"/>
      <c r="GBB502" s="126"/>
      <c r="GBC502" s="126"/>
      <c r="GBD502" s="126"/>
      <c r="GBE502" s="126"/>
      <c r="GBF502" s="126"/>
      <c r="GBG502" s="126"/>
      <c r="GBH502" s="126"/>
      <c r="GBI502" s="126"/>
      <c r="GBJ502" s="126"/>
      <c r="GBK502" s="126"/>
      <c r="GBL502" s="126"/>
      <c r="GBM502" s="126"/>
      <c r="GBN502" s="126"/>
      <c r="GBO502" s="126"/>
      <c r="GBP502" s="126"/>
      <c r="GBQ502" s="126"/>
      <c r="GBR502" s="126"/>
      <c r="GBS502" s="126"/>
      <c r="GBT502" s="126"/>
      <c r="GBU502" s="126"/>
      <c r="GBV502" s="126"/>
      <c r="GBW502" s="126"/>
      <c r="GBX502" s="126"/>
      <c r="GBY502" s="126"/>
      <c r="GBZ502" s="126"/>
      <c r="GCA502" s="126"/>
      <c r="GCB502" s="126"/>
      <c r="GCC502" s="126"/>
      <c r="GCD502" s="126"/>
      <c r="GCE502" s="126"/>
      <c r="GCF502" s="126"/>
      <c r="GCG502" s="126"/>
      <c r="GCH502" s="126"/>
      <c r="GCI502" s="126"/>
      <c r="GCJ502" s="126"/>
      <c r="GCK502" s="126"/>
      <c r="GCL502" s="126"/>
      <c r="GCM502" s="126"/>
      <c r="GCN502" s="126"/>
      <c r="GCO502" s="126"/>
      <c r="GCP502" s="126"/>
      <c r="GCQ502" s="126"/>
      <c r="GCR502" s="126"/>
      <c r="GCS502" s="126"/>
      <c r="GCT502" s="126"/>
      <c r="GCU502" s="126"/>
      <c r="GCV502" s="126"/>
      <c r="GCW502" s="126"/>
      <c r="GCX502" s="126"/>
      <c r="GCY502" s="126"/>
      <c r="GCZ502" s="126"/>
      <c r="GDA502" s="126"/>
      <c r="GDB502" s="126"/>
      <c r="GDC502" s="126"/>
      <c r="GDD502" s="126"/>
      <c r="GDE502" s="126"/>
      <c r="GDF502" s="126"/>
      <c r="GDG502" s="126"/>
      <c r="GDH502" s="126"/>
      <c r="GDI502" s="126"/>
      <c r="GDJ502" s="126"/>
      <c r="GDK502" s="126"/>
      <c r="GDL502" s="126"/>
      <c r="GDM502" s="126"/>
      <c r="GDN502" s="126"/>
      <c r="GDO502" s="126"/>
      <c r="GDP502" s="126"/>
      <c r="GDQ502" s="126"/>
      <c r="GDR502" s="126"/>
      <c r="GDS502" s="126"/>
      <c r="GDT502" s="126"/>
      <c r="GDU502" s="126"/>
      <c r="GDV502" s="126"/>
      <c r="GDW502" s="126"/>
      <c r="GDX502" s="126"/>
      <c r="GDY502" s="126"/>
      <c r="GDZ502" s="126"/>
      <c r="GEA502" s="126"/>
      <c r="GEB502" s="126"/>
      <c r="GEC502" s="126"/>
      <c r="GED502" s="126"/>
      <c r="GEE502" s="126"/>
      <c r="GEF502" s="126"/>
      <c r="GEG502" s="126"/>
      <c r="GEH502" s="126"/>
      <c r="GEI502" s="126"/>
      <c r="GEJ502" s="126"/>
      <c r="GEK502" s="126"/>
      <c r="GEL502" s="126"/>
      <c r="GEM502" s="126"/>
      <c r="GEN502" s="126"/>
      <c r="GEO502" s="126"/>
      <c r="GEP502" s="126"/>
      <c r="GEQ502" s="126"/>
      <c r="GER502" s="126"/>
      <c r="GES502" s="126"/>
      <c r="GET502" s="126"/>
      <c r="GEU502" s="126"/>
      <c r="GEV502" s="126"/>
      <c r="GEW502" s="126"/>
      <c r="GEX502" s="126"/>
      <c r="GEY502" s="126"/>
      <c r="GEZ502" s="126"/>
      <c r="GFA502" s="126"/>
      <c r="GFB502" s="126"/>
      <c r="GFC502" s="126"/>
      <c r="GFD502" s="126"/>
      <c r="GFE502" s="126"/>
      <c r="GFF502" s="126"/>
      <c r="GFG502" s="126"/>
      <c r="GFH502" s="126"/>
      <c r="GFI502" s="126"/>
      <c r="GFJ502" s="126"/>
      <c r="GFK502" s="126"/>
      <c r="GFL502" s="126"/>
      <c r="GFM502" s="126"/>
      <c r="GFN502" s="126"/>
      <c r="GFO502" s="126"/>
      <c r="GFP502" s="126"/>
      <c r="GFQ502" s="126"/>
      <c r="GFR502" s="126"/>
      <c r="GFS502" s="126"/>
      <c r="GFT502" s="126"/>
      <c r="GFU502" s="126"/>
      <c r="GFV502" s="126"/>
      <c r="GFW502" s="126"/>
      <c r="GFX502" s="126"/>
      <c r="GFY502" s="126"/>
      <c r="GFZ502" s="126"/>
      <c r="GGA502" s="126"/>
      <c r="GGB502" s="126"/>
      <c r="GGC502" s="126"/>
      <c r="GGD502" s="126"/>
      <c r="GGE502" s="126"/>
      <c r="GGF502" s="126"/>
      <c r="GGG502" s="126"/>
      <c r="GGH502" s="126"/>
      <c r="GGI502" s="126"/>
      <c r="GGJ502" s="126"/>
      <c r="GGK502" s="126"/>
      <c r="GGL502" s="126"/>
      <c r="GGM502" s="126"/>
      <c r="GGN502" s="126"/>
      <c r="GGO502" s="126"/>
      <c r="GGP502" s="126"/>
      <c r="GGQ502" s="126"/>
      <c r="GGR502" s="126"/>
      <c r="GGS502" s="126"/>
      <c r="GGT502" s="126"/>
      <c r="GGU502" s="126"/>
      <c r="GGV502" s="126"/>
      <c r="GGW502" s="126"/>
      <c r="GGX502" s="126"/>
      <c r="GGY502" s="126"/>
      <c r="GGZ502" s="126"/>
      <c r="GHA502" s="126"/>
      <c r="GHB502" s="126"/>
      <c r="GHC502" s="126"/>
      <c r="GHD502" s="126"/>
      <c r="GHE502" s="126"/>
      <c r="GHF502" s="126"/>
      <c r="GHG502" s="126"/>
      <c r="GHH502" s="126"/>
      <c r="GHI502" s="126"/>
      <c r="GHJ502" s="126"/>
      <c r="GHK502" s="126"/>
      <c r="GHL502" s="126"/>
      <c r="GHM502" s="126"/>
      <c r="GHN502" s="126"/>
      <c r="GHO502" s="126"/>
      <c r="GHP502" s="126"/>
      <c r="GHQ502" s="126"/>
      <c r="GHR502" s="126"/>
      <c r="GHS502" s="126"/>
      <c r="GHT502" s="126"/>
      <c r="GHU502" s="126"/>
      <c r="GHV502" s="126"/>
      <c r="GHW502" s="126"/>
      <c r="GHX502" s="126"/>
      <c r="GHY502" s="126"/>
      <c r="GHZ502" s="126"/>
      <c r="GIA502" s="126"/>
      <c r="GIB502" s="126"/>
      <c r="GIC502" s="126"/>
      <c r="GID502" s="126"/>
      <c r="GIE502" s="126"/>
      <c r="GIF502" s="126"/>
      <c r="GIG502" s="126"/>
      <c r="GIH502" s="126"/>
      <c r="GII502" s="126"/>
      <c r="GIJ502" s="126"/>
      <c r="GIK502" s="126"/>
      <c r="GIL502" s="126"/>
      <c r="GIM502" s="126"/>
      <c r="GIN502" s="126"/>
      <c r="GIO502" s="126"/>
      <c r="GIP502" s="126"/>
      <c r="GIQ502" s="126"/>
      <c r="GIR502" s="126"/>
      <c r="GIS502" s="126"/>
      <c r="GIT502" s="126"/>
      <c r="GIU502" s="126"/>
      <c r="GIV502" s="126"/>
      <c r="GIW502" s="126"/>
      <c r="GIX502" s="126"/>
      <c r="GIY502" s="126"/>
      <c r="GIZ502" s="126"/>
      <c r="GJA502" s="126"/>
      <c r="GJB502" s="126"/>
      <c r="GJC502" s="126"/>
      <c r="GJD502" s="126"/>
      <c r="GJE502" s="126"/>
      <c r="GJF502" s="126"/>
      <c r="GJG502" s="126"/>
      <c r="GJH502" s="126"/>
      <c r="GJI502" s="126"/>
      <c r="GJJ502" s="126"/>
      <c r="GJK502" s="126"/>
      <c r="GJL502" s="126"/>
      <c r="GJM502" s="126"/>
      <c r="GJN502" s="126"/>
      <c r="GJO502" s="126"/>
      <c r="GJP502" s="126"/>
      <c r="GJQ502" s="126"/>
      <c r="GJR502" s="126"/>
      <c r="GJS502" s="126"/>
      <c r="GJT502" s="126"/>
      <c r="GJU502" s="126"/>
      <c r="GJV502" s="126"/>
      <c r="GJW502" s="126"/>
      <c r="GJX502" s="126"/>
      <c r="GJY502" s="126"/>
      <c r="GJZ502" s="126"/>
      <c r="GKA502" s="126"/>
      <c r="GKB502" s="126"/>
      <c r="GKC502" s="126"/>
      <c r="GKD502" s="126"/>
      <c r="GKE502" s="126"/>
      <c r="GKF502" s="126"/>
      <c r="GKG502" s="126"/>
      <c r="GKH502" s="126"/>
      <c r="GKI502" s="126"/>
      <c r="GKJ502" s="126"/>
      <c r="GKK502" s="126"/>
      <c r="GKL502" s="126"/>
      <c r="GKM502" s="126"/>
      <c r="GKN502" s="126"/>
      <c r="GKO502" s="126"/>
      <c r="GKP502" s="126"/>
      <c r="GKQ502" s="126"/>
      <c r="GKR502" s="126"/>
      <c r="GKS502" s="126"/>
      <c r="GKT502" s="126"/>
      <c r="GKU502" s="126"/>
      <c r="GKV502" s="126"/>
      <c r="GKW502" s="126"/>
      <c r="GKX502" s="126"/>
      <c r="GKY502" s="126"/>
      <c r="GKZ502" s="126"/>
      <c r="GLA502" s="126"/>
      <c r="GLB502" s="126"/>
      <c r="GLC502" s="126"/>
      <c r="GLD502" s="126"/>
      <c r="GLE502" s="126"/>
      <c r="GLF502" s="126"/>
      <c r="GLG502" s="126"/>
      <c r="GLH502" s="126"/>
      <c r="GLI502" s="126"/>
      <c r="GLJ502" s="126"/>
      <c r="GLK502" s="126"/>
      <c r="GLL502" s="126"/>
      <c r="GLM502" s="126"/>
      <c r="GLN502" s="126"/>
      <c r="GLO502" s="126"/>
      <c r="GLP502" s="126"/>
      <c r="GLQ502" s="126"/>
      <c r="GLR502" s="126"/>
      <c r="GLS502" s="126"/>
      <c r="GLT502" s="126"/>
      <c r="GLU502" s="126"/>
      <c r="GLV502" s="126"/>
      <c r="GLW502" s="126"/>
      <c r="GLX502" s="126"/>
      <c r="GLY502" s="126"/>
      <c r="GLZ502" s="126"/>
      <c r="GMA502" s="126"/>
      <c r="GMB502" s="126"/>
      <c r="GMC502" s="126"/>
      <c r="GMD502" s="126"/>
      <c r="GME502" s="126"/>
      <c r="GMF502" s="126"/>
      <c r="GMG502" s="126"/>
      <c r="GMH502" s="126"/>
      <c r="GMI502" s="126"/>
      <c r="GMJ502" s="126"/>
      <c r="GMK502" s="126"/>
      <c r="GML502" s="126"/>
      <c r="GMM502" s="126"/>
      <c r="GMN502" s="126"/>
      <c r="GMO502" s="126"/>
      <c r="GMP502" s="126"/>
      <c r="GMQ502" s="126"/>
      <c r="GMR502" s="126"/>
      <c r="GMS502" s="126"/>
      <c r="GMT502" s="126"/>
      <c r="GMU502" s="126"/>
      <c r="GMV502" s="126"/>
      <c r="GMW502" s="126"/>
      <c r="GMX502" s="126"/>
      <c r="GMY502" s="126"/>
      <c r="GMZ502" s="126"/>
      <c r="GNA502" s="126"/>
      <c r="GNB502" s="126"/>
      <c r="GNC502" s="126"/>
      <c r="GND502" s="126"/>
      <c r="GNE502" s="126"/>
      <c r="GNF502" s="126"/>
      <c r="GNG502" s="126"/>
      <c r="GNH502" s="126"/>
      <c r="GNI502" s="126"/>
      <c r="GNJ502" s="126"/>
      <c r="GNK502" s="126"/>
      <c r="GNL502" s="126"/>
      <c r="GNM502" s="126"/>
      <c r="GNN502" s="126"/>
      <c r="GNO502" s="126"/>
      <c r="GNP502" s="126"/>
      <c r="GNQ502" s="126"/>
      <c r="GNR502" s="126"/>
      <c r="GNS502" s="126"/>
      <c r="GNT502" s="126"/>
      <c r="GNU502" s="126"/>
      <c r="GNV502" s="126"/>
      <c r="GNW502" s="126"/>
      <c r="GNX502" s="126"/>
      <c r="GNY502" s="126"/>
      <c r="GNZ502" s="126"/>
      <c r="GOA502" s="126"/>
      <c r="GOB502" s="126"/>
      <c r="GOC502" s="126"/>
      <c r="GOD502" s="126"/>
      <c r="GOE502" s="126"/>
      <c r="GOF502" s="126"/>
      <c r="GOG502" s="126"/>
      <c r="GOH502" s="126"/>
      <c r="GOI502" s="126"/>
      <c r="GOJ502" s="126"/>
      <c r="GOK502" s="126"/>
      <c r="GOL502" s="126"/>
      <c r="GOM502" s="126"/>
      <c r="GON502" s="126"/>
      <c r="GOO502" s="126"/>
      <c r="GOP502" s="126"/>
      <c r="GOQ502" s="126"/>
      <c r="GOR502" s="126"/>
      <c r="GOS502" s="126"/>
      <c r="GOT502" s="126"/>
      <c r="GOU502" s="126"/>
      <c r="GOV502" s="126"/>
      <c r="GOW502" s="126"/>
      <c r="GOX502" s="126"/>
      <c r="GOY502" s="126"/>
      <c r="GOZ502" s="126"/>
      <c r="GPA502" s="126"/>
      <c r="GPB502" s="126"/>
      <c r="GPC502" s="126"/>
      <c r="GPD502" s="126"/>
      <c r="GPE502" s="126"/>
      <c r="GPF502" s="126"/>
      <c r="GPG502" s="126"/>
      <c r="GPH502" s="126"/>
      <c r="GPI502" s="126"/>
      <c r="GPJ502" s="126"/>
      <c r="GPK502" s="126"/>
      <c r="GPL502" s="126"/>
      <c r="GPM502" s="126"/>
      <c r="GPN502" s="126"/>
      <c r="GPO502" s="126"/>
      <c r="GPP502" s="126"/>
      <c r="GPQ502" s="126"/>
      <c r="GPR502" s="126"/>
      <c r="GPS502" s="126"/>
      <c r="GPT502" s="126"/>
      <c r="GPU502" s="126"/>
      <c r="GPV502" s="126"/>
      <c r="GPW502" s="126"/>
      <c r="GPX502" s="126"/>
      <c r="GPY502" s="126"/>
      <c r="GPZ502" s="126"/>
      <c r="GQA502" s="126"/>
      <c r="GQB502" s="126"/>
      <c r="GQC502" s="126"/>
      <c r="GQD502" s="126"/>
      <c r="GQE502" s="126"/>
      <c r="GQF502" s="126"/>
      <c r="GQG502" s="126"/>
      <c r="GQH502" s="126"/>
      <c r="GQI502" s="126"/>
      <c r="GQJ502" s="126"/>
      <c r="GQK502" s="126"/>
      <c r="GQL502" s="126"/>
      <c r="GQM502" s="126"/>
      <c r="GQN502" s="126"/>
      <c r="GQO502" s="126"/>
      <c r="GQP502" s="126"/>
      <c r="GQQ502" s="126"/>
      <c r="GQR502" s="126"/>
      <c r="GQS502" s="126"/>
      <c r="GQT502" s="126"/>
      <c r="GQU502" s="126"/>
      <c r="GQV502" s="126"/>
      <c r="GQW502" s="126"/>
      <c r="GQX502" s="126"/>
      <c r="GQY502" s="126"/>
      <c r="GQZ502" s="126"/>
      <c r="GRA502" s="126"/>
      <c r="GRB502" s="126"/>
      <c r="GRC502" s="126"/>
      <c r="GRD502" s="126"/>
      <c r="GRE502" s="126"/>
      <c r="GRF502" s="126"/>
      <c r="GRG502" s="126"/>
      <c r="GRH502" s="126"/>
      <c r="GRI502" s="126"/>
      <c r="GRJ502" s="126"/>
      <c r="GRK502" s="126"/>
      <c r="GRL502" s="126"/>
      <c r="GRM502" s="126"/>
      <c r="GRN502" s="126"/>
      <c r="GRO502" s="126"/>
      <c r="GRP502" s="126"/>
      <c r="GRQ502" s="126"/>
      <c r="GRR502" s="126"/>
      <c r="GRS502" s="126"/>
      <c r="GRT502" s="126"/>
      <c r="GRU502" s="126"/>
      <c r="GRV502" s="126"/>
      <c r="GRW502" s="126"/>
      <c r="GRX502" s="126"/>
      <c r="GRY502" s="126"/>
      <c r="GRZ502" s="126"/>
      <c r="GSA502" s="126"/>
      <c r="GSB502" s="126"/>
      <c r="GSC502" s="126"/>
      <c r="GSD502" s="126"/>
      <c r="GSE502" s="126"/>
      <c r="GSF502" s="126"/>
      <c r="GSG502" s="126"/>
      <c r="GSH502" s="126"/>
      <c r="GSI502" s="126"/>
      <c r="GSJ502" s="126"/>
      <c r="GSK502" s="126"/>
      <c r="GSL502" s="126"/>
      <c r="GSM502" s="126"/>
      <c r="GSN502" s="126"/>
      <c r="GSO502" s="126"/>
      <c r="GSP502" s="126"/>
      <c r="GSQ502" s="126"/>
      <c r="GSR502" s="126"/>
      <c r="GSS502" s="126"/>
      <c r="GST502" s="126"/>
      <c r="GSU502" s="126"/>
      <c r="GSV502" s="126"/>
      <c r="GSW502" s="126"/>
      <c r="GSX502" s="126"/>
      <c r="GSY502" s="126"/>
      <c r="GSZ502" s="126"/>
      <c r="GTA502" s="126"/>
      <c r="GTB502" s="126"/>
      <c r="GTC502" s="126"/>
      <c r="GTD502" s="126"/>
      <c r="GTE502" s="126"/>
      <c r="GTF502" s="126"/>
      <c r="GTG502" s="126"/>
      <c r="GTH502" s="126"/>
      <c r="GTI502" s="126"/>
      <c r="GTJ502" s="126"/>
      <c r="GTK502" s="126"/>
      <c r="GTL502" s="126"/>
      <c r="GTM502" s="126"/>
      <c r="GTN502" s="126"/>
      <c r="GTO502" s="126"/>
      <c r="GTP502" s="126"/>
      <c r="GTQ502" s="126"/>
      <c r="GTR502" s="126"/>
      <c r="GTS502" s="126"/>
      <c r="GTT502" s="126"/>
      <c r="GTU502" s="126"/>
      <c r="GTV502" s="126"/>
      <c r="GTW502" s="126"/>
      <c r="GTX502" s="126"/>
      <c r="GTY502" s="126"/>
      <c r="GTZ502" s="126"/>
      <c r="GUA502" s="126"/>
      <c r="GUB502" s="126"/>
      <c r="GUC502" s="126"/>
      <c r="GUD502" s="126"/>
      <c r="GUE502" s="126"/>
      <c r="GUF502" s="126"/>
      <c r="GUG502" s="126"/>
      <c r="GUH502" s="126"/>
      <c r="GUI502" s="126"/>
      <c r="GUJ502" s="126"/>
      <c r="GUK502" s="126"/>
      <c r="GUL502" s="126"/>
      <c r="GUM502" s="126"/>
      <c r="GUN502" s="126"/>
      <c r="GUO502" s="126"/>
      <c r="GUP502" s="126"/>
      <c r="GUQ502" s="126"/>
      <c r="GUR502" s="126"/>
      <c r="GUS502" s="126"/>
      <c r="GUT502" s="126"/>
      <c r="GUU502" s="126"/>
      <c r="GUV502" s="126"/>
      <c r="GUW502" s="126"/>
      <c r="GUX502" s="126"/>
      <c r="GUY502" s="126"/>
      <c r="GUZ502" s="126"/>
      <c r="GVA502" s="126"/>
      <c r="GVB502" s="126"/>
      <c r="GVC502" s="126"/>
      <c r="GVD502" s="126"/>
      <c r="GVE502" s="126"/>
      <c r="GVF502" s="126"/>
      <c r="GVG502" s="126"/>
      <c r="GVH502" s="126"/>
      <c r="GVI502" s="126"/>
      <c r="GVJ502" s="126"/>
      <c r="GVK502" s="126"/>
      <c r="GVL502" s="126"/>
      <c r="GVM502" s="126"/>
      <c r="GVN502" s="126"/>
      <c r="GVO502" s="126"/>
      <c r="GVP502" s="126"/>
      <c r="GVQ502" s="126"/>
      <c r="GVR502" s="126"/>
      <c r="GVS502" s="126"/>
      <c r="GVT502" s="126"/>
      <c r="GVU502" s="126"/>
      <c r="GVV502" s="126"/>
      <c r="GVW502" s="126"/>
      <c r="GVX502" s="126"/>
      <c r="GVY502" s="126"/>
      <c r="GVZ502" s="126"/>
      <c r="GWA502" s="126"/>
      <c r="GWB502" s="126"/>
      <c r="GWC502" s="126"/>
      <c r="GWD502" s="126"/>
      <c r="GWE502" s="126"/>
      <c r="GWF502" s="126"/>
      <c r="GWG502" s="126"/>
      <c r="GWH502" s="126"/>
      <c r="GWI502" s="126"/>
      <c r="GWJ502" s="126"/>
      <c r="GWK502" s="126"/>
      <c r="GWL502" s="126"/>
      <c r="GWM502" s="126"/>
      <c r="GWN502" s="126"/>
      <c r="GWO502" s="126"/>
      <c r="GWP502" s="126"/>
      <c r="GWQ502" s="126"/>
      <c r="GWR502" s="126"/>
      <c r="GWS502" s="126"/>
      <c r="GWT502" s="126"/>
      <c r="GWU502" s="126"/>
      <c r="GWV502" s="126"/>
      <c r="GWW502" s="126"/>
      <c r="GWX502" s="126"/>
      <c r="GWY502" s="126"/>
      <c r="GWZ502" s="126"/>
      <c r="GXA502" s="126"/>
      <c r="GXB502" s="126"/>
      <c r="GXC502" s="126"/>
      <c r="GXD502" s="126"/>
      <c r="GXE502" s="126"/>
      <c r="GXF502" s="126"/>
      <c r="GXG502" s="126"/>
      <c r="GXH502" s="126"/>
      <c r="GXI502" s="126"/>
      <c r="GXJ502" s="126"/>
      <c r="GXK502" s="126"/>
      <c r="GXL502" s="126"/>
      <c r="GXM502" s="126"/>
      <c r="GXN502" s="126"/>
      <c r="GXO502" s="126"/>
      <c r="GXP502" s="126"/>
      <c r="GXQ502" s="126"/>
      <c r="GXR502" s="126"/>
      <c r="GXS502" s="126"/>
      <c r="GXT502" s="126"/>
      <c r="GXU502" s="126"/>
      <c r="GXV502" s="126"/>
      <c r="GXW502" s="126"/>
      <c r="GXX502" s="126"/>
      <c r="GXY502" s="126"/>
      <c r="GXZ502" s="126"/>
      <c r="GYA502" s="126"/>
      <c r="GYB502" s="126"/>
      <c r="GYC502" s="126"/>
      <c r="GYD502" s="126"/>
      <c r="GYE502" s="126"/>
      <c r="GYF502" s="126"/>
      <c r="GYG502" s="126"/>
      <c r="GYH502" s="126"/>
      <c r="GYI502" s="126"/>
      <c r="GYJ502" s="126"/>
      <c r="GYK502" s="126"/>
      <c r="GYL502" s="126"/>
      <c r="GYM502" s="126"/>
      <c r="GYN502" s="126"/>
      <c r="GYO502" s="126"/>
      <c r="GYP502" s="126"/>
      <c r="GYQ502" s="126"/>
      <c r="GYR502" s="126"/>
      <c r="GYS502" s="126"/>
      <c r="GYT502" s="126"/>
      <c r="GYU502" s="126"/>
      <c r="GYV502" s="126"/>
      <c r="GYW502" s="126"/>
      <c r="GYX502" s="126"/>
      <c r="GYY502" s="126"/>
      <c r="GYZ502" s="126"/>
      <c r="GZA502" s="126"/>
      <c r="GZB502" s="126"/>
      <c r="GZC502" s="126"/>
      <c r="GZD502" s="126"/>
      <c r="GZE502" s="126"/>
      <c r="GZF502" s="126"/>
      <c r="GZG502" s="126"/>
      <c r="GZH502" s="126"/>
      <c r="GZI502" s="126"/>
      <c r="GZJ502" s="126"/>
      <c r="GZK502" s="126"/>
      <c r="GZL502" s="126"/>
      <c r="GZM502" s="126"/>
      <c r="GZN502" s="126"/>
      <c r="GZO502" s="126"/>
      <c r="GZP502" s="126"/>
      <c r="GZQ502" s="126"/>
      <c r="GZR502" s="126"/>
      <c r="GZS502" s="126"/>
      <c r="GZT502" s="126"/>
      <c r="GZU502" s="126"/>
      <c r="GZV502" s="126"/>
      <c r="GZW502" s="126"/>
      <c r="GZX502" s="126"/>
      <c r="GZY502" s="126"/>
      <c r="GZZ502" s="126"/>
      <c r="HAA502" s="126"/>
      <c r="HAB502" s="126"/>
      <c r="HAC502" s="126"/>
      <c r="HAD502" s="126"/>
      <c r="HAE502" s="126"/>
      <c r="HAF502" s="126"/>
      <c r="HAG502" s="126"/>
      <c r="HAH502" s="126"/>
      <c r="HAI502" s="126"/>
      <c r="HAJ502" s="126"/>
      <c r="HAK502" s="126"/>
      <c r="HAL502" s="126"/>
      <c r="HAM502" s="126"/>
      <c r="HAN502" s="126"/>
      <c r="HAO502" s="126"/>
      <c r="HAP502" s="126"/>
      <c r="HAQ502" s="126"/>
      <c r="HAR502" s="126"/>
      <c r="HAS502" s="126"/>
      <c r="HAT502" s="126"/>
      <c r="HAU502" s="126"/>
      <c r="HAV502" s="126"/>
      <c r="HAW502" s="126"/>
      <c r="HAX502" s="126"/>
      <c r="HAY502" s="126"/>
      <c r="HAZ502" s="126"/>
      <c r="HBA502" s="126"/>
      <c r="HBB502" s="126"/>
      <c r="HBC502" s="126"/>
      <c r="HBD502" s="126"/>
      <c r="HBE502" s="126"/>
      <c r="HBF502" s="126"/>
      <c r="HBG502" s="126"/>
      <c r="HBH502" s="126"/>
      <c r="HBI502" s="126"/>
      <c r="HBJ502" s="126"/>
      <c r="HBK502" s="126"/>
      <c r="HBL502" s="126"/>
      <c r="HBM502" s="126"/>
      <c r="HBN502" s="126"/>
      <c r="HBO502" s="126"/>
      <c r="HBP502" s="126"/>
      <c r="HBQ502" s="126"/>
      <c r="HBR502" s="126"/>
      <c r="HBS502" s="126"/>
      <c r="HBT502" s="126"/>
      <c r="HBU502" s="126"/>
      <c r="HBV502" s="126"/>
      <c r="HBW502" s="126"/>
      <c r="HBX502" s="126"/>
      <c r="HBY502" s="126"/>
      <c r="HBZ502" s="126"/>
      <c r="HCA502" s="126"/>
      <c r="HCB502" s="126"/>
      <c r="HCC502" s="126"/>
      <c r="HCD502" s="126"/>
      <c r="HCE502" s="126"/>
      <c r="HCF502" s="126"/>
      <c r="HCG502" s="126"/>
      <c r="HCH502" s="126"/>
      <c r="HCI502" s="126"/>
      <c r="HCJ502" s="126"/>
      <c r="HCK502" s="126"/>
      <c r="HCL502" s="126"/>
      <c r="HCM502" s="126"/>
      <c r="HCN502" s="126"/>
      <c r="HCO502" s="126"/>
      <c r="HCP502" s="126"/>
      <c r="HCQ502" s="126"/>
      <c r="HCR502" s="126"/>
      <c r="HCS502" s="126"/>
      <c r="HCT502" s="126"/>
      <c r="HCU502" s="126"/>
      <c r="HCV502" s="126"/>
      <c r="HCW502" s="126"/>
      <c r="HCX502" s="126"/>
      <c r="HCY502" s="126"/>
      <c r="HCZ502" s="126"/>
      <c r="HDA502" s="126"/>
      <c r="HDB502" s="126"/>
      <c r="HDC502" s="126"/>
      <c r="HDD502" s="126"/>
      <c r="HDE502" s="126"/>
      <c r="HDF502" s="126"/>
      <c r="HDG502" s="126"/>
      <c r="HDH502" s="126"/>
      <c r="HDI502" s="126"/>
      <c r="HDJ502" s="126"/>
      <c r="HDK502" s="126"/>
      <c r="HDL502" s="126"/>
      <c r="HDM502" s="126"/>
      <c r="HDN502" s="126"/>
      <c r="HDO502" s="126"/>
      <c r="HDP502" s="126"/>
      <c r="HDQ502" s="126"/>
      <c r="HDR502" s="126"/>
      <c r="HDS502" s="126"/>
      <c r="HDT502" s="126"/>
      <c r="HDU502" s="126"/>
      <c r="HDV502" s="126"/>
      <c r="HDW502" s="126"/>
      <c r="HDX502" s="126"/>
      <c r="HDY502" s="126"/>
      <c r="HDZ502" s="126"/>
      <c r="HEA502" s="126"/>
      <c r="HEB502" s="126"/>
      <c r="HEC502" s="126"/>
      <c r="HED502" s="126"/>
      <c r="HEE502" s="126"/>
      <c r="HEF502" s="126"/>
      <c r="HEG502" s="126"/>
      <c r="HEH502" s="126"/>
      <c r="HEI502" s="126"/>
      <c r="HEJ502" s="126"/>
      <c r="HEK502" s="126"/>
      <c r="HEL502" s="126"/>
      <c r="HEM502" s="126"/>
      <c r="HEN502" s="126"/>
      <c r="HEO502" s="126"/>
      <c r="HEP502" s="126"/>
      <c r="HEQ502" s="126"/>
      <c r="HER502" s="126"/>
      <c r="HES502" s="126"/>
      <c r="HET502" s="126"/>
      <c r="HEU502" s="126"/>
      <c r="HEV502" s="126"/>
      <c r="HEW502" s="126"/>
      <c r="HEX502" s="126"/>
      <c r="HEY502" s="126"/>
      <c r="HEZ502" s="126"/>
      <c r="HFA502" s="126"/>
      <c r="HFB502" s="126"/>
      <c r="HFC502" s="126"/>
      <c r="HFD502" s="126"/>
      <c r="HFE502" s="126"/>
      <c r="HFF502" s="126"/>
      <c r="HFG502" s="126"/>
      <c r="HFH502" s="126"/>
      <c r="HFI502" s="126"/>
      <c r="HFJ502" s="126"/>
      <c r="HFK502" s="126"/>
      <c r="HFL502" s="126"/>
      <c r="HFM502" s="126"/>
      <c r="HFN502" s="126"/>
      <c r="HFO502" s="126"/>
      <c r="HFP502" s="126"/>
      <c r="HFQ502" s="126"/>
      <c r="HFR502" s="126"/>
      <c r="HFS502" s="126"/>
      <c r="HFT502" s="126"/>
      <c r="HFU502" s="126"/>
      <c r="HFV502" s="126"/>
      <c r="HFW502" s="126"/>
      <c r="HFX502" s="126"/>
      <c r="HFY502" s="126"/>
      <c r="HFZ502" s="126"/>
      <c r="HGA502" s="126"/>
      <c r="HGB502" s="126"/>
      <c r="HGC502" s="126"/>
      <c r="HGD502" s="126"/>
      <c r="HGE502" s="126"/>
      <c r="HGF502" s="126"/>
      <c r="HGG502" s="126"/>
      <c r="HGH502" s="126"/>
      <c r="HGI502" s="126"/>
      <c r="HGJ502" s="126"/>
      <c r="HGK502" s="126"/>
      <c r="HGL502" s="126"/>
      <c r="HGM502" s="126"/>
      <c r="HGN502" s="126"/>
      <c r="HGO502" s="126"/>
      <c r="HGP502" s="126"/>
      <c r="HGQ502" s="126"/>
      <c r="HGR502" s="126"/>
      <c r="HGS502" s="126"/>
      <c r="HGT502" s="126"/>
      <c r="HGU502" s="126"/>
      <c r="HGV502" s="126"/>
      <c r="HGW502" s="126"/>
      <c r="HGX502" s="126"/>
      <c r="HGY502" s="126"/>
      <c r="HGZ502" s="126"/>
      <c r="HHA502" s="126"/>
      <c r="HHB502" s="126"/>
      <c r="HHC502" s="126"/>
      <c r="HHD502" s="126"/>
      <c r="HHE502" s="126"/>
      <c r="HHF502" s="126"/>
      <c r="HHG502" s="126"/>
      <c r="HHH502" s="126"/>
      <c r="HHI502" s="126"/>
      <c r="HHJ502" s="126"/>
      <c r="HHK502" s="126"/>
      <c r="HHL502" s="126"/>
      <c r="HHM502" s="126"/>
      <c r="HHN502" s="126"/>
      <c r="HHO502" s="126"/>
      <c r="HHP502" s="126"/>
      <c r="HHQ502" s="126"/>
      <c r="HHR502" s="126"/>
      <c r="HHS502" s="126"/>
      <c r="HHT502" s="126"/>
      <c r="HHU502" s="126"/>
      <c r="HHV502" s="126"/>
      <c r="HHW502" s="126"/>
      <c r="HHX502" s="126"/>
      <c r="HHY502" s="126"/>
      <c r="HHZ502" s="126"/>
      <c r="HIA502" s="126"/>
      <c r="HIB502" s="126"/>
      <c r="HIC502" s="126"/>
      <c r="HID502" s="126"/>
      <c r="HIE502" s="126"/>
      <c r="HIF502" s="126"/>
      <c r="HIG502" s="126"/>
      <c r="HIH502" s="126"/>
      <c r="HII502" s="126"/>
      <c r="HIJ502" s="126"/>
      <c r="HIK502" s="126"/>
      <c r="HIL502" s="126"/>
      <c r="HIM502" s="126"/>
      <c r="HIN502" s="126"/>
      <c r="HIO502" s="126"/>
      <c r="HIP502" s="126"/>
      <c r="HIQ502" s="126"/>
      <c r="HIR502" s="126"/>
      <c r="HIS502" s="126"/>
      <c r="HIT502" s="126"/>
      <c r="HIU502" s="126"/>
      <c r="HIV502" s="126"/>
      <c r="HIW502" s="126"/>
      <c r="HIX502" s="126"/>
      <c r="HIY502" s="126"/>
      <c r="HIZ502" s="126"/>
      <c r="HJA502" s="126"/>
      <c r="HJB502" s="126"/>
      <c r="HJC502" s="126"/>
      <c r="HJD502" s="126"/>
      <c r="HJE502" s="126"/>
      <c r="HJF502" s="126"/>
      <c r="HJG502" s="126"/>
      <c r="HJH502" s="126"/>
      <c r="HJI502" s="126"/>
      <c r="HJJ502" s="126"/>
      <c r="HJK502" s="126"/>
      <c r="HJL502" s="126"/>
      <c r="HJM502" s="126"/>
      <c r="HJN502" s="126"/>
      <c r="HJO502" s="126"/>
      <c r="HJP502" s="126"/>
      <c r="HJQ502" s="126"/>
      <c r="HJR502" s="126"/>
      <c r="HJS502" s="126"/>
      <c r="HJT502" s="126"/>
      <c r="HJU502" s="126"/>
      <c r="HJV502" s="126"/>
      <c r="HJW502" s="126"/>
      <c r="HJX502" s="126"/>
      <c r="HJY502" s="126"/>
      <c r="HJZ502" s="126"/>
      <c r="HKA502" s="126"/>
      <c r="HKB502" s="126"/>
      <c r="HKC502" s="126"/>
      <c r="HKD502" s="126"/>
      <c r="HKE502" s="126"/>
      <c r="HKF502" s="126"/>
      <c r="HKG502" s="126"/>
      <c r="HKH502" s="126"/>
      <c r="HKI502" s="126"/>
      <c r="HKJ502" s="126"/>
      <c r="HKK502" s="126"/>
      <c r="HKL502" s="126"/>
      <c r="HKM502" s="126"/>
      <c r="HKN502" s="126"/>
      <c r="HKO502" s="126"/>
      <c r="HKP502" s="126"/>
      <c r="HKQ502" s="126"/>
      <c r="HKR502" s="126"/>
      <c r="HKS502" s="126"/>
      <c r="HKT502" s="126"/>
      <c r="HKU502" s="126"/>
      <c r="HKV502" s="126"/>
      <c r="HKW502" s="126"/>
      <c r="HKX502" s="126"/>
      <c r="HKY502" s="126"/>
      <c r="HKZ502" s="126"/>
      <c r="HLA502" s="126"/>
      <c r="HLB502" s="126"/>
      <c r="HLC502" s="126"/>
      <c r="HLD502" s="126"/>
      <c r="HLE502" s="126"/>
      <c r="HLF502" s="126"/>
      <c r="HLG502" s="126"/>
      <c r="HLH502" s="126"/>
      <c r="HLI502" s="126"/>
      <c r="HLJ502" s="126"/>
      <c r="HLK502" s="126"/>
      <c r="HLL502" s="126"/>
      <c r="HLM502" s="126"/>
      <c r="HLN502" s="126"/>
      <c r="HLO502" s="126"/>
      <c r="HLP502" s="126"/>
      <c r="HLQ502" s="126"/>
      <c r="HLR502" s="126"/>
      <c r="HLS502" s="126"/>
      <c r="HLT502" s="126"/>
      <c r="HLU502" s="126"/>
      <c r="HLV502" s="126"/>
      <c r="HLW502" s="126"/>
      <c r="HLX502" s="126"/>
      <c r="HLY502" s="126"/>
      <c r="HLZ502" s="126"/>
      <c r="HMA502" s="126"/>
      <c r="HMB502" s="126"/>
      <c r="HMC502" s="126"/>
      <c r="HMD502" s="126"/>
      <c r="HME502" s="126"/>
      <c r="HMF502" s="126"/>
      <c r="HMG502" s="126"/>
      <c r="HMH502" s="126"/>
      <c r="HMI502" s="126"/>
      <c r="HMJ502" s="126"/>
      <c r="HMK502" s="126"/>
      <c r="HML502" s="126"/>
      <c r="HMM502" s="126"/>
      <c r="HMN502" s="126"/>
      <c r="HMO502" s="126"/>
      <c r="HMP502" s="126"/>
      <c r="HMQ502" s="126"/>
      <c r="HMR502" s="126"/>
      <c r="HMS502" s="126"/>
      <c r="HMT502" s="126"/>
      <c r="HMU502" s="126"/>
      <c r="HMV502" s="126"/>
      <c r="HMW502" s="126"/>
      <c r="HMX502" s="126"/>
      <c r="HMY502" s="126"/>
      <c r="HMZ502" s="126"/>
      <c r="HNA502" s="126"/>
      <c r="HNB502" s="126"/>
      <c r="HNC502" s="126"/>
      <c r="HND502" s="126"/>
      <c r="HNE502" s="126"/>
      <c r="HNF502" s="126"/>
      <c r="HNG502" s="126"/>
      <c r="HNH502" s="126"/>
      <c r="HNI502" s="126"/>
      <c r="HNJ502" s="126"/>
      <c r="HNK502" s="126"/>
      <c r="HNL502" s="126"/>
      <c r="HNM502" s="126"/>
      <c r="HNN502" s="126"/>
      <c r="HNO502" s="126"/>
      <c r="HNP502" s="126"/>
      <c r="HNQ502" s="126"/>
      <c r="HNR502" s="126"/>
      <c r="HNS502" s="126"/>
      <c r="HNT502" s="126"/>
      <c r="HNU502" s="126"/>
      <c r="HNV502" s="126"/>
      <c r="HNW502" s="126"/>
      <c r="HNX502" s="126"/>
      <c r="HNY502" s="126"/>
      <c r="HNZ502" s="126"/>
      <c r="HOA502" s="126"/>
      <c r="HOB502" s="126"/>
      <c r="HOC502" s="126"/>
      <c r="HOD502" s="126"/>
      <c r="HOE502" s="126"/>
      <c r="HOF502" s="126"/>
      <c r="HOG502" s="126"/>
      <c r="HOH502" s="126"/>
      <c r="HOI502" s="126"/>
      <c r="HOJ502" s="126"/>
      <c r="HOK502" s="126"/>
      <c r="HOL502" s="126"/>
      <c r="HOM502" s="126"/>
      <c r="HON502" s="126"/>
      <c r="HOO502" s="126"/>
      <c r="HOP502" s="126"/>
      <c r="HOQ502" s="126"/>
      <c r="HOR502" s="126"/>
      <c r="HOS502" s="126"/>
      <c r="HOT502" s="126"/>
      <c r="HOU502" s="126"/>
      <c r="HOV502" s="126"/>
      <c r="HOW502" s="126"/>
      <c r="HOX502" s="126"/>
      <c r="HOY502" s="126"/>
      <c r="HOZ502" s="126"/>
      <c r="HPA502" s="126"/>
      <c r="HPB502" s="126"/>
      <c r="HPC502" s="126"/>
      <c r="HPD502" s="126"/>
      <c r="HPE502" s="126"/>
      <c r="HPF502" s="126"/>
      <c r="HPG502" s="126"/>
      <c r="HPH502" s="126"/>
      <c r="HPI502" s="126"/>
      <c r="HPJ502" s="126"/>
      <c r="HPK502" s="126"/>
      <c r="HPL502" s="126"/>
      <c r="HPM502" s="126"/>
      <c r="HPN502" s="126"/>
      <c r="HPO502" s="126"/>
      <c r="HPP502" s="126"/>
      <c r="HPQ502" s="126"/>
      <c r="HPR502" s="126"/>
      <c r="HPS502" s="126"/>
      <c r="HPT502" s="126"/>
      <c r="HPU502" s="126"/>
      <c r="HPV502" s="126"/>
      <c r="HPW502" s="126"/>
      <c r="HPX502" s="126"/>
      <c r="HPY502" s="126"/>
      <c r="HPZ502" s="126"/>
      <c r="HQA502" s="126"/>
      <c r="HQB502" s="126"/>
      <c r="HQC502" s="126"/>
      <c r="HQD502" s="126"/>
      <c r="HQE502" s="126"/>
      <c r="HQF502" s="126"/>
      <c r="HQG502" s="126"/>
      <c r="HQH502" s="126"/>
      <c r="HQI502" s="126"/>
      <c r="HQJ502" s="126"/>
      <c r="HQK502" s="126"/>
      <c r="HQL502" s="126"/>
      <c r="HQM502" s="126"/>
      <c r="HQN502" s="126"/>
      <c r="HQO502" s="126"/>
      <c r="HQP502" s="126"/>
      <c r="HQQ502" s="126"/>
      <c r="HQR502" s="126"/>
      <c r="HQS502" s="126"/>
      <c r="HQT502" s="126"/>
      <c r="HQU502" s="126"/>
      <c r="HQV502" s="126"/>
      <c r="HQW502" s="126"/>
      <c r="HQX502" s="126"/>
      <c r="HQY502" s="126"/>
      <c r="HQZ502" s="126"/>
      <c r="HRA502" s="126"/>
      <c r="HRB502" s="126"/>
      <c r="HRC502" s="126"/>
      <c r="HRD502" s="126"/>
      <c r="HRE502" s="126"/>
      <c r="HRF502" s="126"/>
      <c r="HRG502" s="126"/>
      <c r="HRH502" s="126"/>
      <c r="HRI502" s="126"/>
      <c r="HRJ502" s="126"/>
      <c r="HRK502" s="126"/>
      <c r="HRL502" s="126"/>
      <c r="HRM502" s="126"/>
      <c r="HRN502" s="126"/>
      <c r="HRO502" s="126"/>
      <c r="HRP502" s="126"/>
      <c r="HRQ502" s="126"/>
      <c r="HRR502" s="126"/>
      <c r="HRS502" s="126"/>
      <c r="HRT502" s="126"/>
      <c r="HRU502" s="126"/>
      <c r="HRV502" s="126"/>
      <c r="HRW502" s="126"/>
      <c r="HRX502" s="126"/>
      <c r="HRY502" s="126"/>
      <c r="HRZ502" s="126"/>
      <c r="HSA502" s="126"/>
      <c r="HSB502" s="126"/>
      <c r="HSC502" s="126"/>
      <c r="HSD502" s="126"/>
      <c r="HSE502" s="126"/>
      <c r="HSF502" s="126"/>
      <c r="HSG502" s="126"/>
      <c r="HSH502" s="126"/>
      <c r="HSI502" s="126"/>
      <c r="HSJ502" s="126"/>
      <c r="HSK502" s="126"/>
      <c r="HSL502" s="126"/>
      <c r="HSM502" s="126"/>
      <c r="HSN502" s="126"/>
      <c r="HSO502" s="126"/>
      <c r="HSP502" s="126"/>
      <c r="HSQ502" s="126"/>
      <c r="HSR502" s="126"/>
      <c r="HSS502" s="126"/>
      <c r="HST502" s="126"/>
      <c r="HSU502" s="126"/>
      <c r="HSV502" s="126"/>
      <c r="HSW502" s="126"/>
      <c r="HSX502" s="126"/>
      <c r="HSY502" s="126"/>
      <c r="HSZ502" s="126"/>
      <c r="HTA502" s="126"/>
      <c r="HTB502" s="126"/>
      <c r="HTC502" s="126"/>
      <c r="HTD502" s="126"/>
      <c r="HTE502" s="126"/>
      <c r="HTF502" s="126"/>
      <c r="HTG502" s="126"/>
      <c r="HTH502" s="126"/>
      <c r="HTI502" s="126"/>
      <c r="HTJ502" s="126"/>
      <c r="HTK502" s="126"/>
      <c r="HTL502" s="126"/>
      <c r="HTM502" s="126"/>
      <c r="HTN502" s="126"/>
      <c r="HTO502" s="126"/>
      <c r="HTP502" s="126"/>
      <c r="HTQ502" s="126"/>
      <c r="HTR502" s="126"/>
      <c r="HTS502" s="126"/>
      <c r="HTT502" s="126"/>
      <c r="HTU502" s="126"/>
      <c r="HTV502" s="126"/>
      <c r="HTW502" s="126"/>
      <c r="HTX502" s="126"/>
      <c r="HTY502" s="126"/>
      <c r="HTZ502" s="126"/>
      <c r="HUA502" s="126"/>
      <c r="HUB502" s="126"/>
      <c r="HUC502" s="126"/>
      <c r="HUD502" s="126"/>
      <c r="HUE502" s="126"/>
      <c r="HUF502" s="126"/>
      <c r="HUG502" s="126"/>
      <c r="HUH502" s="126"/>
      <c r="HUI502" s="126"/>
      <c r="HUJ502" s="126"/>
      <c r="HUK502" s="126"/>
      <c r="HUL502" s="126"/>
      <c r="HUM502" s="126"/>
      <c r="HUN502" s="126"/>
      <c r="HUO502" s="126"/>
      <c r="HUP502" s="126"/>
      <c r="HUQ502" s="126"/>
      <c r="HUR502" s="126"/>
      <c r="HUS502" s="126"/>
      <c r="HUT502" s="126"/>
      <c r="HUU502" s="126"/>
      <c r="HUV502" s="126"/>
      <c r="HUW502" s="126"/>
      <c r="HUX502" s="126"/>
      <c r="HUY502" s="126"/>
      <c r="HUZ502" s="126"/>
      <c r="HVA502" s="126"/>
      <c r="HVB502" s="126"/>
      <c r="HVC502" s="126"/>
      <c r="HVD502" s="126"/>
      <c r="HVE502" s="126"/>
      <c r="HVF502" s="126"/>
      <c r="HVG502" s="126"/>
      <c r="HVH502" s="126"/>
      <c r="HVI502" s="126"/>
      <c r="HVJ502" s="126"/>
      <c r="HVK502" s="126"/>
      <c r="HVL502" s="126"/>
      <c r="HVM502" s="126"/>
      <c r="HVN502" s="126"/>
      <c r="HVO502" s="126"/>
      <c r="HVP502" s="126"/>
      <c r="HVQ502" s="126"/>
      <c r="HVR502" s="126"/>
      <c r="HVS502" s="126"/>
      <c r="HVT502" s="126"/>
      <c r="HVU502" s="126"/>
      <c r="HVV502" s="126"/>
      <c r="HVW502" s="126"/>
      <c r="HVX502" s="126"/>
      <c r="HVY502" s="126"/>
      <c r="HVZ502" s="126"/>
      <c r="HWA502" s="126"/>
      <c r="HWB502" s="126"/>
      <c r="HWC502" s="126"/>
      <c r="HWD502" s="126"/>
      <c r="HWE502" s="126"/>
      <c r="HWF502" s="126"/>
      <c r="HWG502" s="126"/>
      <c r="HWH502" s="126"/>
      <c r="HWI502" s="126"/>
      <c r="HWJ502" s="126"/>
      <c r="HWK502" s="126"/>
      <c r="HWL502" s="126"/>
      <c r="HWM502" s="126"/>
      <c r="HWN502" s="126"/>
      <c r="HWO502" s="126"/>
      <c r="HWP502" s="126"/>
      <c r="HWQ502" s="126"/>
      <c r="HWR502" s="126"/>
      <c r="HWS502" s="126"/>
      <c r="HWT502" s="126"/>
      <c r="HWU502" s="126"/>
      <c r="HWV502" s="126"/>
      <c r="HWW502" s="126"/>
      <c r="HWX502" s="126"/>
      <c r="HWY502" s="126"/>
      <c r="HWZ502" s="126"/>
      <c r="HXA502" s="126"/>
      <c r="HXB502" s="126"/>
      <c r="HXC502" s="126"/>
      <c r="HXD502" s="126"/>
      <c r="HXE502" s="126"/>
      <c r="HXF502" s="126"/>
      <c r="HXG502" s="126"/>
      <c r="HXH502" s="126"/>
      <c r="HXI502" s="126"/>
      <c r="HXJ502" s="126"/>
      <c r="HXK502" s="126"/>
      <c r="HXL502" s="126"/>
      <c r="HXM502" s="126"/>
      <c r="HXN502" s="126"/>
      <c r="HXO502" s="126"/>
      <c r="HXP502" s="126"/>
      <c r="HXQ502" s="126"/>
      <c r="HXR502" s="126"/>
      <c r="HXS502" s="126"/>
      <c r="HXT502" s="126"/>
      <c r="HXU502" s="126"/>
      <c r="HXV502" s="126"/>
      <c r="HXW502" s="126"/>
      <c r="HXX502" s="126"/>
      <c r="HXY502" s="126"/>
      <c r="HXZ502" s="126"/>
      <c r="HYA502" s="126"/>
      <c r="HYB502" s="126"/>
      <c r="HYC502" s="126"/>
      <c r="HYD502" s="126"/>
      <c r="HYE502" s="126"/>
      <c r="HYF502" s="126"/>
      <c r="HYG502" s="126"/>
      <c r="HYH502" s="126"/>
      <c r="HYI502" s="126"/>
      <c r="HYJ502" s="126"/>
      <c r="HYK502" s="126"/>
      <c r="HYL502" s="126"/>
      <c r="HYM502" s="126"/>
      <c r="HYN502" s="126"/>
      <c r="HYO502" s="126"/>
      <c r="HYP502" s="126"/>
      <c r="HYQ502" s="126"/>
      <c r="HYR502" s="126"/>
      <c r="HYS502" s="126"/>
      <c r="HYT502" s="126"/>
      <c r="HYU502" s="126"/>
      <c r="HYV502" s="126"/>
      <c r="HYW502" s="126"/>
      <c r="HYX502" s="126"/>
      <c r="HYY502" s="126"/>
      <c r="HYZ502" s="126"/>
      <c r="HZA502" s="126"/>
      <c r="HZB502" s="126"/>
      <c r="HZC502" s="126"/>
      <c r="HZD502" s="126"/>
      <c r="HZE502" s="126"/>
      <c r="HZF502" s="126"/>
      <c r="HZG502" s="126"/>
      <c r="HZH502" s="126"/>
      <c r="HZI502" s="126"/>
      <c r="HZJ502" s="126"/>
      <c r="HZK502" s="126"/>
      <c r="HZL502" s="126"/>
      <c r="HZM502" s="126"/>
      <c r="HZN502" s="126"/>
      <c r="HZO502" s="126"/>
      <c r="HZP502" s="126"/>
      <c r="HZQ502" s="126"/>
      <c r="HZR502" s="126"/>
      <c r="HZS502" s="126"/>
      <c r="HZT502" s="126"/>
      <c r="HZU502" s="126"/>
      <c r="HZV502" s="126"/>
      <c r="HZW502" s="126"/>
      <c r="HZX502" s="126"/>
      <c r="HZY502" s="126"/>
      <c r="HZZ502" s="126"/>
      <c r="IAA502" s="126"/>
      <c r="IAB502" s="126"/>
      <c r="IAC502" s="126"/>
      <c r="IAD502" s="126"/>
      <c r="IAE502" s="126"/>
      <c r="IAF502" s="126"/>
      <c r="IAG502" s="126"/>
      <c r="IAH502" s="126"/>
      <c r="IAI502" s="126"/>
      <c r="IAJ502" s="126"/>
      <c r="IAK502" s="126"/>
      <c r="IAL502" s="126"/>
      <c r="IAM502" s="126"/>
      <c r="IAN502" s="126"/>
      <c r="IAO502" s="126"/>
      <c r="IAP502" s="126"/>
      <c r="IAQ502" s="126"/>
      <c r="IAR502" s="126"/>
      <c r="IAS502" s="126"/>
      <c r="IAT502" s="126"/>
      <c r="IAU502" s="126"/>
      <c r="IAV502" s="126"/>
      <c r="IAW502" s="126"/>
      <c r="IAX502" s="126"/>
      <c r="IAY502" s="126"/>
      <c r="IAZ502" s="126"/>
      <c r="IBA502" s="126"/>
      <c r="IBB502" s="126"/>
      <c r="IBC502" s="126"/>
      <c r="IBD502" s="126"/>
      <c r="IBE502" s="126"/>
      <c r="IBF502" s="126"/>
      <c r="IBG502" s="126"/>
      <c r="IBH502" s="126"/>
      <c r="IBI502" s="126"/>
      <c r="IBJ502" s="126"/>
      <c r="IBK502" s="126"/>
      <c r="IBL502" s="126"/>
      <c r="IBM502" s="126"/>
      <c r="IBN502" s="126"/>
      <c r="IBO502" s="126"/>
      <c r="IBP502" s="126"/>
      <c r="IBQ502" s="126"/>
      <c r="IBR502" s="126"/>
      <c r="IBS502" s="126"/>
      <c r="IBT502" s="126"/>
      <c r="IBU502" s="126"/>
      <c r="IBV502" s="126"/>
      <c r="IBW502" s="126"/>
      <c r="IBX502" s="126"/>
      <c r="IBY502" s="126"/>
      <c r="IBZ502" s="126"/>
      <c r="ICA502" s="126"/>
      <c r="ICB502" s="126"/>
      <c r="ICC502" s="126"/>
      <c r="ICD502" s="126"/>
      <c r="ICE502" s="126"/>
      <c r="ICF502" s="126"/>
      <c r="ICG502" s="126"/>
      <c r="ICH502" s="126"/>
      <c r="ICI502" s="126"/>
      <c r="ICJ502" s="126"/>
      <c r="ICK502" s="126"/>
      <c r="ICL502" s="126"/>
      <c r="ICM502" s="126"/>
      <c r="ICN502" s="126"/>
      <c r="ICO502" s="126"/>
      <c r="ICP502" s="126"/>
      <c r="ICQ502" s="126"/>
      <c r="ICR502" s="126"/>
      <c r="ICS502" s="126"/>
      <c r="ICT502" s="126"/>
      <c r="ICU502" s="126"/>
      <c r="ICV502" s="126"/>
      <c r="ICW502" s="126"/>
      <c r="ICX502" s="126"/>
      <c r="ICY502" s="126"/>
      <c r="ICZ502" s="126"/>
      <c r="IDA502" s="126"/>
      <c r="IDB502" s="126"/>
      <c r="IDC502" s="126"/>
      <c r="IDD502" s="126"/>
      <c r="IDE502" s="126"/>
      <c r="IDF502" s="126"/>
      <c r="IDG502" s="126"/>
      <c r="IDH502" s="126"/>
      <c r="IDI502" s="126"/>
      <c r="IDJ502" s="126"/>
      <c r="IDK502" s="126"/>
      <c r="IDL502" s="126"/>
      <c r="IDM502" s="126"/>
      <c r="IDN502" s="126"/>
      <c r="IDO502" s="126"/>
      <c r="IDP502" s="126"/>
      <c r="IDQ502" s="126"/>
      <c r="IDR502" s="126"/>
      <c r="IDS502" s="126"/>
      <c r="IDT502" s="126"/>
      <c r="IDU502" s="126"/>
      <c r="IDV502" s="126"/>
      <c r="IDW502" s="126"/>
      <c r="IDX502" s="126"/>
      <c r="IDY502" s="126"/>
      <c r="IDZ502" s="126"/>
      <c r="IEA502" s="126"/>
      <c r="IEB502" s="126"/>
      <c r="IEC502" s="126"/>
      <c r="IED502" s="126"/>
      <c r="IEE502" s="126"/>
      <c r="IEF502" s="126"/>
      <c r="IEG502" s="126"/>
      <c r="IEH502" s="126"/>
      <c r="IEI502" s="126"/>
      <c r="IEJ502" s="126"/>
      <c r="IEK502" s="126"/>
      <c r="IEL502" s="126"/>
      <c r="IEM502" s="126"/>
      <c r="IEN502" s="126"/>
      <c r="IEO502" s="126"/>
      <c r="IEP502" s="126"/>
      <c r="IEQ502" s="126"/>
      <c r="IER502" s="126"/>
      <c r="IES502" s="126"/>
      <c r="IET502" s="126"/>
      <c r="IEU502" s="126"/>
      <c r="IEV502" s="126"/>
      <c r="IEW502" s="126"/>
      <c r="IEX502" s="126"/>
      <c r="IEY502" s="126"/>
      <c r="IEZ502" s="126"/>
      <c r="IFA502" s="126"/>
      <c r="IFB502" s="126"/>
      <c r="IFC502" s="126"/>
      <c r="IFD502" s="126"/>
      <c r="IFE502" s="126"/>
      <c r="IFF502" s="126"/>
      <c r="IFG502" s="126"/>
      <c r="IFH502" s="126"/>
      <c r="IFI502" s="126"/>
      <c r="IFJ502" s="126"/>
      <c r="IFK502" s="126"/>
      <c r="IFL502" s="126"/>
      <c r="IFM502" s="126"/>
      <c r="IFN502" s="126"/>
      <c r="IFO502" s="126"/>
      <c r="IFP502" s="126"/>
      <c r="IFQ502" s="126"/>
      <c r="IFR502" s="126"/>
      <c r="IFS502" s="126"/>
      <c r="IFT502" s="126"/>
      <c r="IFU502" s="126"/>
      <c r="IFV502" s="126"/>
      <c r="IFW502" s="126"/>
      <c r="IFX502" s="126"/>
      <c r="IFY502" s="126"/>
      <c r="IFZ502" s="126"/>
      <c r="IGA502" s="126"/>
      <c r="IGB502" s="126"/>
      <c r="IGC502" s="126"/>
      <c r="IGD502" s="126"/>
      <c r="IGE502" s="126"/>
      <c r="IGF502" s="126"/>
      <c r="IGG502" s="126"/>
      <c r="IGH502" s="126"/>
      <c r="IGI502" s="126"/>
      <c r="IGJ502" s="126"/>
      <c r="IGK502" s="126"/>
      <c r="IGL502" s="126"/>
      <c r="IGM502" s="126"/>
      <c r="IGN502" s="126"/>
      <c r="IGO502" s="126"/>
      <c r="IGP502" s="126"/>
      <c r="IGQ502" s="126"/>
      <c r="IGR502" s="126"/>
      <c r="IGS502" s="126"/>
      <c r="IGT502" s="126"/>
      <c r="IGU502" s="126"/>
      <c r="IGV502" s="126"/>
      <c r="IGW502" s="126"/>
      <c r="IGX502" s="126"/>
      <c r="IGY502" s="126"/>
      <c r="IGZ502" s="126"/>
      <c r="IHA502" s="126"/>
      <c r="IHB502" s="126"/>
      <c r="IHC502" s="126"/>
      <c r="IHD502" s="126"/>
      <c r="IHE502" s="126"/>
      <c r="IHF502" s="126"/>
      <c r="IHG502" s="126"/>
      <c r="IHH502" s="126"/>
      <c r="IHI502" s="126"/>
      <c r="IHJ502" s="126"/>
      <c r="IHK502" s="126"/>
      <c r="IHL502" s="126"/>
      <c r="IHM502" s="126"/>
      <c r="IHN502" s="126"/>
      <c r="IHO502" s="126"/>
      <c r="IHP502" s="126"/>
      <c r="IHQ502" s="126"/>
      <c r="IHR502" s="126"/>
      <c r="IHS502" s="126"/>
      <c r="IHT502" s="126"/>
      <c r="IHU502" s="126"/>
      <c r="IHV502" s="126"/>
      <c r="IHW502" s="126"/>
      <c r="IHX502" s="126"/>
      <c r="IHY502" s="126"/>
      <c r="IHZ502" s="126"/>
      <c r="IIA502" s="126"/>
      <c r="IIB502" s="126"/>
      <c r="IIC502" s="126"/>
      <c r="IID502" s="126"/>
      <c r="IIE502" s="126"/>
      <c r="IIF502" s="126"/>
      <c r="IIG502" s="126"/>
      <c r="IIH502" s="126"/>
      <c r="III502" s="126"/>
      <c r="IIJ502" s="126"/>
      <c r="IIK502" s="126"/>
      <c r="IIL502" s="126"/>
      <c r="IIM502" s="126"/>
      <c r="IIN502" s="126"/>
      <c r="IIO502" s="126"/>
      <c r="IIP502" s="126"/>
      <c r="IIQ502" s="126"/>
      <c r="IIR502" s="126"/>
      <c r="IIS502" s="126"/>
      <c r="IIT502" s="126"/>
      <c r="IIU502" s="126"/>
      <c r="IIV502" s="126"/>
      <c r="IIW502" s="126"/>
      <c r="IIX502" s="126"/>
      <c r="IIY502" s="126"/>
      <c r="IIZ502" s="126"/>
      <c r="IJA502" s="126"/>
      <c r="IJB502" s="126"/>
      <c r="IJC502" s="126"/>
      <c r="IJD502" s="126"/>
      <c r="IJE502" s="126"/>
      <c r="IJF502" s="126"/>
      <c r="IJG502" s="126"/>
      <c r="IJH502" s="126"/>
      <c r="IJI502" s="126"/>
      <c r="IJJ502" s="126"/>
      <c r="IJK502" s="126"/>
      <c r="IJL502" s="126"/>
      <c r="IJM502" s="126"/>
      <c r="IJN502" s="126"/>
      <c r="IJO502" s="126"/>
      <c r="IJP502" s="126"/>
      <c r="IJQ502" s="126"/>
      <c r="IJR502" s="126"/>
      <c r="IJS502" s="126"/>
      <c r="IJT502" s="126"/>
      <c r="IJU502" s="126"/>
      <c r="IJV502" s="126"/>
      <c r="IJW502" s="126"/>
      <c r="IJX502" s="126"/>
      <c r="IJY502" s="126"/>
      <c r="IJZ502" s="126"/>
      <c r="IKA502" s="126"/>
      <c r="IKB502" s="126"/>
      <c r="IKC502" s="126"/>
      <c r="IKD502" s="126"/>
      <c r="IKE502" s="126"/>
      <c r="IKF502" s="126"/>
      <c r="IKG502" s="126"/>
      <c r="IKH502" s="126"/>
      <c r="IKI502" s="126"/>
      <c r="IKJ502" s="126"/>
      <c r="IKK502" s="126"/>
      <c r="IKL502" s="126"/>
      <c r="IKM502" s="126"/>
      <c r="IKN502" s="126"/>
      <c r="IKO502" s="126"/>
      <c r="IKP502" s="126"/>
      <c r="IKQ502" s="126"/>
      <c r="IKR502" s="126"/>
      <c r="IKS502" s="126"/>
      <c r="IKT502" s="126"/>
      <c r="IKU502" s="126"/>
      <c r="IKV502" s="126"/>
      <c r="IKW502" s="126"/>
      <c r="IKX502" s="126"/>
      <c r="IKY502" s="126"/>
      <c r="IKZ502" s="126"/>
      <c r="ILA502" s="126"/>
      <c r="ILB502" s="126"/>
      <c r="ILC502" s="126"/>
      <c r="ILD502" s="126"/>
      <c r="ILE502" s="126"/>
      <c r="ILF502" s="126"/>
      <c r="ILG502" s="126"/>
      <c r="ILH502" s="126"/>
      <c r="ILI502" s="126"/>
      <c r="ILJ502" s="126"/>
      <c r="ILK502" s="126"/>
      <c r="ILL502" s="126"/>
      <c r="ILM502" s="126"/>
      <c r="ILN502" s="126"/>
      <c r="ILO502" s="126"/>
      <c r="ILP502" s="126"/>
      <c r="ILQ502" s="126"/>
      <c r="ILR502" s="126"/>
      <c r="ILS502" s="126"/>
      <c r="ILT502" s="126"/>
      <c r="ILU502" s="126"/>
      <c r="ILV502" s="126"/>
      <c r="ILW502" s="126"/>
      <c r="ILX502" s="126"/>
      <c r="ILY502" s="126"/>
      <c r="ILZ502" s="126"/>
      <c r="IMA502" s="126"/>
      <c r="IMB502" s="126"/>
      <c r="IMC502" s="126"/>
      <c r="IMD502" s="126"/>
      <c r="IME502" s="126"/>
      <c r="IMF502" s="126"/>
      <c r="IMG502" s="126"/>
      <c r="IMH502" s="126"/>
      <c r="IMI502" s="126"/>
      <c r="IMJ502" s="126"/>
      <c r="IMK502" s="126"/>
      <c r="IML502" s="126"/>
      <c r="IMM502" s="126"/>
      <c r="IMN502" s="126"/>
      <c r="IMO502" s="126"/>
      <c r="IMP502" s="126"/>
      <c r="IMQ502" s="126"/>
      <c r="IMR502" s="126"/>
      <c r="IMS502" s="126"/>
      <c r="IMT502" s="126"/>
      <c r="IMU502" s="126"/>
      <c r="IMV502" s="126"/>
      <c r="IMW502" s="126"/>
      <c r="IMX502" s="126"/>
      <c r="IMY502" s="126"/>
      <c r="IMZ502" s="126"/>
      <c r="INA502" s="126"/>
      <c r="INB502" s="126"/>
      <c r="INC502" s="126"/>
      <c r="IND502" s="126"/>
      <c r="INE502" s="126"/>
      <c r="INF502" s="126"/>
      <c r="ING502" s="126"/>
      <c r="INH502" s="126"/>
      <c r="INI502" s="126"/>
      <c r="INJ502" s="126"/>
      <c r="INK502" s="126"/>
      <c r="INL502" s="126"/>
      <c r="INM502" s="126"/>
      <c r="INN502" s="126"/>
      <c r="INO502" s="126"/>
      <c r="INP502" s="126"/>
      <c r="INQ502" s="126"/>
      <c r="INR502" s="126"/>
      <c r="INS502" s="126"/>
      <c r="INT502" s="126"/>
      <c r="INU502" s="126"/>
      <c r="INV502" s="126"/>
      <c r="INW502" s="126"/>
      <c r="INX502" s="126"/>
      <c r="INY502" s="126"/>
      <c r="INZ502" s="126"/>
      <c r="IOA502" s="126"/>
      <c r="IOB502" s="126"/>
      <c r="IOC502" s="126"/>
      <c r="IOD502" s="126"/>
      <c r="IOE502" s="126"/>
      <c r="IOF502" s="126"/>
      <c r="IOG502" s="126"/>
      <c r="IOH502" s="126"/>
      <c r="IOI502" s="126"/>
      <c r="IOJ502" s="126"/>
      <c r="IOK502" s="126"/>
      <c r="IOL502" s="126"/>
      <c r="IOM502" s="126"/>
      <c r="ION502" s="126"/>
      <c r="IOO502" s="126"/>
      <c r="IOP502" s="126"/>
      <c r="IOQ502" s="126"/>
      <c r="IOR502" s="126"/>
      <c r="IOS502" s="126"/>
      <c r="IOT502" s="126"/>
      <c r="IOU502" s="126"/>
      <c r="IOV502" s="126"/>
      <c r="IOW502" s="126"/>
      <c r="IOX502" s="126"/>
      <c r="IOY502" s="126"/>
      <c r="IOZ502" s="126"/>
      <c r="IPA502" s="126"/>
      <c r="IPB502" s="126"/>
      <c r="IPC502" s="126"/>
      <c r="IPD502" s="126"/>
      <c r="IPE502" s="126"/>
      <c r="IPF502" s="126"/>
      <c r="IPG502" s="126"/>
      <c r="IPH502" s="126"/>
      <c r="IPI502" s="126"/>
      <c r="IPJ502" s="126"/>
      <c r="IPK502" s="126"/>
      <c r="IPL502" s="126"/>
      <c r="IPM502" s="126"/>
      <c r="IPN502" s="126"/>
      <c r="IPO502" s="126"/>
      <c r="IPP502" s="126"/>
      <c r="IPQ502" s="126"/>
      <c r="IPR502" s="126"/>
      <c r="IPS502" s="126"/>
      <c r="IPT502" s="126"/>
      <c r="IPU502" s="126"/>
      <c r="IPV502" s="126"/>
      <c r="IPW502" s="126"/>
      <c r="IPX502" s="126"/>
      <c r="IPY502" s="126"/>
      <c r="IPZ502" s="126"/>
      <c r="IQA502" s="126"/>
      <c r="IQB502" s="126"/>
      <c r="IQC502" s="126"/>
      <c r="IQD502" s="126"/>
      <c r="IQE502" s="126"/>
      <c r="IQF502" s="126"/>
      <c r="IQG502" s="126"/>
      <c r="IQH502" s="126"/>
      <c r="IQI502" s="126"/>
      <c r="IQJ502" s="126"/>
      <c r="IQK502" s="126"/>
      <c r="IQL502" s="126"/>
      <c r="IQM502" s="126"/>
      <c r="IQN502" s="126"/>
      <c r="IQO502" s="126"/>
      <c r="IQP502" s="126"/>
      <c r="IQQ502" s="126"/>
      <c r="IQR502" s="126"/>
      <c r="IQS502" s="126"/>
      <c r="IQT502" s="126"/>
      <c r="IQU502" s="126"/>
      <c r="IQV502" s="126"/>
      <c r="IQW502" s="126"/>
      <c r="IQX502" s="126"/>
      <c r="IQY502" s="126"/>
      <c r="IQZ502" s="126"/>
      <c r="IRA502" s="126"/>
      <c r="IRB502" s="126"/>
      <c r="IRC502" s="126"/>
      <c r="IRD502" s="126"/>
      <c r="IRE502" s="126"/>
      <c r="IRF502" s="126"/>
      <c r="IRG502" s="126"/>
      <c r="IRH502" s="126"/>
      <c r="IRI502" s="126"/>
      <c r="IRJ502" s="126"/>
      <c r="IRK502" s="126"/>
      <c r="IRL502" s="126"/>
      <c r="IRM502" s="126"/>
      <c r="IRN502" s="126"/>
      <c r="IRO502" s="126"/>
      <c r="IRP502" s="126"/>
      <c r="IRQ502" s="126"/>
      <c r="IRR502" s="126"/>
      <c r="IRS502" s="126"/>
      <c r="IRT502" s="126"/>
      <c r="IRU502" s="126"/>
      <c r="IRV502" s="126"/>
      <c r="IRW502" s="126"/>
      <c r="IRX502" s="126"/>
      <c r="IRY502" s="126"/>
      <c r="IRZ502" s="126"/>
      <c r="ISA502" s="126"/>
      <c r="ISB502" s="126"/>
      <c r="ISC502" s="126"/>
      <c r="ISD502" s="126"/>
      <c r="ISE502" s="126"/>
      <c r="ISF502" s="126"/>
      <c r="ISG502" s="126"/>
      <c r="ISH502" s="126"/>
      <c r="ISI502" s="126"/>
      <c r="ISJ502" s="126"/>
      <c r="ISK502" s="126"/>
      <c r="ISL502" s="126"/>
      <c r="ISM502" s="126"/>
      <c r="ISN502" s="126"/>
      <c r="ISO502" s="126"/>
      <c r="ISP502" s="126"/>
      <c r="ISQ502" s="126"/>
      <c r="ISR502" s="126"/>
      <c r="ISS502" s="126"/>
      <c r="IST502" s="126"/>
      <c r="ISU502" s="126"/>
      <c r="ISV502" s="126"/>
      <c r="ISW502" s="126"/>
      <c r="ISX502" s="126"/>
      <c r="ISY502" s="126"/>
      <c r="ISZ502" s="126"/>
      <c r="ITA502" s="126"/>
      <c r="ITB502" s="126"/>
      <c r="ITC502" s="126"/>
      <c r="ITD502" s="126"/>
      <c r="ITE502" s="126"/>
      <c r="ITF502" s="126"/>
      <c r="ITG502" s="126"/>
      <c r="ITH502" s="126"/>
      <c r="ITI502" s="126"/>
      <c r="ITJ502" s="126"/>
      <c r="ITK502" s="126"/>
      <c r="ITL502" s="126"/>
      <c r="ITM502" s="126"/>
      <c r="ITN502" s="126"/>
      <c r="ITO502" s="126"/>
      <c r="ITP502" s="126"/>
      <c r="ITQ502" s="126"/>
      <c r="ITR502" s="126"/>
      <c r="ITS502" s="126"/>
      <c r="ITT502" s="126"/>
      <c r="ITU502" s="126"/>
      <c r="ITV502" s="126"/>
      <c r="ITW502" s="126"/>
      <c r="ITX502" s="126"/>
      <c r="ITY502" s="126"/>
      <c r="ITZ502" s="126"/>
      <c r="IUA502" s="126"/>
      <c r="IUB502" s="126"/>
      <c r="IUC502" s="126"/>
      <c r="IUD502" s="126"/>
      <c r="IUE502" s="126"/>
      <c r="IUF502" s="126"/>
      <c r="IUG502" s="126"/>
      <c r="IUH502" s="126"/>
      <c r="IUI502" s="126"/>
      <c r="IUJ502" s="126"/>
      <c r="IUK502" s="126"/>
      <c r="IUL502" s="126"/>
      <c r="IUM502" s="126"/>
      <c r="IUN502" s="126"/>
      <c r="IUO502" s="126"/>
      <c r="IUP502" s="126"/>
      <c r="IUQ502" s="126"/>
      <c r="IUR502" s="126"/>
      <c r="IUS502" s="126"/>
      <c r="IUT502" s="126"/>
      <c r="IUU502" s="126"/>
      <c r="IUV502" s="126"/>
      <c r="IUW502" s="126"/>
      <c r="IUX502" s="126"/>
      <c r="IUY502" s="126"/>
      <c r="IUZ502" s="126"/>
      <c r="IVA502" s="126"/>
      <c r="IVB502" s="126"/>
      <c r="IVC502" s="126"/>
      <c r="IVD502" s="126"/>
      <c r="IVE502" s="126"/>
      <c r="IVF502" s="126"/>
      <c r="IVG502" s="126"/>
      <c r="IVH502" s="126"/>
      <c r="IVI502" s="126"/>
      <c r="IVJ502" s="126"/>
      <c r="IVK502" s="126"/>
      <c r="IVL502" s="126"/>
      <c r="IVM502" s="126"/>
      <c r="IVN502" s="126"/>
      <c r="IVO502" s="126"/>
      <c r="IVP502" s="126"/>
      <c r="IVQ502" s="126"/>
      <c r="IVR502" s="126"/>
      <c r="IVS502" s="126"/>
      <c r="IVT502" s="126"/>
      <c r="IVU502" s="126"/>
      <c r="IVV502" s="126"/>
      <c r="IVW502" s="126"/>
      <c r="IVX502" s="126"/>
      <c r="IVY502" s="126"/>
      <c r="IVZ502" s="126"/>
      <c r="IWA502" s="126"/>
      <c r="IWB502" s="126"/>
      <c r="IWC502" s="126"/>
      <c r="IWD502" s="126"/>
      <c r="IWE502" s="126"/>
      <c r="IWF502" s="126"/>
      <c r="IWG502" s="126"/>
      <c r="IWH502" s="126"/>
      <c r="IWI502" s="126"/>
      <c r="IWJ502" s="126"/>
      <c r="IWK502" s="126"/>
      <c r="IWL502" s="126"/>
      <c r="IWM502" s="126"/>
      <c r="IWN502" s="126"/>
      <c r="IWO502" s="126"/>
      <c r="IWP502" s="126"/>
      <c r="IWQ502" s="126"/>
      <c r="IWR502" s="126"/>
      <c r="IWS502" s="126"/>
      <c r="IWT502" s="126"/>
      <c r="IWU502" s="126"/>
      <c r="IWV502" s="126"/>
      <c r="IWW502" s="126"/>
      <c r="IWX502" s="126"/>
      <c r="IWY502" s="126"/>
      <c r="IWZ502" s="126"/>
      <c r="IXA502" s="126"/>
      <c r="IXB502" s="126"/>
      <c r="IXC502" s="126"/>
      <c r="IXD502" s="126"/>
      <c r="IXE502" s="126"/>
      <c r="IXF502" s="126"/>
      <c r="IXG502" s="126"/>
      <c r="IXH502" s="126"/>
      <c r="IXI502" s="126"/>
      <c r="IXJ502" s="126"/>
      <c r="IXK502" s="126"/>
      <c r="IXL502" s="126"/>
      <c r="IXM502" s="126"/>
      <c r="IXN502" s="126"/>
      <c r="IXO502" s="126"/>
      <c r="IXP502" s="126"/>
      <c r="IXQ502" s="126"/>
      <c r="IXR502" s="126"/>
      <c r="IXS502" s="126"/>
      <c r="IXT502" s="126"/>
      <c r="IXU502" s="126"/>
      <c r="IXV502" s="126"/>
      <c r="IXW502" s="126"/>
      <c r="IXX502" s="126"/>
      <c r="IXY502" s="126"/>
      <c r="IXZ502" s="126"/>
      <c r="IYA502" s="126"/>
      <c r="IYB502" s="126"/>
      <c r="IYC502" s="126"/>
      <c r="IYD502" s="126"/>
      <c r="IYE502" s="126"/>
      <c r="IYF502" s="126"/>
      <c r="IYG502" s="126"/>
      <c r="IYH502" s="126"/>
      <c r="IYI502" s="126"/>
      <c r="IYJ502" s="126"/>
      <c r="IYK502" s="126"/>
      <c r="IYL502" s="126"/>
      <c r="IYM502" s="126"/>
      <c r="IYN502" s="126"/>
      <c r="IYO502" s="126"/>
      <c r="IYP502" s="126"/>
      <c r="IYQ502" s="126"/>
      <c r="IYR502" s="126"/>
      <c r="IYS502" s="126"/>
      <c r="IYT502" s="126"/>
      <c r="IYU502" s="126"/>
      <c r="IYV502" s="126"/>
      <c r="IYW502" s="126"/>
      <c r="IYX502" s="126"/>
      <c r="IYY502" s="126"/>
      <c r="IYZ502" s="126"/>
      <c r="IZA502" s="126"/>
      <c r="IZB502" s="126"/>
      <c r="IZC502" s="126"/>
      <c r="IZD502" s="126"/>
      <c r="IZE502" s="126"/>
      <c r="IZF502" s="126"/>
      <c r="IZG502" s="126"/>
      <c r="IZH502" s="126"/>
      <c r="IZI502" s="126"/>
      <c r="IZJ502" s="126"/>
      <c r="IZK502" s="126"/>
      <c r="IZL502" s="126"/>
      <c r="IZM502" s="126"/>
      <c r="IZN502" s="126"/>
      <c r="IZO502" s="126"/>
      <c r="IZP502" s="126"/>
      <c r="IZQ502" s="126"/>
      <c r="IZR502" s="126"/>
      <c r="IZS502" s="126"/>
      <c r="IZT502" s="126"/>
      <c r="IZU502" s="126"/>
      <c r="IZV502" s="126"/>
      <c r="IZW502" s="126"/>
      <c r="IZX502" s="126"/>
      <c r="IZY502" s="126"/>
      <c r="IZZ502" s="126"/>
      <c r="JAA502" s="126"/>
      <c r="JAB502" s="126"/>
      <c r="JAC502" s="126"/>
      <c r="JAD502" s="126"/>
      <c r="JAE502" s="126"/>
      <c r="JAF502" s="126"/>
      <c r="JAG502" s="126"/>
      <c r="JAH502" s="126"/>
      <c r="JAI502" s="126"/>
      <c r="JAJ502" s="126"/>
      <c r="JAK502" s="126"/>
      <c r="JAL502" s="126"/>
      <c r="JAM502" s="126"/>
      <c r="JAN502" s="126"/>
      <c r="JAO502" s="126"/>
      <c r="JAP502" s="126"/>
      <c r="JAQ502" s="126"/>
      <c r="JAR502" s="126"/>
      <c r="JAS502" s="126"/>
      <c r="JAT502" s="126"/>
      <c r="JAU502" s="126"/>
      <c r="JAV502" s="126"/>
      <c r="JAW502" s="126"/>
      <c r="JAX502" s="126"/>
      <c r="JAY502" s="126"/>
      <c r="JAZ502" s="126"/>
      <c r="JBA502" s="126"/>
      <c r="JBB502" s="126"/>
      <c r="JBC502" s="126"/>
      <c r="JBD502" s="126"/>
      <c r="JBE502" s="126"/>
      <c r="JBF502" s="126"/>
      <c r="JBG502" s="126"/>
      <c r="JBH502" s="126"/>
      <c r="JBI502" s="126"/>
      <c r="JBJ502" s="126"/>
      <c r="JBK502" s="126"/>
      <c r="JBL502" s="126"/>
      <c r="JBM502" s="126"/>
      <c r="JBN502" s="126"/>
      <c r="JBO502" s="126"/>
      <c r="JBP502" s="126"/>
      <c r="JBQ502" s="126"/>
      <c r="JBR502" s="126"/>
      <c r="JBS502" s="126"/>
      <c r="JBT502" s="126"/>
      <c r="JBU502" s="126"/>
      <c r="JBV502" s="126"/>
      <c r="JBW502" s="126"/>
      <c r="JBX502" s="126"/>
      <c r="JBY502" s="126"/>
      <c r="JBZ502" s="126"/>
      <c r="JCA502" s="126"/>
      <c r="JCB502" s="126"/>
      <c r="JCC502" s="126"/>
      <c r="JCD502" s="126"/>
      <c r="JCE502" s="126"/>
      <c r="JCF502" s="126"/>
      <c r="JCG502" s="126"/>
      <c r="JCH502" s="126"/>
      <c r="JCI502" s="126"/>
      <c r="JCJ502" s="126"/>
      <c r="JCK502" s="126"/>
      <c r="JCL502" s="126"/>
      <c r="JCM502" s="126"/>
      <c r="JCN502" s="126"/>
      <c r="JCO502" s="126"/>
      <c r="JCP502" s="126"/>
      <c r="JCQ502" s="126"/>
      <c r="JCR502" s="126"/>
      <c r="JCS502" s="126"/>
      <c r="JCT502" s="126"/>
      <c r="JCU502" s="126"/>
      <c r="JCV502" s="126"/>
      <c r="JCW502" s="126"/>
      <c r="JCX502" s="126"/>
      <c r="JCY502" s="126"/>
      <c r="JCZ502" s="126"/>
      <c r="JDA502" s="126"/>
      <c r="JDB502" s="126"/>
      <c r="JDC502" s="126"/>
      <c r="JDD502" s="126"/>
      <c r="JDE502" s="126"/>
      <c r="JDF502" s="126"/>
      <c r="JDG502" s="126"/>
      <c r="JDH502" s="126"/>
      <c r="JDI502" s="126"/>
      <c r="JDJ502" s="126"/>
      <c r="JDK502" s="126"/>
      <c r="JDL502" s="126"/>
      <c r="JDM502" s="126"/>
      <c r="JDN502" s="126"/>
      <c r="JDO502" s="126"/>
      <c r="JDP502" s="126"/>
      <c r="JDQ502" s="126"/>
      <c r="JDR502" s="126"/>
      <c r="JDS502" s="126"/>
      <c r="JDT502" s="126"/>
      <c r="JDU502" s="126"/>
      <c r="JDV502" s="126"/>
      <c r="JDW502" s="126"/>
      <c r="JDX502" s="126"/>
      <c r="JDY502" s="126"/>
      <c r="JDZ502" s="126"/>
      <c r="JEA502" s="126"/>
      <c r="JEB502" s="126"/>
      <c r="JEC502" s="126"/>
      <c r="JED502" s="126"/>
      <c r="JEE502" s="126"/>
      <c r="JEF502" s="126"/>
      <c r="JEG502" s="126"/>
      <c r="JEH502" s="126"/>
      <c r="JEI502" s="126"/>
      <c r="JEJ502" s="126"/>
      <c r="JEK502" s="126"/>
      <c r="JEL502" s="126"/>
      <c r="JEM502" s="126"/>
      <c r="JEN502" s="126"/>
      <c r="JEO502" s="126"/>
      <c r="JEP502" s="126"/>
      <c r="JEQ502" s="126"/>
      <c r="JER502" s="126"/>
      <c r="JES502" s="126"/>
      <c r="JET502" s="126"/>
      <c r="JEU502" s="126"/>
      <c r="JEV502" s="126"/>
      <c r="JEW502" s="126"/>
      <c r="JEX502" s="126"/>
      <c r="JEY502" s="126"/>
      <c r="JEZ502" s="126"/>
      <c r="JFA502" s="126"/>
      <c r="JFB502" s="126"/>
      <c r="JFC502" s="126"/>
      <c r="JFD502" s="126"/>
      <c r="JFE502" s="126"/>
      <c r="JFF502" s="126"/>
      <c r="JFG502" s="126"/>
      <c r="JFH502" s="126"/>
      <c r="JFI502" s="126"/>
      <c r="JFJ502" s="126"/>
      <c r="JFK502" s="126"/>
      <c r="JFL502" s="126"/>
      <c r="JFM502" s="126"/>
      <c r="JFN502" s="126"/>
      <c r="JFO502" s="126"/>
      <c r="JFP502" s="126"/>
      <c r="JFQ502" s="126"/>
      <c r="JFR502" s="126"/>
      <c r="JFS502" s="126"/>
      <c r="JFT502" s="126"/>
      <c r="JFU502" s="126"/>
      <c r="JFV502" s="126"/>
      <c r="JFW502" s="126"/>
      <c r="JFX502" s="126"/>
      <c r="JFY502" s="126"/>
      <c r="JFZ502" s="126"/>
      <c r="JGA502" s="126"/>
      <c r="JGB502" s="126"/>
      <c r="JGC502" s="126"/>
      <c r="JGD502" s="126"/>
      <c r="JGE502" s="126"/>
      <c r="JGF502" s="126"/>
      <c r="JGG502" s="126"/>
      <c r="JGH502" s="126"/>
      <c r="JGI502" s="126"/>
      <c r="JGJ502" s="126"/>
      <c r="JGK502" s="126"/>
      <c r="JGL502" s="126"/>
      <c r="JGM502" s="126"/>
      <c r="JGN502" s="126"/>
      <c r="JGO502" s="126"/>
      <c r="JGP502" s="126"/>
      <c r="JGQ502" s="126"/>
      <c r="JGR502" s="126"/>
      <c r="JGS502" s="126"/>
      <c r="JGT502" s="126"/>
      <c r="JGU502" s="126"/>
      <c r="JGV502" s="126"/>
      <c r="JGW502" s="126"/>
      <c r="JGX502" s="126"/>
      <c r="JGY502" s="126"/>
      <c r="JGZ502" s="126"/>
      <c r="JHA502" s="126"/>
      <c r="JHB502" s="126"/>
      <c r="JHC502" s="126"/>
      <c r="JHD502" s="126"/>
      <c r="JHE502" s="126"/>
      <c r="JHF502" s="126"/>
      <c r="JHG502" s="126"/>
      <c r="JHH502" s="126"/>
      <c r="JHI502" s="126"/>
      <c r="JHJ502" s="126"/>
      <c r="JHK502" s="126"/>
      <c r="JHL502" s="126"/>
      <c r="JHM502" s="126"/>
      <c r="JHN502" s="126"/>
      <c r="JHO502" s="126"/>
      <c r="JHP502" s="126"/>
      <c r="JHQ502" s="126"/>
      <c r="JHR502" s="126"/>
      <c r="JHS502" s="126"/>
      <c r="JHT502" s="126"/>
      <c r="JHU502" s="126"/>
      <c r="JHV502" s="126"/>
      <c r="JHW502" s="126"/>
      <c r="JHX502" s="126"/>
      <c r="JHY502" s="126"/>
      <c r="JHZ502" s="126"/>
      <c r="JIA502" s="126"/>
      <c r="JIB502" s="126"/>
      <c r="JIC502" s="126"/>
      <c r="JID502" s="126"/>
      <c r="JIE502" s="126"/>
      <c r="JIF502" s="126"/>
      <c r="JIG502" s="126"/>
      <c r="JIH502" s="126"/>
      <c r="JII502" s="126"/>
      <c r="JIJ502" s="126"/>
      <c r="JIK502" s="126"/>
      <c r="JIL502" s="126"/>
      <c r="JIM502" s="126"/>
      <c r="JIN502" s="126"/>
      <c r="JIO502" s="126"/>
      <c r="JIP502" s="126"/>
      <c r="JIQ502" s="126"/>
      <c r="JIR502" s="126"/>
      <c r="JIS502" s="126"/>
      <c r="JIT502" s="126"/>
      <c r="JIU502" s="126"/>
      <c r="JIV502" s="126"/>
      <c r="JIW502" s="126"/>
      <c r="JIX502" s="126"/>
      <c r="JIY502" s="126"/>
      <c r="JIZ502" s="126"/>
      <c r="JJA502" s="126"/>
      <c r="JJB502" s="126"/>
      <c r="JJC502" s="126"/>
      <c r="JJD502" s="126"/>
      <c r="JJE502" s="126"/>
      <c r="JJF502" s="126"/>
      <c r="JJG502" s="126"/>
      <c r="JJH502" s="126"/>
      <c r="JJI502" s="126"/>
      <c r="JJJ502" s="126"/>
      <c r="JJK502" s="126"/>
      <c r="JJL502" s="126"/>
      <c r="JJM502" s="126"/>
      <c r="JJN502" s="126"/>
      <c r="JJO502" s="126"/>
      <c r="JJP502" s="126"/>
      <c r="JJQ502" s="126"/>
      <c r="JJR502" s="126"/>
      <c r="JJS502" s="126"/>
      <c r="JJT502" s="126"/>
      <c r="JJU502" s="126"/>
      <c r="JJV502" s="126"/>
      <c r="JJW502" s="126"/>
      <c r="JJX502" s="126"/>
      <c r="JJY502" s="126"/>
      <c r="JJZ502" s="126"/>
      <c r="JKA502" s="126"/>
      <c r="JKB502" s="126"/>
      <c r="JKC502" s="126"/>
      <c r="JKD502" s="126"/>
      <c r="JKE502" s="126"/>
      <c r="JKF502" s="126"/>
      <c r="JKG502" s="126"/>
      <c r="JKH502" s="126"/>
      <c r="JKI502" s="126"/>
      <c r="JKJ502" s="126"/>
      <c r="JKK502" s="126"/>
      <c r="JKL502" s="126"/>
      <c r="JKM502" s="126"/>
      <c r="JKN502" s="126"/>
      <c r="JKO502" s="126"/>
      <c r="JKP502" s="126"/>
      <c r="JKQ502" s="126"/>
      <c r="JKR502" s="126"/>
      <c r="JKS502" s="126"/>
      <c r="JKT502" s="126"/>
      <c r="JKU502" s="126"/>
      <c r="JKV502" s="126"/>
      <c r="JKW502" s="126"/>
      <c r="JKX502" s="126"/>
      <c r="JKY502" s="126"/>
      <c r="JKZ502" s="126"/>
      <c r="JLA502" s="126"/>
      <c r="JLB502" s="126"/>
      <c r="JLC502" s="126"/>
      <c r="JLD502" s="126"/>
      <c r="JLE502" s="126"/>
      <c r="JLF502" s="126"/>
      <c r="JLG502" s="126"/>
      <c r="JLH502" s="126"/>
      <c r="JLI502" s="126"/>
      <c r="JLJ502" s="126"/>
      <c r="JLK502" s="126"/>
      <c r="JLL502" s="126"/>
      <c r="JLM502" s="126"/>
      <c r="JLN502" s="126"/>
      <c r="JLO502" s="126"/>
      <c r="JLP502" s="126"/>
      <c r="JLQ502" s="126"/>
      <c r="JLR502" s="126"/>
      <c r="JLS502" s="126"/>
      <c r="JLT502" s="126"/>
      <c r="JLU502" s="126"/>
      <c r="JLV502" s="126"/>
      <c r="JLW502" s="126"/>
      <c r="JLX502" s="126"/>
      <c r="JLY502" s="126"/>
      <c r="JLZ502" s="126"/>
      <c r="JMA502" s="126"/>
      <c r="JMB502" s="126"/>
      <c r="JMC502" s="126"/>
      <c r="JMD502" s="126"/>
      <c r="JME502" s="126"/>
      <c r="JMF502" s="126"/>
      <c r="JMG502" s="126"/>
      <c r="JMH502" s="126"/>
      <c r="JMI502" s="126"/>
      <c r="JMJ502" s="126"/>
      <c r="JMK502" s="126"/>
      <c r="JML502" s="126"/>
      <c r="JMM502" s="126"/>
      <c r="JMN502" s="126"/>
      <c r="JMO502" s="126"/>
      <c r="JMP502" s="126"/>
      <c r="JMQ502" s="126"/>
      <c r="JMR502" s="126"/>
      <c r="JMS502" s="126"/>
      <c r="JMT502" s="126"/>
      <c r="JMU502" s="126"/>
      <c r="JMV502" s="126"/>
      <c r="JMW502" s="126"/>
      <c r="JMX502" s="126"/>
      <c r="JMY502" s="126"/>
      <c r="JMZ502" s="126"/>
      <c r="JNA502" s="126"/>
      <c r="JNB502" s="126"/>
      <c r="JNC502" s="126"/>
      <c r="JND502" s="126"/>
      <c r="JNE502" s="126"/>
      <c r="JNF502" s="126"/>
      <c r="JNG502" s="126"/>
      <c r="JNH502" s="126"/>
      <c r="JNI502" s="126"/>
      <c r="JNJ502" s="126"/>
      <c r="JNK502" s="126"/>
      <c r="JNL502" s="126"/>
      <c r="JNM502" s="126"/>
      <c r="JNN502" s="126"/>
      <c r="JNO502" s="126"/>
      <c r="JNP502" s="126"/>
      <c r="JNQ502" s="126"/>
      <c r="JNR502" s="126"/>
      <c r="JNS502" s="126"/>
      <c r="JNT502" s="126"/>
      <c r="JNU502" s="126"/>
      <c r="JNV502" s="126"/>
      <c r="JNW502" s="126"/>
      <c r="JNX502" s="126"/>
      <c r="JNY502" s="126"/>
      <c r="JNZ502" s="126"/>
      <c r="JOA502" s="126"/>
      <c r="JOB502" s="126"/>
      <c r="JOC502" s="126"/>
      <c r="JOD502" s="126"/>
      <c r="JOE502" s="126"/>
      <c r="JOF502" s="126"/>
      <c r="JOG502" s="126"/>
      <c r="JOH502" s="126"/>
      <c r="JOI502" s="126"/>
      <c r="JOJ502" s="126"/>
      <c r="JOK502" s="126"/>
      <c r="JOL502" s="126"/>
      <c r="JOM502" s="126"/>
      <c r="JON502" s="126"/>
      <c r="JOO502" s="126"/>
      <c r="JOP502" s="126"/>
      <c r="JOQ502" s="126"/>
      <c r="JOR502" s="126"/>
      <c r="JOS502" s="126"/>
      <c r="JOT502" s="126"/>
      <c r="JOU502" s="126"/>
      <c r="JOV502" s="126"/>
      <c r="JOW502" s="126"/>
      <c r="JOX502" s="126"/>
      <c r="JOY502" s="126"/>
      <c r="JOZ502" s="126"/>
      <c r="JPA502" s="126"/>
      <c r="JPB502" s="126"/>
      <c r="JPC502" s="126"/>
      <c r="JPD502" s="126"/>
      <c r="JPE502" s="126"/>
      <c r="JPF502" s="126"/>
      <c r="JPG502" s="126"/>
      <c r="JPH502" s="126"/>
      <c r="JPI502" s="126"/>
      <c r="JPJ502" s="126"/>
      <c r="JPK502" s="126"/>
      <c r="JPL502" s="126"/>
      <c r="JPM502" s="126"/>
      <c r="JPN502" s="126"/>
      <c r="JPO502" s="126"/>
      <c r="JPP502" s="126"/>
      <c r="JPQ502" s="126"/>
      <c r="JPR502" s="126"/>
      <c r="JPS502" s="126"/>
      <c r="JPT502" s="126"/>
      <c r="JPU502" s="126"/>
      <c r="JPV502" s="126"/>
      <c r="JPW502" s="126"/>
      <c r="JPX502" s="126"/>
      <c r="JPY502" s="126"/>
      <c r="JPZ502" s="126"/>
      <c r="JQA502" s="126"/>
      <c r="JQB502" s="126"/>
      <c r="JQC502" s="126"/>
      <c r="JQD502" s="126"/>
      <c r="JQE502" s="126"/>
      <c r="JQF502" s="126"/>
      <c r="JQG502" s="126"/>
      <c r="JQH502" s="126"/>
      <c r="JQI502" s="126"/>
      <c r="JQJ502" s="126"/>
      <c r="JQK502" s="126"/>
      <c r="JQL502" s="126"/>
      <c r="JQM502" s="126"/>
      <c r="JQN502" s="126"/>
      <c r="JQO502" s="126"/>
      <c r="JQP502" s="126"/>
      <c r="JQQ502" s="126"/>
      <c r="JQR502" s="126"/>
      <c r="JQS502" s="126"/>
      <c r="JQT502" s="126"/>
      <c r="JQU502" s="126"/>
      <c r="JQV502" s="126"/>
      <c r="JQW502" s="126"/>
      <c r="JQX502" s="126"/>
      <c r="JQY502" s="126"/>
      <c r="JQZ502" s="126"/>
      <c r="JRA502" s="126"/>
      <c r="JRB502" s="126"/>
      <c r="JRC502" s="126"/>
      <c r="JRD502" s="126"/>
      <c r="JRE502" s="126"/>
      <c r="JRF502" s="126"/>
      <c r="JRG502" s="126"/>
      <c r="JRH502" s="126"/>
      <c r="JRI502" s="126"/>
      <c r="JRJ502" s="126"/>
      <c r="JRK502" s="126"/>
      <c r="JRL502" s="126"/>
      <c r="JRM502" s="126"/>
      <c r="JRN502" s="126"/>
      <c r="JRO502" s="126"/>
      <c r="JRP502" s="126"/>
      <c r="JRQ502" s="126"/>
      <c r="JRR502" s="126"/>
      <c r="JRS502" s="126"/>
      <c r="JRT502" s="126"/>
      <c r="JRU502" s="126"/>
      <c r="JRV502" s="126"/>
      <c r="JRW502" s="126"/>
      <c r="JRX502" s="126"/>
      <c r="JRY502" s="126"/>
      <c r="JRZ502" s="126"/>
      <c r="JSA502" s="126"/>
      <c r="JSB502" s="126"/>
      <c r="JSC502" s="126"/>
      <c r="JSD502" s="126"/>
      <c r="JSE502" s="126"/>
      <c r="JSF502" s="126"/>
      <c r="JSG502" s="126"/>
      <c r="JSH502" s="126"/>
      <c r="JSI502" s="126"/>
      <c r="JSJ502" s="126"/>
      <c r="JSK502" s="126"/>
      <c r="JSL502" s="126"/>
      <c r="JSM502" s="126"/>
      <c r="JSN502" s="126"/>
      <c r="JSO502" s="126"/>
      <c r="JSP502" s="126"/>
      <c r="JSQ502" s="126"/>
      <c r="JSR502" s="126"/>
      <c r="JSS502" s="126"/>
      <c r="JST502" s="126"/>
      <c r="JSU502" s="126"/>
      <c r="JSV502" s="126"/>
      <c r="JSW502" s="126"/>
      <c r="JSX502" s="126"/>
      <c r="JSY502" s="126"/>
      <c r="JSZ502" s="126"/>
      <c r="JTA502" s="126"/>
      <c r="JTB502" s="126"/>
      <c r="JTC502" s="126"/>
      <c r="JTD502" s="126"/>
      <c r="JTE502" s="126"/>
      <c r="JTF502" s="126"/>
      <c r="JTG502" s="126"/>
      <c r="JTH502" s="126"/>
      <c r="JTI502" s="126"/>
      <c r="JTJ502" s="126"/>
      <c r="JTK502" s="126"/>
      <c r="JTL502" s="126"/>
      <c r="JTM502" s="126"/>
      <c r="JTN502" s="126"/>
      <c r="JTO502" s="126"/>
      <c r="JTP502" s="126"/>
      <c r="JTQ502" s="126"/>
      <c r="JTR502" s="126"/>
      <c r="JTS502" s="126"/>
      <c r="JTT502" s="126"/>
      <c r="JTU502" s="126"/>
      <c r="JTV502" s="126"/>
      <c r="JTW502" s="126"/>
      <c r="JTX502" s="126"/>
      <c r="JTY502" s="126"/>
      <c r="JTZ502" s="126"/>
      <c r="JUA502" s="126"/>
      <c r="JUB502" s="126"/>
      <c r="JUC502" s="126"/>
      <c r="JUD502" s="126"/>
      <c r="JUE502" s="126"/>
      <c r="JUF502" s="126"/>
      <c r="JUG502" s="126"/>
      <c r="JUH502" s="126"/>
      <c r="JUI502" s="126"/>
      <c r="JUJ502" s="126"/>
      <c r="JUK502" s="126"/>
      <c r="JUL502" s="126"/>
      <c r="JUM502" s="126"/>
      <c r="JUN502" s="126"/>
      <c r="JUO502" s="126"/>
      <c r="JUP502" s="126"/>
      <c r="JUQ502" s="126"/>
      <c r="JUR502" s="126"/>
      <c r="JUS502" s="126"/>
      <c r="JUT502" s="126"/>
      <c r="JUU502" s="126"/>
      <c r="JUV502" s="126"/>
      <c r="JUW502" s="126"/>
      <c r="JUX502" s="126"/>
      <c r="JUY502" s="126"/>
      <c r="JUZ502" s="126"/>
      <c r="JVA502" s="126"/>
      <c r="JVB502" s="126"/>
      <c r="JVC502" s="126"/>
      <c r="JVD502" s="126"/>
      <c r="JVE502" s="126"/>
      <c r="JVF502" s="126"/>
      <c r="JVG502" s="126"/>
      <c r="JVH502" s="126"/>
      <c r="JVI502" s="126"/>
      <c r="JVJ502" s="126"/>
      <c r="JVK502" s="126"/>
      <c r="JVL502" s="126"/>
      <c r="JVM502" s="126"/>
      <c r="JVN502" s="126"/>
      <c r="JVO502" s="126"/>
      <c r="JVP502" s="126"/>
      <c r="JVQ502" s="126"/>
      <c r="JVR502" s="126"/>
      <c r="JVS502" s="126"/>
      <c r="JVT502" s="126"/>
      <c r="JVU502" s="126"/>
      <c r="JVV502" s="126"/>
      <c r="JVW502" s="126"/>
      <c r="JVX502" s="126"/>
      <c r="JVY502" s="126"/>
      <c r="JVZ502" s="126"/>
      <c r="JWA502" s="126"/>
      <c r="JWB502" s="126"/>
      <c r="JWC502" s="126"/>
      <c r="JWD502" s="126"/>
      <c r="JWE502" s="126"/>
      <c r="JWF502" s="126"/>
      <c r="JWG502" s="126"/>
      <c r="JWH502" s="126"/>
      <c r="JWI502" s="126"/>
      <c r="JWJ502" s="126"/>
      <c r="JWK502" s="126"/>
      <c r="JWL502" s="126"/>
      <c r="JWM502" s="126"/>
      <c r="JWN502" s="126"/>
      <c r="JWO502" s="126"/>
      <c r="JWP502" s="126"/>
      <c r="JWQ502" s="126"/>
      <c r="JWR502" s="126"/>
      <c r="JWS502" s="126"/>
      <c r="JWT502" s="126"/>
      <c r="JWU502" s="126"/>
      <c r="JWV502" s="126"/>
      <c r="JWW502" s="126"/>
      <c r="JWX502" s="126"/>
      <c r="JWY502" s="126"/>
      <c r="JWZ502" s="126"/>
      <c r="JXA502" s="126"/>
      <c r="JXB502" s="126"/>
      <c r="JXC502" s="126"/>
      <c r="JXD502" s="126"/>
      <c r="JXE502" s="126"/>
      <c r="JXF502" s="126"/>
      <c r="JXG502" s="126"/>
      <c r="JXH502" s="126"/>
      <c r="JXI502" s="126"/>
      <c r="JXJ502" s="126"/>
      <c r="JXK502" s="126"/>
      <c r="JXL502" s="126"/>
      <c r="JXM502" s="126"/>
      <c r="JXN502" s="126"/>
      <c r="JXO502" s="126"/>
      <c r="JXP502" s="126"/>
      <c r="JXQ502" s="126"/>
      <c r="JXR502" s="126"/>
      <c r="JXS502" s="126"/>
      <c r="JXT502" s="126"/>
      <c r="JXU502" s="126"/>
      <c r="JXV502" s="126"/>
      <c r="JXW502" s="126"/>
      <c r="JXX502" s="126"/>
      <c r="JXY502" s="126"/>
      <c r="JXZ502" s="126"/>
      <c r="JYA502" s="126"/>
      <c r="JYB502" s="126"/>
      <c r="JYC502" s="126"/>
      <c r="JYD502" s="126"/>
      <c r="JYE502" s="126"/>
      <c r="JYF502" s="126"/>
      <c r="JYG502" s="126"/>
      <c r="JYH502" s="126"/>
      <c r="JYI502" s="126"/>
      <c r="JYJ502" s="126"/>
      <c r="JYK502" s="126"/>
      <c r="JYL502" s="126"/>
      <c r="JYM502" s="126"/>
      <c r="JYN502" s="126"/>
      <c r="JYO502" s="126"/>
      <c r="JYP502" s="126"/>
      <c r="JYQ502" s="126"/>
      <c r="JYR502" s="126"/>
      <c r="JYS502" s="126"/>
      <c r="JYT502" s="126"/>
      <c r="JYU502" s="126"/>
      <c r="JYV502" s="126"/>
      <c r="JYW502" s="126"/>
      <c r="JYX502" s="126"/>
      <c r="JYY502" s="126"/>
      <c r="JYZ502" s="126"/>
      <c r="JZA502" s="126"/>
      <c r="JZB502" s="126"/>
      <c r="JZC502" s="126"/>
      <c r="JZD502" s="126"/>
      <c r="JZE502" s="126"/>
      <c r="JZF502" s="126"/>
      <c r="JZG502" s="126"/>
      <c r="JZH502" s="126"/>
      <c r="JZI502" s="126"/>
      <c r="JZJ502" s="126"/>
      <c r="JZK502" s="126"/>
      <c r="JZL502" s="126"/>
      <c r="JZM502" s="126"/>
      <c r="JZN502" s="126"/>
      <c r="JZO502" s="126"/>
      <c r="JZP502" s="126"/>
      <c r="JZQ502" s="126"/>
      <c r="JZR502" s="126"/>
      <c r="JZS502" s="126"/>
      <c r="JZT502" s="126"/>
      <c r="JZU502" s="126"/>
      <c r="JZV502" s="126"/>
      <c r="JZW502" s="126"/>
      <c r="JZX502" s="126"/>
      <c r="JZY502" s="126"/>
      <c r="JZZ502" s="126"/>
      <c r="KAA502" s="126"/>
      <c r="KAB502" s="126"/>
      <c r="KAC502" s="126"/>
      <c r="KAD502" s="126"/>
      <c r="KAE502" s="126"/>
      <c r="KAF502" s="126"/>
      <c r="KAG502" s="126"/>
      <c r="KAH502" s="126"/>
      <c r="KAI502" s="126"/>
      <c r="KAJ502" s="126"/>
      <c r="KAK502" s="126"/>
      <c r="KAL502" s="126"/>
      <c r="KAM502" s="126"/>
      <c r="KAN502" s="126"/>
      <c r="KAO502" s="126"/>
      <c r="KAP502" s="126"/>
      <c r="KAQ502" s="126"/>
      <c r="KAR502" s="126"/>
      <c r="KAS502" s="126"/>
      <c r="KAT502" s="126"/>
      <c r="KAU502" s="126"/>
      <c r="KAV502" s="126"/>
      <c r="KAW502" s="126"/>
      <c r="KAX502" s="126"/>
      <c r="KAY502" s="126"/>
      <c r="KAZ502" s="126"/>
      <c r="KBA502" s="126"/>
      <c r="KBB502" s="126"/>
      <c r="KBC502" s="126"/>
      <c r="KBD502" s="126"/>
      <c r="KBE502" s="126"/>
      <c r="KBF502" s="126"/>
      <c r="KBG502" s="126"/>
      <c r="KBH502" s="126"/>
      <c r="KBI502" s="126"/>
      <c r="KBJ502" s="126"/>
      <c r="KBK502" s="126"/>
      <c r="KBL502" s="126"/>
      <c r="KBM502" s="126"/>
      <c r="KBN502" s="126"/>
      <c r="KBO502" s="126"/>
      <c r="KBP502" s="126"/>
      <c r="KBQ502" s="126"/>
      <c r="KBR502" s="126"/>
      <c r="KBS502" s="126"/>
      <c r="KBT502" s="126"/>
      <c r="KBU502" s="126"/>
      <c r="KBV502" s="126"/>
      <c r="KBW502" s="126"/>
      <c r="KBX502" s="126"/>
      <c r="KBY502" s="126"/>
      <c r="KBZ502" s="126"/>
      <c r="KCA502" s="126"/>
      <c r="KCB502" s="126"/>
      <c r="KCC502" s="126"/>
      <c r="KCD502" s="126"/>
      <c r="KCE502" s="126"/>
      <c r="KCF502" s="126"/>
      <c r="KCG502" s="126"/>
      <c r="KCH502" s="126"/>
      <c r="KCI502" s="126"/>
      <c r="KCJ502" s="126"/>
      <c r="KCK502" s="126"/>
      <c r="KCL502" s="126"/>
      <c r="KCM502" s="126"/>
      <c r="KCN502" s="126"/>
      <c r="KCO502" s="126"/>
      <c r="KCP502" s="126"/>
      <c r="KCQ502" s="126"/>
      <c r="KCR502" s="126"/>
      <c r="KCS502" s="126"/>
      <c r="KCT502" s="126"/>
      <c r="KCU502" s="126"/>
      <c r="KCV502" s="126"/>
      <c r="KCW502" s="126"/>
      <c r="KCX502" s="126"/>
      <c r="KCY502" s="126"/>
      <c r="KCZ502" s="126"/>
      <c r="KDA502" s="126"/>
      <c r="KDB502" s="126"/>
      <c r="KDC502" s="126"/>
      <c r="KDD502" s="126"/>
      <c r="KDE502" s="126"/>
      <c r="KDF502" s="126"/>
      <c r="KDG502" s="126"/>
      <c r="KDH502" s="126"/>
      <c r="KDI502" s="126"/>
      <c r="KDJ502" s="126"/>
      <c r="KDK502" s="126"/>
      <c r="KDL502" s="126"/>
      <c r="KDM502" s="126"/>
      <c r="KDN502" s="126"/>
      <c r="KDO502" s="126"/>
      <c r="KDP502" s="126"/>
      <c r="KDQ502" s="126"/>
      <c r="KDR502" s="126"/>
      <c r="KDS502" s="126"/>
      <c r="KDT502" s="126"/>
      <c r="KDU502" s="126"/>
      <c r="KDV502" s="126"/>
      <c r="KDW502" s="126"/>
      <c r="KDX502" s="126"/>
      <c r="KDY502" s="126"/>
      <c r="KDZ502" s="126"/>
      <c r="KEA502" s="126"/>
      <c r="KEB502" s="126"/>
      <c r="KEC502" s="126"/>
      <c r="KED502" s="126"/>
      <c r="KEE502" s="126"/>
      <c r="KEF502" s="126"/>
      <c r="KEG502" s="126"/>
      <c r="KEH502" s="126"/>
      <c r="KEI502" s="126"/>
      <c r="KEJ502" s="126"/>
      <c r="KEK502" s="126"/>
      <c r="KEL502" s="126"/>
      <c r="KEM502" s="126"/>
      <c r="KEN502" s="126"/>
      <c r="KEO502" s="126"/>
      <c r="KEP502" s="126"/>
      <c r="KEQ502" s="126"/>
      <c r="KER502" s="126"/>
      <c r="KES502" s="126"/>
      <c r="KET502" s="126"/>
      <c r="KEU502" s="126"/>
      <c r="KEV502" s="126"/>
      <c r="KEW502" s="126"/>
      <c r="KEX502" s="126"/>
      <c r="KEY502" s="126"/>
      <c r="KEZ502" s="126"/>
      <c r="KFA502" s="126"/>
      <c r="KFB502" s="126"/>
      <c r="KFC502" s="126"/>
      <c r="KFD502" s="126"/>
      <c r="KFE502" s="126"/>
      <c r="KFF502" s="126"/>
      <c r="KFG502" s="126"/>
      <c r="KFH502" s="126"/>
      <c r="KFI502" s="126"/>
      <c r="KFJ502" s="126"/>
      <c r="KFK502" s="126"/>
      <c r="KFL502" s="126"/>
      <c r="KFM502" s="126"/>
      <c r="KFN502" s="126"/>
      <c r="KFO502" s="126"/>
      <c r="KFP502" s="126"/>
      <c r="KFQ502" s="126"/>
      <c r="KFR502" s="126"/>
      <c r="KFS502" s="126"/>
      <c r="KFT502" s="126"/>
      <c r="KFU502" s="126"/>
      <c r="KFV502" s="126"/>
      <c r="KFW502" s="126"/>
      <c r="KFX502" s="126"/>
      <c r="KFY502" s="126"/>
      <c r="KFZ502" s="126"/>
      <c r="KGA502" s="126"/>
      <c r="KGB502" s="126"/>
      <c r="KGC502" s="126"/>
      <c r="KGD502" s="126"/>
      <c r="KGE502" s="126"/>
      <c r="KGF502" s="126"/>
      <c r="KGG502" s="126"/>
      <c r="KGH502" s="126"/>
      <c r="KGI502" s="126"/>
      <c r="KGJ502" s="126"/>
      <c r="KGK502" s="126"/>
      <c r="KGL502" s="126"/>
      <c r="KGM502" s="126"/>
      <c r="KGN502" s="126"/>
      <c r="KGO502" s="126"/>
      <c r="KGP502" s="126"/>
      <c r="KGQ502" s="126"/>
      <c r="KGR502" s="126"/>
      <c r="KGS502" s="126"/>
      <c r="KGT502" s="126"/>
      <c r="KGU502" s="126"/>
      <c r="KGV502" s="126"/>
      <c r="KGW502" s="126"/>
      <c r="KGX502" s="126"/>
      <c r="KGY502" s="126"/>
      <c r="KGZ502" s="126"/>
      <c r="KHA502" s="126"/>
      <c r="KHB502" s="126"/>
      <c r="KHC502" s="126"/>
      <c r="KHD502" s="126"/>
      <c r="KHE502" s="126"/>
      <c r="KHF502" s="126"/>
      <c r="KHG502" s="126"/>
      <c r="KHH502" s="126"/>
      <c r="KHI502" s="126"/>
      <c r="KHJ502" s="126"/>
      <c r="KHK502" s="126"/>
      <c r="KHL502" s="126"/>
      <c r="KHM502" s="126"/>
      <c r="KHN502" s="126"/>
      <c r="KHO502" s="126"/>
      <c r="KHP502" s="126"/>
      <c r="KHQ502" s="126"/>
      <c r="KHR502" s="126"/>
      <c r="KHS502" s="126"/>
      <c r="KHT502" s="126"/>
      <c r="KHU502" s="126"/>
      <c r="KHV502" s="126"/>
      <c r="KHW502" s="126"/>
      <c r="KHX502" s="126"/>
      <c r="KHY502" s="126"/>
      <c r="KHZ502" s="126"/>
      <c r="KIA502" s="126"/>
      <c r="KIB502" s="126"/>
      <c r="KIC502" s="126"/>
      <c r="KID502" s="126"/>
      <c r="KIE502" s="126"/>
      <c r="KIF502" s="126"/>
      <c r="KIG502" s="126"/>
      <c r="KIH502" s="126"/>
      <c r="KII502" s="126"/>
      <c r="KIJ502" s="126"/>
      <c r="KIK502" s="126"/>
      <c r="KIL502" s="126"/>
      <c r="KIM502" s="126"/>
      <c r="KIN502" s="126"/>
      <c r="KIO502" s="126"/>
      <c r="KIP502" s="126"/>
      <c r="KIQ502" s="126"/>
      <c r="KIR502" s="126"/>
      <c r="KIS502" s="126"/>
      <c r="KIT502" s="126"/>
      <c r="KIU502" s="126"/>
      <c r="KIV502" s="126"/>
      <c r="KIW502" s="126"/>
      <c r="KIX502" s="126"/>
      <c r="KIY502" s="126"/>
      <c r="KIZ502" s="126"/>
      <c r="KJA502" s="126"/>
      <c r="KJB502" s="126"/>
      <c r="KJC502" s="126"/>
      <c r="KJD502" s="126"/>
      <c r="KJE502" s="126"/>
      <c r="KJF502" s="126"/>
      <c r="KJG502" s="126"/>
      <c r="KJH502" s="126"/>
      <c r="KJI502" s="126"/>
      <c r="KJJ502" s="126"/>
      <c r="KJK502" s="126"/>
      <c r="KJL502" s="126"/>
      <c r="KJM502" s="126"/>
      <c r="KJN502" s="126"/>
      <c r="KJO502" s="126"/>
      <c r="KJP502" s="126"/>
      <c r="KJQ502" s="126"/>
      <c r="KJR502" s="126"/>
      <c r="KJS502" s="126"/>
      <c r="KJT502" s="126"/>
      <c r="KJU502" s="126"/>
      <c r="KJV502" s="126"/>
      <c r="KJW502" s="126"/>
      <c r="KJX502" s="126"/>
      <c r="KJY502" s="126"/>
      <c r="KJZ502" s="126"/>
      <c r="KKA502" s="126"/>
      <c r="KKB502" s="126"/>
      <c r="KKC502" s="126"/>
      <c r="KKD502" s="126"/>
      <c r="KKE502" s="126"/>
      <c r="KKF502" s="126"/>
      <c r="KKG502" s="126"/>
      <c r="KKH502" s="126"/>
      <c r="KKI502" s="126"/>
      <c r="KKJ502" s="126"/>
      <c r="KKK502" s="126"/>
      <c r="KKL502" s="126"/>
      <c r="KKM502" s="126"/>
      <c r="KKN502" s="126"/>
      <c r="KKO502" s="126"/>
      <c r="KKP502" s="126"/>
      <c r="KKQ502" s="126"/>
      <c r="KKR502" s="126"/>
      <c r="KKS502" s="126"/>
      <c r="KKT502" s="126"/>
      <c r="KKU502" s="126"/>
      <c r="KKV502" s="126"/>
      <c r="KKW502" s="126"/>
      <c r="KKX502" s="126"/>
      <c r="KKY502" s="126"/>
      <c r="KKZ502" s="126"/>
      <c r="KLA502" s="126"/>
      <c r="KLB502" s="126"/>
      <c r="KLC502" s="126"/>
      <c r="KLD502" s="126"/>
      <c r="KLE502" s="126"/>
      <c r="KLF502" s="126"/>
      <c r="KLG502" s="126"/>
      <c r="KLH502" s="126"/>
      <c r="KLI502" s="126"/>
      <c r="KLJ502" s="126"/>
      <c r="KLK502" s="126"/>
      <c r="KLL502" s="126"/>
      <c r="KLM502" s="126"/>
      <c r="KLN502" s="126"/>
      <c r="KLO502" s="126"/>
      <c r="KLP502" s="126"/>
      <c r="KLQ502" s="126"/>
      <c r="KLR502" s="126"/>
      <c r="KLS502" s="126"/>
      <c r="KLT502" s="126"/>
      <c r="KLU502" s="126"/>
      <c r="KLV502" s="126"/>
      <c r="KLW502" s="126"/>
      <c r="KLX502" s="126"/>
      <c r="KLY502" s="126"/>
      <c r="KLZ502" s="126"/>
      <c r="KMA502" s="126"/>
      <c r="KMB502" s="126"/>
      <c r="KMC502" s="126"/>
      <c r="KMD502" s="126"/>
      <c r="KME502" s="126"/>
      <c r="KMF502" s="126"/>
      <c r="KMG502" s="126"/>
      <c r="KMH502" s="126"/>
      <c r="KMI502" s="126"/>
      <c r="KMJ502" s="126"/>
      <c r="KMK502" s="126"/>
      <c r="KML502" s="126"/>
      <c r="KMM502" s="126"/>
      <c r="KMN502" s="126"/>
      <c r="KMO502" s="126"/>
      <c r="KMP502" s="126"/>
      <c r="KMQ502" s="126"/>
      <c r="KMR502" s="126"/>
      <c r="KMS502" s="126"/>
      <c r="KMT502" s="126"/>
      <c r="KMU502" s="126"/>
      <c r="KMV502" s="126"/>
      <c r="KMW502" s="126"/>
      <c r="KMX502" s="126"/>
      <c r="KMY502" s="126"/>
      <c r="KMZ502" s="126"/>
      <c r="KNA502" s="126"/>
      <c r="KNB502" s="126"/>
      <c r="KNC502" s="126"/>
      <c r="KND502" s="126"/>
      <c r="KNE502" s="126"/>
      <c r="KNF502" s="126"/>
      <c r="KNG502" s="126"/>
      <c r="KNH502" s="126"/>
      <c r="KNI502" s="126"/>
      <c r="KNJ502" s="126"/>
      <c r="KNK502" s="126"/>
      <c r="KNL502" s="126"/>
      <c r="KNM502" s="126"/>
      <c r="KNN502" s="126"/>
      <c r="KNO502" s="126"/>
      <c r="KNP502" s="126"/>
      <c r="KNQ502" s="126"/>
      <c r="KNR502" s="126"/>
      <c r="KNS502" s="126"/>
      <c r="KNT502" s="126"/>
      <c r="KNU502" s="126"/>
      <c r="KNV502" s="126"/>
      <c r="KNW502" s="126"/>
      <c r="KNX502" s="126"/>
      <c r="KNY502" s="126"/>
      <c r="KNZ502" s="126"/>
      <c r="KOA502" s="126"/>
      <c r="KOB502" s="126"/>
      <c r="KOC502" s="126"/>
      <c r="KOD502" s="126"/>
      <c r="KOE502" s="126"/>
      <c r="KOF502" s="126"/>
      <c r="KOG502" s="126"/>
      <c r="KOH502" s="126"/>
      <c r="KOI502" s="126"/>
      <c r="KOJ502" s="126"/>
      <c r="KOK502" s="126"/>
      <c r="KOL502" s="126"/>
      <c r="KOM502" s="126"/>
      <c r="KON502" s="126"/>
      <c r="KOO502" s="126"/>
      <c r="KOP502" s="126"/>
      <c r="KOQ502" s="126"/>
      <c r="KOR502" s="126"/>
      <c r="KOS502" s="126"/>
      <c r="KOT502" s="126"/>
      <c r="KOU502" s="126"/>
      <c r="KOV502" s="126"/>
      <c r="KOW502" s="126"/>
      <c r="KOX502" s="126"/>
      <c r="KOY502" s="126"/>
      <c r="KOZ502" s="126"/>
      <c r="KPA502" s="126"/>
      <c r="KPB502" s="126"/>
      <c r="KPC502" s="126"/>
      <c r="KPD502" s="126"/>
      <c r="KPE502" s="126"/>
      <c r="KPF502" s="126"/>
      <c r="KPG502" s="126"/>
      <c r="KPH502" s="126"/>
      <c r="KPI502" s="126"/>
      <c r="KPJ502" s="126"/>
      <c r="KPK502" s="126"/>
      <c r="KPL502" s="126"/>
      <c r="KPM502" s="126"/>
      <c r="KPN502" s="126"/>
      <c r="KPO502" s="126"/>
      <c r="KPP502" s="126"/>
      <c r="KPQ502" s="126"/>
      <c r="KPR502" s="126"/>
      <c r="KPS502" s="126"/>
      <c r="KPT502" s="126"/>
      <c r="KPU502" s="126"/>
      <c r="KPV502" s="126"/>
      <c r="KPW502" s="126"/>
      <c r="KPX502" s="126"/>
      <c r="KPY502" s="126"/>
      <c r="KPZ502" s="126"/>
      <c r="KQA502" s="126"/>
      <c r="KQB502" s="126"/>
      <c r="KQC502" s="126"/>
      <c r="KQD502" s="126"/>
      <c r="KQE502" s="126"/>
      <c r="KQF502" s="126"/>
      <c r="KQG502" s="126"/>
      <c r="KQH502" s="126"/>
      <c r="KQI502" s="126"/>
      <c r="KQJ502" s="126"/>
      <c r="KQK502" s="126"/>
      <c r="KQL502" s="126"/>
      <c r="KQM502" s="126"/>
      <c r="KQN502" s="126"/>
      <c r="KQO502" s="126"/>
      <c r="KQP502" s="126"/>
      <c r="KQQ502" s="126"/>
      <c r="KQR502" s="126"/>
      <c r="KQS502" s="126"/>
      <c r="KQT502" s="126"/>
      <c r="KQU502" s="126"/>
      <c r="KQV502" s="126"/>
      <c r="KQW502" s="126"/>
      <c r="KQX502" s="126"/>
      <c r="KQY502" s="126"/>
      <c r="KQZ502" s="126"/>
      <c r="KRA502" s="126"/>
      <c r="KRB502" s="126"/>
      <c r="KRC502" s="126"/>
      <c r="KRD502" s="126"/>
      <c r="KRE502" s="126"/>
      <c r="KRF502" s="126"/>
      <c r="KRG502" s="126"/>
      <c r="KRH502" s="126"/>
      <c r="KRI502" s="126"/>
      <c r="KRJ502" s="126"/>
      <c r="KRK502" s="126"/>
      <c r="KRL502" s="126"/>
      <c r="KRM502" s="126"/>
      <c r="KRN502" s="126"/>
      <c r="KRO502" s="126"/>
      <c r="KRP502" s="126"/>
      <c r="KRQ502" s="126"/>
      <c r="KRR502" s="126"/>
      <c r="KRS502" s="126"/>
      <c r="KRT502" s="126"/>
      <c r="KRU502" s="126"/>
      <c r="KRV502" s="126"/>
      <c r="KRW502" s="126"/>
      <c r="KRX502" s="126"/>
      <c r="KRY502" s="126"/>
      <c r="KRZ502" s="126"/>
      <c r="KSA502" s="126"/>
      <c r="KSB502" s="126"/>
      <c r="KSC502" s="126"/>
      <c r="KSD502" s="126"/>
      <c r="KSE502" s="126"/>
      <c r="KSF502" s="126"/>
      <c r="KSG502" s="126"/>
      <c r="KSH502" s="126"/>
      <c r="KSI502" s="126"/>
      <c r="KSJ502" s="126"/>
      <c r="KSK502" s="126"/>
      <c r="KSL502" s="126"/>
      <c r="KSM502" s="126"/>
      <c r="KSN502" s="126"/>
      <c r="KSO502" s="126"/>
      <c r="KSP502" s="126"/>
      <c r="KSQ502" s="126"/>
      <c r="KSR502" s="126"/>
      <c r="KSS502" s="126"/>
      <c r="KST502" s="126"/>
      <c r="KSU502" s="126"/>
      <c r="KSV502" s="126"/>
      <c r="KSW502" s="126"/>
      <c r="KSX502" s="126"/>
      <c r="KSY502" s="126"/>
      <c r="KSZ502" s="126"/>
      <c r="KTA502" s="126"/>
      <c r="KTB502" s="126"/>
      <c r="KTC502" s="126"/>
      <c r="KTD502" s="126"/>
      <c r="KTE502" s="126"/>
      <c r="KTF502" s="126"/>
      <c r="KTG502" s="126"/>
      <c r="KTH502" s="126"/>
      <c r="KTI502" s="126"/>
      <c r="KTJ502" s="126"/>
      <c r="KTK502" s="126"/>
      <c r="KTL502" s="126"/>
      <c r="KTM502" s="126"/>
      <c r="KTN502" s="126"/>
      <c r="KTO502" s="126"/>
      <c r="KTP502" s="126"/>
      <c r="KTQ502" s="126"/>
      <c r="KTR502" s="126"/>
      <c r="KTS502" s="126"/>
      <c r="KTT502" s="126"/>
      <c r="KTU502" s="126"/>
      <c r="KTV502" s="126"/>
      <c r="KTW502" s="126"/>
      <c r="KTX502" s="126"/>
      <c r="KTY502" s="126"/>
      <c r="KTZ502" s="126"/>
      <c r="KUA502" s="126"/>
      <c r="KUB502" s="126"/>
      <c r="KUC502" s="126"/>
      <c r="KUD502" s="126"/>
      <c r="KUE502" s="126"/>
      <c r="KUF502" s="126"/>
      <c r="KUG502" s="126"/>
      <c r="KUH502" s="126"/>
      <c r="KUI502" s="126"/>
      <c r="KUJ502" s="126"/>
      <c r="KUK502" s="126"/>
      <c r="KUL502" s="126"/>
      <c r="KUM502" s="126"/>
      <c r="KUN502" s="126"/>
      <c r="KUO502" s="126"/>
      <c r="KUP502" s="126"/>
      <c r="KUQ502" s="126"/>
      <c r="KUR502" s="126"/>
      <c r="KUS502" s="126"/>
      <c r="KUT502" s="126"/>
      <c r="KUU502" s="126"/>
      <c r="KUV502" s="126"/>
      <c r="KUW502" s="126"/>
      <c r="KUX502" s="126"/>
      <c r="KUY502" s="126"/>
      <c r="KUZ502" s="126"/>
      <c r="KVA502" s="126"/>
      <c r="KVB502" s="126"/>
      <c r="KVC502" s="126"/>
      <c r="KVD502" s="126"/>
      <c r="KVE502" s="126"/>
      <c r="KVF502" s="126"/>
      <c r="KVG502" s="126"/>
      <c r="KVH502" s="126"/>
      <c r="KVI502" s="126"/>
      <c r="KVJ502" s="126"/>
      <c r="KVK502" s="126"/>
      <c r="KVL502" s="126"/>
      <c r="KVM502" s="126"/>
      <c r="KVN502" s="126"/>
      <c r="KVO502" s="126"/>
      <c r="KVP502" s="126"/>
      <c r="KVQ502" s="126"/>
      <c r="KVR502" s="126"/>
      <c r="KVS502" s="126"/>
      <c r="KVT502" s="126"/>
      <c r="KVU502" s="126"/>
      <c r="KVV502" s="126"/>
      <c r="KVW502" s="126"/>
      <c r="KVX502" s="126"/>
      <c r="KVY502" s="126"/>
      <c r="KVZ502" s="126"/>
      <c r="KWA502" s="126"/>
      <c r="KWB502" s="126"/>
      <c r="KWC502" s="126"/>
      <c r="KWD502" s="126"/>
      <c r="KWE502" s="126"/>
      <c r="KWF502" s="126"/>
      <c r="KWG502" s="126"/>
      <c r="KWH502" s="126"/>
      <c r="KWI502" s="126"/>
      <c r="KWJ502" s="126"/>
      <c r="KWK502" s="126"/>
      <c r="KWL502" s="126"/>
      <c r="KWM502" s="126"/>
      <c r="KWN502" s="126"/>
      <c r="KWO502" s="126"/>
      <c r="KWP502" s="126"/>
      <c r="KWQ502" s="126"/>
      <c r="KWR502" s="126"/>
      <c r="KWS502" s="126"/>
      <c r="KWT502" s="126"/>
      <c r="KWU502" s="126"/>
      <c r="KWV502" s="126"/>
      <c r="KWW502" s="126"/>
      <c r="KWX502" s="126"/>
      <c r="KWY502" s="126"/>
      <c r="KWZ502" s="126"/>
      <c r="KXA502" s="126"/>
      <c r="KXB502" s="126"/>
      <c r="KXC502" s="126"/>
      <c r="KXD502" s="126"/>
      <c r="KXE502" s="126"/>
      <c r="KXF502" s="126"/>
      <c r="KXG502" s="126"/>
      <c r="KXH502" s="126"/>
      <c r="KXI502" s="126"/>
      <c r="KXJ502" s="126"/>
      <c r="KXK502" s="126"/>
      <c r="KXL502" s="126"/>
      <c r="KXM502" s="126"/>
      <c r="KXN502" s="126"/>
      <c r="KXO502" s="126"/>
      <c r="KXP502" s="126"/>
      <c r="KXQ502" s="126"/>
      <c r="KXR502" s="126"/>
      <c r="KXS502" s="126"/>
      <c r="KXT502" s="126"/>
      <c r="KXU502" s="126"/>
      <c r="KXV502" s="126"/>
      <c r="KXW502" s="126"/>
      <c r="KXX502" s="126"/>
      <c r="KXY502" s="126"/>
      <c r="KXZ502" s="126"/>
      <c r="KYA502" s="126"/>
      <c r="KYB502" s="126"/>
      <c r="KYC502" s="126"/>
      <c r="KYD502" s="126"/>
      <c r="KYE502" s="126"/>
      <c r="KYF502" s="126"/>
      <c r="KYG502" s="126"/>
      <c r="KYH502" s="126"/>
      <c r="KYI502" s="126"/>
      <c r="KYJ502" s="126"/>
      <c r="KYK502" s="126"/>
      <c r="KYL502" s="126"/>
      <c r="KYM502" s="126"/>
      <c r="KYN502" s="126"/>
      <c r="KYO502" s="126"/>
      <c r="KYP502" s="126"/>
      <c r="KYQ502" s="126"/>
      <c r="KYR502" s="126"/>
      <c r="KYS502" s="126"/>
      <c r="KYT502" s="126"/>
      <c r="KYU502" s="126"/>
      <c r="KYV502" s="126"/>
      <c r="KYW502" s="126"/>
      <c r="KYX502" s="126"/>
      <c r="KYY502" s="126"/>
      <c r="KYZ502" s="126"/>
      <c r="KZA502" s="126"/>
      <c r="KZB502" s="126"/>
      <c r="KZC502" s="126"/>
      <c r="KZD502" s="126"/>
      <c r="KZE502" s="126"/>
      <c r="KZF502" s="126"/>
      <c r="KZG502" s="126"/>
      <c r="KZH502" s="126"/>
      <c r="KZI502" s="126"/>
      <c r="KZJ502" s="126"/>
      <c r="KZK502" s="126"/>
      <c r="KZL502" s="126"/>
      <c r="KZM502" s="126"/>
      <c r="KZN502" s="126"/>
      <c r="KZO502" s="126"/>
      <c r="KZP502" s="126"/>
      <c r="KZQ502" s="126"/>
      <c r="KZR502" s="126"/>
      <c r="KZS502" s="126"/>
      <c r="KZT502" s="126"/>
      <c r="KZU502" s="126"/>
      <c r="KZV502" s="126"/>
      <c r="KZW502" s="126"/>
      <c r="KZX502" s="126"/>
      <c r="KZY502" s="126"/>
      <c r="KZZ502" s="126"/>
      <c r="LAA502" s="126"/>
      <c r="LAB502" s="126"/>
      <c r="LAC502" s="126"/>
      <c r="LAD502" s="126"/>
      <c r="LAE502" s="126"/>
      <c r="LAF502" s="126"/>
      <c r="LAG502" s="126"/>
      <c r="LAH502" s="126"/>
      <c r="LAI502" s="126"/>
      <c r="LAJ502" s="126"/>
      <c r="LAK502" s="126"/>
      <c r="LAL502" s="126"/>
      <c r="LAM502" s="126"/>
      <c r="LAN502" s="126"/>
      <c r="LAO502" s="126"/>
      <c r="LAP502" s="126"/>
      <c r="LAQ502" s="126"/>
      <c r="LAR502" s="126"/>
      <c r="LAS502" s="126"/>
      <c r="LAT502" s="126"/>
      <c r="LAU502" s="126"/>
      <c r="LAV502" s="126"/>
      <c r="LAW502" s="126"/>
      <c r="LAX502" s="126"/>
      <c r="LAY502" s="126"/>
      <c r="LAZ502" s="126"/>
      <c r="LBA502" s="126"/>
      <c r="LBB502" s="126"/>
      <c r="LBC502" s="126"/>
      <c r="LBD502" s="126"/>
      <c r="LBE502" s="126"/>
      <c r="LBF502" s="126"/>
      <c r="LBG502" s="126"/>
      <c r="LBH502" s="126"/>
      <c r="LBI502" s="126"/>
      <c r="LBJ502" s="126"/>
      <c r="LBK502" s="126"/>
      <c r="LBL502" s="126"/>
      <c r="LBM502" s="126"/>
      <c r="LBN502" s="126"/>
      <c r="LBO502" s="126"/>
      <c r="LBP502" s="126"/>
      <c r="LBQ502" s="126"/>
      <c r="LBR502" s="126"/>
      <c r="LBS502" s="126"/>
      <c r="LBT502" s="126"/>
      <c r="LBU502" s="126"/>
      <c r="LBV502" s="126"/>
      <c r="LBW502" s="126"/>
      <c r="LBX502" s="126"/>
      <c r="LBY502" s="126"/>
      <c r="LBZ502" s="126"/>
      <c r="LCA502" s="126"/>
      <c r="LCB502" s="126"/>
      <c r="LCC502" s="126"/>
      <c r="LCD502" s="126"/>
      <c r="LCE502" s="126"/>
      <c r="LCF502" s="126"/>
      <c r="LCG502" s="126"/>
      <c r="LCH502" s="126"/>
      <c r="LCI502" s="126"/>
      <c r="LCJ502" s="126"/>
      <c r="LCK502" s="126"/>
      <c r="LCL502" s="126"/>
      <c r="LCM502" s="126"/>
      <c r="LCN502" s="126"/>
      <c r="LCO502" s="126"/>
      <c r="LCP502" s="126"/>
      <c r="LCQ502" s="126"/>
      <c r="LCR502" s="126"/>
      <c r="LCS502" s="126"/>
      <c r="LCT502" s="126"/>
      <c r="LCU502" s="126"/>
      <c r="LCV502" s="126"/>
      <c r="LCW502" s="126"/>
      <c r="LCX502" s="126"/>
      <c r="LCY502" s="126"/>
      <c r="LCZ502" s="126"/>
      <c r="LDA502" s="126"/>
      <c r="LDB502" s="126"/>
      <c r="LDC502" s="126"/>
      <c r="LDD502" s="126"/>
      <c r="LDE502" s="126"/>
      <c r="LDF502" s="126"/>
      <c r="LDG502" s="126"/>
      <c r="LDH502" s="126"/>
      <c r="LDI502" s="126"/>
      <c r="LDJ502" s="126"/>
      <c r="LDK502" s="126"/>
      <c r="LDL502" s="126"/>
      <c r="LDM502" s="126"/>
      <c r="LDN502" s="126"/>
      <c r="LDO502" s="126"/>
      <c r="LDP502" s="126"/>
      <c r="LDQ502" s="126"/>
      <c r="LDR502" s="126"/>
      <c r="LDS502" s="126"/>
      <c r="LDT502" s="126"/>
      <c r="LDU502" s="126"/>
      <c r="LDV502" s="126"/>
      <c r="LDW502" s="126"/>
      <c r="LDX502" s="126"/>
      <c r="LDY502" s="126"/>
      <c r="LDZ502" s="126"/>
      <c r="LEA502" s="126"/>
      <c r="LEB502" s="126"/>
      <c r="LEC502" s="126"/>
      <c r="LED502" s="126"/>
      <c r="LEE502" s="126"/>
      <c r="LEF502" s="126"/>
      <c r="LEG502" s="126"/>
      <c r="LEH502" s="126"/>
      <c r="LEI502" s="126"/>
      <c r="LEJ502" s="126"/>
      <c r="LEK502" s="126"/>
      <c r="LEL502" s="126"/>
      <c r="LEM502" s="126"/>
      <c r="LEN502" s="126"/>
      <c r="LEO502" s="126"/>
      <c r="LEP502" s="126"/>
      <c r="LEQ502" s="126"/>
      <c r="LER502" s="126"/>
      <c r="LES502" s="126"/>
      <c r="LET502" s="126"/>
      <c r="LEU502" s="126"/>
      <c r="LEV502" s="126"/>
      <c r="LEW502" s="126"/>
      <c r="LEX502" s="126"/>
      <c r="LEY502" s="126"/>
      <c r="LEZ502" s="126"/>
      <c r="LFA502" s="126"/>
      <c r="LFB502" s="126"/>
      <c r="LFC502" s="126"/>
      <c r="LFD502" s="126"/>
      <c r="LFE502" s="126"/>
      <c r="LFF502" s="126"/>
      <c r="LFG502" s="126"/>
      <c r="LFH502" s="126"/>
      <c r="LFI502" s="126"/>
      <c r="LFJ502" s="126"/>
      <c r="LFK502" s="126"/>
      <c r="LFL502" s="126"/>
      <c r="LFM502" s="126"/>
      <c r="LFN502" s="126"/>
      <c r="LFO502" s="126"/>
      <c r="LFP502" s="126"/>
      <c r="LFQ502" s="126"/>
      <c r="LFR502" s="126"/>
      <c r="LFS502" s="126"/>
      <c r="LFT502" s="126"/>
      <c r="LFU502" s="126"/>
      <c r="LFV502" s="126"/>
      <c r="LFW502" s="126"/>
      <c r="LFX502" s="126"/>
      <c r="LFY502" s="126"/>
      <c r="LFZ502" s="126"/>
      <c r="LGA502" s="126"/>
      <c r="LGB502" s="126"/>
      <c r="LGC502" s="126"/>
      <c r="LGD502" s="126"/>
      <c r="LGE502" s="126"/>
      <c r="LGF502" s="126"/>
      <c r="LGG502" s="126"/>
      <c r="LGH502" s="126"/>
      <c r="LGI502" s="126"/>
      <c r="LGJ502" s="126"/>
      <c r="LGK502" s="126"/>
      <c r="LGL502" s="126"/>
      <c r="LGM502" s="126"/>
      <c r="LGN502" s="126"/>
      <c r="LGO502" s="126"/>
      <c r="LGP502" s="126"/>
      <c r="LGQ502" s="126"/>
      <c r="LGR502" s="126"/>
      <c r="LGS502" s="126"/>
      <c r="LGT502" s="126"/>
      <c r="LGU502" s="126"/>
      <c r="LGV502" s="126"/>
      <c r="LGW502" s="126"/>
      <c r="LGX502" s="126"/>
      <c r="LGY502" s="126"/>
      <c r="LGZ502" s="126"/>
      <c r="LHA502" s="126"/>
      <c r="LHB502" s="126"/>
      <c r="LHC502" s="126"/>
      <c r="LHD502" s="126"/>
      <c r="LHE502" s="126"/>
      <c r="LHF502" s="126"/>
      <c r="LHG502" s="126"/>
      <c r="LHH502" s="126"/>
      <c r="LHI502" s="126"/>
      <c r="LHJ502" s="126"/>
      <c r="LHK502" s="126"/>
      <c r="LHL502" s="126"/>
      <c r="LHM502" s="126"/>
      <c r="LHN502" s="126"/>
      <c r="LHO502" s="126"/>
      <c r="LHP502" s="126"/>
      <c r="LHQ502" s="126"/>
      <c r="LHR502" s="126"/>
      <c r="LHS502" s="126"/>
      <c r="LHT502" s="126"/>
      <c r="LHU502" s="126"/>
      <c r="LHV502" s="126"/>
      <c r="LHW502" s="126"/>
      <c r="LHX502" s="126"/>
      <c r="LHY502" s="126"/>
      <c r="LHZ502" s="126"/>
      <c r="LIA502" s="126"/>
      <c r="LIB502" s="126"/>
      <c r="LIC502" s="126"/>
      <c r="LID502" s="126"/>
      <c r="LIE502" s="126"/>
      <c r="LIF502" s="126"/>
      <c r="LIG502" s="126"/>
      <c r="LIH502" s="126"/>
      <c r="LII502" s="126"/>
      <c r="LIJ502" s="126"/>
      <c r="LIK502" s="126"/>
      <c r="LIL502" s="126"/>
      <c r="LIM502" s="126"/>
      <c r="LIN502" s="126"/>
      <c r="LIO502" s="126"/>
      <c r="LIP502" s="126"/>
      <c r="LIQ502" s="126"/>
      <c r="LIR502" s="126"/>
      <c r="LIS502" s="126"/>
      <c r="LIT502" s="126"/>
      <c r="LIU502" s="126"/>
      <c r="LIV502" s="126"/>
      <c r="LIW502" s="126"/>
      <c r="LIX502" s="126"/>
      <c r="LIY502" s="126"/>
      <c r="LIZ502" s="126"/>
      <c r="LJA502" s="126"/>
      <c r="LJB502" s="126"/>
      <c r="LJC502" s="126"/>
      <c r="LJD502" s="126"/>
      <c r="LJE502" s="126"/>
      <c r="LJF502" s="126"/>
      <c r="LJG502" s="126"/>
      <c r="LJH502" s="126"/>
      <c r="LJI502" s="126"/>
      <c r="LJJ502" s="126"/>
      <c r="LJK502" s="126"/>
      <c r="LJL502" s="126"/>
      <c r="LJM502" s="126"/>
      <c r="LJN502" s="126"/>
      <c r="LJO502" s="126"/>
      <c r="LJP502" s="126"/>
      <c r="LJQ502" s="126"/>
      <c r="LJR502" s="126"/>
      <c r="LJS502" s="126"/>
      <c r="LJT502" s="126"/>
      <c r="LJU502" s="126"/>
      <c r="LJV502" s="126"/>
      <c r="LJW502" s="126"/>
      <c r="LJX502" s="126"/>
      <c r="LJY502" s="126"/>
      <c r="LJZ502" s="126"/>
      <c r="LKA502" s="126"/>
      <c r="LKB502" s="126"/>
      <c r="LKC502" s="126"/>
      <c r="LKD502" s="126"/>
      <c r="LKE502" s="126"/>
      <c r="LKF502" s="126"/>
      <c r="LKG502" s="126"/>
      <c r="LKH502" s="126"/>
      <c r="LKI502" s="126"/>
      <c r="LKJ502" s="126"/>
      <c r="LKK502" s="126"/>
      <c r="LKL502" s="126"/>
      <c r="LKM502" s="126"/>
      <c r="LKN502" s="126"/>
      <c r="LKO502" s="126"/>
      <c r="LKP502" s="126"/>
      <c r="LKQ502" s="126"/>
      <c r="LKR502" s="126"/>
      <c r="LKS502" s="126"/>
      <c r="LKT502" s="126"/>
      <c r="LKU502" s="126"/>
      <c r="LKV502" s="126"/>
      <c r="LKW502" s="126"/>
      <c r="LKX502" s="126"/>
      <c r="LKY502" s="126"/>
      <c r="LKZ502" s="126"/>
      <c r="LLA502" s="126"/>
      <c r="LLB502" s="126"/>
      <c r="LLC502" s="126"/>
      <c r="LLD502" s="126"/>
      <c r="LLE502" s="126"/>
      <c r="LLF502" s="126"/>
      <c r="LLG502" s="126"/>
      <c r="LLH502" s="126"/>
      <c r="LLI502" s="126"/>
      <c r="LLJ502" s="126"/>
      <c r="LLK502" s="126"/>
      <c r="LLL502" s="126"/>
      <c r="LLM502" s="126"/>
      <c r="LLN502" s="126"/>
      <c r="LLO502" s="126"/>
      <c r="LLP502" s="126"/>
      <c r="LLQ502" s="126"/>
      <c r="LLR502" s="126"/>
      <c r="LLS502" s="126"/>
      <c r="LLT502" s="126"/>
      <c r="LLU502" s="126"/>
      <c r="LLV502" s="126"/>
      <c r="LLW502" s="126"/>
      <c r="LLX502" s="126"/>
      <c r="LLY502" s="126"/>
      <c r="LLZ502" s="126"/>
      <c r="LMA502" s="126"/>
      <c r="LMB502" s="126"/>
      <c r="LMC502" s="126"/>
      <c r="LMD502" s="126"/>
      <c r="LME502" s="126"/>
      <c r="LMF502" s="126"/>
      <c r="LMG502" s="126"/>
      <c r="LMH502" s="126"/>
      <c r="LMI502" s="126"/>
      <c r="LMJ502" s="126"/>
      <c r="LMK502" s="126"/>
      <c r="LML502" s="126"/>
      <c r="LMM502" s="126"/>
      <c r="LMN502" s="126"/>
      <c r="LMO502" s="126"/>
      <c r="LMP502" s="126"/>
      <c r="LMQ502" s="126"/>
      <c r="LMR502" s="126"/>
      <c r="LMS502" s="126"/>
      <c r="LMT502" s="126"/>
      <c r="LMU502" s="126"/>
      <c r="LMV502" s="126"/>
      <c r="LMW502" s="126"/>
      <c r="LMX502" s="126"/>
      <c r="LMY502" s="126"/>
      <c r="LMZ502" s="126"/>
      <c r="LNA502" s="126"/>
      <c r="LNB502" s="126"/>
      <c r="LNC502" s="126"/>
      <c r="LND502" s="126"/>
      <c r="LNE502" s="126"/>
      <c r="LNF502" s="126"/>
      <c r="LNG502" s="126"/>
      <c r="LNH502" s="126"/>
      <c r="LNI502" s="126"/>
      <c r="LNJ502" s="126"/>
      <c r="LNK502" s="126"/>
      <c r="LNL502" s="126"/>
      <c r="LNM502" s="126"/>
      <c r="LNN502" s="126"/>
      <c r="LNO502" s="126"/>
      <c r="LNP502" s="126"/>
      <c r="LNQ502" s="126"/>
      <c r="LNR502" s="126"/>
      <c r="LNS502" s="126"/>
      <c r="LNT502" s="126"/>
      <c r="LNU502" s="126"/>
      <c r="LNV502" s="126"/>
      <c r="LNW502" s="126"/>
      <c r="LNX502" s="126"/>
      <c r="LNY502" s="126"/>
      <c r="LNZ502" s="126"/>
      <c r="LOA502" s="126"/>
      <c r="LOB502" s="126"/>
      <c r="LOC502" s="126"/>
      <c r="LOD502" s="126"/>
      <c r="LOE502" s="126"/>
      <c r="LOF502" s="126"/>
      <c r="LOG502" s="126"/>
      <c r="LOH502" s="126"/>
      <c r="LOI502" s="126"/>
      <c r="LOJ502" s="126"/>
      <c r="LOK502" s="126"/>
      <c r="LOL502" s="126"/>
      <c r="LOM502" s="126"/>
      <c r="LON502" s="126"/>
      <c r="LOO502" s="126"/>
      <c r="LOP502" s="126"/>
      <c r="LOQ502" s="126"/>
      <c r="LOR502" s="126"/>
      <c r="LOS502" s="126"/>
      <c r="LOT502" s="126"/>
      <c r="LOU502" s="126"/>
      <c r="LOV502" s="126"/>
      <c r="LOW502" s="126"/>
      <c r="LOX502" s="126"/>
      <c r="LOY502" s="126"/>
      <c r="LOZ502" s="126"/>
      <c r="LPA502" s="126"/>
      <c r="LPB502" s="126"/>
      <c r="LPC502" s="126"/>
      <c r="LPD502" s="126"/>
      <c r="LPE502" s="126"/>
      <c r="LPF502" s="126"/>
      <c r="LPG502" s="126"/>
      <c r="LPH502" s="126"/>
      <c r="LPI502" s="126"/>
      <c r="LPJ502" s="126"/>
      <c r="LPK502" s="126"/>
      <c r="LPL502" s="126"/>
      <c r="LPM502" s="126"/>
      <c r="LPN502" s="126"/>
      <c r="LPO502" s="126"/>
      <c r="LPP502" s="126"/>
      <c r="LPQ502" s="126"/>
      <c r="LPR502" s="126"/>
      <c r="LPS502" s="126"/>
      <c r="LPT502" s="126"/>
      <c r="LPU502" s="126"/>
      <c r="LPV502" s="126"/>
      <c r="LPW502" s="126"/>
      <c r="LPX502" s="126"/>
      <c r="LPY502" s="126"/>
      <c r="LPZ502" s="126"/>
      <c r="LQA502" s="126"/>
      <c r="LQB502" s="126"/>
      <c r="LQC502" s="126"/>
      <c r="LQD502" s="126"/>
      <c r="LQE502" s="126"/>
      <c r="LQF502" s="126"/>
      <c r="LQG502" s="126"/>
      <c r="LQH502" s="126"/>
      <c r="LQI502" s="126"/>
      <c r="LQJ502" s="126"/>
      <c r="LQK502" s="126"/>
      <c r="LQL502" s="126"/>
      <c r="LQM502" s="126"/>
      <c r="LQN502" s="126"/>
      <c r="LQO502" s="126"/>
      <c r="LQP502" s="126"/>
      <c r="LQQ502" s="126"/>
      <c r="LQR502" s="126"/>
      <c r="LQS502" s="126"/>
      <c r="LQT502" s="126"/>
      <c r="LQU502" s="126"/>
      <c r="LQV502" s="126"/>
      <c r="LQW502" s="126"/>
      <c r="LQX502" s="126"/>
      <c r="LQY502" s="126"/>
      <c r="LQZ502" s="126"/>
      <c r="LRA502" s="126"/>
      <c r="LRB502" s="126"/>
      <c r="LRC502" s="126"/>
      <c r="LRD502" s="126"/>
      <c r="LRE502" s="126"/>
      <c r="LRF502" s="126"/>
      <c r="LRG502" s="126"/>
      <c r="LRH502" s="126"/>
      <c r="LRI502" s="126"/>
      <c r="LRJ502" s="126"/>
      <c r="LRK502" s="126"/>
      <c r="LRL502" s="126"/>
      <c r="LRM502" s="126"/>
      <c r="LRN502" s="126"/>
      <c r="LRO502" s="126"/>
      <c r="LRP502" s="126"/>
      <c r="LRQ502" s="126"/>
      <c r="LRR502" s="126"/>
      <c r="LRS502" s="126"/>
      <c r="LRT502" s="126"/>
      <c r="LRU502" s="126"/>
      <c r="LRV502" s="126"/>
      <c r="LRW502" s="126"/>
      <c r="LRX502" s="126"/>
      <c r="LRY502" s="126"/>
      <c r="LRZ502" s="126"/>
      <c r="LSA502" s="126"/>
      <c r="LSB502" s="126"/>
      <c r="LSC502" s="126"/>
      <c r="LSD502" s="126"/>
      <c r="LSE502" s="126"/>
      <c r="LSF502" s="126"/>
      <c r="LSG502" s="126"/>
      <c r="LSH502" s="126"/>
      <c r="LSI502" s="126"/>
      <c r="LSJ502" s="126"/>
      <c r="LSK502" s="126"/>
      <c r="LSL502" s="126"/>
      <c r="LSM502" s="126"/>
      <c r="LSN502" s="126"/>
      <c r="LSO502" s="126"/>
      <c r="LSP502" s="126"/>
      <c r="LSQ502" s="126"/>
      <c r="LSR502" s="126"/>
      <c r="LSS502" s="126"/>
      <c r="LST502" s="126"/>
      <c r="LSU502" s="126"/>
      <c r="LSV502" s="126"/>
      <c r="LSW502" s="126"/>
      <c r="LSX502" s="126"/>
      <c r="LSY502" s="126"/>
      <c r="LSZ502" s="126"/>
      <c r="LTA502" s="126"/>
      <c r="LTB502" s="126"/>
      <c r="LTC502" s="126"/>
      <c r="LTD502" s="126"/>
      <c r="LTE502" s="126"/>
      <c r="LTF502" s="126"/>
      <c r="LTG502" s="126"/>
      <c r="LTH502" s="126"/>
      <c r="LTI502" s="126"/>
      <c r="LTJ502" s="126"/>
      <c r="LTK502" s="126"/>
      <c r="LTL502" s="126"/>
      <c r="LTM502" s="126"/>
      <c r="LTN502" s="126"/>
      <c r="LTO502" s="126"/>
      <c r="LTP502" s="126"/>
      <c r="LTQ502" s="126"/>
      <c r="LTR502" s="126"/>
      <c r="LTS502" s="126"/>
      <c r="LTT502" s="126"/>
      <c r="LTU502" s="126"/>
      <c r="LTV502" s="126"/>
      <c r="LTW502" s="126"/>
      <c r="LTX502" s="126"/>
      <c r="LTY502" s="126"/>
      <c r="LTZ502" s="126"/>
      <c r="LUA502" s="126"/>
      <c r="LUB502" s="126"/>
      <c r="LUC502" s="126"/>
      <c r="LUD502" s="126"/>
      <c r="LUE502" s="126"/>
      <c r="LUF502" s="126"/>
      <c r="LUG502" s="126"/>
      <c r="LUH502" s="126"/>
      <c r="LUI502" s="126"/>
      <c r="LUJ502" s="126"/>
      <c r="LUK502" s="126"/>
      <c r="LUL502" s="126"/>
      <c r="LUM502" s="126"/>
      <c r="LUN502" s="126"/>
      <c r="LUO502" s="126"/>
      <c r="LUP502" s="126"/>
      <c r="LUQ502" s="126"/>
      <c r="LUR502" s="126"/>
      <c r="LUS502" s="126"/>
      <c r="LUT502" s="126"/>
      <c r="LUU502" s="126"/>
      <c r="LUV502" s="126"/>
      <c r="LUW502" s="126"/>
      <c r="LUX502" s="126"/>
      <c r="LUY502" s="126"/>
      <c r="LUZ502" s="126"/>
      <c r="LVA502" s="126"/>
      <c r="LVB502" s="126"/>
      <c r="LVC502" s="126"/>
      <c r="LVD502" s="126"/>
      <c r="LVE502" s="126"/>
      <c r="LVF502" s="126"/>
      <c r="LVG502" s="126"/>
      <c r="LVH502" s="126"/>
      <c r="LVI502" s="126"/>
      <c r="LVJ502" s="126"/>
      <c r="LVK502" s="126"/>
      <c r="LVL502" s="126"/>
      <c r="LVM502" s="126"/>
      <c r="LVN502" s="126"/>
      <c r="LVO502" s="126"/>
      <c r="LVP502" s="126"/>
      <c r="LVQ502" s="126"/>
      <c r="LVR502" s="126"/>
      <c r="LVS502" s="126"/>
      <c r="LVT502" s="126"/>
      <c r="LVU502" s="126"/>
      <c r="LVV502" s="126"/>
      <c r="LVW502" s="126"/>
      <c r="LVX502" s="126"/>
      <c r="LVY502" s="126"/>
      <c r="LVZ502" s="126"/>
      <c r="LWA502" s="126"/>
      <c r="LWB502" s="126"/>
      <c r="LWC502" s="126"/>
      <c r="LWD502" s="126"/>
      <c r="LWE502" s="126"/>
      <c r="LWF502" s="126"/>
      <c r="LWG502" s="126"/>
      <c r="LWH502" s="126"/>
      <c r="LWI502" s="126"/>
      <c r="LWJ502" s="126"/>
      <c r="LWK502" s="126"/>
      <c r="LWL502" s="126"/>
      <c r="LWM502" s="126"/>
      <c r="LWN502" s="126"/>
      <c r="LWO502" s="126"/>
      <c r="LWP502" s="126"/>
      <c r="LWQ502" s="126"/>
      <c r="LWR502" s="126"/>
      <c r="LWS502" s="126"/>
      <c r="LWT502" s="126"/>
      <c r="LWU502" s="126"/>
      <c r="LWV502" s="126"/>
      <c r="LWW502" s="126"/>
      <c r="LWX502" s="126"/>
      <c r="LWY502" s="126"/>
      <c r="LWZ502" s="126"/>
      <c r="LXA502" s="126"/>
      <c r="LXB502" s="126"/>
      <c r="LXC502" s="126"/>
      <c r="LXD502" s="126"/>
      <c r="LXE502" s="126"/>
      <c r="LXF502" s="126"/>
      <c r="LXG502" s="126"/>
      <c r="LXH502" s="126"/>
      <c r="LXI502" s="126"/>
      <c r="LXJ502" s="126"/>
      <c r="LXK502" s="126"/>
      <c r="LXL502" s="126"/>
      <c r="LXM502" s="126"/>
      <c r="LXN502" s="126"/>
      <c r="LXO502" s="126"/>
      <c r="LXP502" s="126"/>
      <c r="LXQ502" s="126"/>
      <c r="LXR502" s="126"/>
      <c r="LXS502" s="126"/>
      <c r="LXT502" s="126"/>
      <c r="LXU502" s="126"/>
      <c r="LXV502" s="126"/>
      <c r="LXW502" s="126"/>
      <c r="LXX502" s="126"/>
      <c r="LXY502" s="126"/>
      <c r="LXZ502" s="126"/>
      <c r="LYA502" s="126"/>
      <c r="LYB502" s="126"/>
      <c r="LYC502" s="126"/>
      <c r="LYD502" s="126"/>
      <c r="LYE502" s="126"/>
      <c r="LYF502" s="126"/>
      <c r="LYG502" s="126"/>
      <c r="LYH502" s="126"/>
      <c r="LYI502" s="126"/>
      <c r="LYJ502" s="126"/>
      <c r="LYK502" s="126"/>
      <c r="LYL502" s="126"/>
      <c r="LYM502" s="126"/>
      <c r="LYN502" s="126"/>
      <c r="LYO502" s="126"/>
      <c r="LYP502" s="126"/>
      <c r="LYQ502" s="126"/>
      <c r="LYR502" s="126"/>
      <c r="LYS502" s="126"/>
      <c r="LYT502" s="126"/>
      <c r="LYU502" s="126"/>
      <c r="LYV502" s="126"/>
      <c r="LYW502" s="126"/>
      <c r="LYX502" s="126"/>
      <c r="LYY502" s="126"/>
      <c r="LYZ502" s="126"/>
      <c r="LZA502" s="126"/>
      <c r="LZB502" s="126"/>
      <c r="LZC502" s="126"/>
      <c r="LZD502" s="126"/>
      <c r="LZE502" s="126"/>
      <c r="LZF502" s="126"/>
      <c r="LZG502" s="126"/>
      <c r="LZH502" s="126"/>
      <c r="LZI502" s="126"/>
      <c r="LZJ502" s="126"/>
      <c r="LZK502" s="126"/>
      <c r="LZL502" s="126"/>
      <c r="LZM502" s="126"/>
      <c r="LZN502" s="126"/>
      <c r="LZO502" s="126"/>
      <c r="LZP502" s="126"/>
      <c r="LZQ502" s="126"/>
      <c r="LZR502" s="126"/>
      <c r="LZS502" s="126"/>
      <c r="LZT502" s="126"/>
      <c r="LZU502" s="126"/>
      <c r="LZV502" s="126"/>
      <c r="LZW502" s="126"/>
      <c r="LZX502" s="126"/>
      <c r="LZY502" s="126"/>
      <c r="LZZ502" s="126"/>
      <c r="MAA502" s="126"/>
      <c r="MAB502" s="126"/>
      <c r="MAC502" s="126"/>
      <c r="MAD502" s="126"/>
      <c r="MAE502" s="126"/>
      <c r="MAF502" s="126"/>
      <c r="MAG502" s="126"/>
      <c r="MAH502" s="126"/>
      <c r="MAI502" s="126"/>
      <c r="MAJ502" s="126"/>
      <c r="MAK502" s="126"/>
      <c r="MAL502" s="126"/>
      <c r="MAM502" s="126"/>
      <c r="MAN502" s="126"/>
      <c r="MAO502" s="126"/>
      <c r="MAP502" s="126"/>
      <c r="MAQ502" s="126"/>
      <c r="MAR502" s="126"/>
      <c r="MAS502" s="126"/>
      <c r="MAT502" s="126"/>
      <c r="MAU502" s="126"/>
      <c r="MAV502" s="126"/>
      <c r="MAW502" s="126"/>
      <c r="MAX502" s="126"/>
      <c r="MAY502" s="126"/>
      <c r="MAZ502" s="126"/>
      <c r="MBA502" s="126"/>
      <c r="MBB502" s="126"/>
      <c r="MBC502" s="126"/>
      <c r="MBD502" s="126"/>
      <c r="MBE502" s="126"/>
      <c r="MBF502" s="126"/>
      <c r="MBG502" s="126"/>
      <c r="MBH502" s="126"/>
      <c r="MBI502" s="126"/>
      <c r="MBJ502" s="126"/>
      <c r="MBK502" s="126"/>
      <c r="MBL502" s="126"/>
      <c r="MBM502" s="126"/>
      <c r="MBN502" s="126"/>
      <c r="MBO502" s="126"/>
      <c r="MBP502" s="126"/>
      <c r="MBQ502" s="126"/>
      <c r="MBR502" s="126"/>
      <c r="MBS502" s="126"/>
      <c r="MBT502" s="126"/>
      <c r="MBU502" s="126"/>
      <c r="MBV502" s="126"/>
      <c r="MBW502" s="126"/>
      <c r="MBX502" s="126"/>
      <c r="MBY502" s="126"/>
      <c r="MBZ502" s="126"/>
      <c r="MCA502" s="126"/>
      <c r="MCB502" s="126"/>
      <c r="MCC502" s="126"/>
      <c r="MCD502" s="126"/>
      <c r="MCE502" s="126"/>
      <c r="MCF502" s="126"/>
      <c r="MCG502" s="126"/>
      <c r="MCH502" s="126"/>
      <c r="MCI502" s="126"/>
      <c r="MCJ502" s="126"/>
      <c r="MCK502" s="126"/>
      <c r="MCL502" s="126"/>
      <c r="MCM502" s="126"/>
      <c r="MCN502" s="126"/>
      <c r="MCO502" s="126"/>
      <c r="MCP502" s="126"/>
      <c r="MCQ502" s="126"/>
      <c r="MCR502" s="126"/>
      <c r="MCS502" s="126"/>
      <c r="MCT502" s="126"/>
      <c r="MCU502" s="126"/>
      <c r="MCV502" s="126"/>
      <c r="MCW502" s="126"/>
      <c r="MCX502" s="126"/>
      <c r="MCY502" s="126"/>
      <c r="MCZ502" s="126"/>
      <c r="MDA502" s="126"/>
      <c r="MDB502" s="126"/>
      <c r="MDC502" s="126"/>
      <c r="MDD502" s="126"/>
      <c r="MDE502" s="126"/>
      <c r="MDF502" s="126"/>
      <c r="MDG502" s="126"/>
      <c r="MDH502" s="126"/>
      <c r="MDI502" s="126"/>
      <c r="MDJ502" s="126"/>
      <c r="MDK502" s="126"/>
      <c r="MDL502" s="126"/>
      <c r="MDM502" s="126"/>
      <c r="MDN502" s="126"/>
      <c r="MDO502" s="126"/>
      <c r="MDP502" s="126"/>
      <c r="MDQ502" s="126"/>
      <c r="MDR502" s="126"/>
      <c r="MDS502" s="126"/>
      <c r="MDT502" s="126"/>
      <c r="MDU502" s="126"/>
      <c r="MDV502" s="126"/>
      <c r="MDW502" s="126"/>
      <c r="MDX502" s="126"/>
      <c r="MDY502" s="126"/>
      <c r="MDZ502" s="126"/>
      <c r="MEA502" s="126"/>
      <c r="MEB502" s="126"/>
      <c r="MEC502" s="126"/>
      <c r="MED502" s="126"/>
      <c r="MEE502" s="126"/>
      <c r="MEF502" s="126"/>
      <c r="MEG502" s="126"/>
      <c r="MEH502" s="126"/>
      <c r="MEI502" s="126"/>
      <c r="MEJ502" s="126"/>
      <c r="MEK502" s="126"/>
      <c r="MEL502" s="126"/>
      <c r="MEM502" s="126"/>
      <c r="MEN502" s="126"/>
      <c r="MEO502" s="126"/>
      <c r="MEP502" s="126"/>
      <c r="MEQ502" s="126"/>
      <c r="MER502" s="126"/>
      <c r="MES502" s="126"/>
      <c r="MET502" s="126"/>
      <c r="MEU502" s="126"/>
      <c r="MEV502" s="126"/>
      <c r="MEW502" s="126"/>
      <c r="MEX502" s="126"/>
      <c r="MEY502" s="126"/>
      <c r="MEZ502" s="126"/>
      <c r="MFA502" s="126"/>
      <c r="MFB502" s="126"/>
      <c r="MFC502" s="126"/>
      <c r="MFD502" s="126"/>
      <c r="MFE502" s="126"/>
      <c r="MFF502" s="126"/>
      <c r="MFG502" s="126"/>
      <c r="MFH502" s="126"/>
      <c r="MFI502" s="126"/>
      <c r="MFJ502" s="126"/>
      <c r="MFK502" s="126"/>
      <c r="MFL502" s="126"/>
      <c r="MFM502" s="126"/>
      <c r="MFN502" s="126"/>
      <c r="MFO502" s="126"/>
      <c r="MFP502" s="126"/>
      <c r="MFQ502" s="126"/>
      <c r="MFR502" s="126"/>
      <c r="MFS502" s="126"/>
      <c r="MFT502" s="126"/>
      <c r="MFU502" s="126"/>
      <c r="MFV502" s="126"/>
      <c r="MFW502" s="126"/>
      <c r="MFX502" s="126"/>
      <c r="MFY502" s="126"/>
      <c r="MFZ502" s="126"/>
      <c r="MGA502" s="126"/>
      <c r="MGB502" s="126"/>
      <c r="MGC502" s="126"/>
      <c r="MGD502" s="126"/>
      <c r="MGE502" s="126"/>
      <c r="MGF502" s="126"/>
      <c r="MGG502" s="126"/>
      <c r="MGH502" s="126"/>
      <c r="MGI502" s="126"/>
      <c r="MGJ502" s="126"/>
      <c r="MGK502" s="126"/>
      <c r="MGL502" s="126"/>
      <c r="MGM502" s="126"/>
      <c r="MGN502" s="126"/>
      <c r="MGO502" s="126"/>
      <c r="MGP502" s="126"/>
      <c r="MGQ502" s="126"/>
      <c r="MGR502" s="126"/>
      <c r="MGS502" s="126"/>
      <c r="MGT502" s="126"/>
      <c r="MGU502" s="126"/>
      <c r="MGV502" s="126"/>
      <c r="MGW502" s="126"/>
      <c r="MGX502" s="126"/>
      <c r="MGY502" s="126"/>
      <c r="MGZ502" s="126"/>
      <c r="MHA502" s="126"/>
      <c r="MHB502" s="126"/>
      <c r="MHC502" s="126"/>
      <c r="MHD502" s="126"/>
      <c r="MHE502" s="126"/>
      <c r="MHF502" s="126"/>
      <c r="MHG502" s="126"/>
      <c r="MHH502" s="126"/>
      <c r="MHI502" s="126"/>
      <c r="MHJ502" s="126"/>
      <c r="MHK502" s="126"/>
      <c r="MHL502" s="126"/>
      <c r="MHM502" s="126"/>
      <c r="MHN502" s="126"/>
      <c r="MHO502" s="126"/>
      <c r="MHP502" s="126"/>
      <c r="MHQ502" s="126"/>
      <c r="MHR502" s="126"/>
      <c r="MHS502" s="126"/>
      <c r="MHT502" s="126"/>
      <c r="MHU502" s="126"/>
      <c r="MHV502" s="126"/>
      <c r="MHW502" s="126"/>
      <c r="MHX502" s="126"/>
      <c r="MHY502" s="126"/>
      <c r="MHZ502" s="126"/>
      <c r="MIA502" s="126"/>
      <c r="MIB502" s="126"/>
      <c r="MIC502" s="126"/>
      <c r="MID502" s="126"/>
      <c r="MIE502" s="126"/>
      <c r="MIF502" s="126"/>
      <c r="MIG502" s="126"/>
      <c r="MIH502" s="126"/>
      <c r="MII502" s="126"/>
      <c r="MIJ502" s="126"/>
      <c r="MIK502" s="126"/>
      <c r="MIL502" s="126"/>
      <c r="MIM502" s="126"/>
      <c r="MIN502" s="126"/>
      <c r="MIO502" s="126"/>
      <c r="MIP502" s="126"/>
      <c r="MIQ502" s="126"/>
      <c r="MIR502" s="126"/>
      <c r="MIS502" s="126"/>
      <c r="MIT502" s="126"/>
      <c r="MIU502" s="126"/>
      <c r="MIV502" s="126"/>
      <c r="MIW502" s="126"/>
      <c r="MIX502" s="126"/>
      <c r="MIY502" s="126"/>
      <c r="MIZ502" s="126"/>
      <c r="MJA502" s="126"/>
      <c r="MJB502" s="126"/>
      <c r="MJC502" s="126"/>
      <c r="MJD502" s="126"/>
      <c r="MJE502" s="126"/>
      <c r="MJF502" s="126"/>
      <c r="MJG502" s="126"/>
      <c r="MJH502" s="126"/>
      <c r="MJI502" s="126"/>
      <c r="MJJ502" s="126"/>
      <c r="MJK502" s="126"/>
      <c r="MJL502" s="126"/>
      <c r="MJM502" s="126"/>
      <c r="MJN502" s="126"/>
      <c r="MJO502" s="126"/>
      <c r="MJP502" s="126"/>
      <c r="MJQ502" s="126"/>
      <c r="MJR502" s="126"/>
      <c r="MJS502" s="126"/>
      <c r="MJT502" s="126"/>
      <c r="MJU502" s="126"/>
      <c r="MJV502" s="126"/>
      <c r="MJW502" s="126"/>
      <c r="MJX502" s="126"/>
      <c r="MJY502" s="126"/>
      <c r="MJZ502" s="126"/>
      <c r="MKA502" s="126"/>
      <c r="MKB502" s="126"/>
      <c r="MKC502" s="126"/>
      <c r="MKD502" s="126"/>
      <c r="MKE502" s="126"/>
      <c r="MKF502" s="126"/>
      <c r="MKG502" s="126"/>
      <c r="MKH502" s="126"/>
      <c r="MKI502" s="126"/>
      <c r="MKJ502" s="126"/>
      <c r="MKK502" s="126"/>
      <c r="MKL502" s="126"/>
      <c r="MKM502" s="126"/>
      <c r="MKN502" s="126"/>
      <c r="MKO502" s="126"/>
      <c r="MKP502" s="126"/>
      <c r="MKQ502" s="126"/>
      <c r="MKR502" s="126"/>
      <c r="MKS502" s="126"/>
      <c r="MKT502" s="126"/>
      <c r="MKU502" s="126"/>
      <c r="MKV502" s="126"/>
      <c r="MKW502" s="126"/>
      <c r="MKX502" s="126"/>
      <c r="MKY502" s="126"/>
      <c r="MKZ502" s="126"/>
      <c r="MLA502" s="126"/>
      <c r="MLB502" s="126"/>
      <c r="MLC502" s="126"/>
      <c r="MLD502" s="126"/>
      <c r="MLE502" s="126"/>
      <c r="MLF502" s="126"/>
      <c r="MLG502" s="126"/>
      <c r="MLH502" s="126"/>
      <c r="MLI502" s="126"/>
      <c r="MLJ502" s="126"/>
      <c r="MLK502" s="126"/>
      <c r="MLL502" s="126"/>
      <c r="MLM502" s="126"/>
      <c r="MLN502" s="126"/>
      <c r="MLO502" s="126"/>
      <c r="MLP502" s="126"/>
      <c r="MLQ502" s="126"/>
      <c r="MLR502" s="126"/>
      <c r="MLS502" s="126"/>
      <c r="MLT502" s="126"/>
      <c r="MLU502" s="126"/>
      <c r="MLV502" s="126"/>
      <c r="MLW502" s="126"/>
      <c r="MLX502" s="126"/>
      <c r="MLY502" s="126"/>
      <c r="MLZ502" s="126"/>
      <c r="MMA502" s="126"/>
      <c r="MMB502" s="126"/>
      <c r="MMC502" s="126"/>
      <c r="MMD502" s="126"/>
      <c r="MME502" s="126"/>
      <c r="MMF502" s="126"/>
      <c r="MMG502" s="126"/>
      <c r="MMH502" s="126"/>
      <c r="MMI502" s="126"/>
      <c r="MMJ502" s="126"/>
      <c r="MMK502" s="126"/>
      <c r="MML502" s="126"/>
      <c r="MMM502" s="126"/>
      <c r="MMN502" s="126"/>
      <c r="MMO502" s="126"/>
      <c r="MMP502" s="126"/>
      <c r="MMQ502" s="126"/>
      <c r="MMR502" s="126"/>
      <c r="MMS502" s="126"/>
      <c r="MMT502" s="126"/>
      <c r="MMU502" s="126"/>
      <c r="MMV502" s="126"/>
      <c r="MMW502" s="126"/>
      <c r="MMX502" s="126"/>
      <c r="MMY502" s="126"/>
      <c r="MMZ502" s="126"/>
      <c r="MNA502" s="126"/>
      <c r="MNB502" s="126"/>
      <c r="MNC502" s="126"/>
      <c r="MND502" s="126"/>
      <c r="MNE502" s="126"/>
      <c r="MNF502" s="126"/>
      <c r="MNG502" s="126"/>
      <c r="MNH502" s="126"/>
      <c r="MNI502" s="126"/>
      <c r="MNJ502" s="126"/>
      <c r="MNK502" s="126"/>
      <c r="MNL502" s="126"/>
      <c r="MNM502" s="126"/>
      <c r="MNN502" s="126"/>
      <c r="MNO502" s="126"/>
      <c r="MNP502" s="126"/>
      <c r="MNQ502" s="126"/>
      <c r="MNR502" s="126"/>
      <c r="MNS502" s="126"/>
      <c r="MNT502" s="126"/>
      <c r="MNU502" s="126"/>
      <c r="MNV502" s="126"/>
      <c r="MNW502" s="126"/>
      <c r="MNX502" s="126"/>
      <c r="MNY502" s="126"/>
      <c r="MNZ502" s="126"/>
      <c r="MOA502" s="126"/>
      <c r="MOB502" s="126"/>
      <c r="MOC502" s="126"/>
      <c r="MOD502" s="126"/>
      <c r="MOE502" s="126"/>
      <c r="MOF502" s="126"/>
      <c r="MOG502" s="126"/>
      <c r="MOH502" s="126"/>
      <c r="MOI502" s="126"/>
      <c r="MOJ502" s="126"/>
      <c r="MOK502" s="126"/>
      <c r="MOL502" s="126"/>
      <c r="MOM502" s="126"/>
      <c r="MON502" s="126"/>
      <c r="MOO502" s="126"/>
      <c r="MOP502" s="126"/>
      <c r="MOQ502" s="126"/>
      <c r="MOR502" s="126"/>
      <c r="MOS502" s="126"/>
      <c r="MOT502" s="126"/>
      <c r="MOU502" s="126"/>
      <c r="MOV502" s="126"/>
      <c r="MOW502" s="126"/>
      <c r="MOX502" s="126"/>
      <c r="MOY502" s="126"/>
      <c r="MOZ502" s="126"/>
      <c r="MPA502" s="126"/>
      <c r="MPB502" s="126"/>
      <c r="MPC502" s="126"/>
      <c r="MPD502" s="126"/>
      <c r="MPE502" s="126"/>
      <c r="MPF502" s="126"/>
      <c r="MPG502" s="126"/>
      <c r="MPH502" s="126"/>
      <c r="MPI502" s="126"/>
      <c r="MPJ502" s="126"/>
      <c r="MPK502" s="126"/>
      <c r="MPL502" s="126"/>
      <c r="MPM502" s="126"/>
      <c r="MPN502" s="126"/>
      <c r="MPO502" s="126"/>
      <c r="MPP502" s="126"/>
      <c r="MPQ502" s="126"/>
      <c r="MPR502" s="126"/>
      <c r="MPS502" s="126"/>
      <c r="MPT502" s="126"/>
      <c r="MPU502" s="126"/>
      <c r="MPV502" s="126"/>
      <c r="MPW502" s="126"/>
      <c r="MPX502" s="126"/>
      <c r="MPY502" s="126"/>
      <c r="MPZ502" s="126"/>
      <c r="MQA502" s="126"/>
      <c r="MQB502" s="126"/>
      <c r="MQC502" s="126"/>
      <c r="MQD502" s="126"/>
      <c r="MQE502" s="126"/>
      <c r="MQF502" s="126"/>
      <c r="MQG502" s="126"/>
      <c r="MQH502" s="126"/>
      <c r="MQI502" s="126"/>
      <c r="MQJ502" s="126"/>
      <c r="MQK502" s="126"/>
      <c r="MQL502" s="126"/>
      <c r="MQM502" s="126"/>
      <c r="MQN502" s="126"/>
      <c r="MQO502" s="126"/>
      <c r="MQP502" s="126"/>
      <c r="MQQ502" s="126"/>
      <c r="MQR502" s="126"/>
      <c r="MQS502" s="126"/>
      <c r="MQT502" s="126"/>
      <c r="MQU502" s="126"/>
      <c r="MQV502" s="126"/>
      <c r="MQW502" s="126"/>
      <c r="MQX502" s="126"/>
      <c r="MQY502" s="126"/>
      <c r="MQZ502" s="126"/>
      <c r="MRA502" s="126"/>
      <c r="MRB502" s="126"/>
      <c r="MRC502" s="126"/>
      <c r="MRD502" s="126"/>
      <c r="MRE502" s="126"/>
      <c r="MRF502" s="126"/>
      <c r="MRG502" s="126"/>
      <c r="MRH502" s="126"/>
      <c r="MRI502" s="126"/>
      <c r="MRJ502" s="126"/>
      <c r="MRK502" s="126"/>
      <c r="MRL502" s="126"/>
      <c r="MRM502" s="126"/>
      <c r="MRN502" s="126"/>
      <c r="MRO502" s="126"/>
      <c r="MRP502" s="126"/>
      <c r="MRQ502" s="126"/>
      <c r="MRR502" s="126"/>
      <c r="MRS502" s="126"/>
      <c r="MRT502" s="126"/>
      <c r="MRU502" s="126"/>
      <c r="MRV502" s="126"/>
      <c r="MRW502" s="126"/>
      <c r="MRX502" s="126"/>
      <c r="MRY502" s="126"/>
      <c r="MRZ502" s="126"/>
      <c r="MSA502" s="126"/>
      <c r="MSB502" s="126"/>
      <c r="MSC502" s="126"/>
      <c r="MSD502" s="126"/>
      <c r="MSE502" s="126"/>
      <c r="MSF502" s="126"/>
      <c r="MSG502" s="126"/>
      <c r="MSH502" s="126"/>
      <c r="MSI502" s="126"/>
      <c r="MSJ502" s="126"/>
      <c r="MSK502" s="126"/>
      <c r="MSL502" s="126"/>
      <c r="MSM502" s="126"/>
      <c r="MSN502" s="126"/>
      <c r="MSO502" s="126"/>
      <c r="MSP502" s="126"/>
      <c r="MSQ502" s="126"/>
      <c r="MSR502" s="126"/>
      <c r="MSS502" s="126"/>
      <c r="MST502" s="126"/>
      <c r="MSU502" s="126"/>
      <c r="MSV502" s="126"/>
      <c r="MSW502" s="126"/>
      <c r="MSX502" s="126"/>
      <c r="MSY502" s="126"/>
      <c r="MSZ502" s="126"/>
      <c r="MTA502" s="126"/>
      <c r="MTB502" s="126"/>
      <c r="MTC502" s="126"/>
      <c r="MTD502" s="126"/>
      <c r="MTE502" s="126"/>
      <c r="MTF502" s="126"/>
      <c r="MTG502" s="126"/>
      <c r="MTH502" s="126"/>
      <c r="MTI502" s="126"/>
      <c r="MTJ502" s="126"/>
      <c r="MTK502" s="126"/>
      <c r="MTL502" s="126"/>
      <c r="MTM502" s="126"/>
      <c r="MTN502" s="126"/>
      <c r="MTO502" s="126"/>
      <c r="MTP502" s="126"/>
      <c r="MTQ502" s="126"/>
      <c r="MTR502" s="126"/>
      <c r="MTS502" s="126"/>
      <c r="MTT502" s="126"/>
      <c r="MTU502" s="126"/>
      <c r="MTV502" s="126"/>
      <c r="MTW502" s="126"/>
      <c r="MTX502" s="126"/>
      <c r="MTY502" s="126"/>
      <c r="MTZ502" s="126"/>
      <c r="MUA502" s="126"/>
      <c r="MUB502" s="126"/>
      <c r="MUC502" s="126"/>
      <c r="MUD502" s="126"/>
      <c r="MUE502" s="126"/>
      <c r="MUF502" s="126"/>
      <c r="MUG502" s="126"/>
      <c r="MUH502" s="126"/>
      <c r="MUI502" s="126"/>
      <c r="MUJ502" s="126"/>
      <c r="MUK502" s="126"/>
      <c r="MUL502" s="126"/>
      <c r="MUM502" s="126"/>
      <c r="MUN502" s="126"/>
      <c r="MUO502" s="126"/>
      <c r="MUP502" s="126"/>
      <c r="MUQ502" s="126"/>
      <c r="MUR502" s="126"/>
      <c r="MUS502" s="126"/>
      <c r="MUT502" s="126"/>
      <c r="MUU502" s="126"/>
      <c r="MUV502" s="126"/>
      <c r="MUW502" s="126"/>
      <c r="MUX502" s="126"/>
      <c r="MUY502" s="126"/>
      <c r="MUZ502" s="126"/>
      <c r="MVA502" s="126"/>
      <c r="MVB502" s="126"/>
      <c r="MVC502" s="126"/>
      <c r="MVD502" s="126"/>
      <c r="MVE502" s="126"/>
      <c r="MVF502" s="126"/>
      <c r="MVG502" s="126"/>
      <c r="MVH502" s="126"/>
      <c r="MVI502" s="126"/>
      <c r="MVJ502" s="126"/>
      <c r="MVK502" s="126"/>
      <c r="MVL502" s="126"/>
      <c r="MVM502" s="126"/>
      <c r="MVN502" s="126"/>
      <c r="MVO502" s="126"/>
      <c r="MVP502" s="126"/>
      <c r="MVQ502" s="126"/>
      <c r="MVR502" s="126"/>
      <c r="MVS502" s="126"/>
      <c r="MVT502" s="126"/>
      <c r="MVU502" s="126"/>
      <c r="MVV502" s="126"/>
      <c r="MVW502" s="126"/>
      <c r="MVX502" s="126"/>
      <c r="MVY502" s="126"/>
      <c r="MVZ502" s="126"/>
      <c r="MWA502" s="126"/>
      <c r="MWB502" s="126"/>
      <c r="MWC502" s="126"/>
      <c r="MWD502" s="126"/>
      <c r="MWE502" s="126"/>
      <c r="MWF502" s="126"/>
      <c r="MWG502" s="126"/>
      <c r="MWH502" s="126"/>
      <c r="MWI502" s="126"/>
      <c r="MWJ502" s="126"/>
      <c r="MWK502" s="126"/>
      <c r="MWL502" s="126"/>
      <c r="MWM502" s="126"/>
      <c r="MWN502" s="126"/>
      <c r="MWO502" s="126"/>
      <c r="MWP502" s="126"/>
      <c r="MWQ502" s="126"/>
      <c r="MWR502" s="126"/>
      <c r="MWS502" s="126"/>
      <c r="MWT502" s="126"/>
      <c r="MWU502" s="126"/>
      <c r="MWV502" s="126"/>
      <c r="MWW502" s="126"/>
      <c r="MWX502" s="126"/>
      <c r="MWY502" s="126"/>
      <c r="MWZ502" s="126"/>
      <c r="MXA502" s="126"/>
      <c r="MXB502" s="126"/>
      <c r="MXC502" s="126"/>
      <c r="MXD502" s="126"/>
      <c r="MXE502" s="126"/>
      <c r="MXF502" s="126"/>
      <c r="MXG502" s="126"/>
      <c r="MXH502" s="126"/>
      <c r="MXI502" s="126"/>
      <c r="MXJ502" s="126"/>
      <c r="MXK502" s="126"/>
      <c r="MXL502" s="126"/>
      <c r="MXM502" s="126"/>
      <c r="MXN502" s="126"/>
      <c r="MXO502" s="126"/>
      <c r="MXP502" s="126"/>
      <c r="MXQ502" s="126"/>
      <c r="MXR502" s="126"/>
      <c r="MXS502" s="126"/>
      <c r="MXT502" s="126"/>
      <c r="MXU502" s="126"/>
      <c r="MXV502" s="126"/>
      <c r="MXW502" s="126"/>
      <c r="MXX502" s="126"/>
      <c r="MXY502" s="126"/>
      <c r="MXZ502" s="126"/>
      <c r="MYA502" s="126"/>
      <c r="MYB502" s="126"/>
      <c r="MYC502" s="126"/>
      <c r="MYD502" s="126"/>
      <c r="MYE502" s="126"/>
      <c r="MYF502" s="126"/>
      <c r="MYG502" s="126"/>
      <c r="MYH502" s="126"/>
      <c r="MYI502" s="126"/>
      <c r="MYJ502" s="126"/>
      <c r="MYK502" s="126"/>
      <c r="MYL502" s="126"/>
      <c r="MYM502" s="126"/>
      <c r="MYN502" s="126"/>
      <c r="MYO502" s="126"/>
      <c r="MYP502" s="126"/>
      <c r="MYQ502" s="126"/>
      <c r="MYR502" s="126"/>
      <c r="MYS502" s="126"/>
      <c r="MYT502" s="126"/>
      <c r="MYU502" s="126"/>
      <c r="MYV502" s="126"/>
      <c r="MYW502" s="126"/>
      <c r="MYX502" s="126"/>
      <c r="MYY502" s="126"/>
      <c r="MYZ502" s="126"/>
      <c r="MZA502" s="126"/>
      <c r="MZB502" s="126"/>
      <c r="MZC502" s="126"/>
      <c r="MZD502" s="126"/>
      <c r="MZE502" s="126"/>
      <c r="MZF502" s="126"/>
      <c r="MZG502" s="126"/>
      <c r="MZH502" s="126"/>
      <c r="MZI502" s="126"/>
      <c r="MZJ502" s="126"/>
      <c r="MZK502" s="126"/>
      <c r="MZL502" s="126"/>
      <c r="MZM502" s="126"/>
      <c r="MZN502" s="126"/>
      <c r="MZO502" s="126"/>
      <c r="MZP502" s="126"/>
      <c r="MZQ502" s="126"/>
      <c r="MZR502" s="126"/>
      <c r="MZS502" s="126"/>
      <c r="MZT502" s="126"/>
      <c r="MZU502" s="126"/>
      <c r="MZV502" s="126"/>
      <c r="MZW502" s="126"/>
      <c r="MZX502" s="126"/>
      <c r="MZY502" s="126"/>
      <c r="MZZ502" s="126"/>
      <c r="NAA502" s="126"/>
      <c r="NAB502" s="126"/>
      <c r="NAC502" s="126"/>
      <c r="NAD502" s="126"/>
      <c r="NAE502" s="126"/>
      <c r="NAF502" s="126"/>
      <c r="NAG502" s="126"/>
      <c r="NAH502" s="126"/>
      <c r="NAI502" s="126"/>
      <c r="NAJ502" s="126"/>
      <c r="NAK502" s="126"/>
      <c r="NAL502" s="126"/>
      <c r="NAM502" s="126"/>
      <c r="NAN502" s="126"/>
      <c r="NAO502" s="126"/>
      <c r="NAP502" s="126"/>
      <c r="NAQ502" s="126"/>
      <c r="NAR502" s="126"/>
      <c r="NAS502" s="126"/>
      <c r="NAT502" s="126"/>
      <c r="NAU502" s="126"/>
      <c r="NAV502" s="126"/>
      <c r="NAW502" s="126"/>
      <c r="NAX502" s="126"/>
      <c r="NAY502" s="126"/>
      <c r="NAZ502" s="126"/>
      <c r="NBA502" s="126"/>
      <c r="NBB502" s="126"/>
      <c r="NBC502" s="126"/>
      <c r="NBD502" s="126"/>
      <c r="NBE502" s="126"/>
      <c r="NBF502" s="126"/>
      <c r="NBG502" s="126"/>
      <c r="NBH502" s="126"/>
      <c r="NBI502" s="126"/>
      <c r="NBJ502" s="126"/>
      <c r="NBK502" s="126"/>
      <c r="NBL502" s="126"/>
      <c r="NBM502" s="126"/>
      <c r="NBN502" s="126"/>
      <c r="NBO502" s="126"/>
      <c r="NBP502" s="126"/>
      <c r="NBQ502" s="126"/>
      <c r="NBR502" s="126"/>
      <c r="NBS502" s="126"/>
      <c r="NBT502" s="126"/>
      <c r="NBU502" s="126"/>
      <c r="NBV502" s="126"/>
      <c r="NBW502" s="126"/>
      <c r="NBX502" s="126"/>
      <c r="NBY502" s="126"/>
      <c r="NBZ502" s="126"/>
      <c r="NCA502" s="126"/>
      <c r="NCB502" s="126"/>
      <c r="NCC502" s="126"/>
      <c r="NCD502" s="126"/>
      <c r="NCE502" s="126"/>
      <c r="NCF502" s="126"/>
      <c r="NCG502" s="126"/>
      <c r="NCH502" s="126"/>
      <c r="NCI502" s="126"/>
      <c r="NCJ502" s="126"/>
      <c r="NCK502" s="126"/>
      <c r="NCL502" s="126"/>
      <c r="NCM502" s="126"/>
      <c r="NCN502" s="126"/>
      <c r="NCO502" s="126"/>
      <c r="NCP502" s="126"/>
      <c r="NCQ502" s="126"/>
      <c r="NCR502" s="126"/>
      <c r="NCS502" s="126"/>
      <c r="NCT502" s="126"/>
      <c r="NCU502" s="126"/>
      <c r="NCV502" s="126"/>
      <c r="NCW502" s="126"/>
      <c r="NCX502" s="126"/>
      <c r="NCY502" s="126"/>
      <c r="NCZ502" s="126"/>
      <c r="NDA502" s="126"/>
      <c r="NDB502" s="126"/>
      <c r="NDC502" s="126"/>
      <c r="NDD502" s="126"/>
      <c r="NDE502" s="126"/>
      <c r="NDF502" s="126"/>
      <c r="NDG502" s="126"/>
      <c r="NDH502" s="126"/>
      <c r="NDI502" s="126"/>
      <c r="NDJ502" s="126"/>
      <c r="NDK502" s="126"/>
      <c r="NDL502" s="126"/>
      <c r="NDM502" s="126"/>
      <c r="NDN502" s="126"/>
      <c r="NDO502" s="126"/>
      <c r="NDP502" s="126"/>
      <c r="NDQ502" s="126"/>
      <c r="NDR502" s="126"/>
      <c r="NDS502" s="126"/>
      <c r="NDT502" s="126"/>
      <c r="NDU502" s="126"/>
      <c r="NDV502" s="126"/>
      <c r="NDW502" s="126"/>
      <c r="NDX502" s="126"/>
      <c r="NDY502" s="126"/>
      <c r="NDZ502" s="126"/>
      <c r="NEA502" s="126"/>
      <c r="NEB502" s="126"/>
      <c r="NEC502" s="126"/>
      <c r="NED502" s="126"/>
      <c r="NEE502" s="126"/>
      <c r="NEF502" s="126"/>
      <c r="NEG502" s="126"/>
      <c r="NEH502" s="126"/>
      <c r="NEI502" s="126"/>
      <c r="NEJ502" s="126"/>
      <c r="NEK502" s="126"/>
      <c r="NEL502" s="126"/>
      <c r="NEM502" s="126"/>
      <c r="NEN502" s="126"/>
      <c r="NEO502" s="126"/>
      <c r="NEP502" s="126"/>
      <c r="NEQ502" s="126"/>
      <c r="NER502" s="126"/>
      <c r="NES502" s="126"/>
      <c r="NET502" s="126"/>
      <c r="NEU502" s="126"/>
      <c r="NEV502" s="126"/>
      <c r="NEW502" s="126"/>
      <c r="NEX502" s="126"/>
      <c r="NEY502" s="126"/>
      <c r="NEZ502" s="126"/>
      <c r="NFA502" s="126"/>
      <c r="NFB502" s="126"/>
      <c r="NFC502" s="126"/>
      <c r="NFD502" s="126"/>
      <c r="NFE502" s="126"/>
      <c r="NFF502" s="126"/>
      <c r="NFG502" s="126"/>
      <c r="NFH502" s="126"/>
      <c r="NFI502" s="126"/>
      <c r="NFJ502" s="126"/>
      <c r="NFK502" s="126"/>
      <c r="NFL502" s="126"/>
      <c r="NFM502" s="126"/>
      <c r="NFN502" s="126"/>
      <c r="NFO502" s="126"/>
      <c r="NFP502" s="126"/>
      <c r="NFQ502" s="126"/>
      <c r="NFR502" s="126"/>
      <c r="NFS502" s="126"/>
      <c r="NFT502" s="126"/>
      <c r="NFU502" s="126"/>
      <c r="NFV502" s="126"/>
      <c r="NFW502" s="126"/>
      <c r="NFX502" s="126"/>
      <c r="NFY502" s="126"/>
      <c r="NFZ502" s="126"/>
      <c r="NGA502" s="126"/>
      <c r="NGB502" s="126"/>
      <c r="NGC502" s="126"/>
      <c r="NGD502" s="126"/>
      <c r="NGE502" s="126"/>
      <c r="NGF502" s="126"/>
      <c r="NGG502" s="126"/>
      <c r="NGH502" s="126"/>
      <c r="NGI502" s="126"/>
      <c r="NGJ502" s="126"/>
      <c r="NGK502" s="126"/>
      <c r="NGL502" s="126"/>
      <c r="NGM502" s="126"/>
      <c r="NGN502" s="126"/>
      <c r="NGO502" s="126"/>
      <c r="NGP502" s="126"/>
      <c r="NGQ502" s="126"/>
      <c r="NGR502" s="126"/>
      <c r="NGS502" s="126"/>
      <c r="NGT502" s="126"/>
      <c r="NGU502" s="126"/>
      <c r="NGV502" s="126"/>
      <c r="NGW502" s="126"/>
      <c r="NGX502" s="126"/>
      <c r="NGY502" s="126"/>
      <c r="NGZ502" s="126"/>
      <c r="NHA502" s="126"/>
      <c r="NHB502" s="126"/>
      <c r="NHC502" s="126"/>
      <c r="NHD502" s="126"/>
      <c r="NHE502" s="126"/>
      <c r="NHF502" s="126"/>
      <c r="NHG502" s="126"/>
      <c r="NHH502" s="126"/>
      <c r="NHI502" s="126"/>
      <c r="NHJ502" s="126"/>
      <c r="NHK502" s="126"/>
      <c r="NHL502" s="126"/>
      <c r="NHM502" s="126"/>
      <c r="NHN502" s="126"/>
      <c r="NHO502" s="126"/>
      <c r="NHP502" s="126"/>
      <c r="NHQ502" s="126"/>
      <c r="NHR502" s="126"/>
      <c r="NHS502" s="126"/>
      <c r="NHT502" s="126"/>
      <c r="NHU502" s="126"/>
      <c r="NHV502" s="126"/>
      <c r="NHW502" s="126"/>
      <c r="NHX502" s="126"/>
      <c r="NHY502" s="126"/>
      <c r="NHZ502" s="126"/>
      <c r="NIA502" s="126"/>
      <c r="NIB502" s="126"/>
      <c r="NIC502" s="126"/>
      <c r="NID502" s="126"/>
      <c r="NIE502" s="126"/>
      <c r="NIF502" s="126"/>
      <c r="NIG502" s="126"/>
      <c r="NIH502" s="126"/>
      <c r="NII502" s="126"/>
      <c r="NIJ502" s="126"/>
      <c r="NIK502" s="126"/>
      <c r="NIL502" s="126"/>
      <c r="NIM502" s="126"/>
      <c r="NIN502" s="126"/>
      <c r="NIO502" s="126"/>
      <c r="NIP502" s="126"/>
      <c r="NIQ502" s="126"/>
      <c r="NIR502" s="126"/>
      <c r="NIS502" s="126"/>
      <c r="NIT502" s="126"/>
      <c r="NIU502" s="126"/>
      <c r="NIV502" s="126"/>
      <c r="NIW502" s="126"/>
      <c r="NIX502" s="126"/>
      <c r="NIY502" s="126"/>
      <c r="NIZ502" s="126"/>
      <c r="NJA502" s="126"/>
      <c r="NJB502" s="126"/>
      <c r="NJC502" s="126"/>
      <c r="NJD502" s="126"/>
      <c r="NJE502" s="126"/>
      <c r="NJF502" s="126"/>
      <c r="NJG502" s="126"/>
      <c r="NJH502" s="126"/>
      <c r="NJI502" s="126"/>
      <c r="NJJ502" s="126"/>
      <c r="NJK502" s="126"/>
      <c r="NJL502" s="126"/>
      <c r="NJM502" s="126"/>
      <c r="NJN502" s="126"/>
      <c r="NJO502" s="126"/>
      <c r="NJP502" s="126"/>
      <c r="NJQ502" s="126"/>
      <c r="NJR502" s="126"/>
      <c r="NJS502" s="126"/>
      <c r="NJT502" s="126"/>
      <c r="NJU502" s="126"/>
      <c r="NJV502" s="126"/>
      <c r="NJW502" s="126"/>
      <c r="NJX502" s="126"/>
      <c r="NJY502" s="126"/>
      <c r="NJZ502" s="126"/>
      <c r="NKA502" s="126"/>
      <c r="NKB502" s="126"/>
      <c r="NKC502" s="126"/>
      <c r="NKD502" s="126"/>
      <c r="NKE502" s="126"/>
      <c r="NKF502" s="126"/>
      <c r="NKG502" s="126"/>
      <c r="NKH502" s="126"/>
      <c r="NKI502" s="126"/>
      <c r="NKJ502" s="126"/>
      <c r="NKK502" s="126"/>
      <c r="NKL502" s="126"/>
      <c r="NKM502" s="126"/>
      <c r="NKN502" s="126"/>
      <c r="NKO502" s="126"/>
      <c r="NKP502" s="126"/>
      <c r="NKQ502" s="126"/>
      <c r="NKR502" s="126"/>
      <c r="NKS502" s="126"/>
      <c r="NKT502" s="126"/>
      <c r="NKU502" s="126"/>
      <c r="NKV502" s="126"/>
      <c r="NKW502" s="126"/>
      <c r="NKX502" s="126"/>
      <c r="NKY502" s="126"/>
      <c r="NKZ502" s="126"/>
      <c r="NLA502" s="126"/>
      <c r="NLB502" s="126"/>
      <c r="NLC502" s="126"/>
      <c r="NLD502" s="126"/>
      <c r="NLE502" s="126"/>
      <c r="NLF502" s="126"/>
      <c r="NLG502" s="126"/>
      <c r="NLH502" s="126"/>
      <c r="NLI502" s="126"/>
      <c r="NLJ502" s="126"/>
      <c r="NLK502" s="126"/>
      <c r="NLL502" s="126"/>
      <c r="NLM502" s="126"/>
      <c r="NLN502" s="126"/>
      <c r="NLO502" s="126"/>
      <c r="NLP502" s="126"/>
      <c r="NLQ502" s="126"/>
      <c r="NLR502" s="126"/>
      <c r="NLS502" s="126"/>
      <c r="NLT502" s="126"/>
      <c r="NLU502" s="126"/>
      <c r="NLV502" s="126"/>
      <c r="NLW502" s="126"/>
      <c r="NLX502" s="126"/>
      <c r="NLY502" s="126"/>
      <c r="NLZ502" s="126"/>
      <c r="NMA502" s="126"/>
      <c r="NMB502" s="126"/>
      <c r="NMC502" s="126"/>
      <c r="NMD502" s="126"/>
      <c r="NME502" s="126"/>
      <c r="NMF502" s="126"/>
      <c r="NMG502" s="126"/>
      <c r="NMH502" s="126"/>
      <c r="NMI502" s="126"/>
      <c r="NMJ502" s="126"/>
      <c r="NMK502" s="126"/>
      <c r="NML502" s="126"/>
      <c r="NMM502" s="126"/>
      <c r="NMN502" s="126"/>
      <c r="NMO502" s="126"/>
      <c r="NMP502" s="126"/>
      <c r="NMQ502" s="126"/>
      <c r="NMR502" s="126"/>
      <c r="NMS502" s="126"/>
      <c r="NMT502" s="126"/>
      <c r="NMU502" s="126"/>
      <c r="NMV502" s="126"/>
      <c r="NMW502" s="126"/>
      <c r="NMX502" s="126"/>
      <c r="NMY502" s="126"/>
      <c r="NMZ502" s="126"/>
      <c r="NNA502" s="126"/>
      <c r="NNB502" s="126"/>
      <c r="NNC502" s="126"/>
      <c r="NND502" s="126"/>
      <c r="NNE502" s="126"/>
      <c r="NNF502" s="126"/>
      <c r="NNG502" s="126"/>
      <c r="NNH502" s="126"/>
      <c r="NNI502" s="126"/>
      <c r="NNJ502" s="126"/>
      <c r="NNK502" s="126"/>
      <c r="NNL502" s="126"/>
      <c r="NNM502" s="126"/>
      <c r="NNN502" s="126"/>
      <c r="NNO502" s="126"/>
      <c r="NNP502" s="126"/>
      <c r="NNQ502" s="126"/>
      <c r="NNR502" s="126"/>
      <c r="NNS502" s="126"/>
      <c r="NNT502" s="126"/>
      <c r="NNU502" s="126"/>
      <c r="NNV502" s="126"/>
      <c r="NNW502" s="126"/>
      <c r="NNX502" s="126"/>
      <c r="NNY502" s="126"/>
      <c r="NNZ502" s="126"/>
      <c r="NOA502" s="126"/>
      <c r="NOB502" s="126"/>
      <c r="NOC502" s="126"/>
      <c r="NOD502" s="126"/>
      <c r="NOE502" s="126"/>
      <c r="NOF502" s="126"/>
      <c r="NOG502" s="126"/>
      <c r="NOH502" s="126"/>
      <c r="NOI502" s="126"/>
      <c r="NOJ502" s="126"/>
      <c r="NOK502" s="126"/>
      <c r="NOL502" s="126"/>
      <c r="NOM502" s="126"/>
      <c r="NON502" s="126"/>
      <c r="NOO502" s="126"/>
      <c r="NOP502" s="126"/>
      <c r="NOQ502" s="126"/>
      <c r="NOR502" s="126"/>
      <c r="NOS502" s="126"/>
      <c r="NOT502" s="126"/>
      <c r="NOU502" s="126"/>
      <c r="NOV502" s="126"/>
      <c r="NOW502" s="126"/>
      <c r="NOX502" s="126"/>
      <c r="NOY502" s="126"/>
      <c r="NOZ502" s="126"/>
      <c r="NPA502" s="126"/>
      <c r="NPB502" s="126"/>
      <c r="NPC502" s="126"/>
      <c r="NPD502" s="126"/>
      <c r="NPE502" s="126"/>
      <c r="NPF502" s="126"/>
      <c r="NPG502" s="126"/>
      <c r="NPH502" s="126"/>
      <c r="NPI502" s="126"/>
      <c r="NPJ502" s="126"/>
      <c r="NPK502" s="126"/>
      <c r="NPL502" s="126"/>
      <c r="NPM502" s="126"/>
      <c r="NPN502" s="126"/>
      <c r="NPO502" s="126"/>
      <c r="NPP502" s="126"/>
      <c r="NPQ502" s="126"/>
      <c r="NPR502" s="126"/>
      <c r="NPS502" s="126"/>
      <c r="NPT502" s="126"/>
      <c r="NPU502" s="126"/>
      <c r="NPV502" s="126"/>
      <c r="NPW502" s="126"/>
      <c r="NPX502" s="126"/>
      <c r="NPY502" s="126"/>
      <c r="NPZ502" s="126"/>
      <c r="NQA502" s="126"/>
      <c r="NQB502" s="126"/>
      <c r="NQC502" s="126"/>
      <c r="NQD502" s="126"/>
      <c r="NQE502" s="126"/>
      <c r="NQF502" s="126"/>
      <c r="NQG502" s="126"/>
      <c r="NQH502" s="126"/>
      <c r="NQI502" s="126"/>
      <c r="NQJ502" s="126"/>
      <c r="NQK502" s="126"/>
      <c r="NQL502" s="126"/>
      <c r="NQM502" s="126"/>
      <c r="NQN502" s="126"/>
      <c r="NQO502" s="126"/>
      <c r="NQP502" s="126"/>
      <c r="NQQ502" s="126"/>
      <c r="NQR502" s="126"/>
      <c r="NQS502" s="126"/>
      <c r="NQT502" s="126"/>
      <c r="NQU502" s="126"/>
      <c r="NQV502" s="126"/>
      <c r="NQW502" s="126"/>
      <c r="NQX502" s="126"/>
      <c r="NQY502" s="126"/>
      <c r="NQZ502" s="126"/>
      <c r="NRA502" s="126"/>
      <c r="NRB502" s="126"/>
      <c r="NRC502" s="126"/>
      <c r="NRD502" s="126"/>
      <c r="NRE502" s="126"/>
      <c r="NRF502" s="126"/>
      <c r="NRG502" s="126"/>
      <c r="NRH502" s="126"/>
      <c r="NRI502" s="126"/>
      <c r="NRJ502" s="126"/>
      <c r="NRK502" s="126"/>
      <c r="NRL502" s="126"/>
      <c r="NRM502" s="126"/>
      <c r="NRN502" s="126"/>
      <c r="NRO502" s="126"/>
      <c r="NRP502" s="126"/>
      <c r="NRQ502" s="126"/>
      <c r="NRR502" s="126"/>
      <c r="NRS502" s="126"/>
      <c r="NRT502" s="126"/>
      <c r="NRU502" s="126"/>
      <c r="NRV502" s="126"/>
      <c r="NRW502" s="126"/>
      <c r="NRX502" s="126"/>
      <c r="NRY502" s="126"/>
      <c r="NRZ502" s="126"/>
      <c r="NSA502" s="126"/>
      <c r="NSB502" s="126"/>
      <c r="NSC502" s="126"/>
      <c r="NSD502" s="126"/>
      <c r="NSE502" s="126"/>
      <c r="NSF502" s="126"/>
      <c r="NSG502" s="126"/>
      <c r="NSH502" s="126"/>
      <c r="NSI502" s="126"/>
      <c r="NSJ502" s="126"/>
      <c r="NSK502" s="126"/>
      <c r="NSL502" s="126"/>
      <c r="NSM502" s="126"/>
      <c r="NSN502" s="126"/>
      <c r="NSO502" s="126"/>
      <c r="NSP502" s="126"/>
      <c r="NSQ502" s="126"/>
      <c r="NSR502" s="126"/>
      <c r="NSS502" s="126"/>
      <c r="NST502" s="126"/>
      <c r="NSU502" s="126"/>
      <c r="NSV502" s="126"/>
      <c r="NSW502" s="126"/>
      <c r="NSX502" s="126"/>
      <c r="NSY502" s="126"/>
      <c r="NSZ502" s="126"/>
      <c r="NTA502" s="126"/>
      <c r="NTB502" s="126"/>
      <c r="NTC502" s="126"/>
      <c r="NTD502" s="126"/>
      <c r="NTE502" s="126"/>
      <c r="NTF502" s="126"/>
      <c r="NTG502" s="126"/>
      <c r="NTH502" s="126"/>
      <c r="NTI502" s="126"/>
      <c r="NTJ502" s="126"/>
      <c r="NTK502" s="126"/>
      <c r="NTL502" s="126"/>
      <c r="NTM502" s="126"/>
      <c r="NTN502" s="126"/>
      <c r="NTO502" s="126"/>
      <c r="NTP502" s="126"/>
      <c r="NTQ502" s="126"/>
      <c r="NTR502" s="126"/>
      <c r="NTS502" s="126"/>
      <c r="NTT502" s="126"/>
      <c r="NTU502" s="126"/>
      <c r="NTV502" s="126"/>
      <c r="NTW502" s="126"/>
      <c r="NTX502" s="126"/>
      <c r="NTY502" s="126"/>
      <c r="NTZ502" s="126"/>
      <c r="NUA502" s="126"/>
      <c r="NUB502" s="126"/>
      <c r="NUC502" s="126"/>
      <c r="NUD502" s="126"/>
      <c r="NUE502" s="126"/>
      <c r="NUF502" s="126"/>
      <c r="NUG502" s="126"/>
      <c r="NUH502" s="126"/>
      <c r="NUI502" s="126"/>
      <c r="NUJ502" s="126"/>
      <c r="NUK502" s="126"/>
      <c r="NUL502" s="126"/>
      <c r="NUM502" s="126"/>
      <c r="NUN502" s="126"/>
      <c r="NUO502" s="126"/>
      <c r="NUP502" s="126"/>
      <c r="NUQ502" s="126"/>
      <c r="NUR502" s="126"/>
      <c r="NUS502" s="126"/>
      <c r="NUT502" s="126"/>
      <c r="NUU502" s="126"/>
      <c r="NUV502" s="126"/>
      <c r="NUW502" s="126"/>
      <c r="NUX502" s="126"/>
      <c r="NUY502" s="126"/>
      <c r="NUZ502" s="126"/>
      <c r="NVA502" s="126"/>
      <c r="NVB502" s="126"/>
      <c r="NVC502" s="126"/>
      <c r="NVD502" s="126"/>
      <c r="NVE502" s="126"/>
      <c r="NVF502" s="126"/>
      <c r="NVG502" s="126"/>
      <c r="NVH502" s="126"/>
      <c r="NVI502" s="126"/>
      <c r="NVJ502" s="126"/>
      <c r="NVK502" s="126"/>
      <c r="NVL502" s="126"/>
      <c r="NVM502" s="126"/>
      <c r="NVN502" s="126"/>
      <c r="NVO502" s="126"/>
      <c r="NVP502" s="126"/>
      <c r="NVQ502" s="126"/>
      <c r="NVR502" s="126"/>
      <c r="NVS502" s="126"/>
      <c r="NVT502" s="126"/>
      <c r="NVU502" s="126"/>
      <c r="NVV502" s="126"/>
      <c r="NVW502" s="126"/>
      <c r="NVX502" s="126"/>
      <c r="NVY502" s="126"/>
      <c r="NVZ502" s="126"/>
      <c r="NWA502" s="126"/>
      <c r="NWB502" s="126"/>
      <c r="NWC502" s="126"/>
      <c r="NWD502" s="126"/>
      <c r="NWE502" s="126"/>
      <c r="NWF502" s="126"/>
      <c r="NWG502" s="126"/>
      <c r="NWH502" s="126"/>
      <c r="NWI502" s="126"/>
      <c r="NWJ502" s="126"/>
      <c r="NWK502" s="126"/>
      <c r="NWL502" s="126"/>
      <c r="NWM502" s="126"/>
      <c r="NWN502" s="126"/>
      <c r="NWO502" s="126"/>
      <c r="NWP502" s="126"/>
      <c r="NWQ502" s="126"/>
      <c r="NWR502" s="126"/>
      <c r="NWS502" s="126"/>
      <c r="NWT502" s="126"/>
      <c r="NWU502" s="126"/>
      <c r="NWV502" s="126"/>
      <c r="NWW502" s="126"/>
      <c r="NWX502" s="126"/>
      <c r="NWY502" s="126"/>
      <c r="NWZ502" s="126"/>
      <c r="NXA502" s="126"/>
      <c r="NXB502" s="126"/>
      <c r="NXC502" s="126"/>
      <c r="NXD502" s="126"/>
      <c r="NXE502" s="126"/>
      <c r="NXF502" s="126"/>
      <c r="NXG502" s="126"/>
      <c r="NXH502" s="126"/>
      <c r="NXI502" s="126"/>
      <c r="NXJ502" s="126"/>
      <c r="NXK502" s="126"/>
      <c r="NXL502" s="126"/>
      <c r="NXM502" s="126"/>
      <c r="NXN502" s="126"/>
      <c r="NXO502" s="126"/>
      <c r="NXP502" s="126"/>
      <c r="NXQ502" s="126"/>
      <c r="NXR502" s="126"/>
      <c r="NXS502" s="126"/>
      <c r="NXT502" s="126"/>
      <c r="NXU502" s="126"/>
      <c r="NXV502" s="126"/>
      <c r="NXW502" s="126"/>
      <c r="NXX502" s="126"/>
      <c r="NXY502" s="126"/>
      <c r="NXZ502" s="126"/>
      <c r="NYA502" s="126"/>
      <c r="NYB502" s="126"/>
      <c r="NYC502" s="126"/>
      <c r="NYD502" s="126"/>
      <c r="NYE502" s="126"/>
      <c r="NYF502" s="126"/>
      <c r="NYG502" s="126"/>
      <c r="NYH502" s="126"/>
      <c r="NYI502" s="126"/>
      <c r="NYJ502" s="126"/>
      <c r="NYK502" s="126"/>
      <c r="NYL502" s="126"/>
      <c r="NYM502" s="126"/>
      <c r="NYN502" s="126"/>
      <c r="NYO502" s="126"/>
      <c r="NYP502" s="126"/>
      <c r="NYQ502" s="126"/>
      <c r="NYR502" s="126"/>
      <c r="NYS502" s="126"/>
      <c r="NYT502" s="126"/>
      <c r="NYU502" s="126"/>
      <c r="NYV502" s="126"/>
      <c r="NYW502" s="126"/>
      <c r="NYX502" s="126"/>
      <c r="NYY502" s="126"/>
      <c r="NYZ502" s="126"/>
      <c r="NZA502" s="126"/>
      <c r="NZB502" s="126"/>
      <c r="NZC502" s="126"/>
      <c r="NZD502" s="126"/>
      <c r="NZE502" s="126"/>
      <c r="NZF502" s="126"/>
      <c r="NZG502" s="126"/>
      <c r="NZH502" s="126"/>
      <c r="NZI502" s="126"/>
      <c r="NZJ502" s="126"/>
      <c r="NZK502" s="126"/>
      <c r="NZL502" s="126"/>
      <c r="NZM502" s="126"/>
      <c r="NZN502" s="126"/>
      <c r="NZO502" s="126"/>
      <c r="NZP502" s="126"/>
      <c r="NZQ502" s="126"/>
      <c r="NZR502" s="126"/>
      <c r="NZS502" s="126"/>
      <c r="NZT502" s="126"/>
      <c r="NZU502" s="126"/>
      <c r="NZV502" s="126"/>
      <c r="NZW502" s="126"/>
      <c r="NZX502" s="126"/>
      <c r="NZY502" s="126"/>
      <c r="NZZ502" s="126"/>
      <c r="OAA502" s="126"/>
      <c r="OAB502" s="126"/>
      <c r="OAC502" s="126"/>
      <c r="OAD502" s="126"/>
      <c r="OAE502" s="126"/>
      <c r="OAF502" s="126"/>
      <c r="OAG502" s="126"/>
      <c r="OAH502" s="126"/>
      <c r="OAI502" s="126"/>
      <c r="OAJ502" s="126"/>
      <c r="OAK502" s="126"/>
      <c r="OAL502" s="126"/>
      <c r="OAM502" s="126"/>
      <c r="OAN502" s="126"/>
      <c r="OAO502" s="126"/>
      <c r="OAP502" s="126"/>
      <c r="OAQ502" s="126"/>
      <c r="OAR502" s="126"/>
      <c r="OAS502" s="126"/>
      <c r="OAT502" s="126"/>
      <c r="OAU502" s="126"/>
      <c r="OAV502" s="126"/>
      <c r="OAW502" s="126"/>
      <c r="OAX502" s="126"/>
      <c r="OAY502" s="126"/>
      <c r="OAZ502" s="126"/>
      <c r="OBA502" s="126"/>
      <c r="OBB502" s="126"/>
      <c r="OBC502" s="126"/>
      <c r="OBD502" s="126"/>
      <c r="OBE502" s="126"/>
      <c r="OBF502" s="126"/>
      <c r="OBG502" s="126"/>
      <c r="OBH502" s="126"/>
      <c r="OBI502" s="126"/>
      <c r="OBJ502" s="126"/>
      <c r="OBK502" s="126"/>
      <c r="OBL502" s="126"/>
      <c r="OBM502" s="126"/>
      <c r="OBN502" s="126"/>
      <c r="OBO502" s="126"/>
      <c r="OBP502" s="126"/>
      <c r="OBQ502" s="126"/>
      <c r="OBR502" s="126"/>
      <c r="OBS502" s="126"/>
      <c r="OBT502" s="126"/>
      <c r="OBU502" s="126"/>
      <c r="OBV502" s="126"/>
      <c r="OBW502" s="126"/>
      <c r="OBX502" s="126"/>
      <c r="OBY502" s="126"/>
      <c r="OBZ502" s="126"/>
      <c r="OCA502" s="126"/>
      <c r="OCB502" s="126"/>
      <c r="OCC502" s="126"/>
      <c r="OCD502" s="126"/>
      <c r="OCE502" s="126"/>
      <c r="OCF502" s="126"/>
      <c r="OCG502" s="126"/>
      <c r="OCH502" s="126"/>
      <c r="OCI502" s="126"/>
      <c r="OCJ502" s="126"/>
      <c r="OCK502" s="126"/>
      <c r="OCL502" s="126"/>
      <c r="OCM502" s="126"/>
      <c r="OCN502" s="126"/>
      <c r="OCO502" s="126"/>
      <c r="OCP502" s="126"/>
      <c r="OCQ502" s="126"/>
      <c r="OCR502" s="126"/>
      <c r="OCS502" s="126"/>
      <c r="OCT502" s="126"/>
      <c r="OCU502" s="126"/>
      <c r="OCV502" s="126"/>
      <c r="OCW502" s="126"/>
      <c r="OCX502" s="126"/>
      <c r="OCY502" s="126"/>
      <c r="OCZ502" s="126"/>
      <c r="ODA502" s="126"/>
      <c r="ODB502" s="126"/>
      <c r="ODC502" s="126"/>
      <c r="ODD502" s="126"/>
      <c r="ODE502" s="126"/>
      <c r="ODF502" s="126"/>
      <c r="ODG502" s="126"/>
      <c r="ODH502" s="126"/>
      <c r="ODI502" s="126"/>
      <c r="ODJ502" s="126"/>
      <c r="ODK502" s="126"/>
      <c r="ODL502" s="126"/>
      <c r="ODM502" s="126"/>
      <c r="ODN502" s="126"/>
      <c r="ODO502" s="126"/>
      <c r="ODP502" s="126"/>
      <c r="ODQ502" s="126"/>
      <c r="ODR502" s="126"/>
      <c r="ODS502" s="126"/>
      <c r="ODT502" s="126"/>
      <c r="ODU502" s="126"/>
      <c r="ODV502" s="126"/>
      <c r="ODW502" s="126"/>
      <c r="ODX502" s="126"/>
      <c r="ODY502" s="126"/>
      <c r="ODZ502" s="126"/>
      <c r="OEA502" s="126"/>
      <c r="OEB502" s="126"/>
      <c r="OEC502" s="126"/>
      <c r="OED502" s="126"/>
      <c r="OEE502" s="126"/>
      <c r="OEF502" s="126"/>
      <c r="OEG502" s="126"/>
      <c r="OEH502" s="126"/>
      <c r="OEI502" s="126"/>
      <c r="OEJ502" s="126"/>
      <c r="OEK502" s="126"/>
      <c r="OEL502" s="126"/>
      <c r="OEM502" s="126"/>
      <c r="OEN502" s="126"/>
      <c r="OEO502" s="126"/>
      <c r="OEP502" s="126"/>
      <c r="OEQ502" s="126"/>
      <c r="OER502" s="126"/>
      <c r="OES502" s="126"/>
      <c r="OET502" s="126"/>
      <c r="OEU502" s="126"/>
      <c r="OEV502" s="126"/>
      <c r="OEW502" s="126"/>
      <c r="OEX502" s="126"/>
      <c r="OEY502" s="126"/>
      <c r="OEZ502" s="126"/>
      <c r="OFA502" s="126"/>
      <c r="OFB502" s="126"/>
      <c r="OFC502" s="126"/>
      <c r="OFD502" s="126"/>
      <c r="OFE502" s="126"/>
      <c r="OFF502" s="126"/>
      <c r="OFG502" s="126"/>
      <c r="OFH502" s="126"/>
      <c r="OFI502" s="126"/>
      <c r="OFJ502" s="126"/>
      <c r="OFK502" s="126"/>
      <c r="OFL502" s="126"/>
      <c r="OFM502" s="126"/>
      <c r="OFN502" s="126"/>
      <c r="OFO502" s="126"/>
      <c r="OFP502" s="126"/>
      <c r="OFQ502" s="126"/>
      <c r="OFR502" s="126"/>
      <c r="OFS502" s="126"/>
      <c r="OFT502" s="126"/>
      <c r="OFU502" s="126"/>
      <c r="OFV502" s="126"/>
      <c r="OFW502" s="126"/>
      <c r="OFX502" s="126"/>
      <c r="OFY502" s="126"/>
      <c r="OFZ502" s="126"/>
      <c r="OGA502" s="126"/>
      <c r="OGB502" s="126"/>
      <c r="OGC502" s="126"/>
      <c r="OGD502" s="126"/>
      <c r="OGE502" s="126"/>
      <c r="OGF502" s="126"/>
      <c r="OGG502" s="126"/>
      <c r="OGH502" s="126"/>
      <c r="OGI502" s="126"/>
      <c r="OGJ502" s="126"/>
      <c r="OGK502" s="126"/>
      <c r="OGL502" s="126"/>
      <c r="OGM502" s="126"/>
      <c r="OGN502" s="126"/>
      <c r="OGO502" s="126"/>
      <c r="OGP502" s="126"/>
      <c r="OGQ502" s="126"/>
      <c r="OGR502" s="126"/>
      <c r="OGS502" s="126"/>
      <c r="OGT502" s="126"/>
      <c r="OGU502" s="126"/>
      <c r="OGV502" s="126"/>
      <c r="OGW502" s="126"/>
      <c r="OGX502" s="126"/>
      <c r="OGY502" s="126"/>
      <c r="OGZ502" s="126"/>
      <c r="OHA502" s="126"/>
      <c r="OHB502" s="126"/>
      <c r="OHC502" s="126"/>
      <c r="OHD502" s="126"/>
      <c r="OHE502" s="126"/>
      <c r="OHF502" s="126"/>
      <c r="OHG502" s="126"/>
      <c r="OHH502" s="126"/>
      <c r="OHI502" s="126"/>
      <c r="OHJ502" s="126"/>
      <c r="OHK502" s="126"/>
      <c r="OHL502" s="126"/>
      <c r="OHM502" s="126"/>
      <c r="OHN502" s="126"/>
      <c r="OHO502" s="126"/>
      <c r="OHP502" s="126"/>
      <c r="OHQ502" s="126"/>
      <c r="OHR502" s="126"/>
      <c r="OHS502" s="126"/>
      <c r="OHT502" s="126"/>
      <c r="OHU502" s="126"/>
      <c r="OHV502" s="126"/>
      <c r="OHW502" s="126"/>
      <c r="OHX502" s="126"/>
      <c r="OHY502" s="126"/>
      <c r="OHZ502" s="126"/>
      <c r="OIA502" s="126"/>
      <c r="OIB502" s="126"/>
      <c r="OIC502" s="126"/>
      <c r="OID502" s="126"/>
      <c r="OIE502" s="126"/>
      <c r="OIF502" s="126"/>
      <c r="OIG502" s="126"/>
      <c r="OIH502" s="126"/>
      <c r="OII502" s="126"/>
      <c r="OIJ502" s="126"/>
      <c r="OIK502" s="126"/>
      <c r="OIL502" s="126"/>
      <c r="OIM502" s="126"/>
      <c r="OIN502" s="126"/>
      <c r="OIO502" s="126"/>
      <c r="OIP502" s="126"/>
      <c r="OIQ502" s="126"/>
      <c r="OIR502" s="126"/>
      <c r="OIS502" s="126"/>
      <c r="OIT502" s="126"/>
      <c r="OIU502" s="126"/>
      <c r="OIV502" s="126"/>
      <c r="OIW502" s="126"/>
      <c r="OIX502" s="126"/>
      <c r="OIY502" s="126"/>
      <c r="OIZ502" s="126"/>
      <c r="OJA502" s="126"/>
      <c r="OJB502" s="126"/>
      <c r="OJC502" s="126"/>
      <c r="OJD502" s="126"/>
      <c r="OJE502" s="126"/>
      <c r="OJF502" s="126"/>
      <c r="OJG502" s="126"/>
      <c r="OJH502" s="126"/>
      <c r="OJI502" s="126"/>
      <c r="OJJ502" s="126"/>
      <c r="OJK502" s="126"/>
      <c r="OJL502" s="126"/>
      <c r="OJM502" s="126"/>
      <c r="OJN502" s="126"/>
      <c r="OJO502" s="126"/>
      <c r="OJP502" s="126"/>
      <c r="OJQ502" s="126"/>
      <c r="OJR502" s="126"/>
      <c r="OJS502" s="126"/>
      <c r="OJT502" s="126"/>
      <c r="OJU502" s="126"/>
      <c r="OJV502" s="126"/>
      <c r="OJW502" s="126"/>
      <c r="OJX502" s="126"/>
      <c r="OJY502" s="126"/>
      <c r="OJZ502" s="126"/>
      <c r="OKA502" s="126"/>
      <c r="OKB502" s="126"/>
      <c r="OKC502" s="126"/>
      <c r="OKD502" s="126"/>
      <c r="OKE502" s="126"/>
      <c r="OKF502" s="126"/>
      <c r="OKG502" s="126"/>
      <c r="OKH502" s="126"/>
      <c r="OKI502" s="126"/>
      <c r="OKJ502" s="126"/>
      <c r="OKK502" s="126"/>
      <c r="OKL502" s="126"/>
      <c r="OKM502" s="126"/>
      <c r="OKN502" s="126"/>
      <c r="OKO502" s="126"/>
      <c r="OKP502" s="126"/>
      <c r="OKQ502" s="126"/>
      <c r="OKR502" s="126"/>
      <c r="OKS502" s="126"/>
      <c r="OKT502" s="126"/>
      <c r="OKU502" s="126"/>
      <c r="OKV502" s="126"/>
      <c r="OKW502" s="126"/>
      <c r="OKX502" s="126"/>
      <c r="OKY502" s="126"/>
      <c r="OKZ502" s="126"/>
      <c r="OLA502" s="126"/>
      <c r="OLB502" s="126"/>
      <c r="OLC502" s="126"/>
      <c r="OLD502" s="126"/>
      <c r="OLE502" s="126"/>
      <c r="OLF502" s="126"/>
      <c r="OLG502" s="126"/>
      <c r="OLH502" s="126"/>
      <c r="OLI502" s="126"/>
      <c r="OLJ502" s="126"/>
      <c r="OLK502" s="126"/>
      <c r="OLL502" s="126"/>
      <c r="OLM502" s="126"/>
      <c r="OLN502" s="126"/>
      <c r="OLO502" s="126"/>
      <c r="OLP502" s="126"/>
      <c r="OLQ502" s="126"/>
      <c r="OLR502" s="126"/>
      <c r="OLS502" s="126"/>
      <c r="OLT502" s="126"/>
      <c r="OLU502" s="126"/>
      <c r="OLV502" s="126"/>
      <c r="OLW502" s="126"/>
      <c r="OLX502" s="126"/>
      <c r="OLY502" s="126"/>
      <c r="OLZ502" s="126"/>
      <c r="OMA502" s="126"/>
      <c r="OMB502" s="126"/>
      <c r="OMC502" s="126"/>
      <c r="OMD502" s="126"/>
      <c r="OME502" s="126"/>
      <c r="OMF502" s="126"/>
      <c r="OMG502" s="126"/>
      <c r="OMH502" s="126"/>
      <c r="OMI502" s="126"/>
      <c r="OMJ502" s="126"/>
      <c r="OMK502" s="126"/>
      <c r="OML502" s="126"/>
      <c r="OMM502" s="126"/>
      <c r="OMN502" s="126"/>
      <c r="OMO502" s="126"/>
      <c r="OMP502" s="126"/>
      <c r="OMQ502" s="126"/>
      <c r="OMR502" s="126"/>
      <c r="OMS502" s="126"/>
      <c r="OMT502" s="126"/>
      <c r="OMU502" s="126"/>
      <c r="OMV502" s="126"/>
      <c r="OMW502" s="126"/>
      <c r="OMX502" s="126"/>
      <c r="OMY502" s="126"/>
      <c r="OMZ502" s="126"/>
      <c r="ONA502" s="126"/>
      <c r="ONB502" s="126"/>
      <c r="ONC502" s="126"/>
      <c r="OND502" s="126"/>
      <c r="ONE502" s="126"/>
      <c r="ONF502" s="126"/>
      <c r="ONG502" s="126"/>
      <c r="ONH502" s="126"/>
      <c r="ONI502" s="126"/>
      <c r="ONJ502" s="126"/>
      <c r="ONK502" s="126"/>
      <c r="ONL502" s="126"/>
      <c r="ONM502" s="126"/>
      <c r="ONN502" s="126"/>
      <c r="ONO502" s="126"/>
      <c r="ONP502" s="126"/>
      <c r="ONQ502" s="126"/>
      <c r="ONR502" s="126"/>
      <c r="ONS502" s="126"/>
      <c r="ONT502" s="126"/>
      <c r="ONU502" s="126"/>
      <c r="ONV502" s="126"/>
      <c r="ONW502" s="126"/>
      <c r="ONX502" s="126"/>
      <c r="ONY502" s="126"/>
      <c r="ONZ502" s="126"/>
      <c r="OOA502" s="126"/>
      <c r="OOB502" s="126"/>
      <c r="OOC502" s="126"/>
      <c r="OOD502" s="126"/>
      <c r="OOE502" s="126"/>
      <c r="OOF502" s="126"/>
      <c r="OOG502" s="126"/>
      <c r="OOH502" s="126"/>
      <c r="OOI502" s="126"/>
      <c r="OOJ502" s="126"/>
      <c r="OOK502" s="126"/>
      <c r="OOL502" s="126"/>
      <c r="OOM502" s="126"/>
      <c r="OON502" s="126"/>
      <c r="OOO502" s="126"/>
      <c r="OOP502" s="126"/>
      <c r="OOQ502" s="126"/>
      <c r="OOR502" s="126"/>
      <c r="OOS502" s="126"/>
      <c r="OOT502" s="126"/>
      <c r="OOU502" s="126"/>
      <c r="OOV502" s="126"/>
      <c r="OOW502" s="126"/>
      <c r="OOX502" s="126"/>
      <c r="OOY502" s="126"/>
      <c r="OOZ502" s="126"/>
      <c r="OPA502" s="126"/>
      <c r="OPB502" s="126"/>
      <c r="OPC502" s="126"/>
      <c r="OPD502" s="126"/>
      <c r="OPE502" s="126"/>
      <c r="OPF502" s="126"/>
      <c r="OPG502" s="126"/>
      <c r="OPH502" s="126"/>
      <c r="OPI502" s="126"/>
      <c r="OPJ502" s="126"/>
      <c r="OPK502" s="126"/>
      <c r="OPL502" s="126"/>
      <c r="OPM502" s="126"/>
      <c r="OPN502" s="126"/>
      <c r="OPO502" s="126"/>
      <c r="OPP502" s="126"/>
      <c r="OPQ502" s="126"/>
      <c r="OPR502" s="126"/>
      <c r="OPS502" s="126"/>
      <c r="OPT502" s="126"/>
      <c r="OPU502" s="126"/>
      <c r="OPV502" s="126"/>
      <c r="OPW502" s="126"/>
      <c r="OPX502" s="126"/>
      <c r="OPY502" s="126"/>
      <c r="OPZ502" s="126"/>
      <c r="OQA502" s="126"/>
      <c r="OQB502" s="126"/>
      <c r="OQC502" s="126"/>
      <c r="OQD502" s="126"/>
      <c r="OQE502" s="126"/>
      <c r="OQF502" s="126"/>
      <c r="OQG502" s="126"/>
      <c r="OQH502" s="126"/>
      <c r="OQI502" s="126"/>
      <c r="OQJ502" s="126"/>
      <c r="OQK502" s="126"/>
      <c r="OQL502" s="126"/>
      <c r="OQM502" s="126"/>
      <c r="OQN502" s="126"/>
      <c r="OQO502" s="126"/>
      <c r="OQP502" s="126"/>
      <c r="OQQ502" s="126"/>
      <c r="OQR502" s="126"/>
      <c r="OQS502" s="126"/>
      <c r="OQT502" s="126"/>
      <c r="OQU502" s="126"/>
      <c r="OQV502" s="126"/>
      <c r="OQW502" s="126"/>
      <c r="OQX502" s="126"/>
      <c r="OQY502" s="126"/>
      <c r="OQZ502" s="126"/>
      <c r="ORA502" s="126"/>
      <c r="ORB502" s="126"/>
      <c r="ORC502" s="126"/>
      <c r="ORD502" s="126"/>
      <c r="ORE502" s="126"/>
      <c r="ORF502" s="126"/>
      <c r="ORG502" s="126"/>
      <c r="ORH502" s="126"/>
      <c r="ORI502" s="126"/>
      <c r="ORJ502" s="126"/>
      <c r="ORK502" s="126"/>
      <c r="ORL502" s="126"/>
      <c r="ORM502" s="126"/>
      <c r="ORN502" s="126"/>
      <c r="ORO502" s="126"/>
      <c r="ORP502" s="126"/>
      <c r="ORQ502" s="126"/>
      <c r="ORR502" s="126"/>
      <c r="ORS502" s="126"/>
      <c r="ORT502" s="126"/>
      <c r="ORU502" s="126"/>
      <c r="ORV502" s="126"/>
      <c r="ORW502" s="126"/>
      <c r="ORX502" s="126"/>
      <c r="ORY502" s="126"/>
      <c r="ORZ502" s="126"/>
      <c r="OSA502" s="126"/>
      <c r="OSB502" s="126"/>
      <c r="OSC502" s="126"/>
      <c r="OSD502" s="126"/>
      <c r="OSE502" s="126"/>
      <c r="OSF502" s="126"/>
      <c r="OSG502" s="126"/>
      <c r="OSH502" s="126"/>
      <c r="OSI502" s="126"/>
      <c r="OSJ502" s="126"/>
      <c r="OSK502" s="126"/>
      <c r="OSL502" s="126"/>
      <c r="OSM502" s="126"/>
      <c r="OSN502" s="126"/>
      <c r="OSO502" s="126"/>
      <c r="OSP502" s="126"/>
      <c r="OSQ502" s="126"/>
      <c r="OSR502" s="126"/>
      <c r="OSS502" s="126"/>
      <c r="OST502" s="126"/>
      <c r="OSU502" s="126"/>
      <c r="OSV502" s="126"/>
      <c r="OSW502" s="126"/>
      <c r="OSX502" s="126"/>
      <c r="OSY502" s="126"/>
      <c r="OSZ502" s="126"/>
      <c r="OTA502" s="126"/>
      <c r="OTB502" s="126"/>
      <c r="OTC502" s="126"/>
      <c r="OTD502" s="126"/>
      <c r="OTE502" s="126"/>
      <c r="OTF502" s="126"/>
      <c r="OTG502" s="126"/>
      <c r="OTH502" s="126"/>
      <c r="OTI502" s="126"/>
      <c r="OTJ502" s="126"/>
      <c r="OTK502" s="126"/>
      <c r="OTL502" s="126"/>
      <c r="OTM502" s="126"/>
      <c r="OTN502" s="126"/>
      <c r="OTO502" s="126"/>
      <c r="OTP502" s="126"/>
      <c r="OTQ502" s="126"/>
      <c r="OTR502" s="126"/>
      <c r="OTS502" s="126"/>
      <c r="OTT502" s="126"/>
      <c r="OTU502" s="126"/>
      <c r="OTV502" s="126"/>
      <c r="OTW502" s="126"/>
      <c r="OTX502" s="126"/>
      <c r="OTY502" s="126"/>
      <c r="OTZ502" s="126"/>
      <c r="OUA502" s="126"/>
      <c r="OUB502" s="126"/>
      <c r="OUC502" s="126"/>
      <c r="OUD502" s="126"/>
      <c r="OUE502" s="126"/>
      <c r="OUF502" s="126"/>
      <c r="OUG502" s="126"/>
      <c r="OUH502" s="126"/>
      <c r="OUI502" s="126"/>
      <c r="OUJ502" s="126"/>
      <c r="OUK502" s="126"/>
      <c r="OUL502" s="126"/>
      <c r="OUM502" s="126"/>
      <c r="OUN502" s="126"/>
      <c r="OUO502" s="126"/>
      <c r="OUP502" s="126"/>
      <c r="OUQ502" s="126"/>
      <c r="OUR502" s="126"/>
      <c r="OUS502" s="126"/>
      <c r="OUT502" s="126"/>
      <c r="OUU502" s="126"/>
      <c r="OUV502" s="126"/>
      <c r="OUW502" s="126"/>
      <c r="OUX502" s="126"/>
      <c r="OUY502" s="126"/>
      <c r="OUZ502" s="126"/>
      <c r="OVA502" s="126"/>
      <c r="OVB502" s="126"/>
      <c r="OVC502" s="126"/>
      <c r="OVD502" s="126"/>
      <c r="OVE502" s="126"/>
      <c r="OVF502" s="126"/>
      <c r="OVG502" s="126"/>
      <c r="OVH502" s="126"/>
      <c r="OVI502" s="126"/>
      <c r="OVJ502" s="126"/>
      <c r="OVK502" s="126"/>
      <c r="OVL502" s="126"/>
      <c r="OVM502" s="126"/>
      <c r="OVN502" s="126"/>
      <c r="OVO502" s="126"/>
      <c r="OVP502" s="126"/>
      <c r="OVQ502" s="126"/>
      <c r="OVR502" s="126"/>
      <c r="OVS502" s="126"/>
      <c r="OVT502" s="126"/>
      <c r="OVU502" s="126"/>
      <c r="OVV502" s="126"/>
      <c r="OVW502" s="126"/>
      <c r="OVX502" s="126"/>
      <c r="OVY502" s="126"/>
      <c r="OVZ502" s="126"/>
      <c r="OWA502" s="126"/>
      <c r="OWB502" s="126"/>
      <c r="OWC502" s="126"/>
      <c r="OWD502" s="126"/>
      <c r="OWE502" s="126"/>
      <c r="OWF502" s="126"/>
      <c r="OWG502" s="126"/>
      <c r="OWH502" s="126"/>
      <c r="OWI502" s="126"/>
      <c r="OWJ502" s="126"/>
      <c r="OWK502" s="126"/>
      <c r="OWL502" s="126"/>
      <c r="OWM502" s="126"/>
      <c r="OWN502" s="126"/>
      <c r="OWO502" s="126"/>
      <c r="OWP502" s="126"/>
      <c r="OWQ502" s="126"/>
      <c r="OWR502" s="126"/>
      <c r="OWS502" s="126"/>
      <c r="OWT502" s="126"/>
      <c r="OWU502" s="126"/>
      <c r="OWV502" s="126"/>
      <c r="OWW502" s="126"/>
      <c r="OWX502" s="126"/>
      <c r="OWY502" s="126"/>
      <c r="OWZ502" s="126"/>
      <c r="OXA502" s="126"/>
      <c r="OXB502" s="126"/>
      <c r="OXC502" s="126"/>
      <c r="OXD502" s="126"/>
      <c r="OXE502" s="126"/>
      <c r="OXF502" s="126"/>
      <c r="OXG502" s="126"/>
      <c r="OXH502" s="126"/>
      <c r="OXI502" s="126"/>
      <c r="OXJ502" s="126"/>
      <c r="OXK502" s="126"/>
      <c r="OXL502" s="126"/>
      <c r="OXM502" s="126"/>
      <c r="OXN502" s="126"/>
      <c r="OXO502" s="126"/>
      <c r="OXP502" s="126"/>
      <c r="OXQ502" s="126"/>
      <c r="OXR502" s="126"/>
      <c r="OXS502" s="126"/>
      <c r="OXT502" s="126"/>
      <c r="OXU502" s="126"/>
      <c r="OXV502" s="126"/>
      <c r="OXW502" s="126"/>
      <c r="OXX502" s="126"/>
      <c r="OXY502" s="126"/>
      <c r="OXZ502" s="126"/>
      <c r="OYA502" s="126"/>
      <c r="OYB502" s="126"/>
      <c r="OYC502" s="126"/>
      <c r="OYD502" s="126"/>
      <c r="OYE502" s="126"/>
      <c r="OYF502" s="126"/>
      <c r="OYG502" s="126"/>
      <c r="OYH502" s="126"/>
      <c r="OYI502" s="126"/>
      <c r="OYJ502" s="126"/>
      <c r="OYK502" s="126"/>
      <c r="OYL502" s="126"/>
      <c r="OYM502" s="126"/>
      <c r="OYN502" s="126"/>
      <c r="OYO502" s="126"/>
      <c r="OYP502" s="126"/>
      <c r="OYQ502" s="126"/>
      <c r="OYR502" s="126"/>
      <c r="OYS502" s="126"/>
      <c r="OYT502" s="126"/>
      <c r="OYU502" s="126"/>
      <c r="OYV502" s="126"/>
      <c r="OYW502" s="126"/>
      <c r="OYX502" s="126"/>
      <c r="OYY502" s="126"/>
      <c r="OYZ502" s="126"/>
      <c r="OZA502" s="126"/>
      <c r="OZB502" s="126"/>
      <c r="OZC502" s="126"/>
      <c r="OZD502" s="126"/>
      <c r="OZE502" s="126"/>
      <c r="OZF502" s="126"/>
      <c r="OZG502" s="126"/>
      <c r="OZH502" s="126"/>
      <c r="OZI502" s="126"/>
      <c r="OZJ502" s="126"/>
      <c r="OZK502" s="126"/>
      <c r="OZL502" s="126"/>
      <c r="OZM502" s="126"/>
      <c r="OZN502" s="126"/>
      <c r="OZO502" s="126"/>
      <c r="OZP502" s="126"/>
      <c r="OZQ502" s="126"/>
      <c r="OZR502" s="126"/>
      <c r="OZS502" s="126"/>
      <c r="OZT502" s="126"/>
      <c r="OZU502" s="126"/>
      <c r="OZV502" s="126"/>
      <c r="OZW502" s="126"/>
      <c r="OZX502" s="126"/>
      <c r="OZY502" s="126"/>
      <c r="OZZ502" s="126"/>
      <c r="PAA502" s="126"/>
      <c r="PAB502" s="126"/>
      <c r="PAC502" s="126"/>
      <c r="PAD502" s="126"/>
      <c r="PAE502" s="126"/>
      <c r="PAF502" s="126"/>
      <c r="PAG502" s="126"/>
      <c r="PAH502" s="126"/>
      <c r="PAI502" s="126"/>
      <c r="PAJ502" s="126"/>
      <c r="PAK502" s="126"/>
      <c r="PAL502" s="126"/>
      <c r="PAM502" s="126"/>
      <c r="PAN502" s="126"/>
      <c r="PAO502" s="126"/>
      <c r="PAP502" s="126"/>
      <c r="PAQ502" s="126"/>
      <c r="PAR502" s="126"/>
      <c r="PAS502" s="126"/>
      <c r="PAT502" s="126"/>
      <c r="PAU502" s="126"/>
      <c r="PAV502" s="126"/>
      <c r="PAW502" s="126"/>
      <c r="PAX502" s="126"/>
      <c r="PAY502" s="126"/>
      <c r="PAZ502" s="126"/>
      <c r="PBA502" s="126"/>
      <c r="PBB502" s="126"/>
      <c r="PBC502" s="126"/>
      <c r="PBD502" s="126"/>
      <c r="PBE502" s="126"/>
      <c r="PBF502" s="126"/>
      <c r="PBG502" s="126"/>
      <c r="PBH502" s="126"/>
      <c r="PBI502" s="126"/>
      <c r="PBJ502" s="126"/>
      <c r="PBK502" s="126"/>
      <c r="PBL502" s="126"/>
      <c r="PBM502" s="126"/>
      <c r="PBN502" s="126"/>
      <c r="PBO502" s="126"/>
      <c r="PBP502" s="126"/>
      <c r="PBQ502" s="126"/>
      <c r="PBR502" s="126"/>
      <c r="PBS502" s="126"/>
      <c r="PBT502" s="126"/>
      <c r="PBU502" s="126"/>
      <c r="PBV502" s="126"/>
      <c r="PBW502" s="126"/>
      <c r="PBX502" s="126"/>
      <c r="PBY502" s="126"/>
      <c r="PBZ502" s="126"/>
      <c r="PCA502" s="126"/>
      <c r="PCB502" s="126"/>
      <c r="PCC502" s="126"/>
      <c r="PCD502" s="126"/>
      <c r="PCE502" s="126"/>
      <c r="PCF502" s="126"/>
      <c r="PCG502" s="126"/>
      <c r="PCH502" s="126"/>
      <c r="PCI502" s="126"/>
      <c r="PCJ502" s="126"/>
      <c r="PCK502" s="126"/>
      <c r="PCL502" s="126"/>
      <c r="PCM502" s="126"/>
      <c r="PCN502" s="126"/>
      <c r="PCO502" s="126"/>
      <c r="PCP502" s="126"/>
      <c r="PCQ502" s="126"/>
      <c r="PCR502" s="126"/>
      <c r="PCS502" s="126"/>
      <c r="PCT502" s="126"/>
      <c r="PCU502" s="126"/>
      <c r="PCV502" s="126"/>
      <c r="PCW502" s="126"/>
      <c r="PCX502" s="126"/>
      <c r="PCY502" s="126"/>
      <c r="PCZ502" s="126"/>
      <c r="PDA502" s="126"/>
      <c r="PDB502" s="126"/>
      <c r="PDC502" s="126"/>
      <c r="PDD502" s="126"/>
      <c r="PDE502" s="126"/>
      <c r="PDF502" s="126"/>
      <c r="PDG502" s="126"/>
      <c r="PDH502" s="126"/>
      <c r="PDI502" s="126"/>
      <c r="PDJ502" s="126"/>
      <c r="PDK502" s="126"/>
      <c r="PDL502" s="126"/>
      <c r="PDM502" s="126"/>
      <c r="PDN502" s="126"/>
      <c r="PDO502" s="126"/>
      <c r="PDP502" s="126"/>
      <c r="PDQ502" s="126"/>
      <c r="PDR502" s="126"/>
      <c r="PDS502" s="126"/>
      <c r="PDT502" s="126"/>
      <c r="PDU502" s="126"/>
      <c r="PDV502" s="126"/>
      <c r="PDW502" s="126"/>
      <c r="PDX502" s="126"/>
      <c r="PDY502" s="126"/>
      <c r="PDZ502" s="126"/>
      <c r="PEA502" s="126"/>
      <c r="PEB502" s="126"/>
      <c r="PEC502" s="126"/>
      <c r="PED502" s="126"/>
      <c r="PEE502" s="126"/>
      <c r="PEF502" s="126"/>
      <c r="PEG502" s="126"/>
      <c r="PEH502" s="126"/>
      <c r="PEI502" s="126"/>
      <c r="PEJ502" s="126"/>
      <c r="PEK502" s="126"/>
      <c r="PEL502" s="126"/>
      <c r="PEM502" s="126"/>
      <c r="PEN502" s="126"/>
      <c r="PEO502" s="126"/>
      <c r="PEP502" s="126"/>
      <c r="PEQ502" s="126"/>
      <c r="PER502" s="126"/>
      <c r="PES502" s="126"/>
      <c r="PET502" s="126"/>
      <c r="PEU502" s="126"/>
      <c r="PEV502" s="126"/>
      <c r="PEW502" s="126"/>
      <c r="PEX502" s="126"/>
      <c r="PEY502" s="126"/>
      <c r="PEZ502" s="126"/>
      <c r="PFA502" s="126"/>
      <c r="PFB502" s="126"/>
      <c r="PFC502" s="126"/>
      <c r="PFD502" s="126"/>
      <c r="PFE502" s="126"/>
      <c r="PFF502" s="126"/>
      <c r="PFG502" s="126"/>
      <c r="PFH502" s="126"/>
      <c r="PFI502" s="126"/>
      <c r="PFJ502" s="126"/>
      <c r="PFK502" s="126"/>
      <c r="PFL502" s="126"/>
      <c r="PFM502" s="126"/>
      <c r="PFN502" s="126"/>
      <c r="PFO502" s="126"/>
      <c r="PFP502" s="126"/>
      <c r="PFQ502" s="126"/>
      <c r="PFR502" s="126"/>
      <c r="PFS502" s="126"/>
      <c r="PFT502" s="126"/>
      <c r="PFU502" s="126"/>
      <c r="PFV502" s="126"/>
      <c r="PFW502" s="126"/>
      <c r="PFX502" s="126"/>
      <c r="PFY502" s="126"/>
      <c r="PFZ502" s="126"/>
      <c r="PGA502" s="126"/>
      <c r="PGB502" s="126"/>
      <c r="PGC502" s="126"/>
      <c r="PGD502" s="126"/>
      <c r="PGE502" s="126"/>
      <c r="PGF502" s="126"/>
      <c r="PGG502" s="126"/>
      <c r="PGH502" s="126"/>
      <c r="PGI502" s="126"/>
      <c r="PGJ502" s="126"/>
      <c r="PGK502" s="126"/>
      <c r="PGL502" s="126"/>
      <c r="PGM502" s="126"/>
      <c r="PGN502" s="126"/>
      <c r="PGO502" s="126"/>
      <c r="PGP502" s="126"/>
      <c r="PGQ502" s="126"/>
      <c r="PGR502" s="126"/>
      <c r="PGS502" s="126"/>
      <c r="PGT502" s="126"/>
      <c r="PGU502" s="126"/>
      <c r="PGV502" s="126"/>
      <c r="PGW502" s="126"/>
      <c r="PGX502" s="126"/>
      <c r="PGY502" s="126"/>
      <c r="PGZ502" s="126"/>
      <c r="PHA502" s="126"/>
      <c r="PHB502" s="126"/>
      <c r="PHC502" s="126"/>
      <c r="PHD502" s="126"/>
      <c r="PHE502" s="126"/>
      <c r="PHF502" s="126"/>
      <c r="PHG502" s="126"/>
      <c r="PHH502" s="126"/>
      <c r="PHI502" s="126"/>
      <c r="PHJ502" s="126"/>
      <c r="PHK502" s="126"/>
      <c r="PHL502" s="126"/>
      <c r="PHM502" s="126"/>
      <c r="PHN502" s="126"/>
      <c r="PHO502" s="126"/>
      <c r="PHP502" s="126"/>
      <c r="PHQ502" s="126"/>
      <c r="PHR502" s="126"/>
      <c r="PHS502" s="126"/>
      <c r="PHT502" s="126"/>
      <c r="PHU502" s="126"/>
      <c r="PHV502" s="126"/>
      <c r="PHW502" s="126"/>
      <c r="PHX502" s="126"/>
      <c r="PHY502" s="126"/>
      <c r="PHZ502" s="126"/>
      <c r="PIA502" s="126"/>
      <c r="PIB502" s="126"/>
      <c r="PIC502" s="126"/>
      <c r="PID502" s="126"/>
      <c r="PIE502" s="126"/>
      <c r="PIF502" s="126"/>
      <c r="PIG502" s="126"/>
      <c r="PIH502" s="126"/>
      <c r="PII502" s="126"/>
      <c r="PIJ502" s="126"/>
      <c r="PIK502" s="126"/>
      <c r="PIL502" s="126"/>
      <c r="PIM502" s="126"/>
      <c r="PIN502" s="126"/>
      <c r="PIO502" s="126"/>
      <c r="PIP502" s="126"/>
      <c r="PIQ502" s="126"/>
      <c r="PIR502" s="126"/>
      <c r="PIS502" s="126"/>
      <c r="PIT502" s="126"/>
      <c r="PIU502" s="126"/>
      <c r="PIV502" s="126"/>
      <c r="PIW502" s="126"/>
      <c r="PIX502" s="126"/>
      <c r="PIY502" s="126"/>
      <c r="PIZ502" s="126"/>
      <c r="PJA502" s="126"/>
      <c r="PJB502" s="126"/>
      <c r="PJC502" s="126"/>
      <c r="PJD502" s="126"/>
      <c r="PJE502" s="126"/>
      <c r="PJF502" s="126"/>
      <c r="PJG502" s="126"/>
      <c r="PJH502" s="126"/>
      <c r="PJI502" s="126"/>
      <c r="PJJ502" s="126"/>
      <c r="PJK502" s="126"/>
      <c r="PJL502" s="126"/>
      <c r="PJM502" s="126"/>
      <c r="PJN502" s="126"/>
      <c r="PJO502" s="126"/>
      <c r="PJP502" s="126"/>
      <c r="PJQ502" s="126"/>
      <c r="PJR502" s="126"/>
      <c r="PJS502" s="126"/>
      <c r="PJT502" s="126"/>
      <c r="PJU502" s="126"/>
      <c r="PJV502" s="126"/>
      <c r="PJW502" s="126"/>
      <c r="PJX502" s="126"/>
      <c r="PJY502" s="126"/>
      <c r="PJZ502" s="126"/>
      <c r="PKA502" s="126"/>
      <c r="PKB502" s="126"/>
      <c r="PKC502" s="126"/>
      <c r="PKD502" s="126"/>
      <c r="PKE502" s="126"/>
      <c r="PKF502" s="126"/>
      <c r="PKG502" s="126"/>
      <c r="PKH502" s="126"/>
      <c r="PKI502" s="126"/>
      <c r="PKJ502" s="126"/>
      <c r="PKK502" s="126"/>
      <c r="PKL502" s="126"/>
      <c r="PKM502" s="126"/>
      <c r="PKN502" s="126"/>
      <c r="PKO502" s="126"/>
      <c r="PKP502" s="126"/>
      <c r="PKQ502" s="126"/>
      <c r="PKR502" s="126"/>
      <c r="PKS502" s="126"/>
      <c r="PKT502" s="126"/>
      <c r="PKU502" s="126"/>
      <c r="PKV502" s="126"/>
      <c r="PKW502" s="126"/>
      <c r="PKX502" s="126"/>
      <c r="PKY502" s="126"/>
      <c r="PKZ502" s="126"/>
      <c r="PLA502" s="126"/>
      <c r="PLB502" s="126"/>
      <c r="PLC502" s="126"/>
      <c r="PLD502" s="126"/>
      <c r="PLE502" s="126"/>
      <c r="PLF502" s="126"/>
      <c r="PLG502" s="126"/>
      <c r="PLH502" s="126"/>
      <c r="PLI502" s="126"/>
      <c r="PLJ502" s="126"/>
      <c r="PLK502" s="126"/>
      <c r="PLL502" s="126"/>
      <c r="PLM502" s="126"/>
      <c r="PLN502" s="126"/>
      <c r="PLO502" s="126"/>
      <c r="PLP502" s="126"/>
      <c r="PLQ502" s="126"/>
      <c r="PLR502" s="126"/>
      <c r="PLS502" s="126"/>
      <c r="PLT502" s="126"/>
      <c r="PLU502" s="126"/>
      <c r="PLV502" s="126"/>
      <c r="PLW502" s="126"/>
      <c r="PLX502" s="126"/>
      <c r="PLY502" s="126"/>
      <c r="PLZ502" s="126"/>
      <c r="PMA502" s="126"/>
      <c r="PMB502" s="126"/>
      <c r="PMC502" s="126"/>
      <c r="PMD502" s="126"/>
      <c r="PME502" s="126"/>
      <c r="PMF502" s="126"/>
      <c r="PMG502" s="126"/>
      <c r="PMH502" s="126"/>
      <c r="PMI502" s="126"/>
      <c r="PMJ502" s="126"/>
      <c r="PMK502" s="126"/>
      <c r="PML502" s="126"/>
      <c r="PMM502" s="126"/>
      <c r="PMN502" s="126"/>
      <c r="PMO502" s="126"/>
      <c r="PMP502" s="126"/>
      <c r="PMQ502" s="126"/>
      <c r="PMR502" s="126"/>
      <c r="PMS502" s="126"/>
      <c r="PMT502" s="126"/>
      <c r="PMU502" s="126"/>
      <c r="PMV502" s="126"/>
      <c r="PMW502" s="126"/>
      <c r="PMX502" s="126"/>
      <c r="PMY502" s="126"/>
      <c r="PMZ502" s="126"/>
      <c r="PNA502" s="126"/>
      <c r="PNB502" s="126"/>
      <c r="PNC502" s="126"/>
      <c r="PND502" s="126"/>
      <c r="PNE502" s="126"/>
      <c r="PNF502" s="126"/>
      <c r="PNG502" s="126"/>
      <c r="PNH502" s="126"/>
      <c r="PNI502" s="126"/>
      <c r="PNJ502" s="126"/>
      <c r="PNK502" s="126"/>
      <c r="PNL502" s="126"/>
      <c r="PNM502" s="126"/>
      <c r="PNN502" s="126"/>
      <c r="PNO502" s="126"/>
      <c r="PNP502" s="126"/>
      <c r="PNQ502" s="126"/>
      <c r="PNR502" s="126"/>
      <c r="PNS502" s="126"/>
      <c r="PNT502" s="126"/>
      <c r="PNU502" s="126"/>
      <c r="PNV502" s="126"/>
      <c r="PNW502" s="126"/>
      <c r="PNX502" s="126"/>
      <c r="PNY502" s="126"/>
      <c r="PNZ502" s="126"/>
      <c r="POA502" s="126"/>
      <c r="POB502" s="126"/>
      <c r="POC502" s="126"/>
      <c r="POD502" s="126"/>
      <c r="POE502" s="126"/>
      <c r="POF502" s="126"/>
      <c r="POG502" s="126"/>
      <c r="POH502" s="126"/>
      <c r="POI502" s="126"/>
      <c r="POJ502" s="126"/>
      <c r="POK502" s="126"/>
      <c r="POL502" s="126"/>
      <c r="POM502" s="126"/>
      <c r="PON502" s="126"/>
      <c r="POO502" s="126"/>
      <c r="POP502" s="126"/>
      <c r="POQ502" s="126"/>
      <c r="POR502" s="126"/>
      <c r="POS502" s="126"/>
      <c r="POT502" s="126"/>
      <c r="POU502" s="126"/>
      <c r="POV502" s="126"/>
      <c r="POW502" s="126"/>
      <c r="POX502" s="126"/>
      <c r="POY502" s="126"/>
      <c r="POZ502" s="126"/>
      <c r="PPA502" s="126"/>
      <c r="PPB502" s="126"/>
      <c r="PPC502" s="126"/>
      <c r="PPD502" s="126"/>
      <c r="PPE502" s="126"/>
      <c r="PPF502" s="126"/>
      <c r="PPG502" s="126"/>
      <c r="PPH502" s="126"/>
      <c r="PPI502" s="126"/>
      <c r="PPJ502" s="126"/>
      <c r="PPK502" s="126"/>
      <c r="PPL502" s="126"/>
      <c r="PPM502" s="126"/>
      <c r="PPN502" s="126"/>
      <c r="PPO502" s="126"/>
      <c r="PPP502" s="126"/>
      <c r="PPQ502" s="126"/>
      <c r="PPR502" s="126"/>
      <c r="PPS502" s="126"/>
      <c r="PPT502" s="126"/>
      <c r="PPU502" s="126"/>
      <c r="PPV502" s="126"/>
      <c r="PPW502" s="126"/>
      <c r="PPX502" s="126"/>
      <c r="PPY502" s="126"/>
      <c r="PPZ502" s="126"/>
      <c r="PQA502" s="126"/>
      <c r="PQB502" s="126"/>
      <c r="PQC502" s="126"/>
      <c r="PQD502" s="126"/>
      <c r="PQE502" s="126"/>
      <c r="PQF502" s="126"/>
      <c r="PQG502" s="126"/>
      <c r="PQH502" s="126"/>
      <c r="PQI502" s="126"/>
      <c r="PQJ502" s="126"/>
      <c r="PQK502" s="126"/>
      <c r="PQL502" s="126"/>
      <c r="PQM502" s="126"/>
      <c r="PQN502" s="126"/>
      <c r="PQO502" s="126"/>
      <c r="PQP502" s="126"/>
      <c r="PQQ502" s="126"/>
      <c r="PQR502" s="126"/>
      <c r="PQS502" s="126"/>
      <c r="PQT502" s="126"/>
      <c r="PQU502" s="126"/>
      <c r="PQV502" s="126"/>
      <c r="PQW502" s="126"/>
      <c r="PQX502" s="126"/>
      <c r="PQY502" s="126"/>
      <c r="PQZ502" s="126"/>
      <c r="PRA502" s="126"/>
      <c r="PRB502" s="126"/>
      <c r="PRC502" s="126"/>
      <c r="PRD502" s="126"/>
      <c r="PRE502" s="126"/>
      <c r="PRF502" s="126"/>
      <c r="PRG502" s="126"/>
      <c r="PRH502" s="126"/>
      <c r="PRI502" s="126"/>
      <c r="PRJ502" s="126"/>
      <c r="PRK502" s="126"/>
      <c r="PRL502" s="126"/>
      <c r="PRM502" s="126"/>
      <c r="PRN502" s="126"/>
      <c r="PRO502" s="126"/>
      <c r="PRP502" s="126"/>
      <c r="PRQ502" s="126"/>
      <c r="PRR502" s="126"/>
      <c r="PRS502" s="126"/>
      <c r="PRT502" s="126"/>
      <c r="PRU502" s="126"/>
      <c r="PRV502" s="126"/>
      <c r="PRW502" s="126"/>
      <c r="PRX502" s="126"/>
      <c r="PRY502" s="126"/>
      <c r="PRZ502" s="126"/>
      <c r="PSA502" s="126"/>
      <c r="PSB502" s="126"/>
      <c r="PSC502" s="126"/>
      <c r="PSD502" s="126"/>
      <c r="PSE502" s="126"/>
      <c r="PSF502" s="126"/>
      <c r="PSG502" s="126"/>
      <c r="PSH502" s="126"/>
      <c r="PSI502" s="126"/>
      <c r="PSJ502" s="126"/>
      <c r="PSK502" s="126"/>
      <c r="PSL502" s="126"/>
      <c r="PSM502" s="126"/>
      <c r="PSN502" s="126"/>
      <c r="PSO502" s="126"/>
      <c r="PSP502" s="126"/>
      <c r="PSQ502" s="126"/>
      <c r="PSR502" s="126"/>
      <c r="PSS502" s="126"/>
      <c r="PST502" s="126"/>
      <c r="PSU502" s="126"/>
      <c r="PSV502" s="126"/>
      <c r="PSW502" s="126"/>
      <c r="PSX502" s="126"/>
      <c r="PSY502" s="126"/>
      <c r="PSZ502" s="126"/>
      <c r="PTA502" s="126"/>
      <c r="PTB502" s="126"/>
      <c r="PTC502" s="126"/>
      <c r="PTD502" s="126"/>
      <c r="PTE502" s="126"/>
      <c r="PTF502" s="126"/>
      <c r="PTG502" s="126"/>
      <c r="PTH502" s="126"/>
      <c r="PTI502" s="126"/>
      <c r="PTJ502" s="126"/>
      <c r="PTK502" s="126"/>
      <c r="PTL502" s="126"/>
      <c r="PTM502" s="126"/>
      <c r="PTN502" s="126"/>
      <c r="PTO502" s="126"/>
      <c r="PTP502" s="126"/>
      <c r="PTQ502" s="126"/>
      <c r="PTR502" s="126"/>
      <c r="PTS502" s="126"/>
      <c r="PTT502" s="126"/>
      <c r="PTU502" s="126"/>
      <c r="PTV502" s="126"/>
      <c r="PTW502" s="126"/>
      <c r="PTX502" s="126"/>
      <c r="PTY502" s="126"/>
      <c r="PTZ502" s="126"/>
      <c r="PUA502" s="126"/>
      <c r="PUB502" s="126"/>
      <c r="PUC502" s="126"/>
      <c r="PUD502" s="126"/>
      <c r="PUE502" s="126"/>
      <c r="PUF502" s="126"/>
      <c r="PUG502" s="126"/>
      <c r="PUH502" s="126"/>
      <c r="PUI502" s="126"/>
      <c r="PUJ502" s="126"/>
      <c r="PUK502" s="126"/>
      <c r="PUL502" s="126"/>
      <c r="PUM502" s="126"/>
      <c r="PUN502" s="126"/>
      <c r="PUO502" s="126"/>
      <c r="PUP502" s="126"/>
      <c r="PUQ502" s="126"/>
      <c r="PUR502" s="126"/>
      <c r="PUS502" s="126"/>
      <c r="PUT502" s="126"/>
      <c r="PUU502" s="126"/>
      <c r="PUV502" s="126"/>
      <c r="PUW502" s="126"/>
      <c r="PUX502" s="126"/>
      <c r="PUY502" s="126"/>
      <c r="PUZ502" s="126"/>
      <c r="PVA502" s="126"/>
      <c r="PVB502" s="126"/>
      <c r="PVC502" s="126"/>
      <c r="PVD502" s="126"/>
      <c r="PVE502" s="126"/>
      <c r="PVF502" s="126"/>
      <c r="PVG502" s="126"/>
      <c r="PVH502" s="126"/>
      <c r="PVI502" s="126"/>
      <c r="PVJ502" s="126"/>
      <c r="PVK502" s="126"/>
      <c r="PVL502" s="126"/>
      <c r="PVM502" s="126"/>
      <c r="PVN502" s="126"/>
      <c r="PVO502" s="126"/>
      <c r="PVP502" s="126"/>
      <c r="PVQ502" s="126"/>
      <c r="PVR502" s="126"/>
      <c r="PVS502" s="126"/>
      <c r="PVT502" s="126"/>
      <c r="PVU502" s="126"/>
      <c r="PVV502" s="126"/>
      <c r="PVW502" s="126"/>
      <c r="PVX502" s="126"/>
      <c r="PVY502" s="126"/>
      <c r="PVZ502" s="126"/>
      <c r="PWA502" s="126"/>
      <c r="PWB502" s="126"/>
      <c r="PWC502" s="126"/>
      <c r="PWD502" s="126"/>
      <c r="PWE502" s="126"/>
      <c r="PWF502" s="126"/>
      <c r="PWG502" s="126"/>
      <c r="PWH502" s="126"/>
      <c r="PWI502" s="126"/>
      <c r="PWJ502" s="126"/>
      <c r="PWK502" s="126"/>
      <c r="PWL502" s="126"/>
      <c r="PWM502" s="126"/>
      <c r="PWN502" s="126"/>
      <c r="PWO502" s="126"/>
      <c r="PWP502" s="126"/>
      <c r="PWQ502" s="126"/>
      <c r="PWR502" s="126"/>
      <c r="PWS502" s="126"/>
      <c r="PWT502" s="126"/>
      <c r="PWU502" s="126"/>
      <c r="PWV502" s="126"/>
      <c r="PWW502" s="126"/>
      <c r="PWX502" s="126"/>
      <c r="PWY502" s="126"/>
      <c r="PWZ502" s="126"/>
      <c r="PXA502" s="126"/>
      <c r="PXB502" s="126"/>
      <c r="PXC502" s="126"/>
      <c r="PXD502" s="126"/>
      <c r="PXE502" s="126"/>
      <c r="PXF502" s="126"/>
      <c r="PXG502" s="126"/>
      <c r="PXH502" s="126"/>
      <c r="PXI502" s="126"/>
      <c r="PXJ502" s="126"/>
      <c r="PXK502" s="126"/>
      <c r="PXL502" s="126"/>
      <c r="PXM502" s="126"/>
      <c r="PXN502" s="126"/>
      <c r="PXO502" s="126"/>
      <c r="PXP502" s="126"/>
      <c r="PXQ502" s="126"/>
      <c r="PXR502" s="126"/>
      <c r="PXS502" s="126"/>
      <c r="PXT502" s="126"/>
      <c r="PXU502" s="126"/>
      <c r="PXV502" s="126"/>
      <c r="PXW502" s="126"/>
      <c r="PXX502" s="126"/>
      <c r="PXY502" s="126"/>
      <c r="PXZ502" s="126"/>
      <c r="PYA502" s="126"/>
      <c r="PYB502" s="126"/>
      <c r="PYC502" s="126"/>
      <c r="PYD502" s="126"/>
      <c r="PYE502" s="126"/>
      <c r="PYF502" s="126"/>
      <c r="PYG502" s="126"/>
      <c r="PYH502" s="126"/>
      <c r="PYI502" s="126"/>
      <c r="PYJ502" s="126"/>
      <c r="PYK502" s="126"/>
      <c r="PYL502" s="126"/>
      <c r="PYM502" s="126"/>
      <c r="PYN502" s="126"/>
      <c r="PYO502" s="126"/>
      <c r="PYP502" s="126"/>
      <c r="PYQ502" s="126"/>
      <c r="PYR502" s="126"/>
      <c r="PYS502" s="126"/>
      <c r="PYT502" s="126"/>
      <c r="PYU502" s="126"/>
      <c r="PYV502" s="126"/>
      <c r="PYW502" s="126"/>
      <c r="PYX502" s="126"/>
      <c r="PYY502" s="126"/>
      <c r="PYZ502" s="126"/>
      <c r="PZA502" s="126"/>
      <c r="PZB502" s="126"/>
      <c r="PZC502" s="126"/>
      <c r="PZD502" s="126"/>
      <c r="PZE502" s="126"/>
      <c r="PZF502" s="126"/>
      <c r="PZG502" s="126"/>
      <c r="PZH502" s="126"/>
      <c r="PZI502" s="126"/>
      <c r="PZJ502" s="126"/>
      <c r="PZK502" s="126"/>
      <c r="PZL502" s="126"/>
      <c r="PZM502" s="126"/>
      <c r="PZN502" s="126"/>
      <c r="PZO502" s="126"/>
      <c r="PZP502" s="126"/>
      <c r="PZQ502" s="126"/>
      <c r="PZR502" s="126"/>
      <c r="PZS502" s="126"/>
      <c r="PZT502" s="126"/>
      <c r="PZU502" s="126"/>
      <c r="PZV502" s="126"/>
      <c r="PZW502" s="126"/>
      <c r="PZX502" s="126"/>
      <c r="PZY502" s="126"/>
      <c r="PZZ502" s="126"/>
      <c r="QAA502" s="126"/>
      <c r="QAB502" s="126"/>
      <c r="QAC502" s="126"/>
      <c r="QAD502" s="126"/>
      <c r="QAE502" s="126"/>
      <c r="QAF502" s="126"/>
      <c r="QAG502" s="126"/>
      <c r="QAH502" s="126"/>
      <c r="QAI502" s="126"/>
      <c r="QAJ502" s="126"/>
      <c r="QAK502" s="126"/>
      <c r="QAL502" s="126"/>
      <c r="QAM502" s="126"/>
      <c r="QAN502" s="126"/>
      <c r="QAO502" s="126"/>
      <c r="QAP502" s="126"/>
      <c r="QAQ502" s="126"/>
      <c r="QAR502" s="126"/>
      <c r="QAS502" s="126"/>
      <c r="QAT502" s="126"/>
      <c r="QAU502" s="126"/>
      <c r="QAV502" s="126"/>
      <c r="QAW502" s="126"/>
      <c r="QAX502" s="126"/>
      <c r="QAY502" s="126"/>
      <c r="QAZ502" s="126"/>
      <c r="QBA502" s="126"/>
      <c r="QBB502" s="126"/>
      <c r="QBC502" s="126"/>
      <c r="QBD502" s="126"/>
      <c r="QBE502" s="126"/>
      <c r="QBF502" s="126"/>
      <c r="QBG502" s="126"/>
      <c r="QBH502" s="126"/>
      <c r="QBI502" s="126"/>
      <c r="QBJ502" s="126"/>
      <c r="QBK502" s="126"/>
      <c r="QBL502" s="126"/>
      <c r="QBM502" s="126"/>
      <c r="QBN502" s="126"/>
      <c r="QBO502" s="126"/>
      <c r="QBP502" s="126"/>
      <c r="QBQ502" s="126"/>
      <c r="QBR502" s="126"/>
      <c r="QBS502" s="126"/>
      <c r="QBT502" s="126"/>
      <c r="QBU502" s="126"/>
      <c r="QBV502" s="126"/>
      <c r="QBW502" s="126"/>
      <c r="QBX502" s="126"/>
      <c r="QBY502" s="126"/>
      <c r="QBZ502" s="126"/>
      <c r="QCA502" s="126"/>
      <c r="QCB502" s="126"/>
      <c r="QCC502" s="126"/>
      <c r="QCD502" s="126"/>
      <c r="QCE502" s="126"/>
      <c r="QCF502" s="126"/>
      <c r="QCG502" s="126"/>
      <c r="QCH502" s="126"/>
      <c r="QCI502" s="126"/>
      <c r="QCJ502" s="126"/>
      <c r="QCK502" s="126"/>
      <c r="QCL502" s="126"/>
      <c r="QCM502" s="126"/>
      <c r="QCN502" s="126"/>
      <c r="QCO502" s="126"/>
      <c r="QCP502" s="126"/>
      <c r="QCQ502" s="126"/>
      <c r="QCR502" s="126"/>
      <c r="QCS502" s="126"/>
      <c r="QCT502" s="126"/>
      <c r="QCU502" s="126"/>
      <c r="QCV502" s="126"/>
      <c r="QCW502" s="126"/>
      <c r="QCX502" s="126"/>
      <c r="QCY502" s="126"/>
      <c r="QCZ502" s="126"/>
      <c r="QDA502" s="126"/>
      <c r="QDB502" s="126"/>
      <c r="QDC502" s="126"/>
      <c r="QDD502" s="126"/>
      <c r="QDE502" s="126"/>
      <c r="QDF502" s="126"/>
      <c r="QDG502" s="126"/>
      <c r="QDH502" s="126"/>
      <c r="QDI502" s="126"/>
      <c r="QDJ502" s="126"/>
      <c r="QDK502" s="126"/>
      <c r="QDL502" s="126"/>
      <c r="QDM502" s="126"/>
      <c r="QDN502" s="126"/>
      <c r="QDO502" s="126"/>
      <c r="QDP502" s="126"/>
      <c r="QDQ502" s="126"/>
      <c r="QDR502" s="126"/>
      <c r="QDS502" s="126"/>
      <c r="QDT502" s="126"/>
      <c r="QDU502" s="126"/>
      <c r="QDV502" s="126"/>
      <c r="QDW502" s="126"/>
      <c r="QDX502" s="126"/>
      <c r="QDY502" s="126"/>
      <c r="QDZ502" s="126"/>
      <c r="QEA502" s="126"/>
      <c r="QEB502" s="126"/>
      <c r="QEC502" s="126"/>
      <c r="QED502" s="126"/>
      <c r="QEE502" s="126"/>
      <c r="QEF502" s="126"/>
      <c r="QEG502" s="126"/>
      <c r="QEH502" s="126"/>
      <c r="QEI502" s="126"/>
      <c r="QEJ502" s="126"/>
      <c r="QEK502" s="126"/>
      <c r="QEL502" s="126"/>
      <c r="QEM502" s="126"/>
      <c r="QEN502" s="126"/>
      <c r="QEO502" s="126"/>
      <c r="QEP502" s="126"/>
      <c r="QEQ502" s="126"/>
      <c r="QER502" s="126"/>
      <c r="QES502" s="126"/>
      <c r="QET502" s="126"/>
      <c r="QEU502" s="126"/>
      <c r="QEV502" s="126"/>
      <c r="QEW502" s="126"/>
      <c r="QEX502" s="126"/>
      <c r="QEY502" s="126"/>
      <c r="QEZ502" s="126"/>
      <c r="QFA502" s="126"/>
      <c r="QFB502" s="126"/>
      <c r="QFC502" s="126"/>
      <c r="QFD502" s="126"/>
      <c r="QFE502" s="126"/>
      <c r="QFF502" s="126"/>
      <c r="QFG502" s="126"/>
      <c r="QFH502" s="126"/>
      <c r="QFI502" s="126"/>
      <c r="QFJ502" s="126"/>
      <c r="QFK502" s="126"/>
      <c r="QFL502" s="126"/>
      <c r="QFM502" s="126"/>
      <c r="QFN502" s="126"/>
      <c r="QFO502" s="126"/>
      <c r="QFP502" s="126"/>
      <c r="QFQ502" s="126"/>
      <c r="QFR502" s="126"/>
      <c r="QFS502" s="126"/>
      <c r="QFT502" s="126"/>
      <c r="QFU502" s="126"/>
      <c r="QFV502" s="126"/>
      <c r="QFW502" s="126"/>
      <c r="QFX502" s="126"/>
      <c r="QFY502" s="126"/>
      <c r="QFZ502" s="126"/>
      <c r="QGA502" s="126"/>
      <c r="QGB502" s="126"/>
      <c r="QGC502" s="126"/>
      <c r="QGD502" s="126"/>
      <c r="QGE502" s="126"/>
      <c r="QGF502" s="126"/>
      <c r="QGG502" s="126"/>
      <c r="QGH502" s="126"/>
      <c r="QGI502" s="126"/>
      <c r="QGJ502" s="126"/>
      <c r="QGK502" s="126"/>
      <c r="QGL502" s="126"/>
      <c r="QGM502" s="126"/>
      <c r="QGN502" s="126"/>
      <c r="QGO502" s="126"/>
      <c r="QGP502" s="126"/>
      <c r="QGQ502" s="126"/>
      <c r="QGR502" s="126"/>
      <c r="QGS502" s="126"/>
      <c r="QGT502" s="126"/>
      <c r="QGU502" s="126"/>
      <c r="QGV502" s="126"/>
      <c r="QGW502" s="126"/>
      <c r="QGX502" s="126"/>
      <c r="QGY502" s="126"/>
      <c r="QGZ502" s="126"/>
      <c r="QHA502" s="126"/>
      <c r="QHB502" s="126"/>
      <c r="QHC502" s="126"/>
      <c r="QHD502" s="126"/>
      <c r="QHE502" s="126"/>
      <c r="QHF502" s="126"/>
      <c r="QHG502" s="126"/>
      <c r="QHH502" s="126"/>
      <c r="QHI502" s="126"/>
      <c r="QHJ502" s="126"/>
      <c r="QHK502" s="126"/>
      <c r="QHL502" s="126"/>
      <c r="QHM502" s="126"/>
      <c r="QHN502" s="126"/>
      <c r="QHO502" s="126"/>
      <c r="QHP502" s="126"/>
      <c r="QHQ502" s="126"/>
      <c r="QHR502" s="126"/>
      <c r="QHS502" s="126"/>
      <c r="QHT502" s="126"/>
      <c r="QHU502" s="126"/>
      <c r="QHV502" s="126"/>
      <c r="QHW502" s="126"/>
      <c r="QHX502" s="126"/>
      <c r="QHY502" s="126"/>
      <c r="QHZ502" s="126"/>
      <c r="QIA502" s="126"/>
      <c r="QIB502" s="126"/>
      <c r="QIC502" s="126"/>
      <c r="QID502" s="126"/>
      <c r="QIE502" s="126"/>
      <c r="QIF502" s="126"/>
      <c r="QIG502" s="126"/>
      <c r="QIH502" s="126"/>
      <c r="QII502" s="126"/>
      <c r="QIJ502" s="126"/>
      <c r="QIK502" s="126"/>
      <c r="QIL502" s="126"/>
      <c r="QIM502" s="126"/>
      <c r="QIN502" s="126"/>
      <c r="QIO502" s="126"/>
      <c r="QIP502" s="126"/>
      <c r="QIQ502" s="126"/>
      <c r="QIR502" s="126"/>
      <c r="QIS502" s="126"/>
      <c r="QIT502" s="126"/>
      <c r="QIU502" s="126"/>
      <c r="QIV502" s="126"/>
      <c r="QIW502" s="126"/>
      <c r="QIX502" s="126"/>
      <c r="QIY502" s="126"/>
      <c r="QIZ502" s="126"/>
      <c r="QJA502" s="126"/>
      <c r="QJB502" s="126"/>
      <c r="QJC502" s="126"/>
      <c r="QJD502" s="126"/>
      <c r="QJE502" s="126"/>
      <c r="QJF502" s="126"/>
      <c r="QJG502" s="126"/>
      <c r="QJH502" s="126"/>
      <c r="QJI502" s="126"/>
      <c r="QJJ502" s="126"/>
      <c r="QJK502" s="126"/>
      <c r="QJL502" s="126"/>
      <c r="QJM502" s="126"/>
      <c r="QJN502" s="126"/>
      <c r="QJO502" s="126"/>
      <c r="QJP502" s="126"/>
      <c r="QJQ502" s="126"/>
      <c r="QJR502" s="126"/>
      <c r="QJS502" s="126"/>
      <c r="QJT502" s="126"/>
      <c r="QJU502" s="126"/>
      <c r="QJV502" s="126"/>
      <c r="QJW502" s="126"/>
      <c r="QJX502" s="126"/>
      <c r="QJY502" s="126"/>
      <c r="QJZ502" s="126"/>
      <c r="QKA502" s="126"/>
      <c r="QKB502" s="126"/>
      <c r="QKC502" s="126"/>
      <c r="QKD502" s="126"/>
      <c r="QKE502" s="126"/>
      <c r="QKF502" s="126"/>
      <c r="QKG502" s="126"/>
      <c r="QKH502" s="126"/>
      <c r="QKI502" s="126"/>
      <c r="QKJ502" s="126"/>
      <c r="QKK502" s="126"/>
      <c r="QKL502" s="126"/>
      <c r="QKM502" s="126"/>
      <c r="QKN502" s="126"/>
      <c r="QKO502" s="126"/>
      <c r="QKP502" s="126"/>
      <c r="QKQ502" s="126"/>
      <c r="QKR502" s="126"/>
      <c r="QKS502" s="126"/>
      <c r="QKT502" s="126"/>
      <c r="QKU502" s="126"/>
      <c r="QKV502" s="126"/>
      <c r="QKW502" s="126"/>
      <c r="QKX502" s="126"/>
      <c r="QKY502" s="126"/>
      <c r="QKZ502" s="126"/>
      <c r="QLA502" s="126"/>
      <c r="QLB502" s="126"/>
      <c r="QLC502" s="126"/>
      <c r="QLD502" s="126"/>
      <c r="QLE502" s="126"/>
      <c r="QLF502" s="126"/>
      <c r="QLG502" s="126"/>
      <c r="QLH502" s="126"/>
      <c r="QLI502" s="126"/>
      <c r="QLJ502" s="126"/>
      <c r="QLK502" s="126"/>
      <c r="QLL502" s="126"/>
      <c r="QLM502" s="126"/>
      <c r="QLN502" s="126"/>
      <c r="QLO502" s="126"/>
      <c r="QLP502" s="126"/>
      <c r="QLQ502" s="126"/>
      <c r="QLR502" s="126"/>
      <c r="QLS502" s="126"/>
      <c r="QLT502" s="126"/>
      <c r="QLU502" s="126"/>
      <c r="QLV502" s="126"/>
      <c r="QLW502" s="126"/>
      <c r="QLX502" s="126"/>
      <c r="QLY502" s="126"/>
      <c r="QLZ502" s="126"/>
      <c r="QMA502" s="126"/>
      <c r="QMB502" s="126"/>
      <c r="QMC502" s="126"/>
      <c r="QMD502" s="126"/>
      <c r="QME502" s="126"/>
      <c r="QMF502" s="126"/>
      <c r="QMG502" s="126"/>
      <c r="QMH502" s="126"/>
      <c r="QMI502" s="126"/>
      <c r="QMJ502" s="126"/>
      <c r="QMK502" s="126"/>
      <c r="QML502" s="126"/>
      <c r="QMM502" s="126"/>
      <c r="QMN502" s="126"/>
      <c r="QMO502" s="126"/>
      <c r="QMP502" s="126"/>
      <c r="QMQ502" s="126"/>
      <c r="QMR502" s="126"/>
      <c r="QMS502" s="126"/>
      <c r="QMT502" s="126"/>
      <c r="QMU502" s="126"/>
      <c r="QMV502" s="126"/>
      <c r="QMW502" s="126"/>
      <c r="QMX502" s="126"/>
      <c r="QMY502" s="126"/>
      <c r="QMZ502" s="126"/>
      <c r="QNA502" s="126"/>
      <c r="QNB502" s="126"/>
      <c r="QNC502" s="126"/>
      <c r="QND502" s="126"/>
      <c r="QNE502" s="126"/>
      <c r="QNF502" s="126"/>
      <c r="QNG502" s="126"/>
      <c r="QNH502" s="126"/>
      <c r="QNI502" s="126"/>
      <c r="QNJ502" s="126"/>
      <c r="QNK502" s="126"/>
      <c r="QNL502" s="126"/>
      <c r="QNM502" s="126"/>
      <c r="QNN502" s="126"/>
      <c r="QNO502" s="126"/>
      <c r="QNP502" s="126"/>
      <c r="QNQ502" s="126"/>
      <c r="QNR502" s="126"/>
      <c r="QNS502" s="126"/>
      <c r="QNT502" s="126"/>
      <c r="QNU502" s="126"/>
      <c r="QNV502" s="126"/>
      <c r="QNW502" s="126"/>
      <c r="QNX502" s="126"/>
      <c r="QNY502" s="126"/>
      <c r="QNZ502" s="126"/>
      <c r="QOA502" s="126"/>
      <c r="QOB502" s="126"/>
      <c r="QOC502" s="126"/>
      <c r="QOD502" s="126"/>
      <c r="QOE502" s="126"/>
      <c r="QOF502" s="126"/>
      <c r="QOG502" s="126"/>
      <c r="QOH502" s="126"/>
      <c r="QOI502" s="126"/>
      <c r="QOJ502" s="126"/>
      <c r="QOK502" s="126"/>
      <c r="QOL502" s="126"/>
      <c r="QOM502" s="126"/>
      <c r="QON502" s="126"/>
      <c r="QOO502" s="126"/>
      <c r="QOP502" s="126"/>
      <c r="QOQ502" s="126"/>
      <c r="QOR502" s="126"/>
      <c r="QOS502" s="126"/>
      <c r="QOT502" s="126"/>
      <c r="QOU502" s="126"/>
      <c r="QOV502" s="126"/>
      <c r="QOW502" s="126"/>
      <c r="QOX502" s="126"/>
      <c r="QOY502" s="126"/>
      <c r="QOZ502" s="126"/>
      <c r="QPA502" s="126"/>
      <c r="QPB502" s="126"/>
      <c r="QPC502" s="126"/>
      <c r="QPD502" s="126"/>
      <c r="QPE502" s="126"/>
      <c r="QPF502" s="126"/>
      <c r="QPG502" s="126"/>
      <c r="QPH502" s="126"/>
      <c r="QPI502" s="126"/>
      <c r="QPJ502" s="126"/>
      <c r="QPK502" s="126"/>
      <c r="QPL502" s="126"/>
      <c r="QPM502" s="126"/>
      <c r="QPN502" s="126"/>
      <c r="QPO502" s="126"/>
      <c r="QPP502" s="126"/>
      <c r="QPQ502" s="126"/>
      <c r="QPR502" s="126"/>
      <c r="QPS502" s="126"/>
      <c r="QPT502" s="126"/>
      <c r="QPU502" s="126"/>
      <c r="QPV502" s="126"/>
      <c r="QPW502" s="126"/>
      <c r="QPX502" s="126"/>
      <c r="QPY502" s="126"/>
      <c r="QPZ502" s="126"/>
      <c r="QQA502" s="126"/>
      <c r="QQB502" s="126"/>
      <c r="QQC502" s="126"/>
      <c r="QQD502" s="126"/>
      <c r="QQE502" s="126"/>
      <c r="QQF502" s="126"/>
      <c r="QQG502" s="126"/>
      <c r="QQH502" s="126"/>
      <c r="QQI502" s="126"/>
      <c r="QQJ502" s="126"/>
      <c r="QQK502" s="126"/>
      <c r="QQL502" s="126"/>
      <c r="QQM502" s="126"/>
      <c r="QQN502" s="126"/>
      <c r="QQO502" s="126"/>
      <c r="QQP502" s="126"/>
      <c r="QQQ502" s="126"/>
      <c r="QQR502" s="126"/>
      <c r="QQS502" s="126"/>
      <c r="QQT502" s="126"/>
      <c r="QQU502" s="126"/>
      <c r="QQV502" s="126"/>
      <c r="QQW502" s="126"/>
      <c r="QQX502" s="126"/>
      <c r="QQY502" s="126"/>
      <c r="QQZ502" s="126"/>
      <c r="QRA502" s="126"/>
      <c r="QRB502" s="126"/>
      <c r="QRC502" s="126"/>
      <c r="QRD502" s="126"/>
      <c r="QRE502" s="126"/>
      <c r="QRF502" s="126"/>
      <c r="QRG502" s="126"/>
      <c r="QRH502" s="126"/>
      <c r="QRI502" s="126"/>
      <c r="QRJ502" s="126"/>
      <c r="QRK502" s="126"/>
      <c r="QRL502" s="126"/>
      <c r="QRM502" s="126"/>
      <c r="QRN502" s="126"/>
      <c r="QRO502" s="126"/>
      <c r="QRP502" s="126"/>
      <c r="QRQ502" s="126"/>
      <c r="QRR502" s="126"/>
      <c r="QRS502" s="126"/>
      <c r="QRT502" s="126"/>
      <c r="QRU502" s="126"/>
      <c r="QRV502" s="126"/>
      <c r="QRW502" s="126"/>
      <c r="QRX502" s="126"/>
      <c r="QRY502" s="126"/>
      <c r="QRZ502" s="126"/>
      <c r="QSA502" s="126"/>
      <c r="QSB502" s="126"/>
      <c r="QSC502" s="126"/>
      <c r="QSD502" s="126"/>
      <c r="QSE502" s="126"/>
      <c r="QSF502" s="126"/>
      <c r="QSG502" s="126"/>
      <c r="QSH502" s="126"/>
      <c r="QSI502" s="126"/>
      <c r="QSJ502" s="126"/>
      <c r="QSK502" s="126"/>
      <c r="QSL502" s="126"/>
      <c r="QSM502" s="126"/>
      <c r="QSN502" s="126"/>
      <c r="QSO502" s="126"/>
      <c r="QSP502" s="126"/>
      <c r="QSQ502" s="126"/>
      <c r="QSR502" s="126"/>
      <c r="QSS502" s="126"/>
      <c r="QST502" s="126"/>
      <c r="QSU502" s="126"/>
      <c r="QSV502" s="126"/>
      <c r="QSW502" s="126"/>
      <c r="QSX502" s="126"/>
      <c r="QSY502" s="126"/>
      <c r="QSZ502" s="126"/>
      <c r="QTA502" s="126"/>
      <c r="QTB502" s="126"/>
      <c r="QTC502" s="126"/>
      <c r="QTD502" s="126"/>
      <c r="QTE502" s="126"/>
      <c r="QTF502" s="126"/>
      <c r="QTG502" s="126"/>
      <c r="QTH502" s="126"/>
      <c r="QTI502" s="126"/>
      <c r="QTJ502" s="126"/>
      <c r="QTK502" s="126"/>
      <c r="QTL502" s="126"/>
      <c r="QTM502" s="126"/>
      <c r="QTN502" s="126"/>
      <c r="QTO502" s="126"/>
      <c r="QTP502" s="126"/>
      <c r="QTQ502" s="126"/>
      <c r="QTR502" s="126"/>
      <c r="QTS502" s="126"/>
      <c r="QTT502" s="126"/>
      <c r="QTU502" s="126"/>
      <c r="QTV502" s="126"/>
      <c r="QTW502" s="126"/>
      <c r="QTX502" s="126"/>
      <c r="QTY502" s="126"/>
      <c r="QTZ502" s="126"/>
      <c r="QUA502" s="126"/>
      <c r="QUB502" s="126"/>
      <c r="QUC502" s="126"/>
      <c r="QUD502" s="126"/>
      <c r="QUE502" s="126"/>
      <c r="QUF502" s="126"/>
      <c r="QUG502" s="126"/>
      <c r="QUH502" s="126"/>
      <c r="QUI502" s="126"/>
      <c r="QUJ502" s="126"/>
      <c r="QUK502" s="126"/>
      <c r="QUL502" s="126"/>
      <c r="QUM502" s="126"/>
      <c r="QUN502" s="126"/>
      <c r="QUO502" s="126"/>
      <c r="QUP502" s="126"/>
      <c r="QUQ502" s="126"/>
      <c r="QUR502" s="126"/>
      <c r="QUS502" s="126"/>
      <c r="QUT502" s="126"/>
      <c r="QUU502" s="126"/>
      <c r="QUV502" s="126"/>
      <c r="QUW502" s="126"/>
      <c r="QUX502" s="126"/>
      <c r="QUY502" s="126"/>
      <c r="QUZ502" s="126"/>
      <c r="QVA502" s="126"/>
      <c r="QVB502" s="126"/>
      <c r="QVC502" s="126"/>
      <c r="QVD502" s="126"/>
      <c r="QVE502" s="126"/>
      <c r="QVF502" s="126"/>
      <c r="QVG502" s="126"/>
      <c r="QVH502" s="126"/>
      <c r="QVI502" s="126"/>
      <c r="QVJ502" s="126"/>
      <c r="QVK502" s="126"/>
      <c r="QVL502" s="126"/>
      <c r="QVM502" s="126"/>
      <c r="QVN502" s="126"/>
      <c r="QVO502" s="126"/>
      <c r="QVP502" s="126"/>
      <c r="QVQ502" s="126"/>
      <c r="QVR502" s="126"/>
      <c r="QVS502" s="126"/>
      <c r="QVT502" s="126"/>
      <c r="QVU502" s="126"/>
      <c r="QVV502" s="126"/>
      <c r="QVW502" s="126"/>
      <c r="QVX502" s="126"/>
      <c r="QVY502" s="126"/>
      <c r="QVZ502" s="126"/>
      <c r="QWA502" s="126"/>
      <c r="QWB502" s="126"/>
      <c r="QWC502" s="126"/>
      <c r="QWD502" s="126"/>
      <c r="QWE502" s="126"/>
      <c r="QWF502" s="126"/>
      <c r="QWG502" s="126"/>
      <c r="QWH502" s="126"/>
      <c r="QWI502" s="126"/>
      <c r="QWJ502" s="126"/>
      <c r="QWK502" s="126"/>
      <c r="QWL502" s="126"/>
      <c r="QWM502" s="126"/>
      <c r="QWN502" s="126"/>
      <c r="QWO502" s="126"/>
      <c r="QWP502" s="126"/>
      <c r="QWQ502" s="126"/>
      <c r="QWR502" s="126"/>
      <c r="QWS502" s="126"/>
      <c r="QWT502" s="126"/>
      <c r="QWU502" s="126"/>
      <c r="QWV502" s="126"/>
      <c r="QWW502" s="126"/>
      <c r="QWX502" s="126"/>
      <c r="QWY502" s="126"/>
      <c r="QWZ502" s="126"/>
      <c r="QXA502" s="126"/>
      <c r="QXB502" s="126"/>
      <c r="QXC502" s="126"/>
      <c r="QXD502" s="126"/>
      <c r="QXE502" s="126"/>
      <c r="QXF502" s="126"/>
      <c r="QXG502" s="126"/>
      <c r="QXH502" s="126"/>
      <c r="QXI502" s="126"/>
      <c r="QXJ502" s="126"/>
      <c r="QXK502" s="126"/>
      <c r="QXL502" s="126"/>
      <c r="QXM502" s="126"/>
      <c r="QXN502" s="126"/>
      <c r="QXO502" s="126"/>
      <c r="QXP502" s="126"/>
      <c r="QXQ502" s="126"/>
      <c r="QXR502" s="126"/>
      <c r="QXS502" s="126"/>
      <c r="QXT502" s="126"/>
      <c r="QXU502" s="126"/>
      <c r="QXV502" s="126"/>
      <c r="QXW502" s="126"/>
      <c r="QXX502" s="126"/>
      <c r="QXY502" s="126"/>
      <c r="QXZ502" s="126"/>
      <c r="QYA502" s="126"/>
      <c r="QYB502" s="126"/>
      <c r="QYC502" s="126"/>
      <c r="QYD502" s="126"/>
      <c r="QYE502" s="126"/>
      <c r="QYF502" s="126"/>
      <c r="QYG502" s="126"/>
      <c r="QYH502" s="126"/>
      <c r="QYI502" s="126"/>
      <c r="QYJ502" s="126"/>
      <c r="QYK502" s="126"/>
      <c r="QYL502" s="126"/>
      <c r="QYM502" s="126"/>
      <c r="QYN502" s="126"/>
      <c r="QYO502" s="126"/>
      <c r="QYP502" s="126"/>
      <c r="QYQ502" s="126"/>
      <c r="QYR502" s="126"/>
      <c r="QYS502" s="126"/>
      <c r="QYT502" s="126"/>
      <c r="QYU502" s="126"/>
      <c r="QYV502" s="126"/>
      <c r="QYW502" s="126"/>
      <c r="QYX502" s="126"/>
      <c r="QYY502" s="126"/>
      <c r="QYZ502" s="126"/>
      <c r="QZA502" s="126"/>
      <c r="QZB502" s="126"/>
      <c r="QZC502" s="126"/>
      <c r="QZD502" s="126"/>
      <c r="QZE502" s="126"/>
      <c r="QZF502" s="126"/>
      <c r="QZG502" s="126"/>
      <c r="QZH502" s="126"/>
      <c r="QZI502" s="126"/>
      <c r="QZJ502" s="126"/>
      <c r="QZK502" s="126"/>
      <c r="QZL502" s="126"/>
      <c r="QZM502" s="126"/>
      <c r="QZN502" s="126"/>
      <c r="QZO502" s="126"/>
      <c r="QZP502" s="126"/>
      <c r="QZQ502" s="126"/>
      <c r="QZR502" s="126"/>
      <c r="QZS502" s="126"/>
      <c r="QZT502" s="126"/>
      <c r="QZU502" s="126"/>
      <c r="QZV502" s="126"/>
      <c r="QZW502" s="126"/>
      <c r="QZX502" s="126"/>
      <c r="QZY502" s="126"/>
      <c r="QZZ502" s="126"/>
      <c r="RAA502" s="126"/>
      <c r="RAB502" s="126"/>
      <c r="RAC502" s="126"/>
      <c r="RAD502" s="126"/>
      <c r="RAE502" s="126"/>
      <c r="RAF502" s="126"/>
      <c r="RAG502" s="126"/>
      <c r="RAH502" s="126"/>
      <c r="RAI502" s="126"/>
      <c r="RAJ502" s="126"/>
      <c r="RAK502" s="126"/>
      <c r="RAL502" s="126"/>
      <c r="RAM502" s="126"/>
      <c r="RAN502" s="126"/>
      <c r="RAO502" s="126"/>
      <c r="RAP502" s="126"/>
      <c r="RAQ502" s="126"/>
      <c r="RAR502" s="126"/>
      <c r="RAS502" s="126"/>
      <c r="RAT502" s="126"/>
      <c r="RAU502" s="126"/>
      <c r="RAV502" s="126"/>
      <c r="RAW502" s="126"/>
      <c r="RAX502" s="126"/>
      <c r="RAY502" s="126"/>
      <c r="RAZ502" s="126"/>
      <c r="RBA502" s="126"/>
      <c r="RBB502" s="126"/>
      <c r="RBC502" s="126"/>
      <c r="RBD502" s="126"/>
      <c r="RBE502" s="126"/>
      <c r="RBF502" s="126"/>
      <c r="RBG502" s="126"/>
      <c r="RBH502" s="126"/>
      <c r="RBI502" s="126"/>
      <c r="RBJ502" s="126"/>
      <c r="RBK502" s="126"/>
      <c r="RBL502" s="126"/>
      <c r="RBM502" s="126"/>
      <c r="RBN502" s="126"/>
      <c r="RBO502" s="126"/>
      <c r="RBP502" s="126"/>
      <c r="RBQ502" s="126"/>
      <c r="RBR502" s="126"/>
      <c r="RBS502" s="126"/>
      <c r="RBT502" s="126"/>
      <c r="RBU502" s="126"/>
      <c r="RBV502" s="126"/>
      <c r="RBW502" s="126"/>
      <c r="RBX502" s="126"/>
      <c r="RBY502" s="126"/>
      <c r="RBZ502" s="126"/>
      <c r="RCA502" s="126"/>
      <c r="RCB502" s="126"/>
      <c r="RCC502" s="126"/>
      <c r="RCD502" s="126"/>
      <c r="RCE502" s="126"/>
      <c r="RCF502" s="126"/>
      <c r="RCG502" s="126"/>
      <c r="RCH502" s="126"/>
      <c r="RCI502" s="126"/>
      <c r="RCJ502" s="126"/>
      <c r="RCK502" s="126"/>
      <c r="RCL502" s="126"/>
      <c r="RCM502" s="126"/>
      <c r="RCN502" s="126"/>
      <c r="RCO502" s="126"/>
      <c r="RCP502" s="126"/>
      <c r="RCQ502" s="126"/>
      <c r="RCR502" s="126"/>
      <c r="RCS502" s="126"/>
      <c r="RCT502" s="126"/>
      <c r="RCU502" s="126"/>
      <c r="RCV502" s="126"/>
      <c r="RCW502" s="126"/>
      <c r="RCX502" s="126"/>
      <c r="RCY502" s="126"/>
      <c r="RCZ502" s="126"/>
      <c r="RDA502" s="126"/>
      <c r="RDB502" s="126"/>
      <c r="RDC502" s="126"/>
      <c r="RDD502" s="126"/>
      <c r="RDE502" s="126"/>
      <c r="RDF502" s="126"/>
      <c r="RDG502" s="126"/>
      <c r="RDH502" s="126"/>
      <c r="RDI502" s="126"/>
      <c r="RDJ502" s="126"/>
      <c r="RDK502" s="126"/>
      <c r="RDL502" s="126"/>
      <c r="RDM502" s="126"/>
      <c r="RDN502" s="126"/>
      <c r="RDO502" s="126"/>
      <c r="RDP502" s="126"/>
      <c r="RDQ502" s="126"/>
      <c r="RDR502" s="126"/>
      <c r="RDS502" s="126"/>
      <c r="RDT502" s="126"/>
      <c r="RDU502" s="126"/>
      <c r="RDV502" s="126"/>
      <c r="RDW502" s="126"/>
      <c r="RDX502" s="126"/>
      <c r="RDY502" s="126"/>
      <c r="RDZ502" s="126"/>
      <c r="REA502" s="126"/>
      <c r="REB502" s="126"/>
      <c r="REC502" s="126"/>
      <c r="RED502" s="126"/>
      <c r="REE502" s="126"/>
      <c r="REF502" s="126"/>
      <c r="REG502" s="126"/>
      <c r="REH502" s="126"/>
      <c r="REI502" s="126"/>
      <c r="REJ502" s="126"/>
      <c r="REK502" s="126"/>
      <c r="REL502" s="126"/>
      <c r="REM502" s="126"/>
      <c r="REN502" s="126"/>
      <c r="REO502" s="126"/>
      <c r="REP502" s="126"/>
      <c r="REQ502" s="126"/>
      <c r="RER502" s="126"/>
      <c r="RES502" s="126"/>
      <c r="RET502" s="126"/>
      <c r="REU502" s="126"/>
      <c r="REV502" s="126"/>
      <c r="REW502" s="126"/>
      <c r="REX502" s="126"/>
      <c r="REY502" s="126"/>
      <c r="REZ502" s="126"/>
      <c r="RFA502" s="126"/>
      <c r="RFB502" s="126"/>
      <c r="RFC502" s="126"/>
      <c r="RFD502" s="126"/>
      <c r="RFE502" s="126"/>
      <c r="RFF502" s="126"/>
      <c r="RFG502" s="126"/>
      <c r="RFH502" s="126"/>
      <c r="RFI502" s="126"/>
      <c r="RFJ502" s="126"/>
      <c r="RFK502" s="126"/>
      <c r="RFL502" s="126"/>
      <c r="RFM502" s="126"/>
      <c r="RFN502" s="126"/>
      <c r="RFO502" s="126"/>
      <c r="RFP502" s="126"/>
      <c r="RFQ502" s="126"/>
      <c r="RFR502" s="126"/>
      <c r="RFS502" s="126"/>
      <c r="RFT502" s="126"/>
      <c r="RFU502" s="126"/>
      <c r="RFV502" s="126"/>
      <c r="RFW502" s="126"/>
      <c r="RFX502" s="126"/>
      <c r="RFY502" s="126"/>
      <c r="RFZ502" s="126"/>
      <c r="RGA502" s="126"/>
      <c r="RGB502" s="126"/>
      <c r="RGC502" s="126"/>
      <c r="RGD502" s="126"/>
      <c r="RGE502" s="126"/>
      <c r="RGF502" s="126"/>
      <c r="RGG502" s="126"/>
      <c r="RGH502" s="126"/>
      <c r="RGI502" s="126"/>
      <c r="RGJ502" s="126"/>
      <c r="RGK502" s="126"/>
      <c r="RGL502" s="126"/>
      <c r="RGM502" s="126"/>
      <c r="RGN502" s="126"/>
      <c r="RGO502" s="126"/>
      <c r="RGP502" s="126"/>
      <c r="RGQ502" s="126"/>
      <c r="RGR502" s="126"/>
      <c r="RGS502" s="126"/>
      <c r="RGT502" s="126"/>
      <c r="RGU502" s="126"/>
      <c r="RGV502" s="126"/>
      <c r="RGW502" s="126"/>
      <c r="RGX502" s="126"/>
      <c r="RGY502" s="126"/>
      <c r="RGZ502" s="126"/>
      <c r="RHA502" s="126"/>
      <c r="RHB502" s="126"/>
      <c r="RHC502" s="126"/>
      <c r="RHD502" s="126"/>
      <c r="RHE502" s="126"/>
      <c r="RHF502" s="126"/>
      <c r="RHG502" s="126"/>
      <c r="RHH502" s="126"/>
      <c r="RHI502" s="126"/>
      <c r="RHJ502" s="126"/>
      <c r="RHK502" s="126"/>
      <c r="RHL502" s="126"/>
      <c r="RHM502" s="126"/>
      <c r="RHN502" s="126"/>
      <c r="RHO502" s="126"/>
      <c r="RHP502" s="126"/>
      <c r="RHQ502" s="126"/>
      <c r="RHR502" s="126"/>
      <c r="RHS502" s="126"/>
      <c r="RHT502" s="126"/>
      <c r="RHU502" s="126"/>
      <c r="RHV502" s="126"/>
      <c r="RHW502" s="126"/>
      <c r="RHX502" s="126"/>
      <c r="RHY502" s="126"/>
      <c r="RHZ502" s="126"/>
      <c r="RIA502" s="126"/>
      <c r="RIB502" s="126"/>
      <c r="RIC502" s="126"/>
      <c r="RID502" s="126"/>
      <c r="RIE502" s="126"/>
      <c r="RIF502" s="126"/>
      <c r="RIG502" s="126"/>
      <c r="RIH502" s="126"/>
      <c r="RII502" s="126"/>
      <c r="RIJ502" s="126"/>
      <c r="RIK502" s="126"/>
      <c r="RIL502" s="126"/>
      <c r="RIM502" s="126"/>
      <c r="RIN502" s="126"/>
      <c r="RIO502" s="126"/>
      <c r="RIP502" s="126"/>
      <c r="RIQ502" s="126"/>
      <c r="RIR502" s="126"/>
      <c r="RIS502" s="126"/>
      <c r="RIT502" s="126"/>
      <c r="RIU502" s="126"/>
      <c r="RIV502" s="126"/>
      <c r="RIW502" s="126"/>
      <c r="RIX502" s="126"/>
      <c r="RIY502" s="126"/>
      <c r="RIZ502" s="126"/>
      <c r="RJA502" s="126"/>
      <c r="RJB502" s="126"/>
      <c r="RJC502" s="126"/>
      <c r="RJD502" s="126"/>
      <c r="RJE502" s="126"/>
      <c r="RJF502" s="126"/>
      <c r="RJG502" s="126"/>
      <c r="RJH502" s="126"/>
      <c r="RJI502" s="126"/>
      <c r="RJJ502" s="126"/>
      <c r="RJK502" s="126"/>
      <c r="RJL502" s="126"/>
      <c r="RJM502" s="126"/>
      <c r="RJN502" s="126"/>
      <c r="RJO502" s="126"/>
      <c r="RJP502" s="126"/>
      <c r="RJQ502" s="126"/>
      <c r="RJR502" s="126"/>
      <c r="RJS502" s="126"/>
      <c r="RJT502" s="126"/>
      <c r="RJU502" s="126"/>
      <c r="RJV502" s="126"/>
      <c r="RJW502" s="126"/>
      <c r="RJX502" s="126"/>
      <c r="RJY502" s="126"/>
      <c r="RJZ502" s="126"/>
      <c r="RKA502" s="126"/>
      <c r="RKB502" s="126"/>
      <c r="RKC502" s="126"/>
      <c r="RKD502" s="126"/>
      <c r="RKE502" s="126"/>
      <c r="RKF502" s="126"/>
      <c r="RKG502" s="126"/>
      <c r="RKH502" s="126"/>
      <c r="RKI502" s="126"/>
      <c r="RKJ502" s="126"/>
      <c r="RKK502" s="126"/>
      <c r="RKL502" s="126"/>
      <c r="RKM502" s="126"/>
      <c r="RKN502" s="126"/>
      <c r="RKO502" s="126"/>
      <c r="RKP502" s="126"/>
      <c r="RKQ502" s="126"/>
      <c r="RKR502" s="126"/>
      <c r="RKS502" s="126"/>
      <c r="RKT502" s="126"/>
      <c r="RKU502" s="126"/>
      <c r="RKV502" s="126"/>
      <c r="RKW502" s="126"/>
      <c r="RKX502" s="126"/>
      <c r="RKY502" s="126"/>
      <c r="RKZ502" s="126"/>
      <c r="RLA502" s="126"/>
      <c r="RLB502" s="126"/>
      <c r="RLC502" s="126"/>
      <c r="RLD502" s="126"/>
      <c r="RLE502" s="126"/>
      <c r="RLF502" s="126"/>
      <c r="RLG502" s="126"/>
      <c r="RLH502" s="126"/>
      <c r="RLI502" s="126"/>
      <c r="RLJ502" s="126"/>
      <c r="RLK502" s="126"/>
      <c r="RLL502" s="126"/>
      <c r="RLM502" s="126"/>
      <c r="RLN502" s="126"/>
      <c r="RLO502" s="126"/>
      <c r="RLP502" s="126"/>
      <c r="RLQ502" s="126"/>
      <c r="RLR502" s="126"/>
      <c r="RLS502" s="126"/>
      <c r="RLT502" s="126"/>
      <c r="RLU502" s="126"/>
      <c r="RLV502" s="126"/>
      <c r="RLW502" s="126"/>
      <c r="RLX502" s="126"/>
      <c r="RLY502" s="126"/>
      <c r="RLZ502" s="126"/>
      <c r="RMA502" s="126"/>
      <c r="RMB502" s="126"/>
      <c r="RMC502" s="126"/>
      <c r="RMD502" s="126"/>
      <c r="RME502" s="126"/>
      <c r="RMF502" s="126"/>
      <c r="RMG502" s="126"/>
      <c r="RMH502" s="126"/>
      <c r="RMI502" s="126"/>
      <c r="RMJ502" s="126"/>
      <c r="RMK502" s="126"/>
      <c r="RML502" s="126"/>
      <c r="RMM502" s="126"/>
      <c r="RMN502" s="126"/>
      <c r="RMO502" s="126"/>
      <c r="RMP502" s="126"/>
      <c r="RMQ502" s="126"/>
      <c r="RMR502" s="126"/>
      <c r="RMS502" s="126"/>
      <c r="RMT502" s="126"/>
      <c r="RMU502" s="126"/>
      <c r="RMV502" s="126"/>
      <c r="RMW502" s="126"/>
      <c r="RMX502" s="126"/>
      <c r="RMY502" s="126"/>
      <c r="RMZ502" s="126"/>
      <c r="RNA502" s="126"/>
      <c r="RNB502" s="126"/>
      <c r="RNC502" s="126"/>
      <c r="RND502" s="126"/>
      <c r="RNE502" s="126"/>
      <c r="RNF502" s="126"/>
      <c r="RNG502" s="126"/>
      <c r="RNH502" s="126"/>
      <c r="RNI502" s="126"/>
      <c r="RNJ502" s="126"/>
      <c r="RNK502" s="126"/>
      <c r="RNL502" s="126"/>
      <c r="RNM502" s="126"/>
      <c r="RNN502" s="126"/>
      <c r="RNO502" s="126"/>
      <c r="RNP502" s="126"/>
      <c r="RNQ502" s="126"/>
      <c r="RNR502" s="126"/>
      <c r="RNS502" s="126"/>
      <c r="RNT502" s="126"/>
      <c r="RNU502" s="126"/>
      <c r="RNV502" s="126"/>
      <c r="RNW502" s="126"/>
      <c r="RNX502" s="126"/>
      <c r="RNY502" s="126"/>
      <c r="RNZ502" s="126"/>
      <c r="ROA502" s="126"/>
      <c r="ROB502" s="126"/>
      <c r="ROC502" s="126"/>
      <c r="ROD502" s="126"/>
      <c r="ROE502" s="126"/>
      <c r="ROF502" s="126"/>
      <c r="ROG502" s="126"/>
      <c r="ROH502" s="126"/>
      <c r="ROI502" s="126"/>
      <c r="ROJ502" s="126"/>
      <c r="ROK502" s="126"/>
      <c r="ROL502" s="126"/>
      <c r="ROM502" s="126"/>
      <c r="RON502" s="126"/>
      <c r="ROO502" s="126"/>
      <c r="ROP502" s="126"/>
      <c r="ROQ502" s="126"/>
      <c r="ROR502" s="126"/>
      <c r="ROS502" s="126"/>
      <c r="ROT502" s="126"/>
      <c r="ROU502" s="126"/>
      <c r="ROV502" s="126"/>
      <c r="ROW502" s="126"/>
      <c r="ROX502" s="126"/>
      <c r="ROY502" s="126"/>
      <c r="ROZ502" s="126"/>
      <c r="RPA502" s="126"/>
      <c r="RPB502" s="126"/>
      <c r="RPC502" s="126"/>
      <c r="RPD502" s="126"/>
      <c r="RPE502" s="126"/>
      <c r="RPF502" s="126"/>
      <c r="RPG502" s="126"/>
      <c r="RPH502" s="126"/>
      <c r="RPI502" s="126"/>
      <c r="RPJ502" s="126"/>
      <c r="RPK502" s="126"/>
      <c r="RPL502" s="126"/>
      <c r="RPM502" s="126"/>
      <c r="RPN502" s="126"/>
      <c r="RPO502" s="126"/>
      <c r="RPP502" s="126"/>
      <c r="RPQ502" s="126"/>
      <c r="RPR502" s="126"/>
      <c r="RPS502" s="126"/>
      <c r="RPT502" s="126"/>
      <c r="RPU502" s="126"/>
      <c r="RPV502" s="126"/>
      <c r="RPW502" s="126"/>
      <c r="RPX502" s="126"/>
      <c r="RPY502" s="126"/>
      <c r="RPZ502" s="126"/>
      <c r="RQA502" s="126"/>
      <c r="RQB502" s="126"/>
      <c r="RQC502" s="126"/>
      <c r="RQD502" s="126"/>
      <c r="RQE502" s="126"/>
      <c r="RQF502" s="126"/>
      <c r="RQG502" s="126"/>
      <c r="RQH502" s="126"/>
      <c r="RQI502" s="126"/>
      <c r="RQJ502" s="126"/>
      <c r="RQK502" s="126"/>
      <c r="RQL502" s="126"/>
      <c r="RQM502" s="126"/>
      <c r="RQN502" s="126"/>
      <c r="RQO502" s="126"/>
      <c r="RQP502" s="126"/>
      <c r="RQQ502" s="126"/>
      <c r="RQR502" s="126"/>
      <c r="RQS502" s="126"/>
      <c r="RQT502" s="126"/>
      <c r="RQU502" s="126"/>
      <c r="RQV502" s="126"/>
      <c r="RQW502" s="126"/>
      <c r="RQX502" s="126"/>
      <c r="RQY502" s="126"/>
      <c r="RQZ502" s="126"/>
      <c r="RRA502" s="126"/>
      <c r="RRB502" s="126"/>
      <c r="RRC502" s="126"/>
      <c r="RRD502" s="126"/>
      <c r="RRE502" s="126"/>
      <c r="RRF502" s="126"/>
      <c r="RRG502" s="126"/>
      <c r="RRH502" s="126"/>
      <c r="RRI502" s="126"/>
      <c r="RRJ502" s="126"/>
      <c r="RRK502" s="126"/>
      <c r="RRL502" s="126"/>
      <c r="RRM502" s="126"/>
      <c r="RRN502" s="126"/>
      <c r="RRO502" s="126"/>
      <c r="RRP502" s="126"/>
      <c r="RRQ502" s="126"/>
      <c r="RRR502" s="126"/>
      <c r="RRS502" s="126"/>
      <c r="RRT502" s="126"/>
      <c r="RRU502" s="126"/>
      <c r="RRV502" s="126"/>
      <c r="RRW502" s="126"/>
      <c r="RRX502" s="126"/>
      <c r="RRY502" s="126"/>
      <c r="RRZ502" s="126"/>
      <c r="RSA502" s="126"/>
      <c r="RSB502" s="126"/>
      <c r="RSC502" s="126"/>
      <c r="RSD502" s="126"/>
      <c r="RSE502" s="126"/>
      <c r="RSF502" s="126"/>
      <c r="RSG502" s="126"/>
      <c r="RSH502" s="126"/>
      <c r="RSI502" s="126"/>
      <c r="RSJ502" s="126"/>
      <c r="RSK502" s="126"/>
      <c r="RSL502" s="126"/>
      <c r="RSM502" s="126"/>
      <c r="RSN502" s="126"/>
      <c r="RSO502" s="126"/>
      <c r="RSP502" s="126"/>
      <c r="RSQ502" s="126"/>
      <c r="RSR502" s="126"/>
      <c r="RSS502" s="126"/>
      <c r="RST502" s="126"/>
      <c r="RSU502" s="126"/>
      <c r="RSV502" s="126"/>
      <c r="RSW502" s="126"/>
      <c r="RSX502" s="126"/>
      <c r="RSY502" s="126"/>
      <c r="RSZ502" s="126"/>
      <c r="RTA502" s="126"/>
      <c r="RTB502" s="126"/>
      <c r="RTC502" s="126"/>
      <c r="RTD502" s="126"/>
      <c r="RTE502" s="126"/>
      <c r="RTF502" s="126"/>
      <c r="RTG502" s="126"/>
      <c r="RTH502" s="126"/>
      <c r="RTI502" s="126"/>
      <c r="RTJ502" s="126"/>
      <c r="RTK502" s="126"/>
      <c r="RTL502" s="126"/>
      <c r="RTM502" s="126"/>
      <c r="RTN502" s="126"/>
      <c r="RTO502" s="126"/>
      <c r="RTP502" s="126"/>
      <c r="RTQ502" s="126"/>
      <c r="RTR502" s="126"/>
      <c r="RTS502" s="126"/>
      <c r="RTT502" s="126"/>
      <c r="RTU502" s="126"/>
      <c r="RTV502" s="126"/>
      <c r="RTW502" s="126"/>
      <c r="RTX502" s="126"/>
      <c r="RTY502" s="126"/>
      <c r="RTZ502" s="126"/>
      <c r="RUA502" s="126"/>
      <c r="RUB502" s="126"/>
      <c r="RUC502" s="126"/>
      <c r="RUD502" s="126"/>
      <c r="RUE502" s="126"/>
      <c r="RUF502" s="126"/>
      <c r="RUG502" s="126"/>
      <c r="RUH502" s="126"/>
      <c r="RUI502" s="126"/>
      <c r="RUJ502" s="126"/>
      <c r="RUK502" s="126"/>
      <c r="RUL502" s="126"/>
      <c r="RUM502" s="126"/>
      <c r="RUN502" s="126"/>
      <c r="RUO502" s="126"/>
      <c r="RUP502" s="126"/>
      <c r="RUQ502" s="126"/>
      <c r="RUR502" s="126"/>
      <c r="RUS502" s="126"/>
      <c r="RUT502" s="126"/>
      <c r="RUU502" s="126"/>
      <c r="RUV502" s="126"/>
      <c r="RUW502" s="126"/>
      <c r="RUX502" s="126"/>
      <c r="RUY502" s="126"/>
      <c r="RUZ502" s="126"/>
      <c r="RVA502" s="126"/>
      <c r="RVB502" s="126"/>
      <c r="RVC502" s="126"/>
      <c r="RVD502" s="126"/>
      <c r="RVE502" s="126"/>
      <c r="RVF502" s="126"/>
      <c r="RVG502" s="126"/>
      <c r="RVH502" s="126"/>
      <c r="RVI502" s="126"/>
      <c r="RVJ502" s="126"/>
      <c r="RVK502" s="126"/>
      <c r="RVL502" s="126"/>
      <c r="RVM502" s="126"/>
      <c r="RVN502" s="126"/>
      <c r="RVO502" s="126"/>
      <c r="RVP502" s="126"/>
      <c r="RVQ502" s="126"/>
      <c r="RVR502" s="126"/>
      <c r="RVS502" s="126"/>
      <c r="RVT502" s="126"/>
      <c r="RVU502" s="126"/>
      <c r="RVV502" s="126"/>
      <c r="RVW502" s="126"/>
      <c r="RVX502" s="126"/>
      <c r="RVY502" s="126"/>
      <c r="RVZ502" s="126"/>
      <c r="RWA502" s="126"/>
      <c r="RWB502" s="126"/>
      <c r="RWC502" s="126"/>
      <c r="RWD502" s="126"/>
      <c r="RWE502" s="126"/>
      <c r="RWF502" s="126"/>
      <c r="RWG502" s="126"/>
      <c r="RWH502" s="126"/>
      <c r="RWI502" s="126"/>
      <c r="RWJ502" s="126"/>
      <c r="RWK502" s="126"/>
      <c r="RWL502" s="126"/>
      <c r="RWM502" s="126"/>
      <c r="RWN502" s="126"/>
      <c r="RWO502" s="126"/>
      <c r="RWP502" s="126"/>
      <c r="RWQ502" s="126"/>
      <c r="RWR502" s="126"/>
      <c r="RWS502" s="126"/>
      <c r="RWT502" s="126"/>
      <c r="RWU502" s="126"/>
      <c r="RWV502" s="126"/>
      <c r="RWW502" s="126"/>
      <c r="RWX502" s="126"/>
      <c r="RWY502" s="126"/>
      <c r="RWZ502" s="126"/>
      <c r="RXA502" s="126"/>
      <c r="RXB502" s="126"/>
      <c r="RXC502" s="126"/>
      <c r="RXD502" s="126"/>
      <c r="RXE502" s="126"/>
      <c r="RXF502" s="126"/>
      <c r="RXG502" s="126"/>
      <c r="RXH502" s="126"/>
      <c r="RXI502" s="126"/>
      <c r="RXJ502" s="126"/>
      <c r="RXK502" s="126"/>
      <c r="RXL502" s="126"/>
      <c r="RXM502" s="126"/>
      <c r="RXN502" s="126"/>
      <c r="RXO502" s="126"/>
      <c r="RXP502" s="126"/>
      <c r="RXQ502" s="126"/>
      <c r="RXR502" s="126"/>
      <c r="RXS502" s="126"/>
      <c r="RXT502" s="126"/>
      <c r="RXU502" s="126"/>
      <c r="RXV502" s="126"/>
      <c r="RXW502" s="126"/>
      <c r="RXX502" s="126"/>
      <c r="RXY502" s="126"/>
      <c r="RXZ502" s="126"/>
      <c r="RYA502" s="126"/>
      <c r="RYB502" s="126"/>
      <c r="RYC502" s="126"/>
      <c r="RYD502" s="126"/>
      <c r="RYE502" s="126"/>
      <c r="RYF502" s="126"/>
      <c r="RYG502" s="126"/>
      <c r="RYH502" s="126"/>
      <c r="RYI502" s="126"/>
      <c r="RYJ502" s="126"/>
      <c r="RYK502" s="126"/>
      <c r="RYL502" s="126"/>
      <c r="RYM502" s="126"/>
      <c r="RYN502" s="126"/>
      <c r="RYO502" s="126"/>
      <c r="RYP502" s="126"/>
      <c r="RYQ502" s="126"/>
      <c r="RYR502" s="126"/>
      <c r="RYS502" s="126"/>
      <c r="RYT502" s="126"/>
      <c r="RYU502" s="126"/>
      <c r="RYV502" s="126"/>
      <c r="RYW502" s="126"/>
      <c r="RYX502" s="126"/>
      <c r="RYY502" s="126"/>
      <c r="RYZ502" s="126"/>
      <c r="RZA502" s="126"/>
      <c r="RZB502" s="126"/>
      <c r="RZC502" s="126"/>
      <c r="RZD502" s="126"/>
      <c r="RZE502" s="126"/>
      <c r="RZF502" s="126"/>
      <c r="RZG502" s="126"/>
      <c r="RZH502" s="126"/>
      <c r="RZI502" s="126"/>
      <c r="RZJ502" s="126"/>
      <c r="RZK502" s="126"/>
      <c r="RZL502" s="126"/>
      <c r="RZM502" s="126"/>
      <c r="RZN502" s="126"/>
      <c r="RZO502" s="126"/>
      <c r="RZP502" s="126"/>
      <c r="RZQ502" s="126"/>
      <c r="RZR502" s="126"/>
      <c r="RZS502" s="126"/>
      <c r="RZT502" s="126"/>
      <c r="RZU502" s="126"/>
      <c r="RZV502" s="126"/>
      <c r="RZW502" s="126"/>
      <c r="RZX502" s="126"/>
      <c r="RZY502" s="126"/>
      <c r="RZZ502" s="126"/>
      <c r="SAA502" s="126"/>
      <c r="SAB502" s="126"/>
      <c r="SAC502" s="126"/>
      <c r="SAD502" s="126"/>
      <c r="SAE502" s="126"/>
      <c r="SAF502" s="126"/>
      <c r="SAG502" s="126"/>
      <c r="SAH502" s="126"/>
      <c r="SAI502" s="126"/>
      <c r="SAJ502" s="126"/>
      <c r="SAK502" s="126"/>
      <c r="SAL502" s="126"/>
      <c r="SAM502" s="126"/>
      <c r="SAN502" s="126"/>
      <c r="SAO502" s="126"/>
      <c r="SAP502" s="126"/>
      <c r="SAQ502" s="126"/>
      <c r="SAR502" s="126"/>
      <c r="SAS502" s="126"/>
      <c r="SAT502" s="126"/>
      <c r="SAU502" s="126"/>
      <c r="SAV502" s="126"/>
      <c r="SAW502" s="126"/>
      <c r="SAX502" s="126"/>
      <c r="SAY502" s="126"/>
      <c r="SAZ502" s="126"/>
      <c r="SBA502" s="126"/>
      <c r="SBB502" s="126"/>
      <c r="SBC502" s="126"/>
      <c r="SBD502" s="126"/>
      <c r="SBE502" s="126"/>
      <c r="SBF502" s="126"/>
      <c r="SBG502" s="126"/>
      <c r="SBH502" s="126"/>
      <c r="SBI502" s="126"/>
      <c r="SBJ502" s="126"/>
      <c r="SBK502" s="126"/>
      <c r="SBL502" s="126"/>
      <c r="SBM502" s="126"/>
      <c r="SBN502" s="126"/>
      <c r="SBO502" s="126"/>
      <c r="SBP502" s="126"/>
      <c r="SBQ502" s="126"/>
      <c r="SBR502" s="126"/>
      <c r="SBS502" s="126"/>
      <c r="SBT502" s="126"/>
      <c r="SBU502" s="126"/>
      <c r="SBV502" s="126"/>
      <c r="SBW502" s="126"/>
      <c r="SBX502" s="126"/>
      <c r="SBY502" s="126"/>
      <c r="SBZ502" s="126"/>
      <c r="SCA502" s="126"/>
      <c r="SCB502" s="126"/>
      <c r="SCC502" s="126"/>
      <c r="SCD502" s="126"/>
      <c r="SCE502" s="126"/>
      <c r="SCF502" s="126"/>
      <c r="SCG502" s="126"/>
      <c r="SCH502" s="126"/>
      <c r="SCI502" s="126"/>
      <c r="SCJ502" s="126"/>
      <c r="SCK502" s="126"/>
      <c r="SCL502" s="126"/>
      <c r="SCM502" s="126"/>
      <c r="SCN502" s="126"/>
      <c r="SCO502" s="126"/>
      <c r="SCP502" s="126"/>
      <c r="SCQ502" s="126"/>
      <c r="SCR502" s="126"/>
      <c r="SCS502" s="126"/>
      <c r="SCT502" s="126"/>
      <c r="SCU502" s="126"/>
      <c r="SCV502" s="126"/>
      <c r="SCW502" s="126"/>
      <c r="SCX502" s="126"/>
      <c r="SCY502" s="126"/>
      <c r="SCZ502" s="126"/>
      <c r="SDA502" s="126"/>
      <c r="SDB502" s="126"/>
      <c r="SDC502" s="126"/>
      <c r="SDD502" s="126"/>
      <c r="SDE502" s="126"/>
      <c r="SDF502" s="126"/>
      <c r="SDG502" s="126"/>
      <c r="SDH502" s="126"/>
      <c r="SDI502" s="126"/>
      <c r="SDJ502" s="126"/>
      <c r="SDK502" s="126"/>
      <c r="SDL502" s="126"/>
      <c r="SDM502" s="126"/>
      <c r="SDN502" s="126"/>
      <c r="SDO502" s="126"/>
      <c r="SDP502" s="126"/>
      <c r="SDQ502" s="126"/>
      <c r="SDR502" s="126"/>
      <c r="SDS502" s="126"/>
      <c r="SDT502" s="126"/>
      <c r="SDU502" s="126"/>
      <c r="SDV502" s="126"/>
      <c r="SDW502" s="126"/>
      <c r="SDX502" s="126"/>
      <c r="SDY502" s="126"/>
      <c r="SDZ502" s="126"/>
      <c r="SEA502" s="126"/>
      <c r="SEB502" s="126"/>
      <c r="SEC502" s="126"/>
      <c r="SED502" s="126"/>
      <c r="SEE502" s="126"/>
      <c r="SEF502" s="126"/>
      <c r="SEG502" s="126"/>
      <c r="SEH502" s="126"/>
      <c r="SEI502" s="126"/>
      <c r="SEJ502" s="126"/>
      <c r="SEK502" s="126"/>
      <c r="SEL502" s="126"/>
      <c r="SEM502" s="126"/>
      <c r="SEN502" s="126"/>
      <c r="SEO502" s="126"/>
      <c r="SEP502" s="126"/>
      <c r="SEQ502" s="126"/>
      <c r="SER502" s="126"/>
      <c r="SES502" s="126"/>
      <c r="SET502" s="126"/>
      <c r="SEU502" s="126"/>
      <c r="SEV502" s="126"/>
      <c r="SEW502" s="126"/>
      <c r="SEX502" s="126"/>
      <c r="SEY502" s="126"/>
      <c r="SEZ502" s="126"/>
      <c r="SFA502" s="126"/>
      <c r="SFB502" s="126"/>
      <c r="SFC502" s="126"/>
      <c r="SFD502" s="126"/>
      <c r="SFE502" s="126"/>
      <c r="SFF502" s="126"/>
      <c r="SFG502" s="126"/>
      <c r="SFH502" s="126"/>
      <c r="SFI502" s="126"/>
      <c r="SFJ502" s="126"/>
      <c r="SFK502" s="126"/>
      <c r="SFL502" s="126"/>
      <c r="SFM502" s="126"/>
      <c r="SFN502" s="126"/>
      <c r="SFO502" s="126"/>
      <c r="SFP502" s="126"/>
      <c r="SFQ502" s="126"/>
      <c r="SFR502" s="126"/>
      <c r="SFS502" s="126"/>
      <c r="SFT502" s="126"/>
      <c r="SFU502" s="126"/>
      <c r="SFV502" s="126"/>
      <c r="SFW502" s="126"/>
      <c r="SFX502" s="126"/>
      <c r="SFY502" s="126"/>
      <c r="SFZ502" s="126"/>
      <c r="SGA502" s="126"/>
      <c r="SGB502" s="126"/>
      <c r="SGC502" s="126"/>
      <c r="SGD502" s="126"/>
      <c r="SGE502" s="126"/>
      <c r="SGF502" s="126"/>
      <c r="SGG502" s="126"/>
      <c r="SGH502" s="126"/>
      <c r="SGI502" s="126"/>
      <c r="SGJ502" s="126"/>
      <c r="SGK502" s="126"/>
      <c r="SGL502" s="126"/>
      <c r="SGM502" s="126"/>
      <c r="SGN502" s="126"/>
      <c r="SGO502" s="126"/>
      <c r="SGP502" s="126"/>
      <c r="SGQ502" s="126"/>
      <c r="SGR502" s="126"/>
      <c r="SGS502" s="126"/>
      <c r="SGT502" s="126"/>
      <c r="SGU502" s="126"/>
      <c r="SGV502" s="126"/>
      <c r="SGW502" s="126"/>
      <c r="SGX502" s="126"/>
      <c r="SGY502" s="126"/>
      <c r="SGZ502" s="126"/>
      <c r="SHA502" s="126"/>
      <c r="SHB502" s="126"/>
      <c r="SHC502" s="126"/>
      <c r="SHD502" s="126"/>
      <c r="SHE502" s="126"/>
      <c r="SHF502" s="126"/>
      <c r="SHG502" s="126"/>
      <c r="SHH502" s="126"/>
      <c r="SHI502" s="126"/>
      <c r="SHJ502" s="126"/>
      <c r="SHK502" s="126"/>
      <c r="SHL502" s="126"/>
      <c r="SHM502" s="126"/>
      <c r="SHN502" s="126"/>
      <c r="SHO502" s="126"/>
      <c r="SHP502" s="126"/>
      <c r="SHQ502" s="126"/>
      <c r="SHR502" s="126"/>
      <c r="SHS502" s="126"/>
      <c r="SHT502" s="126"/>
      <c r="SHU502" s="126"/>
      <c r="SHV502" s="126"/>
      <c r="SHW502" s="126"/>
      <c r="SHX502" s="126"/>
      <c r="SHY502" s="126"/>
      <c r="SHZ502" s="126"/>
      <c r="SIA502" s="126"/>
      <c r="SIB502" s="126"/>
      <c r="SIC502" s="126"/>
      <c r="SID502" s="126"/>
      <c r="SIE502" s="126"/>
      <c r="SIF502" s="126"/>
      <c r="SIG502" s="126"/>
      <c r="SIH502" s="126"/>
      <c r="SII502" s="126"/>
      <c r="SIJ502" s="126"/>
      <c r="SIK502" s="126"/>
      <c r="SIL502" s="126"/>
      <c r="SIM502" s="126"/>
      <c r="SIN502" s="126"/>
      <c r="SIO502" s="126"/>
      <c r="SIP502" s="126"/>
      <c r="SIQ502" s="126"/>
      <c r="SIR502" s="126"/>
      <c r="SIS502" s="126"/>
      <c r="SIT502" s="126"/>
      <c r="SIU502" s="126"/>
      <c r="SIV502" s="126"/>
      <c r="SIW502" s="126"/>
      <c r="SIX502" s="126"/>
      <c r="SIY502" s="126"/>
      <c r="SIZ502" s="126"/>
      <c r="SJA502" s="126"/>
      <c r="SJB502" s="126"/>
      <c r="SJC502" s="126"/>
      <c r="SJD502" s="126"/>
      <c r="SJE502" s="126"/>
      <c r="SJF502" s="126"/>
      <c r="SJG502" s="126"/>
      <c r="SJH502" s="126"/>
      <c r="SJI502" s="126"/>
      <c r="SJJ502" s="126"/>
      <c r="SJK502" s="126"/>
      <c r="SJL502" s="126"/>
      <c r="SJM502" s="126"/>
      <c r="SJN502" s="126"/>
      <c r="SJO502" s="126"/>
      <c r="SJP502" s="126"/>
      <c r="SJQ502" s="126"/>
      <c r="SJR502" s="126"/>
      <c r="SJS502" s="126"/>
      <c r="SJT502" s="126"/>
      <c r="SJU502" s="126"/>
      <c r="SJV502" s="126"/>
      <c r="SJW502" s="126"/>
      <c r="SJX502" s="126"/>
      <c r="SJY502" s="126"/>
      <c r="SJZ502" s="126"/>
      <c r="SKA502" s="126"/>
      <c r="SKB502" s="126"/>
      <c r="SKC502" s="126"/>
      <c r="SKD502" s="126"/>
      <c r="SKE502" s="126"/>
      <c r="SKF502" s="126"/>
      <c r="SKG502" s="126"/>
      <c r="SKH502" s="126"/>
      <c r="SKI502" s="126"/>
      <c r="SKJ502" s="126"/>
      <c r="SKK502" s="126"/>
      <c r="SKL502" s="126"/>
      <c r="SKM502" s="126"/>
      <c r="SKN502" s="126"/>
      <c r="SKO502" s="126"/>
      <c r="SKP502" s="126"/>
      <c r="SKQ502" s="126"/>
      <c r="SKR502" s="126"/>
      <c r="SKS502" s="126"/>
      <c r="SKT502" s="126"/>
      <c r="SKU502" s="126"/>
      <c r="SKV502" s="126"/>
      <c r="SKW502" s="126"/>
      <c r="SKX502" s="126"/>
      <c r="SKY502" s="126"/>
      <c r="SKZ502" s="126"/>
      <c r="SLA502" s="126"/>
      <c r="SLB502" s="126"/>
      <c r="SLC502" s="126"/>
      <c r="SLD502" s="126"/>
      <c r="SLE502" s="126"/>
      <c r="SLF502" s="126"/>
      <c r="SLG502" s="126"/>
      <c r="SLH502" s="126"/>
      <c r="SLI502" s="126"/>
      <c r="SLJ502" s="126"/>
      <c r="SLK502" s="126"/>
      <c r="SLL502" s="126"/>
      <c r="SLM502" s="126"/>
      <c r="SLN502" s="126"/>
      <c r="SLO502" s="126"/>
      <c r="SLP502" s="126"/>
      <c r="SLQ502" s="126"/>
      <c r="SLR502" s="126"/>
      <c r="SLS502" s="126"/>
      <c r="SLT502" s="126"/>
      <c r="SLU502" s="126"/>
      <c r="SLV502" s="126"/>
      <c r="SLW502" s="126"/>
      <c r="SLX502" s="126"/>
      <c r="SLY502" s="126"/>
      <c r="SLZ502" s="126"/>
      <c r="SMA502" s="126"/>
      <c r="SMB502" s="126"/>
      <c r="SMC502" s="126"/>
      <c r="SMD502" s="126"/>
      <c r="SME502" s="126"/>
      <c r="SMF502" s="126"/>
      <c r="SMG502" s="126"/>
      <c r="SMH502" s="126"/>
      <c r="SMI502" s="126"/>
      <c r="SMJ502" s="126"/>
      <c r="SMK502" s="126"/>
      <c r="SML502" s="126"/>
      <c r="SMM502" s="126"/>
      <c r="SMN502" s="126"/>
      <c r="SMO502" s="126"/>
      <c r="SMP502" s="126"/>
      <c r="SMQ502" s="126"/>
      <c r="SMR502" s="126"/>
      <c r="SMS502" s="126"/>
      <c r="SMT502" s="126"/>
      <c r="SMU502" s="126"/>
      <c r="SMV502" s="126"/>
      <c r="SMW502" s="126"/>
      <c r="SMX502" s="126"/>
      <c r="SMY502" s="126"/>
      <c r="SMZ502" s="126"/>
      <c r="SNA502" s="126"/>
      <c r="SNB502" s="126"/>
      <c r="SNC502" s="126"/>
      <c r="SND502" s="126"/>
      <c r="SNE502" s="126"/>
      <c r="SNF502" s="126"/>
      <c r="SNG502" s="126"/>
      <c r="SNH502" s="126"/>
      <c r="SNI502" s="126"/>
      <c r="SNJ502" s="126"/>
      <c r="SNK502" s="126"/>
      <c r="SNL502" s="126"/>
      <c r="SNM502" s="126"/>
      <c r="SNN502" s="126"/>
      <c r="SNO502" s="126"/>
      <c r="SNP502" s="126"/>
      <c r="SNQ502" s="126"/>
      <c r="SNR502" s="126"/>
      <c r="SNS502" s="126"/>
      <c r="SNT502" s="126"/>
      <c r="SNU502" s="126"/>
      <c r="SNV502" s="126"/>
      <c r="SNW502" s="126"/>
      <c r="SNX502" s="126"/>
      <c r="SNY502" s="126"/>
      <c r="SNZ502" s="126"/>
      <c r="SOA502" s="126"/>
      <c r="SOB502" s="126"/>
      <c r="SOC502" s="126"/>
      <c r="SOD502" s="126"/>
      <c r="SOE502" s="126"/>
      <c r="SOF502" s="126"/>
      <c r="SOG502" s="126"/>
      <c r="SOH502" s="126"/>
      <c r="SOI502" s="126"/>
      <c r="SOJ502" s="126"/>
      <c r="SOK502" s="126"/>
      <c r="SOL502" s="126"/>
      <c r="SOM502" s="126"/>
      <c r="SON502" s="126"/>
      <c r="SOO502" s="126"/>
      <c r="SOP502" s="126"/>
      <c r="SOQ502" s="126"/>
      <c r="SOR502" s="126"/>
      <c r="SOS502" s="126"/>
      <c r="SOT502" s="126"/>
      <c r="SOU502" s="126"/>
      <c r="SOV502" s="126"/>
      <c r="SOW502" s="126"/>
      <c r="SOX502" s="126"/>
      <c r="SOY502" s="126"/>
      <c r="SOZ502" s="126"/>
      <c r="SPA502" s="126"/>
      <c r="SPB502" s="126"/>
      <c r="SPC502" s="126"/>
      <c r="SPD502" s="126"/>
      <c r="SPE502" s="126"/>
      <c r="SPF502" s="126"/>
      <c r="SPG502" s="126"/>
      <c r="SPH502" s="126"/>
      <c r="SPI502" s="126"/>
      <c r="SPJ502" s="126"/>
      <c r="SPK502" s="126"/>
      <c r="SPL502" s="126"/>
      <c r="SPM502" s="126"/>
      <c r="SPN502" s="126"/>
      <c r="SPO502" s="126"/>
      <c r="SPP502" s="126"/>
      <c r="SPQ502" s="126"/>
      <c r="SPR502" s="126"/>
      <c r="SPS502" s="126"/>
      <c r="SPT502" s="126"/>
      <c r="SPU502" s="126"/>
      <c r="SPV502" s="126"/>
      <c r="SPW502" s="126"/>
      <c r="SPX502" s="126"/>
      <c r="SPY502" s="126"/>
      <c r="SPZ502" s="126"/>
      <c r="SQA502" s="126"/>
      <c r="SQB502" s="126"/>
      <c r="SQC502" s="126"/>
      <c r="SQD502" s="126"/>
      <c r="SQE502" s="126"/>
      <c r="SQF502" s="126"/>
      <c r="SQG502" s="126"/>
      <c r="SQH502" s="126"/>
      <c r="SQI502" s="126"/>
      <c r="SQJ502" s="126"/>
      <c r="SQK502" s="126"/>
      <c r="SQL502" s="126"/>
      <c r="SQM502" s="126"/>
      <c r="SQN502" s="126"/>
      <c r="SQO502" s="126"/>
      <c r="SQP502" s="126"/>
      <c r="SQQ502" s="126"/>
      <c r="SQR502" s="126"/>
      <c r="SQS502" s="126"/>
      <c r="SQT502" s="126"/>
      <c r="SQU502" s="126"/>
      <c r="SQV502" s="126"/>
      <c r="SQW502" s="126"/>
      <c r="SQX502" s="126"/>
      <c r="SQY502" s="126"/>
      <c r="SQZ502" s="126"/>
      <c r="SRA502" s="126"/>
      <c r="SRB502" s="126"/>
      <c r="SRC502" s="126"/>
      <c r="SRD502" s="126"/>
      <c r="SRE502" s="126"/>
      <c r="SRF502" s="126"/>
      <c r="SRG502" s="126"/>
      <c r="SRH502" s="126"/>
      <c r="SRI502" s="126"/>
      <c r="SRJ502" s="126"/>
      <c r="SRK502" s="126"/>
      <c r="SRL502" s="126"/>
      <c r="SRM502" s="126"/>
      <c r="SRN502" s="126"/>
      <c r="SRO502" s="126"/>
      <c r="SRP502" s="126"/>
      <c r="SRQ502" s="126"/>
      <c r="SRR502" s="126"/>
      <c r="SRS502" s="126"/>
      <c r="SRT502" s="126"/>
      <c r="SRU502" s="126"/>
      <c r="SRV502" s="126"/>
      <c r="SRW502" s="126"/>
      <c r="SRX502" s="126"/>
      <c r="SRY502" s="126"/>
      <c r="SRZ502" s="126"/>
      <c r="SSA502" s="126"/>
      <c r="SSB502" s="126"/>
      <c r="SSC502" s="126"/>
      <c r="SSD502" s="126"/>
      <c r="SSE502" s="126"/>
      <c r="SSF502" s="126"/>
      <c r="SSG502" s="126"/>
      <c r="SSH502" s="126"/>
      <c r="SSI502" s="126"/>
      <c r="SSJ502" s="126"/>
      <c r="SSK502" s="126"/>
      <c r="SSL502" s="126"/>
      <c r="SSM502" s="126"/>
      <c r="SSN502" s="126"/>
      <c r="SSO502" s="126"/>
      <c r="SSP502" s="126"/>
      <c r="SSQ502" s="126"/>
      <c r="SSR502" s="126"/>
      <c r="SSS502" s="126"/>
      <c r="SST502" s="126"/>
      <c r="SSU502" s="126"/>
      <c r="SSV502" s="126"/>
      <c r="SSW502" s="126"/>
      <c r="SSX502" s="126"/>
      <c r="SSY502" s="126"/>
      <c r="SSZ502" s="126"/>
      <c r="STA502" s="126"/>
      <c r="STB502" s="126"/>
      <c r="STC502" s="126"/>
      <c r="STD502" s="126"/>
      <c r="STE502" s="126"/>
      <c r="STF502" s="126"/>
      <c r="STG502" s="126"/>
      <c r="STH502" s="126"/>
      <c r="STI502" s="126"/>
      <c r="STJ502" s="126"/>
      <c r="STK502" s="126"/>
      <c r="STL502" s="126"/>
      <c r="STM502" s="126"/>
      <c r="STN502" s="126"/>
      <c r="STO502" s="126"/>
      <c r="STP502" s="126"/>
      <c r="STQ502" s="126"/>
      <c r="STR502" s="126"/>
      <c r="STS502" s="126"/>
      <c r="STT502" s="126"/>
      <c r="STU502" s="126"/>
      <c r="STV502" s="126"/>
      <c r="STW502" s="126"/>
      <c r="STX502" s="126"/>
      <c r="STY502" s="126"/>
      <c r="STZ502" s="126"/>
      <c r="SUA502" s="126"/>
      <c r="SUB502" s="126"/>
      <c r="SUC502" s="126"/>
      <c r="SUD502" s="126"/>
      <c r="SUE502" s="126"/>
      <c r="SUF502" s="126"/>
      <c r="SUG502" s="126"/>
      <c r="SUH502" s="126"/>
      <c r="SUI502" s="126"/>
      <c r="SUJ502" s="126"/>
      <c r="SUK502" s="126"/>
      <c r="SUL502" s="126"/>
      <c r="SUM502" s="126"/>
      <c r="SUN502" s="126"/>
      <c r="SUO502" s="126"/>
      <c r="SUP502" s="126"/>
      <c r="SUQ502" s="126"/>
      <c r="SUR502" s="126"/>
      <c r="SUS502" s="126"/>
      <c r="SUT502" s="126"/>
      <c r="SUU502" s="126"/>
      <c r="SUV502" s="126"/>
      <c r="SUW502" s="126"/>
      <c r="SUX502" s="126"/>
      <c r="SUY502" s="126"/>
      <c r="SUZ502" s="126"/>
      <c r="SVA502" s="126"/>
      <c r="SVB502" s="126"/>
      <c r="SVC502" s="126"/>
      <c r="SVD502" s="126"/>
      <c r="SVE502" s="126"/>
      <c r="SVF502" s="126"/>
      <c r="SVG502" s="126"/>
      <c r="SVH502" s="126"/>
      <c r="SVI502" s="126"/>
      <c r="SVJ502" s="126"/>
      <c r="SVK502" s="126"/>
      <c r="SVL502" s="126"/>
      <c r="SVM502" s="126"/>
      <c r="SVN502" s="126"/>
      <c r="SVO502" s="126"/>
      <c r="SVP502" s="126"/>
      <c r="SVQ502" s="126"/>
      <c r="SVR502" s="126"/>
      <c r="SVS502" s="126"/>
      <c r="SVT502" s="126"/>
      <c r="SVU502" s="126"/>
      <c r="SVV502" s="126"/>
      <c r="SVW502" s="126"/>
      <c r="SVX502" s="126"/>
      <c r="SVY502" s="126"/>
      <c r="SVZ502" s="126"/>
      <c r="SWA502" s="126"/>
      <c r="SWB502" s="126"/>
      <c r="SWC502" s="126"/>
      <c r="SWD502" s="126"/>
      <c r="SWE502" s="126"/>
      <c r="SWF502" s="126"/>
      <c r="SWG502" s="126"/>
      <c r="SWH502" s="126"/>
      <c r="SWI502" s="126"/>
      <c r="SWJ502" s="126"/>
      <c r="SWK502" s="126"/>
      <c r="SWL502" s="126"/>
      <c r="SWM502" s="126"/>
      <c r="SWN502" s="126"/>
      <c r="SWO502" s="126"/>
      <c r="SWP502" s="126"/>
      <c r="SWQ502" s="126"/>
      <c r="SWR502" s="126"/>
      <c r="SWS502" s="126"/>
      <c r="SWT502" s="126"/>
      <c r="SWU502" s="126"/>
      <c r="SWV502" s="126"/>
      <c r="SWW502" s="126"/>
      <c r="SWX502" s="126"/>
      <c r="SWY502" s="126"/>
      <c r="SWZ502" s="126"/>
      <c r="SXA502" s="126"/>
      <c r="SXB502" s="126"/>
      <c r="SXC502" s="126"/>
      <c r="SXD502" s="126"/>
      <c r="SXE502" s="126"/>
      <c r="SXF502" s="126"/>
      <c r="SXG502" s="126"/>
      <c r="SXH502" s="126"/>
      <c r="SXI502" s="126"/>
      <c r="SXJ502" s="126"/>
      <c r="SXK502" s="126"/>
      <c r="SXL502" s="126"/>
      <c r="SXM502" s="126"/>
      <c r="SXN502" s="126"/>
      <c r="SXO502" s="126"/>
      <c r="SXP502" s="126"/>
      <c r="SXQ502" s="126"/>
      <c r="SXR502" s="126"/>
      <c r="SXS502" s="126"/>
      <c r="SXT502" s="126"/>
      <c r="SXU502" s="126"/>
      <c r="SXV502" s="126"/>
      <c r="SXW502" s="126"/>
      <c r="SXX502" s="126"/>
      <c r="SXY502" s="126"/>
      <c r="SXZ502" s="126"/>
      <c r="SYA502" s="126"/>
      <c r="SYB502" s="126"/>
      <c r="SYC502" s="126"/>
      <c r="SYD502" s="126"/>
      <c r="SYE502" s="126"/>
      <c r="SYF502" s="126"/>
      <c r="SYG502" s="126"/>
      <c r="SYH502" s="126"/>
      <c r="SYI502" s="126"/>
      <c r="SYJ502" s="126"/>
      <c r="SYK502" s="126"/>
      <c r="SYL502" s="126"/>
      <c r="SYM502" s="126"/>
      <c r="SYN502" s="126"/>
      <c r="SYO502" s="126"/>
      <c r="SYP502" s="126"/>
      <c r="SYQ502" s="126"/>
      <c r="SYR502" s="126"/>
      <c r="SYS502" s="126"/>
      <c r="SYT502" s="126"/>
      <c r="SYU502" s="126"/>
      <c r="SYV502" s="126"/>
      <c r="SYW502" s="126"/>
      <c r="SYX502" s="126"/>
      <c r="SYY502" s="126"/>
      <c r="SYZ502" s="126"/>
      <c r="SZA502" s="126"/>
      <c r="SZB502" s="126"/>
      <c r="SZC502" s="126"/>
      <c r="SZD502" s="126"/>
      <c r="SZE502" s="126"/>
      <c r="SZF502" s="126"/>
      <c r="SZG502" s="126"/>
      <c r="SZH502" s="126"/>
      <c r="SZI502" s="126"/>
      <c r="SZJ502" s="126"/>
      <c r="SZK502" s="126"/>
      <c r="SZL502" s="126"/>
      <c r="SZM502" s="126"/>
      <c r="SZN502" s="126"/>
      <c r="SZO502" s="126"/>
      <c r="SZP502" s="126"/>
      <c r="SZQ502" s="126"/>
      <c r="SZR502" s="126"/>
      <c r="SZS502" s="126"/>
      <c r="SZT502" s="126"/>
      <c r="SZU502" s="126"/>
      <c r="SZV502" s="126"/>
      <c r="SZW502" s="126"/>
      <c r="SZX502" s="126"/>
      <c r="SZY502" s="126"/>
      <c r="SZZ502" s="126"/>
      <c r="TAA502" s="126"/>
      <c r="TAB502" s="126"/>
      <c r="TAC502" s="126"/>
      <c r="TAD502" s="126"/>
      <c r="TAE502" s="126"/>
      <c r="TAF502" s="126"/>
      <c r="TAG502" s="126"/>
      <c r="TAH502" s="126"/>
      <c r="TAI502" s="126"/>
      <c r="TAJ502" s="126"/>
      <c r="TAK502" s="126"/>
      <c r="TAL502" s="126"/>
      <c r="TAM502" s="126"/>
      <c r="TAN502" s="126"/>
      <c r="TAO502" s="126"/>
      <c r="TAP502" s="126"/>
      <c r="TAQ502" s="126"/>
      <c r="TAR502" s="126"/>
      <c r="TAS502" s="126"/>
      <c r="TAT502" s="126"/>
      <c r="TAU502" s="126"/>
      <c r="TAV502" s="126"/>
      <c r="TAW502" s="126"/>
      <c r="TAX502" s="126"/>
      <c r="TAY502" s="126"/>
      <c r="TAZ502" s="126"/>
      <c r="TBA502" s="126"/>
      <c r="TBB502" s="126"/>
      <c r="TBC502" s="126"/>
      <c r="TBD502" s="126"/>
      <c r="TBE502" s="126"/>
      <c r="TBF502" s="126"/>
      <c r="TBG502" s="126"/>
      <c r="TBH502" s="126"/>
      <c r="TBI502" s="126"/>
      <c r="TBJ502" s="126"/>
      <c r="TBK502" s="126"/>
      <c r="TBL502" s="126"/>
      <c r="TBM502" s="126"/>
      <c r="TBN502" s="126"/>
      <c r="TBO502" s="126"/>
      <c r="TBP502" s="126"/>
      <c r="TBQ502" s="126"/>
      <c r="TBR502" s="126"/>
      <c r="TBS502" s="126"/>
      <c r="TBT502" s="126"/>
      <c r="TBU502" s="126"/>
      <c r="TBV502" s="126"/>
      <c r="TBW502" s="126"/>
      <c r="TBX502" s="126"/>
      <c r="TBY502" s="126"/>
      <c r="TBZ502" s="126"/>
      <c r="TCA502" s="126"/>
      <c r="TCB502" s="126"/>
      <c r="TCC502" s="126"/>
      <c r="TCD502" s="126"/>
      <c r="TCE502" s="126"/>
      <c r="TCF502" s="126"/>
      <c r="TCG502" s="126"/>
      <c r="TCH502" s="126"/>
      <c r="TCI502" s="126"/>
      <c r="TCJ502" s="126"/>
      <c r="TCK502" s="126"/>
      <c r="TCL502" s="126"/>
      <c r="TCM502" s="126"/>
      <c r="TCN502" s="126"/>
      <c r="TCO502" s="126"/>
      <c r="TCP502" s="126"/>
      <c r="TCQ502" s="126"/>
      <c r="TCR502" s="126"/>
      <c r="TCS502" s="126"/>
      <c r="TCT502" s="126"/>
      <c r="TCU502" s="126"/>
      <c r="TCV502" s="126"/>
      <c r="TCW502" s="126"/>
      <c r="TCX502" s="126"/>
      <c r="TCY502" s="126"/>
      <c r="TCZ502" s="126"/>
      <c r="TDA502" s="126"/>
      <c r="TDB502" s="126"/>
      <c r="TDC502" s="126"/>
      <c r="TDD502" s="126"/>
      <c r="TDE502" s="126"/>
      <c r="TDF502" s="126"/>
      <c r="TDG502" s="126"/>
      <c r="TDH502" s="126"/>
      <c r="TDI502" s="126"/>
      <c r="TDJ502" s="126"/>
      <c r="TDK502" s="126"/>
      <c r="TDL502" s="126"/>
      <c r="TDM502" s="126"/>
      <c r="TDN502" s="126"/>
      <c r="TDO502" s="126"/>
      <c r="TDP502" s="126"/>
      <c r="TDQ502" s="126"/>
      <c r="TDR502" s="126"/>
      <c r="TDS502" s="126"/>
      <c r="TDT502" s="126"/>
      <c r="TDU502" s="126"/>
      <c r="TDV502" s="126"/>
      <c r="TDW502" s="126"/>
      <c r="TDX502" s="126"/>
      <c r="TDY502" s="126"/>
      <c r="TDZ502" s="126"/>
      <c r="TEA502" s="126"/>
      <c r="TEB502" s="126"/>
      <c r="TEC502" s="126"/>
      <c r="TED502" s="126"/>
      <c r="TEE502" s="126"/>
      <c r="TEF502" s="126"/>
      <c r="TEG502" s="126"/>
      <c r="TEH502" s="126"/>
      <c r="TEI502" s="126"/>
      <c r="TEJ502" s="126"/>
      <c r="TEK502" s="126"/>
      <c r="TEL502" s="126"/>
      <c r="TEM502" s="126"/>
      <c r="TEN502" s="126"/>
      <c r="TEO502" s="126"/>
      <c r="TEP502" s="126"/>
      <c r="TEQ502" s="126"/>
      <c r="TER502" s="126"/>
      <c r="TES502" s="126"/>
      <c r="TET502" s="126"/>
      <c r="TEU502" s="126"/>
      <c r="TEV502" s="126"/>
      <c r="TEW502" s="126"/>
      <c r="TEX502" s="126"/>
      <c r="TEY502" s="126"/>
      <c r="TEZ502" s="126"/>
      <c r="TFA502" s="126"/>
      <c r="TFB502" s="126"/>
      <c r="TFC502" s="126"/>
      <c r="TFD502" s="126"/>
      <c r="TFE502" s="126"/>
      <c r="TFF502" s="126"/>
      <c r="TFG502" s="126"/>
      <c r="TFH502" s="126"/>
      <c r="TFI502" s="126"/>
      <c r="TFJ502" s="126"/>
      <c r="TFK502" s="126"/>
      <c r="TFL502" s="126"/>
      <c r="TFM502" s="126"/>
      <c r="TFN502" s="126"/>
      <c r="TFO502" s="126"/>
      <c r="TFP502" s="126"/>
      <c r="TFQ502" s="126"/>
      <c r="TFR502" s="126"/>
      <c r="TFS502" s="126"/>
      <c r="TFT502" s="126"/>
      <c r="TFU502" s="126"/>
      <c r="TFV502" s="126"/>
      <c r="TFW502" s="126"/>
      <c r="TFX502" s="126"/>
      <c r="TFY502" s="126"/>
      <c r="TFZ502" s="126"/>
      <c r="TGA502" s="126"/>
      <c r="TGB502" s="126"/>
      <c r="TGC502" s="126"/>
      <c r="TGD502" s="126"/>
      <c r="TGE502" s="126"/>
      <c r="TGF502" s="126"/>
      <c r="TGG502" s="126"/>
      <c r="TGH502" s="126"/>
      <c r="TGI502" s="126"/>
      <c r="TGJ502" s="126"/>
      <c r="TGK502" s="126"/>
      <c r="TGL502" s="126"/>
      <c r="TGM502" s="126"/>
      <c r="TGN502" s="126"/>
      <c r="TGO502" s="126"/>
      <c r="TGP502" s="126"/>
      <c r="TGQ502" s="126"/>
      <c r="TGR502" s="126"/>
      <c r="TGS502" s="126"/>
      <c r="TGT502" s="126"/>
      <c r="TGU502" s="126"/>
      <c r="TGV502" s="126"/>
      <c r="TGW502" s="126"/>
      <c r="TGX502" s="126"/>
      <c r="TGY502" s="126"/>
      <c r="TGZ502" s="126"/>
      <c r="THA502" s="126"/>
      <c r="THB502" s="126"/>
      <c r="THC502" s="126"/>
      <c r="THD502" s="126"/>
      <c r="THE502" s="126"/>
      <c r="THF502" s="126"/>
      <c r="THG502" s="126"/>
      <c r="THH502" s="126"/>
      <c r="THI502" s="126"/>
      <c r="THJ502" s="126"/>
      <c r="THK502" s="126"/>
      <c r="THL502" s="126"/>
      <c r="THM502" s="126"/>
      <c r="THN502" s="126"/>
      <c r="THO502" s="126"/>
      <c r="THP502" s="126"/>
      <c r="THQ502" s="126"/>
      <c r="THR502" s="126"/>
      <c r="THS502" s="126"/>
      <c r="THT502" s="126"/>
      <c r="THU502" s="126"/>
      <c r="THV502" s="126"/>
      <c r="THW502" s="126"/>
      <c r="THX502" s="126"/>
      <c r="THY502" s="126"/>
      <c r="THZ502" s="126"/>
      <c r="TIA502" s="126"/>
      <c r="TIB502" s="126"/>
      <c r="TIC502" s="126"/>
      <c r="TID502" s="126"/>
      <c r="TIE502" s="126"/>
      <c r="TIF502" s="126"/>
      <c r="TIG502" s="126"/>
      <c r="TIH502" s="126"/>
      <c r="TII502" s="126"/>
      <c r="TIJ502" s="126"/>
      <c r="TIK502" s="126"/>
      <c r="TIL502" s="126"/>
      <c r="TIM502" s="126"/>
      <c r="TIN502" s="126"/>
      <c r="TIO502" s="126"/>
      <c r="TIP502" s="126"/>
      <c r="TIQ502" s="126"/>
      <c r="TIR502" s="126"/>
      <c r="TIS502" s="126"/>
      <c r="TIT502" s="126"/>
      <c r="TIU502" s="126"/>
      <c r="TIV502" s="126"/>
      <c r="TIW502" s="126"/>
      <c r="TIX502" s="126"/>
      <c r="TIY502" s="126"/>
      <c r="TIZ502" s="126"/>
      <c r="TJA502" s="126"/>
      <c r="TJB502" s="126"/>
      <c r="TJC502" s="126"/>
      <c r="TJD502" s="126"/>
      <c r="TJE502" s="126"/>
      <c r="TJF502" s="126"/>
      <c r="TJG502" s="126"/>
      <c r="TJH502" s="126"/>
      <c r="TJI502" s="126"/>
      <c r="TJJ502" s="126"/>
      <c r="TJK502" s="126"/>
      <c r="TJL502" s="126"/>
      <c r="TJM502" s="126"/>
      <c r="TJN502" s="126"/>
      <c r="TJO502" s="126"/>
      <c r="TJP502" s="126"/>
      <c r="TJQ502" s="126"/>
      <c r="TJR502" s="126"/>
      <c r="TJS502" s="126"/>
      <c r="TJT502" s="126"/>
      <c r="TJU502" s="126"/>
      <c r="TJV502" s="126"/>
      <c r="TJW502" s="126"/>
      <c r="TJX502" s="126"/>
      <c r="TJY502" s="126"/>
      <c r="TJZ502" s="126"/>
      <c r="TKA502" s="126"/>
      <c r="TKB502" s="126"/>
      <c r="TKC502" s="126"/>
      <c r="TKD502" s="126"/>
      <c r="TKE502" s="126"/>
      <c r="TKF502" s="126"/>
      <c r="TKG502" s="126"/>
      <c r="TKH502" s="126"/>
      <c r="TKI502" s="126"/>
      <c r="TKJ502" s="126"/>
      <c r="TKK502" s="126"/>
      <c r="TKL502" s="126"/>
      <c r="TKM502" s="126"/>
      <c r="TKN502" s="126"/>
      <c r="TKO502" s="126"/>
      <c r="TKP502" s="126"/>
      <c r="TKQ502" s="126"/>
      <c r="TKR502" s="126"/>
      <c r="TKS502" s="126"/>
      <c r="TKT502" s="126"/>
      <c r="TKU502" s="126"/>
      <c r="TKV502" s="126"/>
      <c r="TKW502" s="126"/>
      <c r="TKX502" s="126"/>
      <c r="TKY502" s="126"/>
      <c r="TKZ502" s="126"/>
      <c r="TLA502" s="126"/>
      <c r="TLB502" s="126"/>
      <c r="TLC502" s="126"/>
      <c r="TLD502" s="126"/>
      <c r="TLE502" s="126"/>
      <c r="TLF502" s="126"/>
      <c r="TLG502" s="126"/>
      <c r="TLH502" s="126"/>
      <c r="TLI502" s="126"/>
      <c r="TLJ502" s="126"/>
      <c r="TLK502" s="126"/>
      <c r="TLL502" s="126"/>
      <c r="TLM502" s="126"/>
      <c r="TLN502" s="126"/>
      <c r="TLO502" s="126"/>
      <c r="TLP502" s="126"/>
      <c r="TLQ502" s="126"/>
      <c r="TLR502" s="126"/>
      <c r="TLS502" s="126"/>
      <c r="TLT502" s="126"/>
      <c r="TLU502" s="126"/>
      <c r="TLV502" s="126"/>
      <c r="TLW502" s="126"/>
      <c r="TLX502" s="126"/>
      <c r="TLY502" s="126"/>
      <c r="TLZ502" s="126"/>
      <c r="TMA502" s="126"/>
      <c r="TMB502" s="126"/>
      <c r="TMC502" s="126"/>
      <c r="TMD502" s="126"/>
      <c r="TME502" s="126"/>
      <c r="TMF502" s="126"/>
      <c r="TMG502" s="126"/>
      <c r="TMH502" s="126"/>
      <c r="TMI502" s="126"/>
      <c r="TMJ502" s="126"/>
      <c r="TMK502" s="126"/>
      <c r="TML502" s="126"/>
      <c r="TMM502" s="126"/>
      <c r="TMN502" s="126"/>
      <c r="TMO502" s="126"/>
      <c r="TMP502" s="126"/>
      <c r="TMQ502" s="126"/>
      <c r="TMR502" s="126"/>
      <c r="TMS502" s="126"/>
      <c r="TMT502" s="126"/>
      <c r="TMU502" s="126"/>
      <c r="TMV502" s="126"/>
      <c r="TMW502" s="126"/>
      <c r="TMX502" s="126"/>
      <c r="TMY502" s="126"/>
      <c r="TMZ502" s="126"/>
      <c r="TNA502" s="126"/>
      <c r="TNB502" s="126"/>
      <c r="TNC502" s="126"/>
      <c r="TND502" s="126"/>
      <c r="TNE502" s="126"/>
      <c r="TNF502" s="126"/>
      <c r="TNG502" s="126"/>
      <c r="TNH502" s="126"/>
      <c r="TNI502" s="126"/>
      <c r="TNJ502" s="126"/>
      <c r="TNK502" s="126"/>
      <c r="TNL502" s="126"/>
      <c r="TNM502" s="126"/>
      <c r="TNN502" s="126"/>
      <c r="TNO502" s="126"/>
      <c r="TNP502" s="126"/>
      <c r="TNQ502" s="126"/>
      <c r="TNR502" s="126"/>
      <c r="TNS502" s="126"/>
      <c r="TNT502" s="126"/>
      <c r="TNU502" s="126"/>
      <c r="TNV502" s="126"/>
      <c r="TNW502" s="126"/>
      <c r="TNX502" s="126"/>
      <c r="TNY502" s="126"/>
      <c r="TNZ502" s="126"/>
      <c r="TOA502" s="126"/>
      <c r="TOB502" s="126"/>
      <c r="TOC502" s="126"/>
      <c r="TOD502" s="126"/>
      <c r="TOE502" s="126"/>
      <c r="TOF502" s="126"/>
      <c r="TOG502" s="126"/>
      <c r="TOH502" s="126"/>
      <c r="TOI502" s="126"/>
      <c r="TOJ502" s="126"/>
      <c r="TOK502" s="126"/>
      <c r="TOL502" s="126"/>
      <c r="TOM502" s="126"/>
      <c r="TON502" s="126"/>
      <c r="TOO502" s="126"/>
      <c r="TOP502" s="126"/>
      <c r="TOQ502" s="126"/>
      <c r="TOR502" s="126"/>
      <c r="TOS502" s="126"/>
      <c r="TOT502" s="126"/>
      <c r="TOU502" s="126"/>
      <c r="TOV502" s="126"/>
      <c r="TOW502" s="126"/>
      <c r="TOX502" s="126"/>
      <c r="TOY502" s="126"/>
      <c r="TOZ502" s="126"/>
      <c r="TPA502" s="126"/>
      <c r="TPB502" s="126"/>
      <c r="TPC502" s="126"/>
      <c r="TPD502" s="126"/>
      <c r="TPE502" s="126"/>
      <c r="TPF502" s="126"/>
      <c r="TPG502" s="126"/>
      <c r="TPH502" s="126"/>
      <c r="TPI502" s="126"/>
      <c r="TPJ502" s="126"/>
      <c r="TPK502" s="126"/>
      <c r="TPL502" s="126"/>
      <c r="TPM502" s="126"/>
      <c r="TPN502" s="126"/>
      <c r="TPO502" s="126"/>
      <c r="TPP502" s="126"/>
      <c r="TPQ502" s="126"/>
      <c r="TPR502" s="126"/>
      <c r="TPS502" s="126"/>
      <c r="TPT502" s="126"/>
      <c r="TPU502" s="126"/>
      <c r="TPV502" s="126"/>
      <c r="TPW502" s="126"/>
      <c r="TPX502" s="126"/>
      <c r="TPY502" s="126"/>
      <c r="TPZ502" s="126"/>
      <c r="TQA502" s="126"/>
      <c r="TQB502" s="126"/>
      <c r="TQC502" s="126"/>
      <c r="TQD502" s="126"/>
      <c r="TQE502" s="126"/>
      <c r="TQF502" s="126"/>
      <c r="TQG502" s="126"/>
      <c r="TQH502" s="126"/>
      <c r="TQI502" s="126"/>
      <c r="TQJ502" s="126"/>
      <c r="TQK502" s="126"/>
      <c r="TQL502" s="126"/>
      <c r="TQM502" s="126"/>
      <c r="TQN502" s="126"/>
      <c r="TQO502" s="126"/>
      <c r="TQP502" s="126"/>
      <c r="TQQ502" s="126"/>
      <c r="TQR502" s="126"/>
      <c r="TQS502" s="126"/>
      <c r="TQT502" s="126"/>
      <c r="TQU502" s="126"/>
      <c r="TQV502" s="126"/>
      <c r="TQW502" s="126"/>
      <c r="TQX502" s="126"/>
      <c r="TQY502" s="126"/>
      <c r="TQZ502" s="126"/>
      <c r="TRA502" s="126"/>
      <c r="TRB502" s="126"/>
      <c r="TRC502" s="126"/>
      <c r="TRD502" s="126"/>
      <c r="TRE502" s="126"/>
      <c r="TRF502" s="126"/>
      <c r="TRG502" s="126"/>
      <c r="TRH502" s="126"/>
      <c r="TRI502" s="126"/>
      <c r="TRJ502" s="126"/>
      <c r="TRK502" s="126"/>
      <c r="TRL502" s="126"/>
      <c r="TRM502" s="126"/>
      <c r="TRN502" s="126"/>
      <c r="TRO502" s="126"/>
      <c r="TRP502" s="126"/>
      <c r="TRQ502" s="126"/>
      <c r="TRR502" s="126"/>
      <c r="TRS502" s="126"/>
      <c r="TRT502" s="126"/>
      <c r="TRU502" s="126"/>
      <c r="TRV502" s="126"/>
      <c r="TRW502" s="126"/>
      <c r="TRX502" s="126"/>
      <c r="TRY502" s="126"/>
      <c r="TRZ502" s="126"/>
      <c r="TSA502" s="126"/>
      <c r="TSB502" s="126"/>
      <c r="TSC502" s="126"/>
      <c r="TSD502" s="126"/>
      <c r="TSE502" s="126"/>
      <c r="TSF502" s="126"/>
      <c r="TSG502" s="126"/>
      <c r="TSH502" s="126"/>
      <c r="TSI502" s="126"/>
      <c r="TSJ502" s="126"/>
      <c r="TSK502" s="126"/>
      <c r="TSL502" s="126"/>
      <c r="TSM502" s="126"/>
      <c r="TSN502" s="126"/>
      <c r="TSO502" s="126"/>
      <c r="TSP502" s="126"/>
      <c r="TSQ502" s="126"/>
      <c r="TSR502" s="126"/>
      <c r="TSS502" s="126"/>
      <c r="TST502" s="126"/>
      <c r="TSU502" s="126"/>
      <c r="TSV502" s="126"/>
      <c r="TSW502" s="126"/>
      <c r="TSX502" s="126"/>
      <c r="TSY502" s="126"/>
      <c r="TSZ502" s="126"/>
      <c r="TTA502" s="126"/>
      <c r="TTB502" s="126"/>
      <c r="TTC502" s="126"/>
      <c r="TTD502" s="126"/>
      <c r="TTE502" s="126"/>
      <c r="TTF502" s="126"/>
      <c r="TTG502" s="126"/>
      <c r="TTH502" s="126"/>
      <c r="TTI502" s="126"/>
      <c r="TTJ502" s="126"/>
      <c r="TTK502" s="126"/>
      <c r="TTL502" s="126"/>
      <c r="TTM502" s="126"/>
      <c r="TTN502" s="126"/>
      <c r="TTO502" s="126"/>
      <c r="TTP502" s="126"/>
      <c r="TTQ502" s="126"/>
      <c r="TTR502" s="126"/>
      <c r="TTS502" s="126"/>
      <c r="TTT502" s="126"/>
      <c r="TTU502" s="126"/>
      <c r="TTV502" s="126"/>
      <c r="TTW502" s="126"/>
      <c r="TTX502" s="126"/>
      <c r="TTY502" s="126"/>
      <c r="TTZ502" s="126"/>
      <c r="TUA502" s="126"/>
      <c r="TUB502" s="126"/>
      <c r="TUC502" s="126"/>
      <c r="TUD502" s="126"/>
      <c r="TUE502" s="126"/>
      <c r="TUF502" s="126"/>
      <c r="TUG502" s="126"/>
      <c r="TUH502" s="126"/>
      <c r="TUI502" s="126"/>
      <c r="TUJ502" s="126"/>
      <c r="TUK502" s="126"/>
      <c r="TUL502" s="126"/>
      <c r="TUM502" s="126"/>
      <c r="TUN502" s="126"/>
      <c r="TUO502" s="126"/>
      <c r="TUP502" s="126"/>
      <c r="TUQ502" s="126"/>
      <c r="TUR502" s="126"/>
      <c r="TUS502" s="126"/>
      <c r="TUT502" s="126"/>
      <c r="TUU502" s="126"/>
      <c r="TUV502" s="126"/>
      <c r="TUW502" s="126"/>
      <c r="TUX502" s="126"/>
      <c r="TUY502" s="126"/>
      <c r="TUZ502" s="126"/>
      <c r="TVA502" s="126"/>
      <c r="TVB502" s="126"/>
      <c r="TVC502" s="126"/>
      <c r="TVD502" s="126"/>
      <c r="TVE502" s="126"/>
      <c r="TVF502" s="126"/>
      <c r="TVG502" s="126"/>
      <c r="TVH502" s="126"/>
      <c r="TVI502" s="126"/>
      <c r="TVJ502" s="126"/>
      <c r="TVK502" s="126"/>
      <c r="TVL502" s="126"/>
      <c r="TVM502" s="126"/>
      <c r="TVN502" s="126"/>
      <c r="TVO502" s="126"/>
      <c r="TVP502" s="126"/>
      <c r="TVQ502" s="126"/>
      <c r="TVR502" s="126"/>
      <c r="TVS502" s="126"/>
      <c r="TVT502" s="126"/>
      <c r="TVU502" s="126"/>
      <c r="TVV502" s="126"/>
      <c r="TVW502" s="126"/>
      <c r="TVX502" s="126"/>
      <c r="TVY502" s="126"/>
      <c r="TVZ502" s="126"/>
      <c r="TWA502" s="126"/>
      <c r="TWB502" s="126"/>
      <c r="TWC502" s="126"/>
      <c r="TWD502" s="126"/>
      <c r="TWE502" s="126"/>
      <c r="TWF502" s="126"/>
      <c r="TWG502" s="126"/>
      <c r="TWH502" s="126"/>
      <c r="TWI502" s="126"/>
      <c r="TWJ502" s="126"/>
      <c r="TWK502" s="126"/>
      <c r="TWL502" s="126"/>
      <c r="TWM502" s="126"/>
      <c r="TWN502" s="126"/>
      <c r="TWO502" s="126"/>
      <c r="TWP502" s="126"/>
      <c r="TWQ502" s="126"/>
      <c r="TWR502" s="126"/>
      <c r="TWS502" s="126"/>
      <c r="TWT502" s="126"/>
      <c r="TWU502" s="126"/>
      <c r="TWV502" s="126"/>
      <c r="TWW502" s="126"/>
      <c r="TWX502" s="126"/>
      <c r="TWY502" s="126"/>
      <c r="TWZ502" s="126"/>
      <c r="TXA502" s="126"/>
      <c r="TXB502" s="126"/>
      <c r="TXC502" s="126"/>
      <c r="TXD502" s="126"/>
      <c r="TXE502" s="126"/>
      <c r="TXF502" s="126"/>
      <c r="TXG502" s="126"/>
      <c r="TXH502" s="126"/>
      <c r="TXI502" s="126"/>
      <c r="TXJ502" s="126"/>
      <c r="TXK502" s="126"/>
      <c r="TXL502" s="126"/>
      <c r="TXM502" s="126"/>
      <c r="TXN502" s="126"/>
      <c r="TXO502" s="126"/>
      <c r="TXP502" s="126"/>
      <c r="TXQ502" s="126"/>
      <c r="TXR502" s="126"/>
      <c r="TXS502" s="126"/>
      <c r="TXT502" s="126"/>
      <c r="TXU502" s="126"/>
      <c r="TXV502" s="126"/>
      <c r="TXW502" s="126"/>
      <c r="TXX502" s="126"/>
      <c r="TXY502" s="126"/>
      <c r="TXZ502" s="126"/>
      <c r="TYA502" s="126"/>
      <c r="TYB502" s="126"/>
      <c r="TYC502" s="126"/>
      <c r="TYD502" s="126"/>
      <c r="TYE502" s="126"/>
      <c r="TYF502" s="126"/>
      <c r="TYG502" s="126"/>
      <c r="TYH502" s="126"/>
      <c r="TYI502" s="126"/>
      <c r="TYJ502" s="126"/>
      <c r="TYK502" s="126"/>
      <c r="TYL502" s="126"/>
      <c r="TYM502" s="126"/>
      <c r="TYN502" s="126"/>
      <c r="TYO502" s="126"/>
      <c r="TYP502" s="126"/>
      <c r="TYQ502" s="126"/>
      <c r="TYR502" s="126"/>
      <c r="TYS502" s="126"/>
      <c r="TYT502" s="126"/>
      <c r="TYU502" s="126"/>
      <c r="TYV502" s="126"/>
      <c r="TYW502" s="126"/>
      <c r="TYX502" s="126"/>
      <c r="TYY502" s="126"/>
      <c r="TYZ502" s="126"/>
      <c r="TZA502" s="126"/>
      <c r="TZB502" s="126"/>
      <c r="TZC502" s="126"/>
      <c r="TZD502" s="126"/>
      <c r="TZE502" s="126"/>
      <c r="TZF502" s="126"/>
      <c r="TZG502" s="126"/>
      <c r="TZH502" s="126"/>
      <c r="TZI502" s="126"/>
      <c r="TZJ502" s="126"/>
      <c r="TZK502" s="126"/>
      <c r="TZL502" s="126"/>
      <c r="TZM502" s="126"/>
      <c r="TZN502" s="126"/>
      <c r="TZO502" s="126"/>
      <c r="TZP502" s="126"/>
      <c r="TZQ502" s="126"/>
      <c r="TZR502" s="126"/>
      <c r="TZS502" s="126"/>
      <c r="TZT502" s="126"/>
      <c r="TZU502" s="126"/>
      <c r="TZV502" s="126"/>
      <c r="TZW502" s="126"/>
      <c r="TZX502" s="126"/>
      <c r="TZY502" s="126"/>
      <c r="TZZ502" s="126"/>
      <c r="UAA502" s="126"/>
      <c r="UAB502" s="126"/>
      <c r="UAC502" s="126"/>
      <c r="UAD502" s="126"/>
      <c r="UAE502" s="126"/>
      <c r="UAF502" s="126"/>
      <c r="UAG502" s="126"/>
      <c r="UAH502" s="126"/>
      <c r="UAI502" s="126"/>
      <c r="UAJ502" s="126"/>
      <c r="UAK502" s="126"/>
      <c r="UAL502" s="126"/>
      <c r="UAM502" s="126"/>
      <c r="UAN502" s="126"/>
      <c r="UAO502" s="126"/>
      <c r="UAP502" s="126"/>
      <c r="UAQ502" s="126"/>
      <c r="UAR502" s="126"/>
      <c r="UAS502" s="126"/>
      <c r="UAT502" s="126"/>
      <c r="UAU502" s="126"/>
      <c r="UAV502" s="126"/>
      <c r="UAW502" s="126"/>
      <c r="UAX502" s="126"/>
      <c r="UAY502" s="126"/>
      <c r="UAZ502" s="126"/>
      <c r="UBA502" s="126"/>
      <c r="UBB502" s="126"/>
      <c r="UBC502" s="126"/>
      <c r="UBD502" s="126"/>
      <c r="UBE502" s="126"/>
      <c r="UBF502" s="126"/>
      <c r="UBG502" s="126"/>
      <c r="UBH502" s="126"/>
      <c r="UBI502" s="126"/>
      <c r="UBJ502" s="126"/>
      <c r="UBK502" s="126"/>
      <c r="UBL502" s="126"/>
      <c r="UBM502" s="126"/>
      <c r="UBN502" s="126"/>
      <c r="UBO502" s="126"/>
      <c r="UBP502" s="126"/>
      <c r="UBQ502" s="126"/>
      <c r="UBR502" s="126"/>
      <c r="UBS502" s="126"/>
      <c r="UBT502" s="126"/>
      <c r="UBU502" s="126"/>
      <c r="UBV502" s="126"/>
      <c r="UBW502" s="126"/>
      <c r="UBX502" s="126"/>
      <c r="UBY502" s="126"/>
      <c r="UBZ502" s="126"/>
      <c r="UCA502" s="126"/>
      <c r="UCB502" s="126"/>
      <c r="UCC502" s="126"/>
      <c r="UCD502" s="126"/>
      <c r="UCE502" s="126"/>
      <c r="UCF502" s="126"/>
      <c r="UCG502" s="126"/>
      <c r="UCH502" s="126"/>
      <c r="UCI502" s="126"/>
      <c r="UCJ502" s="126"/>
      <c r="UCK502" s="126"/>
      <c r="UCL502" s="126"/>
      <c r="UCM502" s="126"/>
      <c r="UCN502" s="126"/>
      <c r="UCO502" s="126"/>
      <c r="UCP502" s="126"/>
      <c r="UCQ502" s="126"/>
      <c r="UCR502" s="126"/>
      <c r="UCS502" s="126"/>
      <c r="UCT502" s="126"/>
      <c r="UCU502" s="126"/>
      <c r="UCV502" s="126"/>
      <c r="UCW502" s="126"/>
      <c r="UCX502" s="126"/>
      <c r="UCY502" s="126"/>
      <c r="UCZ502" s="126"/>
      <c r="UDA502" s="126"/>
      <c r="UDB502" s="126"/>
      <c r="UDC502" s="126"/>
      <c r="UDD502" s="126"/>
      <c r="UDE502" s="126"/>
      <c r="UDF502" s="126"/>
      <c r="UDG502" s="126"/>
      <c r="UDH502" s="126"/>
      <c r="UDI502" s="126"/>
      <c r="UDJ502" s="126"/>
      <c r="UDK502" s="126"/>
      <c r="UDL502" s="126"/>
      <c r="UDM502" s="126"/>
      <c r="UDN502" s="126"/>
      <c r="UDO502" s="126"/>
      <c r="UDP502" s="126"/>
      <c r="UDQ502" s="126"/>
      <c r="UDR502" s="126"/>
      <c r="UDS502" s="126"/>
      <c r="UDT502" s="126"/>
      <c r="UDU502" s="126"/>
      <c r="UDV502" s="126"/>
      <c r="UDW502" s="126"/>
      <c r="UDX502" s="126"/>
      <c r="UDY502" s="126"/>
      <c r="UDZ502" s="126"/>
      <c r="UEA502" s="126"/>
      <c r="UEB502" s="126"/>
      <c r="UEC502" s="126"/>
      <c r="UED502" s="126"/>
      <c r="UEE502" s="126"/>
      <c r="UEF502" s="126"/>
      <c r="UEG502" s="126"/>
      <c r="UEH502" s="126"/>
      <c r="UEI502" s="126"/>
      <c r="UEJ502" s="126"/>
      <c r="UEK502" s="126"/>
      <c r="UEL502" s="126"/>
      <c r="UEM502" s="126"/>
      <c r="UEN502" s="126"/>
      <c r="UEO502" s="126"/>
      <c r="UEP502" s="126"/>
      <c r="UEQ502" s="126"/>
      <c r="UER502" s="126"/>
      <c r="UES502" s="126"/>
      <c r="UET502" s="126"/>
      <c r="UEU502" s="126"/>
      <c r="UEV502" s="126"/>
      <c r="UEW502" s="126"/>
      <c r="UEX502" s="126"/>
      <c r="UEY502" s="126"/>
      <c r="UEZ502" s="126"/>
      <c r="UFA502" s="126"/>
      <c r="UFB502" s="126"/>
      <c r="UFC502" s="126"/>
      <c r="UFD502" s="126"/>
      <c r="UFE502" s="126"/>
      <c r="UFF502" s="126"/>
      <c r="UFG502" s="126"/>
      <c r="UFH502" s="126"/>
      <c r="UFI502" s="126"/>
      <c r="UFJ502" s="126"/>
      <c r="UFK502" s="126"/>
      <c r="UFL502" s="126"/>
      <c r="UFM502" s="126"/>
      <c r="UFN502" s="126"/>
      <c r="UFO502" s="126"/>
      <c r="UFP502" s="126"/>
      <c r="UFQ502" s="126"/>
      <c r="UFR502" s="126"/>
      <c r="UFS502" s="126"/>
      <c r="UFT502" s="126"/>
      <c r="UFU502" s="126"/>
      <c r="UFV502" s="126"/>
      <c r="UFW502" s="126"/>
      <c r="UFX502" s="126"/>
      <c r="UFY502" s="126"/>
      <c r="UFZ502" s="126"/>
      <c r="UGA502" s="126"/>
      <c r="UGB502" s="126"/>
      <c r="UGC502" s="126"/>
      <c r="UGD502" s="126"/>
      <c r="UGE502" s="126"/>
      <c r="UGF502" s="126"/>
      <c r="UGG502" s="126"/>
      <c r="UGH502" s="126"/>
      <c r="UGI502" s="126"/>
      <c r="UGJ502" s="126"/>
      <c r="UGK502" s="126"/>
      <c r="UGL502" s="126"/>
      <c r="UGM502" s="126"/>
      <c r="UGN502" s="126"/>
      <c r="UGO502" s="126"/>
      <c r="UGP502" s="126"/>
      <c r="UGQ502" s="126"/>
      <c r="UGR502" s="126"/>
      <c r="UGS502" s="126"/>
      <c r="UGT502" s="126"/>
      <c r="UGU502" s="126"/>
      <c r="UGV502" s="126"/>
      <c r="UGW502" s="126"/>
      <c r="UGX502" s="126"/>
      <c r="UGY502" s="126"/>
      <c r="UGZ502" s="126"/>
      <c r="UHA502" s="126"/>
      <c r="UHB502" s="126"/>
      <c r="UHC502" s="126"/>
      <c r="UHD502" s="126"/>
      <c r="UHE502" s="126"/>
      <c r="UHF502" s="126"/>
      <c r="UHG502" s="126"/>
      <c r="UHH502" s="126"/>
      <c r="UHI502" s="126"/>
      <c r="UHJ502" s="126"/>
      <c r="UHK502" s="126"/>
      <c r="UHL502" s="126"/>
      <c r="UHM502" s="126"/>
      <c r="UHN502" s="126"/>
      <c r="UHO502" s="126"/>
      <c r="UHP502" s="126"/>
      <c r="UHQ502" s="126"/>
      <c r="UHR502" s="126"/>
      <c r="UHS502" s="126"/>
      <c r="UHT502" s="126"/>
      <c r="UHU502" s="126"/>
      <c r="UHV502" s="126"/>
      <c r="UHW502" s="126"/>
      <c r="UHX502" s="126"/>
      <c r="UHY502" s="126"/>
      <c r="UHZ502" s="126"/>
      <c r="UIA502" s="126"/>
      <c r="UIB502" s="126"/>
      <c r="UIC502" s="126"/>
      <c r="UID502" s="126"/>
      <c r="UIE502" s="126"/>
      <c r="UIF502" s="126"/>
      <c r="UIG502" s="126"/>
      <c r="UIH502" s="126"/>
      <c r="UII502" s="126"/>
      <c r="UIJ502" s="126"/>
      <c r="UIK502" s="126"/>
      <c r="UIL502" s="126"/>
      <c r="UIM502" s="126"/>
      <c r="UIN502" s="126"/>
      <c r="UIO502" s="126"/>
      <c r="UIP502" s="126"/>
      <c r="UIQ502" s="126"/>
      <c r="UIR502" s="126"/>
      <c r="UIS502" s="126"/>
      <c r="UIT502" s="126"/>
      <c r="UIU502" s="126"/>
      <c r="UIV502" s="126"/>
      <c r="UIW502" s="126"/>
      <c r="UIX502" s="126"/>
      <c r="UIY502" s="126"/>
      <c r="UIZ502" s="126"/>
      <c r="UJA502" s="126"/>
      <c r="UJB502" s="126"/>
      <c r="UJC502" s="126"/>
      <c r="UJD502" s="126"/>
      <c r="UJE502" s="126"/>
      <c r="UJF502" s="126"/>
      <c r="UJG502" s="126"/>
      <c r="UJH502" s="126"/>
      <c r="UJI502" s="126"/>
      <c r="UJJ502" s="126"/>
      <c r="UJK502" s="126"/>
      <c r="UJL502" s="126"/>
      <c r="UJM502" s="126"/>
      <c r="UJN502" s="126"/>
      <c r="UJO502" s="126"/>
      <c r="UJP502" s="126"/>
      <c r="UJQ502" s="126"/>
      <c r="UJR502" s="126"/>
      <c r="UJS502" s="126"/>
      <c r="UJT502" s="126"/>
      <c r="UJU502" s="126"/>
      <c r="UJV502" s="126"/>
      <c r="UJW502" s="126"/>
      <c r="UJX502" s="126"/>
      <c r="UJY502" s="126"/>
      <c r="UJZ502" s="126"/>
      <c r="UKA502" s="126"/>
      <c r="UKB502" s="126"/>
      <c r="UKC502" s="126"/>
      <c r="UKD502" s="126"/>
      <c r="UKE502" s="126"/>
      <c r="UKF502" s="126"/>
      <c r="UKG502" s="126"/>
      <c r="UKH502" s="126"/>
      <c r="UKI502" s="126"/>
      <c r="UKJ502" s="126"/>
      <c r="UKK502" s="126"/>
      <c r="UKL502" s="126"/>
      <c r="UKM502" s="126"/>
      <c r="UKN502" s="126"/>
      <c r="UKO502" s="126"/>
      <c r="UKP502" s="126"/>
      <c r="UKQ502" s="126"/>
      <c r="UKR502" s="126"/>
      <c r="UKS502" s="126"/>
      <c r="UKT502" s="126"/>
      <c r="UKU502" s="126"/>
      <c r="UKV502" s="126"/>
      <c r="UKW502" s="126"/>
      <c r="UKX502" s="126"/>
      <c r="UKY502" s="126"/>
      <c r="UKZ502" s="126"/>
      <c r="ULA502" s="126"/>
      <c r="ULB502" s="126"/>
      <c r="ULC502" s="126"/>
      <c r="ULD502" s="126"/>
      <c r="ULE502" s="126"/>
      <c r="ULF502" s="126"/>
      <c r="ULG502" s="126"/>
      <c r="ULH502" s="126"/>
      <c r="ULI502" s="126"/>
      <c r="ULJ502" s="126"/>
      <c r="ULK502" s="126"/>
      <c r="ULL502" s="126"/>
      <c r="ULM502" s="126"/>
      <c r="ULN502" s="126"/>
      <c r="ULO502" s="126"/>
      <c r="ULP502" s="126"/>
      <c r="ULQ502" s="126"/>
      <c r="ULR502" s="126"/>
      <c r="ULS502" s="126"/>
      <c r="ULT502" s="126"/>
      <c r="ULU502" s="126"/>
      <c r="ULV502" s="126"/>
      <c r="ULW502" s="126"/>
      <c r="ULX502" s="126"/>
      <c r="ULY502" s="126"/>
      <c r="ULZ502" s="126"/>
      <c r="UMA502" s="126"/>
      <c r="UMB502" s="126"/>
      <c r="UMC502" s="126"/>
      <c r="UMD502" s="126"/>
      <c r="UME502" s="126"/>
      <c r="UMF502" s="126"/>
      <c r="UMG502" s="126"/>
      <c r="UMH502" s="126"/>
      <c r="UMI502" s="126"/>
      <c r="UMJ502" s="126"/>
      <c r="UMK502" s="126"/>
      <c r="UML502" s="126"/>
      <c r="UMM502" s="126"/>
      <c r="UMN502" s="126"/>
      <c r="UMO502" s="126"/>
      <c r="UMP502" s="126"/>
      <c r="UMQ502" s="126"/>
      <c r="UMR502" s="126"/>
      <c r="UMS502" s="126"/>
      <c r="UMT502" s="126"/>
      <c r="UMU502" s="126"/>
      <c r="UMV502" s="126"/>
      <c r="UMW502" s="126"/>
      <c r="UMX502" s="126"/>
      <c r="UMY502" s="126"/>
      <c r="UMZ502" s="126"/>
      <c r="UNA502" s="126"/>
      <c r="UNB502" s="126"/>
      <c r="UNC502" s="126"/>
      <c r="UND502" s="126"/>
      <c r="UNE502" s="126"/>
      <c r="UNF502" s="126"/>
      <c r="UNG502" s="126"/>
      <c r="UNH502" s="126"/>
      <c r="UNI502" s="126"/>
      <c r="UNJ502" s="126"/>
      <c r="UNK502" s="126"/>
      <c r="UNL502" s="126"/>
      <c r="UNM502" s="126"/>
      <c r="UNN502" s="126"/>
      <c r="UNO502" s="126"/>
      <c r="UNP502" s="126"/>
      <c r="UNQ502" s="126"/>
      <c r="UNR502" s="126"/>
      <c r="UNS502" s="126"/>
      <c r="UNT502" s="126"/>
      <c r="UNU502" s="126"/>
      <c r="UNV502" s="126"/>
      <c r="UNW502" s="126"/>
      <c r="UNX502" s="126"/>
      <c r="UNY502" s="126"/>
      <c r="UNZ502" s="126"/>
      <c r="UOA502" s="126"/>
      <c r="UOB502" s="126"/>
      <c r="UOC502" s="126"/>
      <c r="UOD502" s="126"/>
      <c r="UOE502" s="126"/>
      <c r="UOF502" s="126"/>
      <c r="UOG502" s="126"/>
      <c r="UOH502" s="126"/>
      <c r="UOI502" s="126"/>
      <c r="UOJ502" s="126"/>
      <c r="UOK502" s="126"/>
      <c r="UOL502" s="126"/>
      <c r="UOM502" s="126"/>
      <c r="UON502" s="126"/>
      <c r="UOO502" s="126"/>
      <c r="UOP502" s="126"/>
      <c r="UOQ502" s="126"/>
      <c r="UOR502" s="126"/>
      <c r="UOS502" s="126"/>
      <c r="UOT502" s="126"/>
      <c r="UOU502" s="126"/>
      <c r="UOV502" s="126"/>
      <c r="UOW502" s="126"/>
      <c r="UOX502" s="126"/>
      <c r="UOY502" s="126"/>
      <c r="UOZ502" s="126"/>
      <c r="UPA502" s="126"/>
      <c r="UPB502" s="126"/>
      <c r="UPC502" s="126"/>
      <c r="UPD502" s="126"/>
      <c r="UPE502" s="126"/>
      <c r="UPF502" s="126"/>
      <c r="UPG502" s="126"/>
      <c r="UPH502" s="126"/>
      <c r="UPI502" s="126"/>
      <c r="UPJ502" s="126"/>
      <c r="UPK502" s="126"/>
      <c r="UPL502" s="126"/>
      <c r="UPM502" s="126"/>
      <c r="UPN502" s="126"/>
      <c r="UPO502" s="126"/>
      <c r="UPP502" s="126"/>
      <c r="UPQ502" s="126"/>
      <c r="UPR502" s="126"/>
      <c r="UPS502" s="126"/>
      <c r="UPT502" s="126"/>
      <c r="UPU502" s="126"/>
      <c r="UPV502" s="126"/>
      <c r="UPW502" s="126"/>
      <c r="UPX502" s="126"/>
      <c r="UPY502" s="126"/>
      <c r="UPZ502" s="126"/>
      <c r="UQA502" s="126"/>
      <c r="UQB502" s="126"/>
      <c r="UQC502" s="126"/>
      <c r="UQD502" s="126"/>
      <c r="UQE502" s="126"/>
      <c r="UQF502" s="126"/>
      <c r="UQG502" s="126"/>
      <c r="UQH502" s="126"/>
      <c r="UQI502" s="126"/>
      <c r="UQJ502" s="126"/>
      <c r="UQK502" s="126"/>
      <c r="UQL502" s="126"/>
      <c r="UQM502" s="126"/>
      <c r="UQN502" s="126"/>
      <c r="UQO502" s="126"/>
      <c r="UQP502" s="126"/>
      <c r="UQQ502" s="126"/>
      <c r="UQR502" s="126"/>
      <c r="UQS502" s="126"/>
      <c r="UQT502" s="126"/>
      <c r="UQU502" s="126"/>
      <c r="UQV502" s="126"/>
      <c r="UQW502" s="126"/>
      <c r="UQX502" s="126"/>
      <c r="UQY502" s="126"/>
      <c r="UQZ502" s="126"/>
      <c r="URA502" s="126"/>
      <c r="URB502" s="126"/>
      <c r="URC502" s="126"/>
      <c r="URD502" s="126"/>
      <c r="URE502" s="126"/>
      <c r="URF502" s="126"/>
      <c r="URG502" s="126"/>
      <c r="URH502" s="126"/>
      <c r="URI502" s="126"/>
      <c r="URJ502" s="126"/>
      <c r="URK502" s="126"/>
      <c r="URL502" s="126"/>
      <c r="URM502" s="126"/>
      <c r="URN502" s="126"/>
      <c r="URO502" s="126"/>
      <c r="URP502" s="126"/>
      <c r="URQ502" s="126"/>
      <c r="URR502" s="126"/>
      <c r="URS502" s="126"/>
      <c r="URT502" s="126"/>
      <c r="URU502" s="126"/>
      <c r="URV502" s="126"/>
      <c r="URW502" s="126"/>
      <c r="URX502" s="126"/>
      <c r="URY502" s="126"/>
      <c r="URZ502" s="126"/>
      <c r="USA502" s="126"/>
      <c r="USB502" s="126"/>
      <c r="USC502" s="126"/>
      <c r="USD502" s="126"/>
      <c r="USE502" s="126"/>
      <c r="USF502" s="126"/>
      <c r="USG502" s="126"/>
      <c r="USH502" s="126"/>
      <c r="USI502" s="126"/>
      <c r="USJ502" s="126"/>
      <c r="USK502" s="126"/>
      <c r="USL502" s="126"/>
      <c r="USM502" s="126"/>
      <c r="USN502" s="126"/>
      <c r="USO502" s="126"/>
      <c r="USP502" s="126"/>
      <c r="USQ502" s="126"/>
      <c r="USR502" s="126"/>
      <c r="USS502" s="126"/>
      <c r="UST502" s="126"/>
      <c r="USU502" s="126"/>
      <c r="USV502" s="126"/>
      <c r="USW502" s="126"/>
      <c r="USX502" s="126"/>
      <c r="USY502" s="126"/>
      <c r="USZ502" s="126"/>
      <c r="UTA502" s="126"/>
      <c r="UTB502" s="126"/>
      <c r="UTC502" s="126"/>
      <c r="UTD502" s="126"/>
      <c r="UTE502" s="126"/>
      <c r="UTF502" s="126"/>
      <c r="UTG502" s="126"/>
      <c r="UTH502" s="126"/>
      <c r="UTI502" s="126"/>
      <c r="UTJ502" s="126"/>
      <c r="UTK502" s="126"/>
      <c r="UTL502" s="126"/>
      <c r="UTM502" s="126"/>
      <c r="UTN502" s="126"/>
      <c r="UTO502" s="126"/>
      <c r="UTP502" s="126"/>
      <c r="UTQ502" s="126"/>
      <c r="UTR502" s="126"/>
      <c r="UTS502" s="126"/>
      <c r="UTT502" s="126"/>
      <c r="UTU502" s="126"/>
      <c r="UTV502" s="126"/>
      <c r="UTW502" s="126"/>
      <c r="UTX502" s="126"/>
      <c r="UTY502" s="126"/>
      <c r="UTZ502" s="126"/>
      <c r="UUA502" s="126"/>
      <c r="UUB502" s="126"/>
      <c r="UUC502" s="126"/>
      <c r="UUD502" s="126"/>
      <c r="UUE502" s="126"/>
      <c r="UUF502" s="126"/>
      <c r="UUG502" s="126"/>
      <c r="UUH502" s="126"/>
      <c r="UUI502" s="126"/>
      <c r="UUJ502" s="126"/>
      <c r="UUK502" s="126"/>
      <c r="UUL502" s="126"/>
      <c r="UUM502" s="126"/>
      <c r="UUN502" s="126"/>
      <c r="UUO502" s="126"/>
      <c r="UUP502" s="126"/>
      <c r="UUQ502" s="126"/>
      <c r="UUR502" s="126"/>
      <c r="UUS502" s="126"/>
      <c r="UUT502" s="126"/>
      <c r="UUU502" s="126"/>
      <c r="UUV502" s="126"/>
      <c r="UUW502" s="126"/>
      <c r="UUX502" s="126"/>
      <c r="UUY502" s="126"/>
      <c r="UUZ502" s="126"/>
      <c r="UVA502" s="126"/>
      <c r="UVB502" s="126"/>
      <c r="UVC502" s="126"/>
      <c r="UVD502" s="126"/>
      <c r="UVE502" s="126"/>
      <c r="UVF502" s="126"/>
      <c r="UVG502" s="126"/>
      <c r="UVH502" s="126"/>
      <c r="UVI502" s="126"/>
      <c r="UVJ502" s="126"/>
      <c r="UVK502" s="126"/>
      <c r="UVL502" s="126"/>
      <c r="UVM502" s="126"/>
      <c r="UVN502" s="126"/>
      <c r="UVO502" s="126"/>
      <c r="UVP502" s="126"/>
      <c r="UVQ502" s="126"/>
      <c r="UVR502" s="126"/>
      <c r="UVS502" s="126"/>
      <c r="UVT502" s="126"/>
      <c r="UVU502" s="126"/>
      <c r="UVV502" s="126"/>
      <c r="UVW502" s="126"/>
      <c r="UVX502" s="126"/>
      <c r="UVY502" s="126"/>
      <c r="UVZ502" s="126"/>
      <c r="UWA502" s="126"/>
      <c r="UWB502" s="126"/>
      <c r="UWC502" s="126"/>
      <c r="UWD502" s="126"/>
      <c r="UWE502" s="126"/>
      <c r="UWF502" s="126"/>
      <c r="UWG502" s="126"/>
      <c r="UWH502" s="126"/>
      <c r="UWI502" s="126"/>
      <c r="UWJ502" s="126"/>
      <c r="UWK502" s="126"/>
      <c r="UWL502" s="126"/>
      <c r="UWM502" s="126"/>
      <c r="UWN502" s="126"/>
      <c r="UWO502" s="126"/>
      <c r="UWP502" s="126"/>
      <c r="UWQ502" s="126"/>
      <c r="UWR502" s="126"/>
      <c r="UWS502" s="126"/>
      <c r="UWT502" s="126"/>
      <c r="UWU502" s="126"/>
      <c r="UWV502" s="126"/>
      <c r="UWW502" s="126"/>
      <c r="UWX502" s="126"/>
      <c r="UWY502" s="126"/>
      <c r="UWZ502" s="126"/>
      <c r="UXA502" s="126"/>
      <c r="UXB502" s="126"/>
      <c r="UXC502" s="126"/>
      <c r="UXD502" s="126"/>
      <c r="UXE502" s="126"/>
      <c r="UXF502" s="126"/>
      <c r="UXG502" s="126"/>
      <c r="UXH502" s="126"/>
      <c r="UXI502" s="126"/>
      <c r="UXJ502" s="126"/>
      <c r="UXK502" s="126"/>
      <c r="UXL502" s="126"/>
      <c r="UXM502" s="126"/>
      <c r="UXN502" s="126"/>
      <c r="UXO502" s="126"/>
      <c r="UXP502" s="126"/>
      <c r="UXQ502" s="126"/>
      <c r="UXR502" s="126"/>
      <c r="UXS502" s="126"/>
      <c r="UXT502" s="126"/>
      <c r="UXU502" s="126"/>
      <c r="UXV502" s="126"/>
      <c r="UXW502" s="126"/>
      <c r="UXX502" s="126"/>
      <c r="UXY502" s="126"/>
      <c r="UXZ502" s="126"/>
      <c r="UYA502" s="126"/>
      <c r="UYB502" s="126"/>
      <c r="UYC502" s="126"/>
      <c r="UYD502" s="126"/>
      <c r="UYE502" s="126"/>
      <c r="UYF502" s="126"/>
      <c r="UYG502" s="126"/>
      <c r="UYH502" s="126"/>
      <c r="UYI502" s="126"/>
      <c r="UYJ502" s="126"/>
      <c r="UYK502" s="126"/>
      <c r="UYL502" s="126"/>
      <c r="UYM502" s="126"/>
      <c r="UYN502" s="126"/>
      <c r="UYO502" s="126"/>
      <c r="UYP502" s="126"/>
      <c r="UYQ502" s="126"/>
      <c r="UYR502" s="126"/>
      <c r="UYS502" s="126"/>
      <c r="UYT502" s="126"/>
      <c r="UYU502" s="126"/>
      <c r="UYV502" s="126"/>
      <c r="UYW502" s="126"/>
      <c r="UYX502" s="126"/>
      <c r="UYY502" s="126"/>
      <c r="UYZ502" s="126"/>
      <c r="UZA502" s="126"/>
      <c r="UZB502" s="126"/>
      <c r="UZC502" s="126"/>
      <c r="UZD502" s="126"/>
      <c r="UZE502" s="126"/>
      <c r="UZF502" s="126"/>
      <c r="UZG502" s="126"/>
      <c r="UZH502" s="126"/>
      <c r="UZI502" s="126"/>
      <c r="UZJ502" s="126"/>
      <c r="UZK502" s="126"/>
      <c r="UZL502" s="126"/>
      <c r="UZM502" s="126"/>
      <c r="UZN502" s="126"/>
      <c r="UZO502" s="126"/>
      <c r="UZP502" s="126"/>
      <c r="UZQ502" s="126"/>
      <c r="UZR502" s="126"/>
      <c r="UZS502" s="126"/>
      <c r="UZT502" s="126"/>
      <c r="UZU502" s="126"/>
      <c r="UZV502" s="126"/>
      <c r="UZW502" s="126"/>
      <c r="UZX502" s="126"/>
      <c r="UZY502" s="126"/>
      <c r="UZZ502" s="126"/>
      <c r="VAA502" s="126"/>
      <c r="VAB502" s="126"/>
      <c r="VAC502" s="126"/>
      <c r="VAD502" s="126"/>
      <c r="VAE502" s="126"/>
      <c r="VAF502" s="126"/>
      <c r="VAG502" s="126"/>
      <c r="VAH502" s="126"/>
      <c r="VAI502" s="126"/>
      <c r="VAJ502" s="126"/>
      <c r="VAK502" s="126"/>
      <c r="VAL502" s="126"/>
      <c r="VAM502" s="126"/>
      <c r="VAN502" s="126"/>
      <c r="VAO502" s="126"/>
      <c r="VAP502" s="126"/>
      <c r="VAQ502" s="126"/>
      <c r="VAR502" s="126"/>
      <c r="VAS502" s="126"/>
      <c r="VAT502" s="126"/>
      <c r="VAU502" s="126"/>
      <c r="VAV502" s="126"/>
      <c r="VAW502" s="126"/>
      <c r="VAX502" s="126"/>
      <c r="VAY502" s="126"/>
      <c r="VAZ502" s="126"/>
      <c r="VBA502" s="126"/>
      <c r="VBB502" s="126"/>
      <c r="VBC502" s="126"/>
      <c r="VBD502" s="126"/>
      <c r="VBE502" s="126"/>
      <c r="VBF502" s="126"/>
      <c r="VBG502" s="126"/>
      <c r="VBH502" s="126"/>
      <c r="VBI502" s="126"/>
      <c r="VBJ502" s="126"/>
      <c r="VBK502" s="126"/>
      <c r="VBL502" s="126"/>
      <c r="VBM502" s="126"/>
      <c r="VBN502" s="126"/>
      <c r="VBO502" s="126"/>
      <c r="VBP502" s="126"/>
      <c r="VBQ502" s="126"/>
      <c r="VBR502" s="126"/>
      <c r="VBS502" s="126"/>
      <c r="VBT502" s="126"/>
      <c r="VBU502" s="126"/>
      <c r="VBV502" s="126"/>
      <c r="VBW502" s="126"/>
      <c r="VBX502" s="126"/>
      <c r="VBY502" s="126"/>
      <c r="VBZ502" s="126"/>
      <c r="VCA502" s="126"/>
      <c r="VCB502" s="126"/>
      <c r="VCC502" s="126"/>
      <c r="VCD502" s="126"/>
      <c r="VCE502" s="126"/>
      <c r="VCF502" s="126"/>
      <c r="VCG502" s="126"/>
      <c r="VCH502" s="126"/>
      <c r="VCI502" s="126"/>
      <c r="VCJ502" s="126"/>
      <c r="VCK502" s="126"/>
      <c r="VCL502" s="126"/>
      <c r="VCM502" s="126"/>
      <c r="VCN502" s="126"/>
      <c r="VCO502" s="126"/>
      <c r="VCP502" s="126"/>
      <c r="VCQ502" s="126"/>
      <c r="VCR502" s="126"/>
      <c r="VCS502" s="126"/>
      <c r="VCT502" s="126"/>
      <c r="VCU502" s="126"/>
      <c r="VCV502" s="126"/>
      <c r="VCW502" s="126"/>
      <c r="VCX502" s="126"/>
      <c r="VCY502" s="126"/>
      <c r="VCZ502" s="126"/>
      <c r="VDA502" s="126"/>
      <c r="VDB502" s="126"/>
      <c r="VDC502" s="126"/>
      <c r="VDD502" s="126"/>
      <c r="VDE502" s="126"/>
      <c r="VDF502" s="126"/>
      <c r="VDG502" s="126"/>
      <c r="VDH502" s="126"/>
      <c r="VDI502" s="126"/>
      <c r="VDJ502" s="126"/>
      <c r="VDK502" s="126"/>
      <c r="VDL502" s="126"/>
      <c r="VDM502" s="126"/>
      <c r="VDN502" s="126"/>
      <c r="VDO502" s="126"/>
      <c r="VDP502" s="126"/>
      <c r="VDQ502" s="126"/>
      <c r="VDR502" s="126"/>
      <c r="VDS502" s="126"/>
      <c r="VDT502" s="126"/>
      <c r="VDU502" s="126"/>
      <c r="VDV502" s="126"/>
      <c r="VDW502" s="126"/>
      <c r="VDX502" s="126"/>
      <c r="VDY502" s="126"/>
      <c r="VDZ502" s="126"/>
      <c r="VEA502" s="126"/>
      <c r="VEB502" s="126"/>
      <c r="VEC502" s="126"/>
      <c r="VED502" s="126"/>
      <c r="VEE502" s="126"/>
      <c r="VEF502" s="126"/>
      <c r="VEG502" s="126"/>
      <c r="VEH502" s="126"/>
      <c r="VEI502" s="126"/>
      <c r="VEJ502" s="126"/>
      <c r="VEK502" s="126"/>
      <c r="VEL502" s="126"/>
      <c r="VEM502" s="126"/>
      <c r="VEN502" s="126"/>
      <c r="VEO502" s="126"/>
      <c r="VEP502" s="126"/>
      <c r="VEQ502" s="126"/>
      <c r="VER502" s="126"/>
      <c r="VES502" s="126"/>
      <c r="VET502" s="126"/>
      <c r="VEU502" s="126"/>
      <c r="VEV502" s="126"/>
      <c r="VEW502" s="126"/>
      <c r="VEX502" s="126"/>
      <c r="VEY502" s="126"/>
      <c r="VEZ502" s="126"/>
      <c r="VFA502" s="126"/>
      <c r="VFB502" s="126"/>
      <c r="VFC502" s="126"/>
      <c r="VFD502" s="126"/>
      <c r="VFE502" s="126"/>
      <c r="VFF502" s="126"/>
      <c r="VFG502" s="126"/>
      <c r="VFH502" s="126"/>
      <c r="VFI502" s="126"/>
      <c r="VFJ502" s="126"/>
      <c r="VFK502" s="126"/>
      <c r="VFL502" s="126"/>
      <c r="VFM502" s="126"/>
      <c r="VFN502" s="126"/>
      <c r="VFO502" s="126"/>
      <c r="VFP502" s="126"/>
      <c r="VFQ502" s="126"/>
      <c r="VFR502" s="126"/>
      <c r="VFS502" s="126"/>
      <c r="VFT502" s="126"/>
      <c r="VFU502" s="126"/>
      <c r="VFV502" s="126"/>
      <c r="VFW502" s="126"/>
      <c r="VFX502" s="126"/>
      <c r="VFY502" s="126"/>
      <c r="VFZ502" s="126"/>
      <c r="VGA502" s="126"/>
      <c r="VGB502" s="126"/>
      <c r="VGC502" s="126"/>
      <c r="VGD502" s="126"/>
      <c r="VGE502" s="126"/>
      <c r="VGF502" s="126"/>
      <c r="VGG502" s="126"/>
      <c r="VGH502" s="126"/>
      <c r="VGI502" s="126"/>
      <c r="VGJ502" s="126"/>
      <c r="VGK502" s="126"/>
      <c r="VGL502" s="126"/>
      <c r="VGM502" s="126"/>
      <c r="VGN502" s="126"/>
      <c r="VGO502" s="126"/>
      <c r="VGP502" s="126"/>
      <c r="VGQ502" s="126"/>
      <c r="VGR502" s="126"/>
      <c r="VGS502" s="126"/>
      <c r="VGT502" s="126"/>
      <c r="VGU502" s="126"/>
      <c r="VGV502" s="126"/>
      <c r="VGW502" s="126"/>
      <c r="VGX502" s="126"/>
      <c r="VGY502" s="126"/>
      <c r="VGZ502" s="126"/>
      <c r="VHA502" s="126"/>
      <c r="VHB502" s="126"/>
      <c r="VHC502" s="126"/>
      <c r="VHD502" s="126"/>
      <c r="VHE502" s="126"/>
      <c r="VHF502" s="126"/>
      <c r="VHG502" s="126"/>
      <c r="VHH502" s="126"/>
      <c r="VHI502" s="126"/>
      <c r="VHJ502" s="126"/>
      <c r="VHK502" s="126"/>
      <c r="VHL502" s="126"/>
      <c r="VHM502" s="126"/>
      <c r="VHN502" s="126"/>
      <c r="VHO502" s="126"/>
      <c r="VHP502" s="126"/>
      <c r="VHQ502" s="126"/>
      <c r="VHR502" s="126"/>
      <c r="VHS502" s="126"/>
      <c r="VHT502" s="126"/>
      <c r="VHU502" s="126"/>
      <c r="VHV502" s="126"/>
      <c r="VHW502" s="126"/>
      <c r="VHX502" s="126"/>
      <c r="VHY502" s="126"/>
      <c r="VHZ502" s="126"/>
      <c r="VIA502" s="126"/>
      <c r="VIB502" s="126"/>
      <c r="VIC502" s="126"/>
      <c r="VID502" s="126"/>
      <c r="VIE502" s="126"/>
      <c r="VIF502" s="126"/>
      <c r="VIG502" s="126"/>
      <c r="VIH502" s="126"/>
      <c r="VII502" s="126"/>
      <c r="VIJ502" s="126"/>
      <c r="VIK502" s="126"/>
      <c r="VIL502" s="126"/>
      <c r="VIM502" s="126"/>
      <c r="VIN502" s="126"/>
      <c r="VIO502" s="126"/>
      <c r="VIP502" s="126"/>
      <c r="VIQ502" s="126"/>
      <c r="VIR502" s="126"/>
      <c r="VIS502" s="126"/>
      <c r="VIT502" s="126"/>
      <c r="VIU502" s="126"/>
      <c r="VIV502" s="126"/>
      <c r="VIW502" s="126"/>
      <c r="VIX502" s="126"/>
      <c r="VIY502" s="126"/>
      <c r="VIZ502" s="126"/>
      <c r="VJA502" s="126"/>
      <c r="VJB502" s="126"/>
      <c r="VJC502" s="126"/>
      <c r="VJD502" s="126"/>
      <c r="VJE502" s="126"/>
      <c r="VJF502" s="126"/>
      <c r="VJG502" s="126"/>
      <c r="VJH502" s="126"/>
      <c r="VJI502" s="126"/>
      <c r="VJJ502" s="126"/>
      <c r="VJK502" s="126"/>
      <c r="VJL502" s="126"/>
      <c r="VJM502" s="126"/>
      <c r="VJN502" s="126"/>
      <c r="VJO502" s="126"/>
      <c r="VJP502" s="126"/>
      <c r="VJQ502" s="126"/>
      <c r="VJR502" s="126"/>
      <c r="VJS502" s="126"/>
      <c r="VJT502" s="126"/>
      <c r="VJU502" s="126"/>
      <c r="VJV502" s="126"/>
      <c r="VJW502" s="126"/>
      <c r="VJX502" s="126"/>
      <c r="VJY502" s="126"/>
      <c r="VJZ502" s="126"/>
      <c r="VKA502" s="126"/>
      <c r="VKB502" s="126"/>
      <c r="VKC502" s="126"/>
      <c r="VKD502" s="126"/>
      <c r="VKE502" s="126"/>
      <c r="VKF502" s="126"/>
      <c r="VKG502" s="126"/>
      <c r="VKH502" s="126"/>
      <c r="VKI502" s="126"/>
      <c r="VKJ502" s="126"/>
      <c r="VKK502" s="126"/>
      <c r="VKL502" s="126"/>
      <c r="VKM502" s="126"/>
      <c r="VKN502" s="126"/>
      <c r="VKO502" s="126"/>
      <c r="VKP502" s="126"/>
      <c r="VKQ502" s="126"/>
      <c r="VKR502" s="126"/>
      <c r="VKS502" s="126"/>
      <c r="VKT502" s="126"/>
      <c r="VKU502" s="126"/>
      <c r="VKV502" s="126"/>
      <c r="VKW502" s="126"/>
      <c r="VKX502" s="126"/>
      <c r="VKY502" s="126"/>
      <c r="VKZ502" s="126"/>
      <c r="VLA502" s="126"/>
      <c r="VLB502" s="126"/>
      <c r="VLC502" s="126"/>
      <c r="VLD502" s="126"/>
      <c r="VLE502" s="126"/>
      <c r="VLF502" s="126"/>
      <c r="VLG502" s="126"/>
      <c r="VLH502" s="126"/>
      <c r="VLI502" s="126"/>
      <c r="VLJ502" s="126"/>
      <c r="VLK502" s="126"/>
      <c r="VLL502" s="126"/>
      <c r="VLM502" s="126"/>
      <c r="VLN502" s="126"/>
      <c r="VLO502" s="126"/>
      <c r="VLP502" s="126"/>
      <c r="VLQ502" s="126"/>
      <c r="VLR502" s="126"/>
      <c r="VLS502" s="126"/>
      <c r="VLT502" s="126"/>
      <c r="VLU502" s="126"/>
      <c r="VLV502" s="126"/>
      <c r="VLW502" s="126"/>
      <c r="VLX502" s="126"/>
      <c r="VLY502" s="126"/>
      <c r="VLZ502" s="126"/>
      <c r="VMA502" s="126"/>
      <c r="VMB502" s="126"/>
      <c r="VMC502" s="126"/>
      <c r="VMD502" s="126"/>
      <c r="VME502" s="126"/>
      <c r="VMF502" s="126"/>
      <c r="VMG502" s="126"/>
      <c r="VMH502" s="126"/>
      <c r="VMI502" s="126"/>
      <c r="VMJ502" s="126"/>
      <c r="VMK502" s="126"/>
      <c r="VML502" s="126"/>
      <c r="VMM502" s="126"/>
      <c r="VMN502" s="126"/>
      <c r="VMO502" s="126"/>
      <c r="VMP502" s="126"/>
      <c r="VMQ502" s="126"/>
      <c r="VMR502" s="126"/>
      <c r="VMS502" s="126"/>
      <c r="VMT502" s="126"/>
      <c r="VMU502" s="126"/>
      <c r="VMV502" s="126"/>
      <c r="VMW502" s="126"/>
      <c r="VMX502" s="126"/>
      <c r="VMY502" s="126"/>
      <c r="VMZ502" s="126"/>
      <c r="VNA502" s="126"/>
      <c r="VNB502" s="126"/>
      <c r="VNC502" s="126"/>
      <c r="VND502" s="126"/>
      <c r="VNE502" s="126"/>
      <c r="VNF502" s="126"/>
      <c r="VNG502" s="126"/>
      <c r="VNH502" s="126"/>
      <c r="VNI502" s="126"/>
      <c r="VNJ502" s="126"/>
      <c r="VNK502" s="126"/>
      <c r="VNL502" s="126"/>
      <c r="VNM502" s="126"/>
      <c r="VNN502" s="126"/>
      <c r="VNO502" s="126"/>
      <c r="VNP502" s="126"/>
      <c r="VNQ502" s="126"/>
      <c r="VNR502" s="126"/>
      <c r="VNS502" s="126"/>
      <c r="VNT502" s="126"/>
      <c r="VNU502" s="126"/>
      <c r="VNV502" s="126"/>
      <c r="VNW502" s="126"/>
      <c r="VNX502" s="126"/>
      <c r="VNY502" s="126"/>
      <c r="VNZ502" s="126"/>
      <c r="VOA502" s="126"/>
      <c r="VOB502" s="126"/>
      <c r="VOC502" s="126"/>
      <c r="VOD502" s="126"/>
      <c r="VOE502" s="126"/>
      <c r="VOF502" s="126"/>
      <c r="VOG502" s="126"/>
      <c r="VOH502" s="126"/>
      <c r="VOI502" s="126"/>
      <c r="VOJ502" s="126"/>
      <c r="VOK502" s="126"/>
      <c r="VOL502" s="126"/>
      <c r="VOM502" s="126"/>
      <c r="VON502" s="126"/>
      <c r="VOO502" s="126"/>
      <c r="VOP502" s="126"/>
      <c r="VOQ502" s="126"/>
      <c r="VOR502" s="126"/>
      <c r="VOS502" s="126"/>
      <c r="VOT502" s="126"/>
      <c r="VOU502" s="126"/>
      <c r="VOV502" s="126"/>
      <c r="VOW502" s="126"/>
      <c r="VOX502" s="126"/>
      <c r="VOY502" s="126"/>
      <c r="VOZ502" s="126"/>
      <c r="VPA502" s="126"/>
      <c r="VPB502" s="126"/>
      <c r="VPC502" s="126"/>
      <c r="VPD502" s="126"/>
      <c r="VPE502" s="126"/>
      <c r="VPF502" s="126"/>
      <c r="VPG502" s="126"/>
      <c r="VPH502" s="126"/>
      <c r="VPI502" s="126"/>
      <c r="VPJ502" s="126"/>
      <c r="VPK502" s="126"/>
      <c r="VPL502" s="126"/>
      <c r="VPM502" s="126"/>
      <c r="VPN502" s="126"/>
      <c r="VPO502" s="126"/>
      <c r="VPP502" s="126"/>
      <c r="VPQ502" s="126"/>
      <c r="VPR502" s="126"/>
      <c r="VPS502" s="126"/>
      <c r="VPT502" s="126"/>
      <c r="VPU502" s="126"/>
      <c r="VPV502" s="126"/>
      <c r="VPW502" s="126"/>
      <c r="VPX502" s="126"/>
      <c r="VPY502" s="126"/>
      <c r="VPZ502" s="126"/>
      <c r="VQA502" s="126"/>
      <c r="VQB502" s="126"/>
      <c r="VQC502" s="126"/>
      <c r="VQD502" s="126"/>
      <c r="VQE502" s="126"/>
      <c r="VQF502" s="126"/>
      <c r="VQG502" s="126"/>
      <c r="VQH502" s="126"/>
      <c r="VQI502" s="126"/>
      <c r="VQJ502" s="126"/>
      <c r="VQK502" s="126"/>
      <c r="VQL502" s="126"/>
      <c r="VQM502" s="126"/>
      <c r="VQN502" s="126"/>
      <c r="VQO502" s="126"/>
      <c r="VQP502" s="126"/>
      <c r="VQQ502" s="126"/>
      <c r="VQR502" s="126"/>
      <c r="VQS502" s="126"/>
      <c r="VQT502" s="126"/>
      <c r="VQU502" s="126"/>
      <c r="VQV502" s="126"/>
      <c r="VQW502" s="126"/>
      <c r="VQX502" s="126"/>
      <c r="VQY502" s="126"/>
      <c r="VQZ502" s="126"/>
      <c r="VRA502" s="126"/>
      <c r="VRB502" s="126"/>
      <c r="VRC502" s="126"/>
      <c r="VRD502" s="126"/>
      <c r="VRE502" s="126"/>
      <c r="VRF502" s="126"/>
      <c r="VRG502" s="126"/>
      <c r="VRH502" s="126"/>
      <c r="VRI502" s="126"/>
      <c r="VRJ502" s="126"/>
      <c r="VRK502" s="126"/>
      <c r="VRL502" s="126"/>
      <c r="VRM502" s="126"/>
      <c r="VRN502" s="126"/>
      <c r="VRO502" s="126"/>
      <c r="VRP502" s="126"/>
      <c r="VRQ502" s="126"/>
      <c r="VRR502" s="126"/>
      <c r="VRS502" s="126"/>
      <c r="VRT502" s="126"/>
      <c r="VRU502" s="126"/>
      <c r="VRV502" s="126"/>
      <c r="VRW502" s="126"/>
      <c r="VRX502" s="126"/>
      <c r="VRY502" s="126"/>
      <c r="VRZ502" s="126"/>
      <c r="VSA502" s="126"/>
      <c r="VSB502" s="126"/>
      <c r="VSC502" s="126"/>
      <c r="VSD502" s="126"/>
      <c r="VSE502" s="126"/>
      <c r="VSF502" s="126"/>
      <c r="VSG502" s="126"/>
      <c r="VSH502" s="126"/>
      <c r="VSI502" s="126"/>
      <c r="VSJ502" s="126"/>
      <c r="VSK502" s="126"/>
      <c r="VSL502" s="126"/>
      <c r="VSM502" s="126"/>
      <c r="VSN502" s="126"/>
      <c r="VSO502" s="126"/>
      <c r="VSP502" s="126"/>
      <c r="VSQ502" s="126"/>
      <c r="VSR502" s="126"/>
      <c r="VSS502" s="126"/>
      <c r="VST502" s="126"/>
      <c r="VSU502" s="126"/>
      <c r="VSV502" s="126"/>
      <c r="VSW502" s="126"/>
      <c r="VSX502" s="126"/>
      <c r="VSY502" s="126"/>
      <c r="VSZ502" s="126"/>
      <c r="VTA502" s="126"/>
      <c r="VTB502" s="126"/>
      <c r="VTC502" s="126"/>
      <c r="VTD502" s="126"/>
      <c r="VTE502" s="126"/>
      <c r="VTF502" s="126"/>
      <c r="VTG502" s="126"/>
      <c r="VTH502" s="126"/>
      <c r="VTI502" s="126"/>
      <c r="VTJ502" s="126"/>
      <c r="VTK502" s="126"/>
      <c r="VTL502" s="126"/>
      <c r="VTM502" s="126"/>
      <c r="VTN502" s="126"/>
      <c r="VTO502" s="126"/>
      <c r="VTP502" s="126"/>
      <c r="VTQ502" s="126"/>
      <c r="VTR502" s="126"/>
      <c r="VTS502" s="126"/>
      <c r="VTT502" s="126"/>
      <c r="VTU502" s="126"/>
      <c r="VTV502" s="126"/>
      <c r="VTW502" s="126"/>
      <c r="VTX502" s="126"/>
      <c r="VTY502" s="126"/>
      <c r="VTZ502" s="126"/>
      <c r="VUA502" s="126"/>
      <c r="VUB502" s="126"/>
      <c r="VUC502" s="126"/>
      <c r="VUD502" s="126"/>
      <c r="VUE502" s="126"/>
      <c r="VUF502" s="126"/>
      <c r="VUG502" s="126"/>
      <c r="VUH502" s="126"/>
      <c r="VUI502" s="126"/>
      <c r="VUJ502" s="126"/>
      <c r="VUK502" s="126"/>
      <c r="VUL502" s="126"/>
      <c r="VUM502" s="126"/>
      <c r="VUN502" s="126"/>
      <c r="VUO502" s="126"/>
      <c r="VUP502" s="126"/>
      <c r="VUQ502" s="126"/>
      <c r="VUR502" s="126"/>
      <c r="VUS502" s="126"/>
      <c r="VUT502" s="126"/>
      <c r="VUU502" s="126"/>
      <c r="VUV502" s="126"/>
      <c r="VUW502" s="126"/>
      <c r="VUX502" s="126"/>
      <c r="VUY502" s="126"/>
      <c r="VUZ502" s="126"/>
      <c r="VVA502" s="126"/>
      <c r="VVB502" s="126"/>
      <c r="VVC502" s="126"/>
      <c r="VVD502" s="126"/>
      <c r="VVE502" s="126"/>
      <c r="VVF502" s="126"/>
      <c r="VVG502" s="126"/>
      <c r="VVH502" s="126"/>
      <c r="VVI502" s="126"/>
      <c r="VVJ502" s="126"/>
      <c r="VVK502" s="126"/>
      <c r="VVL502" s="126"/>
      <c r="VVM502" s="126"/>
      <c r="VVN502" s="126"/>
      <c r="VVO502" s="126"/>
      <c r="VVP502" s="126"/>
      <c r="VVQ502" s="126"/>
      <c r="VVR502" s="126"/>
      <c r="VVS502" s="126"/>
      <c r="VVT502" s="126"/>
      <c r="VVU502" s="126"/>
      <c r="VVV502" s="126"/>
      <c r="VVW502" s="126"/>
      <c r="VVX502" s="126"/>
      <c r="VVY502" s="126"/>
      <c r="VVZ502" s="126"/>
      <c r="VWA502" s="126"/>
      <c r="VWB502" s="126"/>
      <c r="VWC502" s="126"/>
      <c r="VWD502" s="126"/>
      <c r="VWE502" s="126"/>
      <c r="VWF502" s="126"/>
      <c r="VWG502" s="126"/>
      <c r="VWH502" s="126"/>
      <c r="VWI502" s="126"/>
      <c r="VWJ502" s="126"/>
      <c r="VWK502" s="126"/>
      <c r="VWL502" s="126"/>
      <c r="VWM502" s="126"/>
      <c r="VWN502" s="126"/>
      <c r="VWO502" s="126"/>
      <c r="VWP502" s="126"/>
      <c r="VWQ502" s="126"/>
      <c r="VWR502" s="126"/>
      <c r="VWS502" s="126"/>
      <c r="VWT502" s="126"/>
      <c r="VWU502" s="126"/>
      <c r="VWV502" s="126"/>
      <c r="VWW502" s="126"/>
      <c r="VWX502" s="126"/>
      <c r="VWY502" s="126"/>
      <c r="VWZ502" s="126"/>
      <c r="VXA502" s="126"/>
      <c r="VXB502" s="126"/>
      <c r="VXC502" s="126"/>
      <c r="VXD502" s="126"/>
      <c r="VXE502" s="126"/>
      <c r="VXF502" s="126"/>
      <c r="VXG502" s="126"/>
      <c r="VXH502" s="126"/>
      <c r="VXI502" s="126"/>
      <c r="VXJ502" s="126"/>
      <c r="VXK502" s="126"/>
      <c r="VXL502" s="126"/>
      <c r="VXM502" s="126"/>
      <c r="VXN502" s="126"/>
      <c r="VXO502" s="126"/>
      <c r="VXP502" s="126"/>
      <c r="VXQ502" s="126"/>
      <c r="VXR502" s="126"/>
      <c r="VXS502" s="126"/>
      <c r="VXT502" s="126"/>
      <c r="VXU502" s="126"/>
      <c r="VXV502" s="126"/>
      <c r="VXW502" s="126"/>
      <c r="VXX502" s="126"/>
      <c r="VXY502" s="126"/>
      <c r="VXZ502" s="126"/>
      <c r="VYA502" s="126"/>
      <c r="VYB502" s="126"/>
      <c r="VYC502" s="126"/>
      <c r="VYD502" s="126"/>
      <c r="VYE502" s="126"/>
      <c r="VYF502" s="126"/>
      <c r="VYG502" s="126"/>
      <c r="VYH502" s="126"/>
      <c r="VYI502" s="126"/>
      <c r="VYJ502" s="126"/>
      <c r="VYK502" s="126"/>
      <c r="VYL502" s="126"/>
      <c r="VYM502" s="126"/>
      <c r="VYN502" s="126"/>
      <c r="VYO502" s="126"/>
      <c r="VYP502" s="126"/>
      <c r="VYQ502" s="126"/>
      <c r="VYR502" s="126"/>
      <c r="VYS502" s="126"/>
      <c r="VYT502" s="126"/>
      <c r="VYU502" s="126"/>
      <c r="VYV502" s="126"/>
      <c r="VYW502" s="126"/>
      <c r="VYX502" s="126"/>
      <c r="VYY502" s="126"/>
      <c r="VYZ502" s="126"/>
      <c r="VZA502" s="126"/>
      <c r="VZB502" s="126"/>
      <c r="VZC502" s="126"/>
      <c r="VZD502" s="126"/>
      <c r="VZE502" s="126"/>
      <c r="VZF502" s="126"/>
      <c r="VZG502" s="126"/>
      <c r="VZH502" s="126"/>
      <c r="VZI502" s="126"/>
      <c r="VZJ502" s="126"/>
      <c r="VZK502" s="126"/>
      <c r="VZL502" s="126"/>
      <c r="VZM502" s="126"/>
      <c r="VZN502" s="126"/>
      <c r="VZO502" s="126"/>
      <c r="VZP502" s="126"/>
      <c r="VZQ502" s="126"/>
      <c r="VZR502" s="126"/>
      <c r="VZS502" s="126"/>
      <c r="VZT502" s="126"/>
      <c r="VZU502" s="126"/>
      <c r="VZV502" s="126"/>
      <c r="VZW502" s="126"/>
      <c r="VZX502" s="126"/>
      <c r="VZY502" s="126"/>
      <c r="VZZ502" s="126"/>
      <c r="WAA502" s="126"/>
      <c r="WAB502" s="126"/>
      <c r="WAC502" s="126"/>
      <c r="WAD502" s="126"/>
      <c r="WAE502" s="126"/>
      <c r="WAF502" s="126"/>
      <c r="WAG502" s="126"/>
      <c r="WAH502" s="126"/>
      <c r="WAI502" s="126"/>
      <c r="WAJ502" s="126"/>
      <c r="WAK502" s="126"/>
      <c r="WAL502" s="126"/>
      <c r="WAM502" s="126"/>
      <c r="WAN502" s="126"/>
      <c r="WAO502" s="126"/>
      <c r="WAP502" s="126"/>
      <c r="WAQ502" s="126"/>
      <c r="WAR502" s="126"/>
      <c r="WAS502" s="126"/>
      <c r="WAT502" s="126"/>
      <c r="WAU502" s="126"/>
      <c r="WAV502" s="126"/>
      <c r="WAW502" s="126"/>
      <c r="WAX502" s="126"/>
      <c r="WAY502" s="126"/>
      <c r="WAZ502" s="126"/>
      <c r="WBA502" s="126"/>
      <c r="WBB502" s="126"/>
      <c r="WBC502" s="126"/>
      <c r="WBD502" s="126"/>
      <c r="WBE502" s="126"/>
      <c r="WBF502" s="126"/>
      <c r="WBG502" s="126"/>
      <c r="WBH502" s="126"/>
      <c r="WBI502" s="126"/>
      <c r="WBJ502" s="126"/>
      <c r="WBK502" s="126"/>
      <c r="WBL502" s="126"/>
      <c r="WBM502" s="126"/>
      <c r="WBN502" s="126"/>
      <c r="WBO502" s="126"/>
      <c r="WBP502" s="126"/>
      <c r="WBQ502" s="126"/>
      <c r="WBR502" s="126"/>
      <c r="WBS502" s="126"/>
      <c r="WBT502" s="126"/>
      <c r="WBU502" s="126"/>
      <c r="WBV502" s="126"/>
      <c r="WBW502" s="126"/>
      <c r="WBX502" s="126"/>
      <c r="WBY502" s="126"/>
      <c r="WBZ502" s="126"/>
      <c r="WCA502" s="126"/>
      <c r="WCB502" s="126"/>
      <c r="WCC502" s="126"/>
      <c r="WCD502" s="126"/>
      <c r="WCE502" s="126"/>
      <c r="WCF502" s="126"/>
      <c r="WCG502" s="126"/>
      <c r="WCH502" s="126"/>
      <c r="WCI502" s="126"/>
      <c r="WCJ502" s="126"/>
      <c r="WCK502" s="126"/>
      <c r="WCL502" s="126"/>
      <c r="WCM502" s="126"/>
      <c r="WCN502" s="126"/>
      <c r="WCO502" s="126"/>
      <c r="WCP502" s="126"/>
      <c r="WCQ502" s="126"/>
      <c r="WCR502" s="126"/>
      <c r="WCS502" s="126"/>
      <c r="WCT502" s="126"/>
      <c r="WCU502" s="126"/>
      <c r="WCV502" s="126"/>
      <c r="WCW502" s="126"/>
      <c r="WCX502" s="126"/>
      <c r="WCY502" s="126"/>
      <c r="WCZ502" s="126"/>
      <c r="WDA502" s="126"/>
      <c r="WDB502" s="126"/>
      <c r="WDC502" s="126"/>
      <c r="WDD502" s="126"/>
      <c r="WDE502" s="126"/>
      <c r="WDF502" s="126"/>
      <c r="WDG502" s="126"/>
      <c r="WDH502" s="126"/>
      <c r="WDI502" s="126"/>
      <c r="WDJ502" s="126"/>
      <c r="WDK502" s="126"/>
      <c r="WDL502" s="126"/>
      <c r="WDM502" s="126"/>
      <c r="WDN502" s="126"/>
      <c r="WDO502" s="126"/>
      <c r="WDP502" s="126"/>
      <c r="WDQ502" s="126"/>
      <c r="WDR502" s="126"/>
      <c r="WDS502" s="126"/>
      <c r="WDT502" s="126"/>
      <c r="WDU502" s="126"/>
      <c r="WDV502" s="126"/>
      <c r="WDW502" s="126"/>
      <c r="WDX502" s="126"/>
      <c r="WDY502" s="126"/>
      <c r="WDZ502" s="126"/>
      <c r="WEA502" s="126"/>
      <c r="WEB502" s="126"/>
      <c r="WEC502" s="126"/>
      <c r="WED502" s="126"/>
      <c r="WEE502" s="126"/>
      <c r="WEF502" s="126"/>
      <c r="WEG502" s="126"/>
      <c r="WEH502" s="126"/>
      <c r="WEI502" s="126"/>
      <c r="WEJ502" s="126"/>
      <c r="WEK502" s="126"/>
      <c r="WEL502" s="126"/>
      <c r="WEM502" s="126"/>
      <c r="WEN502" s="126"/>
      <c r="WEO502" s="126"/>
      <c r="WEP502" s="126"/>
      <c r="WEQ502" s="126"/>
      <c r="WER502" s="126"/>
      <c r="WES502" s="126"/>
      <c r="WET502" s="126"/>
      <c r="WEU502" s="126"/>
      <c r="WEV502" s="126"/>
      <c r="WEW502" s="126"/>
      <c r="WEX502" s="126"/>
      <c r="WEY502" s="126"/>
      <c r="WEZ502" s="126"/>
      <c r="WFA502" s="126"/>
      <c r="WFB502" s="126"/>
      <c r="WFC502" s="126"/>
      <c r="WFD502" s="126"/>
      <c r="WFE502" s="126"/>
      <c r="WFF502" s="126"/>
      <c r="WFG502" s="126"/>
      <c r="WFH502" s="126"/>
      <c r="WFI502" s="126"/>
      <c r="WFJ502" s="126"/>
      <c r="WFK502" s="126"/>
      <c r="WFL502" s="126"/>
      <c r="WFM502" s="126"/>
      <c r="WFN502" s="126"/>
      <c r="WFO502" s="126"/>
      <c r="WFP502" s="126"/>
      <c r="WFQ502" s="126"/>
      <c r="WFR502" s="126"/>
      <c r="WFS502" s="126"/>
      <c r="WFT502" s="126"/>
      <c r="WFU502" s="126"/>
      <c r="WFV502" s="126"/>
      <c r="WFW502" s="126"/>
      <c r="WFX502" s="126"/>
      <c r="WFY502" s="126"/>
      <c r="WFZ502" s="126"/>
      <c r="WGA502" s="126"/>
      <c r="WGB502" s="126"/>
      <c r="WGC502" s="126"/>
      <c r="WGD502" s="126"/>
      <c r="WGE502" s="126"/>
      <c r="WGF502" s="126"/>
      <c r="WGG502" s="126"/>
      <c r="WGH502" s="126"/>
      <c r="WGI502" s="126"/>
      <c r="WGJ502" s="126"/>
      <c r="WGK502" s="126"/>
      <c r="WGL502" s="126"/>
      <c r="WGM502" s="126"/>
      <c r="WGN502" s="126"/>
      <c r="WGO502" s="126"/>
      <c r="WGP502" s="126"/>
      <c r="WGQ502" s="126"/>
      <c r="WGR502" s="126"/>
      <c r="WGS502" s="126"/>
      <c r="WGT502" s="126"/>
      <c r="WGU502" s="126"/>
      <c r="WGV502" s="126"/>
      <c r="WGW502" s="126"/>
      <c r="WGX502" s="126"/>
      <c r="WGY502" s="126"/>
      <c r="WGZ502" s="126"/>
      <c r="WHA502" s="126"/>
      <c r="WHB502" s="126"/>
      <c r="WHC502" s="126"/>
      <c r="WHD502" s="126"/>
      <c r="WHE502" s="126"/>
      <c r="WHF502" s="126"/>
      <c r="WHG502" s="126"/>
      <c r="WHH502" s="126"/>
      <c r="WHI502" s="126"/>
      <c r="WHJ502" s="126"/>
      <c r="WHK502" s="126"/>
      <c r="WHL502" s="126"/>
      <c r="WHM502" s="126"/>
      <c r="WHN502" s="126"/>
      <c r="WHO502" s="126"/>
      <c r="WHP502" s="126"/>
      <c r="WHQ502" s="126"/>
      <c r="WHR502" s="126"/>
      <c r="WHS502" s="126"/>
      <c r="WHT502" s="126"/>
      <c r="WHU502" s="126"/>
      <c r="WHV502" s="126"/>
      <c r="WHW502" s="126"/>
      <c r="WHX502" s="126"/>
      <c r="WHY502" s="126"/>
      <c r="WHZ502" s="126"/>
      <c r="WIA502" s="126"/>
      <c r="WIB502" s="126"/>
      <c r="WIC502" s="126"/>
      <c r="WID502" s="126"/>
      <c r="WIE502" s="126"/>
      <c r="WIF502" s="126"/>
      <c r="WIG502" s="126"/>
      <c r="WIH502" s="126"/>
      <c r="WII502" s="126"/>
      <c r="WIJ502" s="126"/>
      <c r="WIK502" s="126"/>
      <c r="WIL502" s="126"/>
      <c r="WIM502" s="126"/>
      <c r="WIN502" s="126"/>
      <c r="WIO502" s="126"/>
      <c r="WIP502" s="126"/>
      <c r="WIQ502" s="126"/>
      <c r="WIR502" s="126"/>
      <c r="WIS502" s="126"/>
      <c r="WIT502" s="126"/>
      <c r="WIU502" s="126"/>
      <c r="WIV502" s="126"/>
      <c r="WIW502" s="126"/>
      <c r="WIX502" s="126"/>
      <c r="WIY502" s="126"/>
      <c r="WIZ502" s="126"/>
      <c r="WJA502" s="126"/>
      <c r="WJB502" s="126"/>
      <c r="WJC502" s="126"/>
      <c r="WJD502" s="126"/>
      <c r="WJE502" s="126"/>
      <c r="WJF502" s="126"/>
      <c r="WJG502" s="126"/>
      <c r="WJH502" s="126"/>
      <c r="WJI502" s="126"/>
      <c r="WJJ502" s="126"/>
      <c r="WJK502" s="126"/>
      <c r="WJL502" s="126"/>
      <c r="WJM502" s="126"/>
      <c r="WJN502" s="126"/>
      <c r="WJO502" s="126"/>
      <c r="WJP502" s="126"/>
      <c r="WJQ502" s="126"/>
      <c r="WJR502" s="126"/>
      <c r="WJS502" s="126"/>
      <c r="WJT502" s="126"/>
      <c r="WJU502" s="126"/>
      <c r="WJV502" s="126"/>
      <c r="WJW502" s="126"/>
      <c r="WJX502" s="126"/>
      <c r="WJY502" s="126"/>
      <c r="WJZ502" s="126"/>
      <c r="WKA502" s="126"/>
      <c r="WKB502" s="126"/>
      <c r="WKC502" s="126"/>
      <c r="WKD502" s="126"/>
      <c r="WKE502" s="126"/>
      <c r="WKF502" s="126"/>
      <c r="WKG502" s="126"/>
      <c r="WKH502" s="126"/>
      <c r="WKI502" s="126"/>
      <c r="WKJ502" s="126"/>
      <c r="WKK502" s="126"/>
      <c r="WKL502" s="126"/>
      <c r="WKM502" s="126"/>
      <c r="WKN502" s="126"/>
      <c r="WKO502" s="126"/>
      <c r="WKP502" s="126"/>
      <c r="WKQ502" s="126"/>
      <c r="WKR502" s="126"/>
      <c r="WKS502" s="126"/>
      <c r="WKT502" s="126"/>
      <c r="WKU502" s="126"/>
      <c r="WKV502" s="126"/>
      <c r="WKW502" s="126"/>
      <c r="WKX502" s="126"/>
      <c r="WKY502" s="126"/>
      <c r="WKZ502" s="126"/>
      <c r="WLA502" s="126"/>
      <c r="WLB502" s="126"/>
      <c r="WLC502" s="126"/>
      <c r="WLD502" s="126"/>
      <c r="WLE502" s="126"/>
      <c r="WLF502" s="126"/>
      <c r="WLG502" s="126"/>
      <c r="WLH502" s="126"/>
      <c r="WLI502" s="126"/>
      <c r="WLJ502" s="126"/>
      <c r="WLK502" s="126"/>
      <c r="WLL502" s="126"/>
      <c r="WLM502" s="126"/>
      <c r="WLN502" s="126"/>
      <c r="WLO502" s="126"/>
      <c r="WLP502" s="126"/>
      <c r="WLQ502" s="126"/>
      <c r="WLR502" s="126"/>
      <c r="WLS502" s="126"/>
      <c r="WLT502" s="126"/>
      <c r="WLU502" s="126"/>
      <c r="WLV502" s="126"/>
      <c r="WLW502" s="126"/>
      <c r="WLX502" s="126"/>
      <c r="WLY502" s="126"/>
      <c r="WLZ502" s="126"/>
      <c r="WMA502" s="126"/>
      <c r="WMB502" s="126"/>
      <c r="WMC502" s="126"/>
      <c r="WMD502" s="126"/>
      <c r="WME502" s="126"/>
      <c r="WMF502" s="126"/>
      <c r="WMG502" s="126"/>
      <c r="WMH502" s="126"/>
      <c r="WMI502" s="126"/>
      <c r="WMJ502" s="126"/>
      <c r="WMK502" s="126"/>
      <c r="WML502" s="126"/>
      <c r="WMM502" s="126"/>
      <c r="WMN502" s="126"/>
      <c r="WMO502" s="126"/>
      <c r="WMP502" s="126"/>
      <c r="WMQ502" s="126"/>
      <c r="WMR502" s="126"/>
      <c r="WMS502" s="126"/>
      <c r="WMT502" s="126"/>
      <c r="WMU502" s="126"/>
      <c r="WMV502" s="126"/>
      <c r="WMW502" s="126"/>
      <c r="WMX502" s="126"/>
      <c r="WMY502" s="126"/>
      <c r="WMZ502" s="126"/>
      <c r="WNA502" s="126"/>
      <c r="WNB502" s="126"/>
      <c r="WNC502" s="126"/>
      <c r="WND502" s="126"/>
      <c r="WNE502" s="126"/>
      <c r="WNF502" s="126"/>
      <c r="WNG502" s="126"/>
      <c r="WNH502" s="126"/>
      <c r="WNI502" s="126"/>
      <c r="WNJ502" s="126"/>
      <c r="WNK502" s="126"/>
      <c r="WNL502" s="126"/>
      <c r="WNM502" s="126"/>
      <c r="WNN502" s="126"/>
      <c r="WNO502" s="126"/>
      <c r="WNP502" s="126"/>
      <c r="WNQ502" s="126"/>
      <c r="WNR502" s="126"/>
      <c r="WNS502" s="126"/>
      <c r="WNT502" s="126"/>
      <c r="WNU502" s="126"/>
      <c r="WNV502" s="126"/>
      <c r="WNW502" s="126"/>
      <c r="WNX502" s="126"/>
      <c r="WNY502" s="126"/>
      <c r="WNZ502" s="126"/>
      <c r="WOA502" s="126"/>
      <c r="WOB502" s="126"/>
      <c r="WOC502" s="126"/>
      <c r="WOD502" s="126"/>
      <c r="WOE502" s="126"/>
      <c r="WOF502" s="126"/>
      <c r="WOG502" s="126"/>
      <c r="WOH502" s="126"/>
      <c r="WOI502" s="126"/>
      <c r="WOJ502" s="126"/>
      <c r="WOK502" s="126"/>
      <c r="WOL502" s="126"/>
      <c r="WOM502" s="126"/>
      <c r="WON502" s="126"/>
      <c r="WOO502" s="126"/>
      <c r="WOP502" s="126"/>
      <c r="WOQ502" s="126"/>
      <c r="WOR502" s="126"/>
      <c r="WOS502" s="126"/>
      <c r="WOT502" s="126"/>
      <c r="WOU502" s="126"/>
      <c r="WOV502" s="126"/>
      <c r="WOW502" s="126"/>
      <c r="WOX502" s="126"/>
      <c r="WOY502" s="126"/>
      <c r="WOZ502" s="126"/>
      <c r="WPA502" s="126"/>
      <c r="WPB502" s="126"/>
      <c r="WPC502" s="126"/>
      <c r="WPD502" s="126"/>
      <c r="WPE502" s="126"/>
      <c r="WPF502" s="126"/>
      <c r="WPG502" s="126"/>
      <c r="WPH502" s="126"/>
      <c r="WPI502" s="126"/>
      <c r="WPJ502" s="126"/>
      <c r="WPK502" s="126"/>
      <c r="WPL502" s="126"/>
      <c r="WPM502" s="126"/>
      <c r="WPN502" s="126"/>
      <c r="WPO502" s="126"/>
      <c r="WPP502" s="126"/>
      <c r="WPQ502" s="126"/>
      <c r="WPR502" s="126"/>
      <c r="WPS502" s="126"/>
      <c r="WPT502" s="126"/>
      <c r="WPU502" s="126"/>
      <c r="WPV502" s="126"/>
      <c r="WPW502" s="126"/>
      <c r="WPX502" s="126"/>
      <c r="WPY502" s="126"/>
      <c r="WPZ502" s="126"/>
      <c r="WQA502" s="126"/>
      <c r="WQB502" s="126"/>
      <c r="WQC502" s="126"/>
      <c r="WQD502" s="126"/>
      <c r="WQE502" s="126"/>
      <c r="WQF502" s="126"/>
      <c r="WQG502" s="126"/>
      <c r="WQH502" s="126"/>
      <c r="WQI502" s="126"/>
      <c r="WQJ502" s="126"/>
      <c r="WQK502" s="126"/>
      <c r="WQL502" s="126"/>
      <c r="WQM502" s="126"/>
      <c r="WQN502" s="126"/>
      <c r="WQO502" s="126"/>
      <c r="WQP502" s="126"/>
      <c r="WQQ502" s="126"/>
      <c r="WQR502" s="126"/>
      <c r="WQS502" s="126"/>
      <c r="WQT502" s="126"/>
      <c r="WQU502" s="126"/>
      <c r="WQV502" s="126"/>
      <c r="WQW502" s="126"/>
      <c r="WQX502" s="126"/>
      <c r="WQY502" s="126"/>
      <c r="WQZ502" s="126"/>
      <c r="WRA502" s="126"/>
      <c r="WRB502" s="126"/>
      <c r="WRC502" s="126"/>
      <c r="WRD502" s="126"/>
      <c r="WRE502" s="126"/>
      <c r="WRF502" s="126"/>
      <c r="WRG502" s="126"/>
      <c r="WRH502" s="126"/>
      <c r="WRI502" s="126"/>
      <c r="WRJ502" s="126"/>
      <c r="WRK502" s="126"/>
      <c r="WRL502" s="126"/>
      <c r="WRM502" s="126"/>
      <c r="WRN502" s="126"/>
      <c r="WRO502" s="126"/>
      <c r="WRP502" s="126"/>
      <c r="WRQ502" s="126"/>
      <c r="WRR502" s="126"/>
      <c r="WRS502" s="126"/>
      <c r="WRT502" s="126"/>
      <c r="WRU502" s="126"/>
      <c r="WRV502" s="126"/>
      <c r="WRW502" s="126"/>
      <c r="WRX502" s="126"/>
      <c r="WRY502" s="126"/>
      <c r="WRZ502" s="126"/>
      <c r="WSA502" s="126"/>
      <c r="WSB502" s="126"/>
      <c r="WSC502" s="126"/>
      <c r="WSD502" s="126"/>
      <c r="WSE502" s="126"/>
      <c r="WSF502" s="126"/>
      <c r="WSG502" s="126"/>
      <c r="WSH502" s="126"/>
      <c r="WSI502" s="126"/>
      <c r="WSJ502" s="126"/>
      <c r="WSK502" s="126"/>
      <c r="WSL502" s="126"/>
      <c r="WSM502" s="126"/>
      <c r="WSN502" s="126"/>
      <c r="WSO502" s="126"/>
      <c r="WSP502" s="126"/>
      <c r="WSQ502" s="126"/>
      <c r="WSR502" s="126"/>
      <c r="WSS502" s="126"/>
      <c r="WST502" s="126"/>
      <c r="WSU502" s="126"/>
      <c r="WSV502" s="126"/>
      <c r="WSW502" s="126"/>
      <c r="WSX502" s="126"/>
      <c r="WSY502" s="126"/>
      <c r="WSZ502" s="126"/>
      <c r="WTA502" s="126"/>
      <c r="WTB502" s="126"/>
      <c r="WTC502" s="126"/>
      <c r="WTD502" s="126"/>
      <c r="WTE502" s="126"/>
      <c r="WTF502" s="126"/>
      <c r="WTG502" s="126"/>
      <c r="WTH502" s="126"/>
      <c r="WTI502" s="126"/>
      <c r="WTJ502" s="126"/>
      <c r="WTK502" s="126"/>
      <c r="WTL502" s="126"/>
      <c r="WTM502" s="126"/>
      <c r="WTN502" s="126"/>
      <c r="WTO502" s="126"/>
      <c r="WTP502" s="126"/>
      <c r="WTQ502" s="126"/>
      <c r="WTR502" s="126"/>
      <c r="WTS502" s="126"/>
      <c r="WTT502" s="126"/>
      <c r="WTU502" s="126"/>
      <c r="WTV502" s="126"/>
      <c r="WTW502" s="126"/>
      <c r="WTX502" s="126"/>
      <c r="WTY502" s="126"/>
      <c r="WTZ502" s="126"/>
      <c r="WUA502" s="126"/>
      <c r="WUB502" s="126"/>
      <c r="WUC502" s="126"/>
      <c r="WUD502" s="126"/>
      <c r="WUE502" s="126"/>
      <c r="WUF502" s="126"/>
      <c r="WUG502" s="126"/>
      <c r="WUH502" s="126"/>
      <c r="WUI502" s="126"/>
      <c r="WUJ502" s="126"/>
      <c r="WUK502" s="126"/>
      <c r="WUL502" s="126"/>
      <c r="WUM502" s="126"/>
      <c r="WUN502" s="126"/>
      <c r="WUO502" s="126"/>
      <c r="WUP502" s="126"/>
      <c r="WUQ502" s="126"/>
      <c r="WUR502" s="126"/>
      <c r="WUS502" s="126"/>
      <c r="WUT502" s="126"/>
      <c r="WUU502" s="126"/>
      <c r="WUV502" s="126"/>
      <c r="WUW502" s="126"/>
      <c r="WUX502" s="126"/>
      <c r="WUY502" s="126"/>
      <c r="WUZ502" s="126"/>
      <c r="WVA502" s="126"/>
      <c r="WVB502" s="126"/>
      <c r="WVC502" s="126"/>
      <c r="WVD502" s="126"/>
      <c r="WVE502" s="126"/>
      <c r="WVF502" s="126"/>
      <c r="WVG502" s="126"/>
      <c r="WVH502" s="126"/>
      <c r="WVI502" s="126"/>
      <c r="WVJ502" s="126"/>
      <c r="WVK502" s="126"/>
      <c r="WVL502" s="126"/>
      <c r="WVM502" s="126"/>
      <c r="WVN502" s="126"/>
      <c r="WVO502" s="126"/>
      <c r="WVP502" s="126"/>
      <c r="WVQ502" s="126"/>
      <c r="WVR502" s="126"/>
      <c r="WVS502" s="126"/>
      <c r="WVT502" s="126"/>
      <c r="WVU502" s="126"/>
      <c r="WVV502" s="126"/>
      <c r="WVW502" s="126"/>
      <c r="WVX502" s="126"/>
      <c r="WVY502" s="126"/>
      <c r="WVZ502" s="126"/>
      <c r="WWA502" s="126"/>
      <c r="WWB502" s="126"/>
      <c r="WWC502" s="126"/>
      <c r="WWD502" s="126"/>
      <c r="WWE502" s="126"/>
      <c r="WWF502" s="126"/>
      <c r="WWG502" s="126"/>
      <c r="WWH502" s="126"/>
      <c r="WWI502" s="126"/>
      <c r="WWJ502" s="126"/>
      <c r="WWK502" s="126"/>
      <c r="WWL502" s="126"/>
      <c r="WWM502" s="126"/>
      <c r="WWN502" s="126"/>
      <c r="WWO502" s="126"/>
      <c r="WWP502" s="126"/>
      <c r="WWQ502" s="126"/>
      <c r="WWR502" s="126"/>
      <c r="WWS502" s="126"/>
      <c r="WWT502" s="126"/>
      <c r="WWU502" s="126"/>
      <c r="WWV502" s="126"/>
      <c r="WWW502" s="126"/>
      <c r="WWX502" s="126"/>
      <c r="WWY502" s="126"/>
      <c r="WWZ502" s="126"/>
      <c r="WXA502" s="126"/>
      <c r="WXB502" s="126"/>
      <c r="WXC502" s="126"/>
      <c r="WXD502" s="126"/>
      <c r="WXE502" s="126"/>
      <c r="WXF502" s="126"/>
      <c r="WXG502" s="126"/>
      <c r="WXH502" s="126"/>
      <c r="WXI502" s="126"/>
      <c r="WXJ502" s="126"/>
      <c r="WXK502" s="126"/>
      <c r="WXL502" s="126"/>
      <c r="WXM502" s="126"/>
      <c r="WXN502" s="126"/>
      <c r="WXO502" s="126"/>
      <c r="WXP502" s="126"/>
      <c r="WXQ502" s="126"/>
      <c r="WXR502" s="126"/>
      <c r="WXS502" s="126"/>
      <c r="WXT502" s="126"/>
      <c r="WXU502" s="126"/>
      <c r="WXV502" s="126"/>
      <c r="WXW502" s="126"/>
      <c r="WXX502" s="126"/>
      <c r="WXY502" s="126"/>
      <c r="WXZ502" s="126"/>
      <c r="WYA502" s="126"/>
      <c r="WYB502" s="126"/>
      <c r="WYC502" s="126"/>
      <c r="WYD502" s="126"/>
      <c r="WYE502" s="126"/>
      <c r="WYF502" s="126"/>
      <c r="WYG502" s="126"/>
      <c r="WYH502" s="126"/>
      <c r="WYI502" s="126"/>
      <c r="WYJ502" s="126"/>
      <c r="WYK502" s="126"/>
      <c r="WYL502" s="126"/>
      <c r="WYM502" s="126"/>
      <c r="WYN502" s="126"/>
      <c r="WYO502" s="126"/>
      <c r="WYP502" s="126"/>
      <c r="WYQ502" s="126"/>
      <c r="WYR502" s="126"/>
      <c r="WYS502" s="126"/>
      <c r="WYT502" s="126"/>
      <c r="WYU502" s="126"/>
      <c r="WYV502" s="126"/>
      <c r="WYW502" s="126"/>
      <c r="WYX502" s="126"/>
      <c r="WYY502" s="126"/>
      <c r="WYZ502" s="126"/>
      <c r="WZA502" s="126"/>
      <c r="WZB502" s="126"/>
      <c r="WZC502" s="126"/>
      <c r="WZD502" s="126"/>
      <c r="WZE502" s="126"/>
      <c r="WZF502" s="126"/>
      <c r="WZG502" s="126"/>
      <c r="WZH502" s="126"/>
      <c r="WZI502" s="126"/>
      <c r="WZJ502" s="126"/>
      <c r="WZK502" s="126"/>
      <c r="WZL502" s="126"/>
      <c r="WZM502" s="126"/>
      <c r="WZN502" s="126"/>
      <c r="WZO502" s="126"/>
      <c r="WZP502" s="126"/>
      <c r="WZQ502" s="126"/>
      <c r="WZR502" s="126"/>
      <c r="WZS502" s="126"/>
      <c r="WZT502" s="126"/>
      <c r="WZU502" s="126"/>
      <c r="WZV502" s="126"/>
      <c r="WZW502" s="126"/>
      <c r="WZX502" s="126"/>
      <c r="WZY502" s="126"/>
      <c r="WZZ502" s="126"/>
      <c r="XAA502" s="126"/>
      <c r="XAB502" s="126"/>
      <c r="XAC502" s="126"/>
      <c r="XAD502" s="126"/>
      <c r="XAE502" s="126"/>
      <c r="XAF502" s="126"/>
      <c r="XAG502" s="126"/>
      <c r="XAH502" s="126"/>
      <c r="XAI502" s="126"/>
      <c r="XAJ502" s="126"/>
      <c r="XAK502" s="126"/>
      <c r="XAL502" s="126"/>
      <c r="XAM502" s="126"/>
      <c r="XAN502" s="126"/>
      <c r="XAO502" s="126"/>
      <c r="XAP502" s="126"/>
      <c r="XAQ502" s="126"/>
      <c r="XAR502" s="126"/>
      <c r="XAS502" s="126"/>
      <c r="XAT502" s="126"/>
      <c r="XAU502" s="126"/>
      <c r="XAV502" s="126"/>
      <c r="XAW502" s="126"/>
      <c r="XAX502" s="126"/>
      <c r="XAY502" s="126"/>
      <c r="XAZ502" s="126"/>
      <c r="XBA502" s="126"/>
      <c r="XBB502" s="126"/>
      <c r="XBC502" s="126"/>
      <c r="XBD502" s="126"/>
      <c r="XBE502" s="126"/>
      <c r="XBF502" s="126"/>
      <c r="XBG502" s="126"/>
      <c r="XBH502" s="126"/>
      <c r="XBI502" s="126"/>
      <c r="XBJ502" s="126"/>
      <c r="XBK502" s="126"/>
      <c r="XBL502" s="126"/>
      <c r="XBM502" s="126"/>
      <c r="XBN502" s="126"/>
      <c r="XBO502" s="126"/>
      <c r="XBP502" s="126"/>
      <c r="XBQ502" s="126"/>
      <c r="XBR502" s="126"/>
      <c r="XBS502" s="126"/>
      <c r="XBT502" s="126"/>
      <c r="XBU502" s="126"/>
      <c r="XBV502" s="126"/>
      <c r="XBW502" s="126"/>
      <c r="XBX502" s="126"/>
      <c r="XBY502" s="126"/>
      <c r="XBZ502" s="126"/>
      <c r="XCA502" s="126"/>
      <c r="XCB502" s="126"/>
      <c r="XCC502" s="126"/>
      <c r="XCD502" s="126"/>
      <c r="XCE502" s="126"/>
      <c r="XCF502" s="126"/>
      <c r="XCG502" s="126"/>
      <c r="XCH502" s="126"/>
      <c r="XCI502" s="126"/>
      <c r="XCJ502" s="126"/>
      <c r="XCK502" s="126"/>
      <c r="XCL502" s="126"/>
      <c r="XCM502" s="126"/>
      <c r="XCN502" s="126"/>
      <c r="XCO502" s="126"/>
      <c r="XCP502" s="126"/>
      <c r="XCQ502" s="126"/>
      <c r="XCR502" s="126"/>
      <c r="XCS502" s="126"/>
      <c r="XCT502" s="126"/>
      <c r="XCU502" s="126"/>
      <c r="XCV502" s="126"/>
      <c r="XCW502" s="126"/>
      <c r="XCX502" s="126"/>
      <c r="XCY502" s="126"/>
      <c r="XCZ502" s="126"/>
      <c r="XDA502" s="126"/>
      <c r="XDB502" s="126"/>
      <c r="XDC502" s="126"/>
      <c r="XDD502" s="126"/>
      <c r="XDE502" s="126"/>
      <c r="XDF502" s="126"/>
      <c r="XDG502" s="126"/>
      <c r="XDH502" s="126"/>
      <c r="XDI502" s="126"/>
      <c r="XDJ502" s="126"/>
      <c r="XDK502" s="126"/>
      <c r="XDL502" s="126"/>
      <c r="XDM502" s="126"/>
      <c r="XDN502" s="126"/>
      <c r="XDO502" s="126"/>
      <c r="XDP502" s="126"/>
      <c r="XDQ502" s="126"/>
      <c r="XDR502" s="126"/>
      <c r="XDS502" s="126"/>
      <c r="XDT502" s="126"/>
      <c r="XDU502" s="126"/>
      <c r="XDV502" s="126"/>
      <c r="XDW502" s="126"/>
      <c r="XDX502" s="126"/>
      <c r="XDY502" s="126"/>
      <c r="XDZ502" s="126"/>
      <c r="XEA502" s="126"/>
      <c r="XEB502" s="126"/>
      <c r="XEC502" s="126"/>
      <c r="XED502" s="126"/>
      <c r="XEE502" s="126"/>
      <c r="XEF502" s="126"/>
      <c r="XEG502" s="126"/>
      <c r="XEH502" s="126"/>
      <c r="XEI502" s="126"/>
      <c r="XEJ502" s="126"/>
      <c r="XEK502" s="126"/>
      <c r="XEL502" s="126"/>
      <c r="XEM502" s="126"/>
      <c r="XEN502" s="126"/>
      <c r="XEO502" s="126"/>
      <c r="XEP502" s="126"/>
      <c r="XEQ502" s="126"/>
      <c r="XER502" s="126"/>
      <c r="XES502" s="126"/>
      <c r="XET502" s="126"/>
      <c r="XEU502" s="126"/>
      <c r="XEV502" s="126"/>
    </row>
    <row r="503" spans="1:16376" x14ac:dyDescent="0.25">
      <c r="A503" s="137">
        <v>4102110006</v>
      </c>
      <c r="B503" s="91" t="s">
        <v>642</v>
      </c>
      <c r="C503" s="56">
        <f>IFERROR(VLOOKUP(A503,'SAP '!$A$8:$D$393,3,0),0)</f>
        <v>0</v>
      </c>
      <c r="D503" s="184">
        <f>IFERROR(VLOOKUP(A503,'SAP '!A:D,4,0),0)</f>
        <v>-0.63</v>
      </c>
    </row>
    <row r="504" spans="1:16376" x14ac:dyDescent="0.25">
      <c r="A504" s="137">
        <v>4102119999</v>
      </c>
      <c r="B504" s="91" t="s">
        <v>644</v>
      </c>
      <c r="C504" s="56">
        <f>IFERROR(VLOOKUP(A504,'SAP '!$A$8:$D$393,3,0),0)</f>
        <v>-35000</v>
      </c>
      <c r="D504" s="184">
        <f>IFERROR(VLOOKUP(A504,'SAP '!A:D,4,0),0)</f>
        <v>66344.990000000005</v>
      </c>
    </row>
    <row r="505" spans="1:16376" x14ac:dyDescent="0.25">
      <c r="A505" s="137">
        <v>4104102000</v>
      </c>
      <c r="B505" s="91" t="s">
        <v>645</v>
      </c>
      <c r="C505" s="56">
        <f>IFERROR(VLOOKUP(A505,'SAP '!$A$8:$D$393,3,0),0)</f>
        <v>0</v>
      </c>
      <c r="D505" s="184">
        <f>IFERROR(VLOOKUP(A505,'SAP '!A:D,4,0),0)</f>
        <v>-36676.629999999997</v>
      </c>
    </row>
    <row r="506" spans="1:16376" x14ac:dyDescent="0.25">
      <c r="A506" s="90">
        <v>4102105001</v>
      </c>
      <c r="B506" s="90" t="s">
        <v>175</v>
      </c>
      <c r="C506" s="56">
        <f>IFERROR(VLOOKUP(A506,'SAP '!$A$8:$D$393,3,0),0)</f>
        <v>0</v>
      </c>
      <c r="D506" s="184">
        <f>IFERROR(VLOOKUP(A506,'SAP '!A:D,4,0),0)</f>
        <v>0</v>
      </c>
    </row>
    <row r="507" spans="1:16376" x14ac:dyDescent="0.25">
      <c r="A507" s="90">
        <v>4102110000</v>
      </c>
      <c r="B507" s="90" t="s">
        <v>176</v>
      </c>
      <c r="C507" s="56">
        <f>IFERROR(VLOOKUP(A507,'SAP '!$A$8:$D$393,3,0),0)</f>
        <v>0</v>
      </c>
      <c r="D507" s="184">
        <f>IFERROR(VLOOKUP(A507,'SAP '!A:D,4,0),0)</f>
        <v>0</v>
      </c>
    </row>
    <row r="508" spans="1:16376" x14ac:dyDescent="0.25">
      <c r="A508" s="90">
        <v>4102110002</v>
      </c>
      <c r="B508" s="90" t="s">
        <v>177</v>
      </c>
      <c r="C508" s="56">
        <f>IFERROR(VLOOKUP(A508,'SAP '!$A$8:$D$393,3,0),0)</f>
        <v>0</v>
      </c>
      <c r="D508" s="184">
        <f>IFERROR(VLOOKUP(A508,'SAP '!A:D,4,0),0)</f>
        <v>-255484.13</v>
      </c>
    </row>
    <row r="509" spans="1:16376" x14ac:dyDescent="0.25">
      <c r="A509" s="137">
        <v>4103501000</v>
      </c>
      <c r="B509" s="91" t="s">
        <v>646</v>
      </c>
      <c r="C509" s="56">
        <f>IFERROR(VLOOKUP(A509,'SAP '!$A$8:$D$393,3,0),0)</f>
        <v>0</v>
      </c>
      <c r="D509" s="184">
        <f>IFERROR(VLOOKUP(A509,'SAP '!A:D,4,0),0)</f>
        <v>-184975.06</v>
      </c>
    </row>
    <row r="510" spans="1:16376" x14ac:dyDescent="0.25">
      <c r="A510" s="137">
        <v>5102101000</v>
      </c>
      <c r="B510" s="91" t="s">
        <v>647</v>
      </c>
      <c r="C510" s="56">
        <f>IFERROR(VLOOKUP(A510,'SAP '!$A$8:$D$393,3,0),0)</f>
        <v>125628.84</v>
      </c>
      <c r="D510" s="184">
        <f>IFERROR(VLOOKUP(A510,'SAP '!A:D,4,0),0)</f>
        <v>200067.09</v>
      </c>
    </row>
    <row r="511" spans="1:16376" x14ac:dyDescent="0.25">
      <c r="A511" s="137">
        <v>5102102000</v>
      </c>
      <c r="B511" s="91" t="s">
        <v>648</v>
      </c>
      <c r="C511" s="56">
        <f>IFERROR(VLOOKUP(A511,'SAP '!$A$8:$D$393,3,0),0)</f>
        <v>320325.68</v>
      </c>
      <c r="D511" s="184">
        <f>IFERROR(VLOOKUP(A511,'SAP '!A:D,4,0),0)</f>
        <v>66127</v>
      </c>
    </row>
    <row r="512" spans="1:16376" x14ac:dyDescent="0.25">
      <c r="A512" s="137">
        <v>5102103000</v>
      </c>
      <c r="B512" s="91" t="s">
        <v>649</v>
      </c>
      <c r="C512" s="56">
        <f>IFERROR(VLOOKUP(A512,'SAP '!$A$8:$D$393,3,0),0)</f>
        <v>4473866.67</v>
      </c>
      <c r="D512" s="184">
        <f>IFERROR(VLOOKUP(A512,'SAP '!A:D,4,0),0)</f>
        <v>5724339.2800000003</v>
      </c>
    </row>
    <row r="513" spans="1:4" x14ac:dyDescent="0.25">
      <c r="A513" s="137">
        <v>5102104000</v>
      </c>
      <c r="B513" s="91" t="s">
        <v>650</v>
      </c>
      <c r="C513" s="56">
        <f>IFERROR(VLOOKUP(A513,'SAP '!$A$8:$D$393,3,0),0)</f>
        <v>0</v>
      </c>
      <c r="D513" s="184">
        <f>IFERROR(VLOOKUP(A513,'SAP '!A:D,4,0),0)</f>
        <v>912</v>
      </c>
    </row>
    <row r="514" spans="1:4" x14ac:dyDescent="0.25">
      <c r="A514" s="137">
        <v>5102105000</v>
      </c>
      <c r="B514" s="91" t="s">
        <v>651</v>
      </c>
      <c r="C514" s="56">
        <f>IFERROR(VLOOKUP(A514,'SAP '!$A$8:$D$393,3,0),0)</f>
        <v>636197.89</v>
      </c>
      <c r="D514" s="184">
        <f>IFERROR(VLOOKUP(A514,'SAP '!A:D,4,0),0)</f>
        <v>26460</v>
      </c>
    </row>
    <row r="515" spans="1:4" x14ac:dyDescent="0.25">
      <c r="A515" s="137">
        <v>5102106000</v>
      </c>
      <c r="B515" s="91" t="s">
        <v>652</v>
      </c>
      <c r="C515" s="56">
        <f>IFERROR(VLOOKUP(A515,'SAP '!$A$8:$D$393,3,0),0)</f>
        <v>91976.87</v>
      </c>
      <c r="D515" s="184">
        <f>IFERROR(VLOOKUP(A515,'SAP '!A:D,4,0),0)</f>
        <v>57703.68</v>
      </c>
    </row>
    <row r="516" spans="1:4" x14ac:dyDescent="0.25">
      <c r="A516" s="137">
        <v>5102108000</v>
      </c>
      <c r="B516" s="91" t="s">
        <v>653</v>
      </c>
      <c r="C516" s="56">
        <f>IFERROR(VLOOKUP(A516,'SAP '!$A$8:$D$393,3,0),0)</f>
        <v>1499457.79</v>
      </c>
      <c r="D516" s="184">
        <f>IFERROR(VLOOKUP(A516,'SAP '!A:D,4,0),0)</f>
        <v>69857.7</v>
      </c>
    </row>
    <row r="517" spans="1:4" x14ac:dyDescent="0.25">
      <c r="A517" s="137">
        <v>5102109000</v>
      </c>
      <c r="B517" s="91" t="s">
        <v>654</v>
      </c>
      <c r="C517" s="56">
        <f>IFERROR(VLOOKUP(A517,'SAP '!$A$8:$D$393,3,0),0)</f>
        <v>2016698.86</v>
      </c>
      <c r="D517" s="184">
        <f>IFERROR(VLOOKUP(A517,'SAP '!A:D,4,0),0)</f>
        <v>1973569.3</v>
      </c>
    </row>
    <row r="518" spans="1:4" x14ac:dyDescent="0.25">
      <c r="A518" s="137">
        <v>5104101000</v>
      </c>
      <c r="B518" s="91" t="s">
        <v>655</v>
      </c>
      <c r="C518" s="56">
        <f>IFERROR(VLOOKUP(A518,'SAP '!$A$8:$D$393,3,0),0)</f>
        <v>12509142.470000001</v>
      </c>
      <c r="D518" s="184">
        <f>IFERROR(VLOOKUP(A518,'SAP '!A:D,4,0),0)</f>
        <v>10972060.300000001</v>
      </c>
    </row>
    <row r="519" spans="1:4" x14ac:dyDescent="0.25">
      <c r="A519" s="137">
        <v>5104101001</v>
      </c>
      <c r="B519" s="91" t="s">
        <v>656</v>
      </c>
      <c r="C519" s="56">
        <f>IFERROR(VLOOKUP(A519,'SAP '!$A$8:$D$393,3,0),0)</f>
        <v>0</v>
      </c>
      <c r="D519" s="184">
        <f>IFERROR(VLOOKUP(A519,'SAP '!A:D,4,0),0)</f>
        <v>1000</v>
      </c>
    </row>
    <row r="520" spans="1:4" x14ac:dyDescent="0.25">
      <c r="A520" s="137">
        <v>5104102000</v>
      </c>
      <c r="B520" s="91" t="s">
        <v>657</v>
      </c>
      <c r="C520" s="56">
        <f>IFERROR(VLOOKUP(A520,'SAP '!$A$8:$D$393,3,0),0)</f>
        <v>3342089.66</v>
      </c>
      <c r="D520" s="184">
        <f>IFERROR(VLOOKUP(A520,'SAP '!A:D,4,0),0)</f>
        <v>3362325.07</v>
      </c>
    </row>
    <row r="521" spans="1:4" x14ac:dyDescent="0.25">
      <c r="A521" s="137">
        <v>5104103000</v>
      </c>
      <c r="B521" s="91" t="s">
        <v>897</v>
      </c>
      <c r="C521" s="56">
        <f>IFERROR(VLOOKUP(A521,'SAP '!$A$8:$D$393,3,0),0)</f>
        <v>0</v>
      </c>
      <c r="D521" s="184">
        <f>IFERROR(VLOOKUP(A521,'SAP '!A:D,4,0),0)</f>
        <v>0</v>
      </c>
    </row>
    <row r="522" spans="1:4" x14ac:dyDescent="0.25">
      <c r="A522" s="137">
        <v>5104104000</v>
      </c>
      <c r="B522" s="91" t="s">
        <v>658</v>
      </c>
      <c r="C522" s="56">
        <f>IFERROR(VLOOKUP(A522,'SAP '!$A$8:$D$393,3,0),0)</f>
        <v>0</v>
      </c>
      <c r="D522" s="184">
        <f>IFERROR(VLOOKUP(A522,'SAP '!A:D,4,0),0)</f>
        <v>0</v>
      </c>
    </row>
    <row r="523" spans="1:4" x14ac:dyDescent="0.25">
      <c r="A523" s="137">
        <v>5104105000</v>
      </c>
      <c r="B523" s="91" t="s">
        <v>659</v>
      </c>
      <c r="C523" s="56">
        <f>IFERROR(VLOOKUP(A523,'SAP '!$A$8:$D$393,3,0),0)</f>
        <v>0</v>
      </c>
      <c r="D523" s="184">
        <f>IFERROR(VLOOKUP(A523,'SAP '!A:D,4,0),0)</f>
        <v>0</v>
      </c>
    </row>
    <row r="524" spans="1:4" x14ac:dyDescent="0.25">
      <c r="A524" s="137">
        <v>5104106000</v>
      </c>
      <c r="B524" s="91" t="s">
        <v>660</v>
      </c>
      <c r="C524" s="56">
        <f>IFERROR(VLOOKUP(A524,'SAP '!$A$8:$D$393,3,0),0)</f>
        <v>38590</v>
      </c>
      <c r="D524" s="184">
        <f>IFERROR(VLOOKUP(A524,'SAP '!A:D,4,0),0)</f>
        <v>106337</v>
      </c>
    </row>
    <row r="525" spans="1:4" x14ac:dyDescent="0.25">
      <c r="A525" s="137">
        <v>5104106001</v>
      </c>
      <c r="B525" s="91" t="s">
        <v>661</v>
      </c>
      <c r="C525" s="56">
        <f>IFERROR(VLOOKUP(A525,'SAP '!$A$8:$D$393,3,0),0)</f>
        <v>57190</v>
      </c>
      <c r="D525" s="184">
        <f>IFERROR(VLOOKUP(A525,'SAP '!A:D,4,0),0)</f>
        <v>0</v>
      </c>
    </row>
    <row r="526" spans="1:4" x14ac:dyDescent="0.25">
      <c r="A526" s="137">
        <v>5104108000</v>
      </c>
      <c r="B526" s="91" t="s">
        <v>662</v>
      </c>
      <c r="C526" s="56">
        <f>IFERROR(VLOOKUP(A526,'SAP '!$A$8:$D$393,3,0),0)</f>
        <v>168660</v>
      </c>
      <c r="D526" s="184">
        <f>IFERROR(VLOOKUP(A526,'SAP '!A:D,4,0),0)</f>
        <v>0</v>
      </c>
    </row>
    <row r="527" spans="1:4" x14ac:dyDescent="0.25">
      <c r="A527" s="137">
        <v>5104108001</v>
      </c>
      <c r="B527" s="91" t="s">
        <v>663</v>
      </c>
      <c r="C527" s="56">
        <f>IFERROR(VLOOKUP(A527,'SAP '!$A$8:$D$393,3,0),0)</f>
        <v>0</v>
      </c>
      <c r="D527" s="184">
        <f>IFERROR(VLOOKUP(A527,'SAP '!A:D,4,0),0)</f>
        <v>108408</v>
      </c>
    </row>
    <row r="528" spans="1:4" x14ac:dyDescent="0.25">
      <c r="A528" s="137">
        <v>5104108002</v>
      </c>
      <c r="B528" s="91" t="s">
        <v>664</v>
      </c>
      <c r="C528" s="56">
        <f>IFERROR(VLOOKUP(A528,'SAP '!$A$8:$D$393,3,0),0)</f>
        <v>126931</v>
      </c>
      <c r="D528" s="184">
        <f>IFERROR(VLOOKUP(A528,'SAP '!A:D,4,0),0)</f>
        <v>208528</v>
      </c>
    </row>
    <row r="529" spans="1:4" x14ac:dyDescent="0.25">
      <c r="A529" s="137">
        <v>5104108003</v>
      </c>
      <c r="B529" s="91" t="s">
        <v>1055</v>
      </c>
      <c r="C529" s="56">
        <f>IFERROR(VLOOKUP(A529,'SAP '!$A$8:$D$393,3,0),0)</f>
        <v>0</v>
      </c>
      <c r="D529" s="184">
        <f>IFERROR(VLOOKUP(A529,'SAP '!A:D,4,0),0)</f>
        <v>0</v>
      </c>
    </row>
    <row r="530" spans="1:4" x14ac:dyDescent="0.25">
      <c r="A530" s="137">
        <v>5104108005</v>
      </c>
      <c r="B530" s="91" t="s">
        <v>665</v>
      </c>
      <c r="C530" s="56">
        <f>IFERROR(VLOOKUP(A530,'SAP '!$A$8:$D$393,3,0),0)</f>
        <v>499293.36</v>
      </c>
      <c r="D530" s="184">
        <f>IFERROR(VLOOKUP(A530,'SAP '!A:D,4,0),0)</f>
        <v>711159.98</v>
      </c>
    </row>
    <row r="531" spans="1:4" x14ac:dyDescent="0.25">
      <c r="A531" s="137">
        <v>5104108006</v>
      </c>
      <c r="B531" s="91" t="s">
        <v>666</v>
      </c>
      <c r="C531" s="56">
        <f>IFERROR(VLOOKUP(A531,'SAP '!$A$8:$D$393,3,0),0)</f>
        <v>0</v>
      </c>
      <c r="D531" s="184">
        <f>IFERROR(VLOOKUP(A531,'SAP '!A:D,4,0),0)</f>
        <v>1080</v>
      </c>
    </row>
    <row r="532" spans="1:4" x14ac:dyDescent="0.25">
      <c r="A532" s="137">
        <v>5104202000</v>
      </c>
      <c r="B532" s="91" t="s">
        <v>667</v>
      </c>
      <c r="C532" s="56">
        <f>IFERROR(VLOOKUP(A532,'SAP '!$A$8:$D$393,3,0),0)</f>
        <v>0</v>
      </c>
      <c r="D532" s="184">
        <f>IFERROR(VLOOKUP(A532,'SAP '!A:D,4,0),0)</f>
        <v>0</v>
      </c>
    </row>
    <row r="533" spans="1:4" x14ac:dyDescent="0.25">
      <c r="A533" s="90">
        <v>5104106002</v>
      </c>
      <c r="B533" s="90" t="s">
        <v>182</v>
      </c>
      <c r="C533" s="56">
        <f>IFERROR(VLOOKUP(A533,'SAP '!$A$8:$D$393,3,0),0)</f>
        <v>0</v>
      </c>
      <c r="D533" s="184">
        <f>IFERROR(VLOOKUP(A533,'SAP '!A:D,4,0),0)</f>
        <v>0</v>
      </c>
    </row>
    <row r="534" spans="1:4" x14ac:dyDescent="0.25">
      <c r="A534" s="90">
        <v>5104108004</v>
      </c>
      <c r="B534" s="90" t="s">
        <v>183</v>
      </c>
      <c r="C534" s="56">
        <f>IFERROR(VLOOKUP(A534,'SAP '!$A$8:$D$393,3,0),0)</f>
        <v>0</v>
      </c>
      <c r="D534" s="184">
        <f>IFERROR(VLOOKUP(A534,'SAP '!A:D,4,0),0)</f>
        <v>0</v>
      </c>
    </row>
    <row r="535" spans="1:4" x14ac:dyDescent="0.25">
      <c r="A535" s="90">
        <v>5104205000</v>
      </c>
      <c r="B535" s="90" t="s">
        <v>184</v>
      </c>
      <c r="C535" s="56">
        <f>IFERROR(VLOOKUP(A535,'SAP '!$A$8:$D$393,3,0),0)</f>
        <v>0</v>
      </c>
      <c r="D535" s="184">
        <f>IFERROR(VLOOKUP(A535,'SAP '!A:D,4,0),0)</f>
        <v>0</v>
      </c>
    </row>
    <row r="536" spans="1:4" x14ac:dyDescent="0.25">
      <c r="A536" s="137">
        <v>5104203000</v>
      </c>
      <c r="B536" s="91" t="s">
        <v>668</v>
      </c>
      <c r="C536" s="56">
        <f>IFERROR(VLOOKUP(A536,'SAP '!$A$8:$D$393,3,0),0)</f>
        <v>2848087</v>
      </c>
      <c r="D536" s="184">
        <f>IFERROR(VLOOKUP(A536,'SAP '!A:D,4,0),0)</f>
        <v>1833206</v>
      </c>
    </row>
    <row r="537" spans="1:4" x14ac:dyDescent="0.25">
      <c r="A537" s="137">
        <v>5104204000</v>
      </c>
      <c r="B537" s="91" t="s">
        <v>669</v>
      </c>
      <c r="C537" s="56">
        <f>IFERROR(VLOOKUP(A537,'SAP '!$A$8:$D$393,3,0),0)</f>
        <v>1331327</v>
      </c>
      <c r="D537" s="184">
        <f>IFERROR(VLOOKUP(A537,'SAP '!A:D,4,0),0)</f>
        <v>1339770</v>
      </c>
    </row>
    <row r="538" spans="1:4" x14ac:dyDescent="0.25">
      <c r="A538" s="137">
        <v>5103101000</v>
      </c>
      <c r="B538" s="91" t="s">
        <v>670</v>
      </c>
      <c r="C538" s="56">
        <f>IFERROR(VLOOKUP(A538,'SAP '!$A$8:$D$393,3,0),0)</f>
        <v>10125</v>
      </c>
      <c r="D538" s="184">
        <f>IFERROR(VLOOKUP(A538,'SAP '!A:D,4,0),0)</f>
        <v>17318</v>
      </c>
    </row>
    <row r="539" spans="1:4" x14ac:dyDescent="0.25">
      <c r="A539" s="137">
        <v>5103101001</v>
      </c>
      <c r="B539" s="91" t="s">
        <v>671</v>
      </c>
      <c r="C539" s="56">
        <f>IFERROR(VLOOKUP(A539,'SAP '!$A$8:$D$393,3,0),0)</f>
        <v>111788.82</v>
      </c>
      <c r="D539" s="184">
        <f>IFERROR(VLOOKUP(A539,'SAP '!A:D,4,0),0)</f>
        <v>300217</v>
      </c>
    </row>
    <row r="540" spans="1:4" x14ac:dyDescent="0.25">
      <c r="A540" s="137">
        <v>5103101002</v>
      </c>
      <c r="B540" s="91" t="s">
        <v>672</v>
      </c>
      <c r="C540" s="56">
        <f>IFERROR(VLOOKUP(A540,'SAP '!$A$8:$D$393,3,0),0)</f>
        <v>0</v>
      </c>
      <c r="D540" s="184">
        <f>IFERROR(VLOOKUP(A540,'SAP '!A:D,4,0),0)</f>
        <v>1945</v>
      </c>
    </row>
    <row r="541" spans="1:4" x14ac:dyDescent="0.25">
      <c r="A541" s="137">
        <v>5103102000</v>
      </c>
      <c r="B541" s="91" t="s">
        <v>673</v>
      </c>
      <c r="C541" s="56">
        <f>IFERROR(VLOOKUP(A541,'SAP '!$A$8:$D$393,3,0),0)</f>
        <v>38607.199999999997</v>
      </c>
      <c r="D541" s="184">
        <f>IFERROR(VLOOKUP(A541,'SAP '!A:D,4,0),0)</f>
        <v>5500</v>
      </c>
    </row>
    <row r="542" spans="1:4" x14ac:dyDescent="0.25">
      <c r="A542" s="137">
        <v>5103102001</v>
      </c>
      <c r="B542" s="91" t="s">
        <v>674</v>
      </c>
      <c r="C542" s="56">
        <f>IFERROR(VLOOKUP(A542,'SAP '!$A$8:$D$393,3,0),0)</f>
        <v>3704521</v>
      </c>
      <c r="D542" s="184">
        <f>IFERROR(VLOOKUP(A542,'SAP '!A:D,4,0),0)</f>
        <v>2741667</v>
      </c>
    </row>
    <row r="543" spans="1:4" x14ac:dyDescent="0.25">
      <c r="A543" s="137">
        <v>5103103000</v>
      </c>
      <c r="B543" s="91" t="s">
        <v>675</v>
      </c>
      <c r="C543" s="56">
        <f>IFERROR(VLOOKUP(A543,'SAP '!$A$8:$D$393,3,0),0)</f>
        <v>214296</v>
      </c>
      <c r="D543" s="184">
        <f>IFERROR(VLOOKUP(A543,'SAP '!A:D,4,0),0)</f>
        <v>46550</v>
      </c>
    </row>
    <row r="544" spans="1:4" x14ac:dyDescent="0.25">
      <c r="A544" s="137">
        <v>5103103001</v>
      </c>
      <c r="B544" s="91" t="s">
        <v>676</v>
      </c>
      <c r="C544" s="56">
        <f>IFERROR(VLOOKUP(A544,'SAP '!$A$8:$D$393,3,0),0)</f>
        <v>1500</v>
      </c>
      <c r="D544" s="184">
        <f>IFERROR(VLOOKUP(A544,'SAP '!A:D,4,0),0)</f>
        <v>6180</v>
      </c>
    </row>
    <row r="545" spans="1:4" x14ac:dyDescent="0.25">
      <c r="A545" s="137">
        <v>5103103002</v>
      </c>
      <c r="B545" s="89" t="s">
        <v>1056</v>
      </c>
      <c r="C545" s="56">
        <f>IFERROR(VLOOKUP(A545,'SAP '!$A$8:$D$393,3,0),0)</f>
        <v>0</v>
      </c>
      <c r="D545" s="184">
        <f>IFERROR(VLOOKUP(A545,'SAP '!A:D,4,0),0)</f>
        <v>0</v>
      </c>
    </row>
    <row r="546" spans="1:4" x14ac:dyDescent="0.25">
      <c r="A546" s="137">
        <v>5103103003</v>
      </c>
      <c r="B546" s="91" t="s">
        <v>677</v>
      </c>
      <c r="C546" s="56">
        <f>IFERROR(VLOOKUP(A546,'SAP '!$A$8:$D$393,3,0),0)</f>
        <v>0</v>
      </c>
      <c r="D546" s="184">
        <f>IFERROR(VLOOKUP(A546,'SAP '!A:D,4,0),0)</f>
        <v>0</v>
      </c>
    </row>
    <row r="547" spans="1:4" x14ac:dyDescent="0.25">
      <c r="A547" s="137">
        <v>5103103004</v>
      </c>
      <c r="B547" s="91" t="s">
        <v>678</v>
      </c>
      <c r="C547" s="56">
        <f>IFERROR(VLOOKUP(A547,'SAP '!$A$8:$D$393,3,0),0)</f>
        <v>21435</v>
      </c>
      <c r="D547" s="184">
        <f>IFERROR(VLOOKUP(A547,'SAP '!A:D,4,0),0)</f>
        <v>22655</v>
      </c>
    </row>
    <row r="548" spans="1:4" x14ac:dyDescent="0.25">
      <c r="A548" s="137">
        <v>5103103007</v>
      </c>
      <c r="B548" s="91" t="s">
        <v>679</v>
      </c>
      <c r="C548" s="56">
        <f>IFERROR(VLOOKUP(A548,'SAP '!$A$8:$D$393,3,0),0)</f>
        <v>0</v>
      </c>
      <c r="D548" s="184">
        <f>IFERROR(VLOOKUP(A548,'SAP '!A:D,4,0),0)</f>
        <v>0</v>
      </c>
    </row>
    <row r="549" spans="1:4" x14ac:dyDescent="0.25">
      <c r="A549" s="137">
        <v>5103104000</v>
      </c>
      <c r="B549" s="91" t="s">
        <v>680</v>
      </c>
      <c r="C549" s="56">
        <f>IFERROR(VLOOKUP(A549,'SAP '!$A$8:$D$393,3,0),0)</f>
        <v>446043.97</v>
      </c>
      <c r="D549" s="184">
        <f>IFERROR(VLOOKUP(A549,'SAP '!A:D,4,0),0)</f>
        <v>238087.22</v>
      </c>
    </row>
    <row r="550" spans="1:4" x14ac:dyDescent="0.25">
      <c r="A550" s="90">
        <v>5103101003</v>
      </c>
      <c r="B550" s="90" t="s">
        <v>178</v>
      </c>
      <c r="C550" s="56">
        <f>IFERROR(VLOOKUP(A550,'SAP '!$A$8:$D$393,3,0),0)</f>
        <v>0</v>
      </c>
      <c r="D550" s="184">
        <f>IFERROR(VLOOKUP(A550,'SAP '!A:D,4,0),0)</f>
        <v>0</v>
      </c>
    </row>
    <row r="551" spans="1:4" x14ac:dyDescent="0.25">
      <c r="A551" s="90">
        <v>5103101004</v>
      </c>
      <c r="B551" s="90" t="s">
        <v>179</v>
      </c>
      <c r="C551" s="56">
        <f>IFERROR(VLOOKUP(A551,'SAP '!$A$8:$D$393,3,0),0)</f>
        <v>0</v>
      </c>
      <c r="D551" s="184">
        <f>IFERROR(VLOOKUP(A551,'SAP '!A:D,4,0),0)</f>
        <v>0</v>
      </c>
    </row>
    <row r="552" spans="1:4" x14ac:dyDescent="0.25">
      <c r="A552" s="90">
        <v>5103103005</v>
      </c>
      <c r="B552" s="90" t="s">
        <v>180</v>
      </c>
      <c r="C552" s="56">
        <f>IFERROR(VLOOKUP(A552,'SAP '!$A$8:$D$393,3,0),0)</f>
        <v>0</v>
      </c>
      <c r="D552" s="184">
        <f>IFERROR(VLOOKUP(A552,'SAP '!A:D,4,0),0)</f>
        <v>0</v>
      </c>
    </row>
    <row r="553" spans="1:4" x14ac:dyDescent="0.25">
      <c r="A553" s="90">
        <v>5103103006</v>
      </c>
      <c r="B553" s="90" t="s">
        <v>181</v>
      </c>
      <c r="C553" s="56">
        <f>IFERROR(VLOOKUP(A553,'SAP '!$A$8:$D$393,3,0),0)</f>
        <v>0</v>
      </c>
      <c r="D553" s="184">
        <f>IFERROR(VLOOKUP(A553,'SAP '!A:D,4,0),0)</f>
        <v>0</v>
      </c>
    </row>
    <row r="554" spans="1:4" x14ac:dyDescent="0.25">
      <c r="A554" s="137">
        <v>5103104001</v>
      </c>
      <c r="B554" s="91" t="s">
        <v>681</v>
      </c>
      <c r="C554" s="56">
        <f>IFERROR(VLOOKUP(A554,'SAP '!$A$8:$D$393,3,0),0)</f>
        <v>99875</v>
      </c>
      <c r="D554" s="184">
        <f>IFERROR(VLOOKUP(A554,'SAP '!A:D,4,0),0)</f>
        <v>64318</v>
      </c>
    </row>
    <row r="555" spans="1:4" x14ac:dyDescent="0.25">
      <c r="A555" s="137">
        <v>5105101000</v>
      </c>
      <c r="B555" s="91" t="s">
        <v>683</v>
      </c>
      <c r="C555" s="56">
        <f>IFERROR(VLOOKUP(A555,'SAP '!$A$8:$D$393,3,0),0)</f>
        <v>17400</v>
      </c>
      <c r="D555" s="184">
        <f>IFERROR(VLOOKUP(A555,'SAP '!A:D,4,0),0)</f>
        <v>30000</v>
      </c>
    </row>
    <row r="556" spans="1:4" x14ac:dyDescent="0.25">
      <c r="A556" s="137">
        <v>5103103008</v>
      </c>
      <c r="B556" s="91" t="s">
        <v>682</v>
      </c>
      <c r="C556" s="56">
        <f>IFERROR(VLOOKUP(A556,'SAP '!$A$8:$D$393,3,0),0)</f>
        <v>0</v>
      </c>
      <c r="D556" s="184">
        <f>IFERROR(VLOOKUP(A556,'SAP '!A:D,4,0),0)</f>
        <v>168414.56</v>
      </c>
    </row>
    <row r="557" spans="1:4" x14ac:dyDescent="0.25">
      <c r="A557" s="137">
        <v>5105101001</v>
      </c>
      <c r="B557" s="91" t="s">
        <v>684</v>
      </c>
      <c r="C557" s="56">
        <f>IFERROR(VLOOKUP(A557,'SAP '!$A$8:$D$393,3,0),0)</f>
        <v>3000</v>
      </c>
      <c r="D557" s="184">
        <f>IFERROR(VLOOKUP(A557,'SAP '!A:D,4,0),0)</f>
        <v>136681.5</v>
      </c>
    </row>
    <row r="558" spans="1:4" x14ac:dyDescent="0.25">
      <c r="A558" s="137">
        <v>5105104000</v>
      </c>
      <c r="B558" s="91" t="s">
        <v>685</v>
      </c>
      <c r="C558" s="56">
        <f>IFERROR(VLOOKUP(A558,'SAP '!$A$8:$D$393,3,0),0)</f>
        <v>84000</v>
      </c>
      <c r="D558" s="184">
        <f>IFERROR(VLOOKUP(A558,'SAP '!A:D,4,0),0)</f>
        <v>108000</v>
      </c>
    </row>
    <row r="559" spans="1:4" x14ac:dyDescent="0.25">
      <c r="A559" s="137">
        <v>5105104001</v>
      </c>
      <c r="B559" s="91" t="s">
        <v>686</v>
      </c>
      <c r="C559" s="56">
        <f>IFERROR(VLOOKUP(A559,'SAP '!$A$8:$D$393,3,0),0)</f>
        <v>0</v>
      </c>
      <c r="D559" s="184">
        <f>IFERROR(VLOOKUP(A559,'SAP '!A:D,4,0),0)</f>
        <v>0</v>
      </c>
    </row>
    <row r="560" spans="1:4" x14ac:dyDescent="0.25">
      <c r="A560" s="137">
        <v>5105107000</v>
      </c>
      <c r="B560" s="91" t="s">
        <v>687</v>
      </c>
      <c r="C560" s="56">
        <f>IFERROR(VLOOKUP(A560,'SAP '!$A$8:$D$393,3,0),0)</f>
        <v>4500</v>
      </c>
      <c r="D560" s="184">
        <f>IFERROR(VLOOKUP(A560,'SAP '!A:D,4,0),0)</f>
        <v>651070</v>
      </c>
    </row>
    <row r="561" spans="1:16376" x14ac:dyDescent="0.25">
      <c r="A561" s="137">
        <v>5105108000</v>
      </c>
      <c r="B561" s="91" t="s">
        <v>688</v>
      </c>
      <c r="C561" s="56">
        <f>IFERROR(VLOOKUP(A561,'SAP '!$A$8:$D$393,3,0),0)</f>
        <v>0</v>
      </c>
      <c r="D561" s="184">
        <f>IFERROR(VLOOKUP(A561,'SAP '!A:D,4,0),0)</f>
        <v>0</v>
      </c>
    </row>
    <row r="562" spans="1:16376" x14ac:dyDescent="0.25">
      <c r="A562" s="137">
        <v>5105109000</v>
      </c>
      <c r="B562" s="91" t="s">
        <v>689</v>
      </c>
      <c r="C562" s="56">
        <f>IFERROR(VLOOKUP(A562,'SAP '!$A$8:$D$393,3,0),0)</f>
        <v>29973</v>
      </c>
      <c r="D562" s="184">
        <f>IFERROR(VLOOKUP(A562,'SAP '!A:D,4,0),0)</f>
        <v>46020</v>
      </c>
    </row>
    <row r="563" spans="1:16376" x14ac:dyDescent="0.25">
      <c r="A563" s="137">
        <v>5105113000</v>
      </c>
      <c r="B563" s="91" t="s">
        <v>690</v>
      </c>
      <c r="C563" s="56">
        <f>IFERROR(VLOOKUP(A563,'SAP '!$A$8:$D$393,3,0),0)</f>
        <v>16074.5</v>
      </c>
      <c r="D563" s="184">
        <f>IFERROR(VLOOKUP(A563,'SAP '!A:D,4,0),0)</f>
        <v>9232</v>
      </c>
    </row>
    <row r="564" spans="1:16376" x14ac:dyDescent="0.25">
      <c r="A564" s="137">
        <v>5105113001</v>
      </c>
      <c r="B564" s="91" t="s">
        <v>691</v>
      </c>
      <c r="C564" s="56">
        <f>IFERROR(VLOOKUP(A564,'SAP '!$A$8:$D$393,3,0),0)</f>
        <v>22220.240000000002</v>
      </c>
      <c r="D564" s="184">
        <f>IFERROR(VLOOKUP(A564,'SAP '!A:D,4,0),0)</f>
        <v>18113</v>
      </c>
    </row>
    <row r="565" spans="1:16376" x14ac:dyDescent="0.25">
      <c r="A565" s="137">
        <v>5105113002</v>
      </c>
      <c r="B565" s="91" t="s">
        <v>692</v>
      </c>
      <c r="C565" s="56">
        <f>IFERROR(VLOOKUP(A565,'SAP '!$A$8:$D$393,3,0),0)</f>
        <v>21343</v>
      </c>
      <c r="D565" s="184">
        <f>IFERROR(VLOOKUP(A565,'SAP '!A:D,4,0),0)</f>
        <v>1657</v>
      </c>
    </row>
    <row r="566" spans="1:16376" x14ac:dyDescent="0.25">
      <c r="A566" s="137">
        <v>5105114000</v>
      </c>
      <c r="B566" s="91" t="s">
        <v>693</v>
      </c>
      <c r="C566" s="56">
        <f>IFERROR(VLOOKUP(A566,'SAP '!$A$8:$D$393,3,0),0)</f>
        <v>705338.8</v>
      </c>
      <c r="D566" s="184">
        <f>IFERROR(VLOOKUP(A566,'SAP '!A:D,4,0),0)</f>
        <v>719405.89</v>
      </c>
    </row>
    <row r="567" spans="1:16376" x14ac:dyDescent="0.25">
      <c r="A567" s="137">
        <v>5105114001</v>
      </c>
      <c r="B567" s="91" t="s">
        <v>221</v>
      </c>
      <c r="C567" s="56">
        <f>IFERROR(VLOOKUP(A567,'SAP '!$A$8:$D$393,3,0),0)</f>
        <v>0</v>
      </c>
      <c r="D567" s="184">
        <f>IFERROR(VLOOKUP(A567,'SAP '!A:D,4,0),0)</f>
        <v>0</v>
      </c>
    </row>
    <row r="568" spans="1:16376" x14ac:dyDescent="0.25">
      <c r="A568" s="137">
        <v>5105115000</v>
      </c>
      <c r="B568" s="91" t="s">
        <v>694</v>
      </c>
      <c r="C568" s="56">
        <f>IFERROR(VLOOKUP(A568,'SAP '!$A$8:$D$393,3,0),0)</f>
        <v>0</v>
      </c>
      <c r="D568" s="184">
        <f>IFERROR(VLOOKUP(A568,'SAP '!A:D,4,0),0)</f>
        <v>90770</v>
      </c>
    </row>
    <row r="569" spans="1:16376" x14ac:dyDescent="0.25">
      <c r="A569" s="137">
        <v>5105116000</v>
      </c>
      <c r="B569" s="91" t="s">
        <v>695</v>
      </c>
      <c r="C569" s="56">
        <f>IFERROR(VLOOKUP(A569,'SAP '!$A$8:$D$393,3,0),0)</f>
        <v>225750</v>
      </c>
      <c r="D569" s="184">
        <f>IFERROR(VLOOKUP(A569,'SAP '!A:D,4,0),0)</f>
        <v>186500</v>
      </c>
    </row>
    <row r="570" spans="1:16376" x14ac:dyDescent="0.25">
      <c r="A570" s="137">
        <v>5105116001</v>
      </c>
      <c r="B570" s="91" t="s">
        <v>696</v>
      </c>
      <c r="C570" s="56">
        <f>IFERROR(VLOOKUP(A570,'SAP '!$A$8:$D$393,3,0),0)</f>
        <v>0</v>
      </c>
      <c r="D570" s="184">
        <f>IFERROR(VLOOKUP(A570,'SAP '!A:D,4,0),0)</f>
        <v>2250</v>
      </c>
    </row>
    <row r="571" spans="1:16376" x14ac:dyDescent="0.25">
      <c r="A571" s="137">
        <v>5105117000</v>
      </c>
      <c r="B571" s="91" t="s">
        <v>697</v>
      </c>
      <c r="C571" s="56">
        <f>IFERROR(VLOOKUP(A571,'SAP '!$A$8:$D$393,3,0),0)</f>
        <v>2500</v>
      </c>
      <c r="D571" s="184">
        <f>IFERROR(VLOOKUP(A571,'SAP '!A:D,4,0),0)</f>
        <v>0</v>
      </c>
    </row>
    <row r="572" spans="1:16376" x14ac:dyDescent="0.25">
      <c r="A572" s="59">
        <v>5105117003</v>
      </c>
      <c r="B572" s="59" t="s">
        <v>1071</v>
      </c>
      <c r="C572" s="56">
        <f>IFERROR(VLOOKUP(A572,'SAP '!$A$8:$D$393,3,0),0)</f>
        <v>0</v>
      </c>
      <c r="D572" s="184">
        <f>IFERROR(VLOOKUP(A572,'SAP '!A:D,4,0),0)</f>
        <v>0</v>
      </c>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c r="AA572" s="126"/>
      <c r="AB572" s="126"/>
      <c r="AC572" s="126"/>
      <c r="AD572" s="126"/>
      <c r="AE572" s="126"/>
      <c r="AF572" s="126"/>
      <c r="AG572" s="126"/>
      <c r="AH572" s="126"/>
      <c r="AI572" s="126"/>
      <c r="AJ572" s="126"/>
      <c r="AK572" s="126"/>
      <c r="AL572" s="126"/>
      <c r="AM572" s="126"/>
      <c r="AN572" s="126"/>
      <c r="AO572" s="126"/>
      <c r="AP572" s="126"/>
      <c r="AQ572" s="126"/>
      <c r="AR572" s="126"/>
      <c r="AS572" s="126"/>
      <c r="AT572" s="126"/>
      <c r="AU572" s="126"/>
      <c r="AV572" s="126"/>
      <c r="AW572" s="126"/>
      <c r="AX572" s="126"/>
      <c r="AY572" s="126"/>
      <c r="AZ572" s="126"/>
      <c r="BA572" s="126"/>
      <c r="BB572" s="126"/>
      <c r="BC572" s="126"/>
      <c r="BD572" s="126"/>
      <c r="BE572" s="126"/>
      <c r="BF572" s="126"/>
      <c r="BG572" s="126"/>
      <c r="BH572" s="126"/>
      <c r="BI572" s="126"/>
      <c r="BJ572" s="126"/>
      <c r="BK572" s="126"/>
      <c r="BL572" s="126"/>
      <c r="BM572" s="126"/>
      <c r="BN572" s="126"/>
      <c r="BO572" s="126"/>
      <c r="BP572" s="126"/>
      <c r="BQ572" s="126"/>
      <c r="BR572" s="126"/>
      <c r="BS572" s="126"/>
      <c r="BT572" s="126"/>
      <c r="BU572" s="126"/>
      <c r="BV572" s="126"/>
      <c r="BW572" s="126"/>
      <c r="BX572" s="126"/>
      <c r="BY572" s="126"/>
      <c r="BZ572" s="126"/>
      <c r="CA572" s="126"/>
      <c r="CB572" s="126"/>
      <c r="CC572" s="126"/>
      <c r="CD572" s="126"/>
      <c r="CE572" s="126"/>
      <c r="CF572" s="126"/>
      <c r="CG572" s="126"/>
      <c r="CH572" s="126"/>
      <c r="CI572" s="126"/>
      <c r="CJ572" s="126"/>
      <c r="CK572" s="126"/>
      <c r="CL572" s="126"/>
      <c r="CM572" s="126"/>
      <c r="CN572" s="126"/>
      <c r="CO572" s="126"/>
      <c r="CP572" s="126"/>
      <c r="CQ572" s="126"/>
      <c r="CR572" s="126"/>
      <c r="CS572" s="126"/>
      <c r="CT572" s="126"/>
      <c r="CU572" s="126"/>
      <c r="CV572" s="126"/>
      <c r="CW572" s="126"/>
      <c r="CX572" s="126"/>
      <c r="CY572" s="126"/>
      <c r="CZ572" s="126"/>
      <c r="DA572" s="126"/>
      <c r="DB572" s="126"/>
      <c r="DC572" s="126"/>
      <c r="DD572" s="126"/>
      <c r="DE572" s="126"/>
      <c r="DF572" s="126"/>
      <c r="DG572" s="126"/>
      <c r="DH572" s="126"/>
      <c r="DI572" s="126"/>
      <c r="DJ572" s="126"/>
      <c r="DK572" s="126"/>
      <c r="DL572" s="126"/>
      <c r="DM572" s="126"/>
      <c r="DN572" s="126"/>
      <c r="DO572" s="126"/>
      <c r="DP572" s="126"/>
      <c r="DQ572" s="126"/>
      <c r="DR572" s="126"/>
      <c r="DS572" s="126"/>
      <c r="DT572" s="126"/>
      <c r="DU572" s="126"/>
      <c r="DV572" s="126"/>
      <c r="DW572" s="126"/>
      <c r="DX572" s="126"/>
      <c r="DY572" s="126"/>
      <c r="DZ572" s="126"/>
      <c r="EA572" s="126"/>
      <c r="EB572" s="126"/>
      <c r="EC572" s="126"/>
      <c r="ED572" s="126"/>
      <c r="EE572" s="126"/>
      <c r="EF572" s="126"/>
      <c r="EG572" s="126"/>
      <c r="EH572" s="126"/>
      <c r="EI572" s="126"/>
      <c r="EJ572" s="126"/>
      <c r="EK572" s="126"/>
      <c r="EL572" s="126"/>
      <c r="EM572" s="126"/>
      <c r="EN572" s="126"/>
      <c r="EO572" s="126"/>
      <c r="EP572" s="126"/>
      <c r="EQ572" s="126"/>
      <c r="ER572" s="126"/>
      <c r="ES572" s="126"/>
      <c r="ET572" s="126"/>
      <c r="EU572" s="126"/>
      <c r="EV572" s="126"/>
      <c r="EW572" s="126"/>
      <c r="EX572" s="126"/>
      <c r="EY572" s="126"/>
      <c r="EZ572" s="126"/>
      <c r="FA572" s="126"/>
      <c r="FB572" s="126"/>
      <c r="FC572" s="126"/>
      <c r="FD572" s="126"/>
      <c r="FE572" s="126"/>
      <c r="FF572" s="126"/>
      <c r="FG572" s="126"/>
      <c r="FH572" s="126"/>
      <c r="FI572" s="126"/>
      <c r="FJ572" s="126"/>
      <c r="FK572" s="126"/>
      <c r="FL572" s="126"/>
      <c r="FM572" s="126"/>
      <c r="FN572" s="126"/>
      <c r="FO572" s="126"/>
      <c r="FP572" s="126"/>
      <c r="FQ572" s="126"/>
      <c r="FR572" s="126"/>
      <c r="FS572" s="126"/>
      <c r="FT572" s="126"/>
      <c r="FU572" s="126"/>
      <c r="FV572" s="126"/>
      <c r="FW572" s="126"/>
      <c r="FX572" s="126"/>
      <c r="FY572" s="126"/>
      <c r="FZ572" s="126"/>
      <c r="GA572" s="126"/>
      <c r="GB572" s="126"/>
      <c r="GC572" s="126"/>
      <c r="GD572" s="126"/>
      <c r="GE572" s="126"/>
      <c r="GF572" s="126"/>
      <c r="GG572" s="126"/>
      <c r="GH572" s="126"/>
      <c r="GI572" s="126"/>
      <c r="GJ572" s="126"/>
      <c r="GK572" s="126"/>
      <c r="GL572" s="126"/>
      <c r="GM572" s="126"/>
      <c r="GN572" s="126"/>
      <c r="GO572" s="126"/>
      <c r="GP572" s="126"/>
      <c r="GQ572" s="126"/>
      <c r="GR572" s="126"/>
      <c r="GS572" s="126"/>
      <c r="GT572" s="126"/>
      <c r="GU572" s="126"/>
      <c r="GV572" s="126"/>
      <c r="GW572" s="126"/>
      <c r="GX572" s="126"/>
      <c r="GY572" s="126"/>
      <c r="GZ572" s="126"/>
      <c r="HA572" s="126"/>
      <c r="HB572" s="126"/>
      <c r="HC572" s="126"/>
      <c r="HD572" s="126"/>
      <c r="HE572" s="126"/>
      <c r="HF572" s="126"/>
      <c r="HG572" s="126"/>
      <c r="HH572" s="126"/>
      <c r="HI572" s="126"/>
      <c r="HJ572" s="126"/>
      <c r="HK572" s="126"/>
      <c r="HL572" s="126"/>
      <c r="HM572" s="126"/>
      <c r="HN572" s="126"/>
      <c r="HO572" s="126"/>
      <c r="HP572" s="126"/>
      <c r="HQ572" s="126"/>
      <c r="HR572" s="126"/>
      <c r="HS572" s="126"/>
      <c r="HT572" s="126"/>
      <c r="HU572" s="126"/>
      <c r="HV572" s="126"/>
      <c r="HW572" s="126"/>
      <c r="HX572" s="126"/>
      <c r="HY572" s="126"/>
      <c r="HZ572" s="126"/>
      <c r="IA572" s="126"/>
      <c r="IB572" s="126"/>
      <c r="IC572" s="126"/>
      <c r="ID572" s="126"/>
      <c r="IE572" s="126"/>
      <c r="IF572" s="126"/>
      <c r="IG572" s="126"/>
      <c r="IH572" s="126"/>
      <c r="II572" s="126"/>
      <c r="IJ572" s="126"/>
      <c r="IK572" s="126"/>
      <c r="IL572" s="126"/>
      <c r="IM572" s="126"/>
      <c r="IN572" s="126"/>
      <c r="IO572" s="126"/>
      <c r="IP572" s="126"/>
      <c r="IQ572" s="126"/>
      <c r="IR572" s="126"/>
      <c r="IS572" s="126"/>
      <c r="IT572" s="126"/>
      <c r="IU572" s="126"/>
      <c r="IV572" s="126"/>
      <c r="IW572" s="126"/>
      <c r="IX572" s="126"/>
      <c r="IY572" s="126"/>
      <c r="IZ572" s="126"/>
      <c r="JA572" s="126"/>
      <c r="JB572" s="126"/>
      <c r="JC572" s="126"/>
      <c r="JD572" s="126"/>
      <c r="JE572" s="126"/>
      <c r="JF572" s="126"/>
      <c r="JG572" s="126"/>
      <c r="JH572" s="126"/>
      <c r="JI572" s="126"/>
      <c r="JJ572" s="126"/>
      <c r="JK572" s="126"/>
      <c r="JL572" s="126"/>
      <c r="JM572" s="126"/>
      <c r="JN572" s="126"/>
      <c r="JO572" s="126"/>
      <c r="JP572" s="126"/>
      <c r="JQ572" s="126"/>
      <c r="JR572" s="126"/>
      <c r="JS572" s="126"/>
      <c r="JT572" s="126"/>
      <c r="JU572" s="126"/>
      <c r="JV572" s="126"/>
      <c r="JW572" s="126"/>
      <c r="JX572" s="126"/>
      <c r="JY572" s="126"/>
      <c r="JZ572" s="126"/>
      <c r="KA572" s="126"/>
      <c r="KB572" s="126"/>
      <c r="KC572" s="126"/>
      <c r="KD572" s="126"/>
      <c r="KE572" s="126"/>
      <c r="KF572" s="126"/>
      <c r="KG572" s="126"/>
      <c r="KH572" s="126"/>
      <c r="KI572" s="126"/>
      <c r="KJ572" s="126"/>
      <c r="KK572" s="126"/>
      <c r="KL572" s="126"/>
      <c r="KM572" s="126"/>
      <c r="KN572" s="126"/>
      <c r="KO572" s="126"/>
      <c r="KP572" s="126"/>
      <c r="KQ572" s="126"/>
      <c r="KR572" s="126"/>
      <c r="KS572" s="126"/>
      <c r="KT572" s="126"/>
      <c r="KU572" s="126"/>
      <c r="KV572" s="126"/>
      <c r="KW572" s="126"/>
      <c r="KX572" s="126"/>
      <c r="KY572" s="126"/>
      <c r="KZ572" s="126"/>
      <c r="LA572" s="126"/>
      <c r="LB572" s="126"/>
      <c r="LC572" s="126"/>
      <c r="LD572" s="126"/>
      <c r="LE572" s="126"/>
      <c r="LF572" s="126"/>
      <c r="LG572" s="126"/>
      <c r="LH572" s="126"/>
      <c r="LI572" s="126"/>
      <c r="LJ572" s="126"/>
      <c r="LK572" s="126"/>
      <c r="LL572" s="126"/>
      <c r="LM572" s="126"/>
      <c r="LN572" s="126"/>
      <c r="LO572" s="126"/>
      <c r="LP572" s="126"/>
      <c r="LQ572" s="126"/>
      <c r="LR572" s="126"/>
      <c r="LS572" s="126"/>
      <c r="LT572" s="126"/>
      <c r="LU572" s="126"/>
      <c r="LV572" s="126"/>
      <c r="LW572" s="126"/>
      <c r="LX572" s="126"/>
      <c r="LY572" s="126"/>
      <c r="LZ572" s="126"/>
      <c r="MA572" s="126"/>
      <c r="MB572" s="126"/>
      <c r="MC572" s="126"/>
      <c r="MD572" s="126"/>
      <c r="ME572" s="126"/>
      <c r="MF572" s="126"/>
      <c r="MG572" s="126"/>
      <c r="MH572" s="126"/>
      <c r="MI572" s="126"/>
      <c r="MJ572" s="126"/>
      <c r="MK572" s="126"/>
      <c r="ML572" s="126"/>
      <c r="MM572" s="126"/>
      <c r="MN572" s="126"/>
      <c r="MO572" s="126"/>
      <c r="MP572" s="126"/>
      <c r="MQ572" s="126"/>
      <c r="MR572" s="126"/>
      <c r="MS572" s="126"/>
      <c r="MT572" s="126"/>
      <c r="MU572" s="126"/>
      <c r="MV572" s="126"/>
      <c r="MW572" s="126"/>
      <c r="MX572" s="126"/>
      <c r="MY572" s="126"/>
      <c r="MZ572" s="126"/>
      <c r="NA572" s="126"/>
      <c r="NB572" s="126"/>
      <c r="NC572" s="126"/>
      <c r="ND572" s="126"/>
      <c r="NE572" s="126"/>
      <c r="NF572" s="126"/>
      <c r="NG572" s="126"/>
      <c r="NH572" s="126"/>
      <c r="NI572" s="126"/>
      <c r="NJ572" s="126"/>
      <c r="NK572" s="126"/>
      <c r="NL572" s="126"/>
      <c r="NM572" s="126"/>
      <c r="NN572" s="126"/>
      <c r="NO572" s="126"/>
      <c r="NP572" s="126"/>
      <c r="NQ572" s="126"/>
      <c r="NR572" s="126"/>
      <c r="NS572" s="126"/>
      <c r="NT572" s="126"/>
      <c r="NU572" s="126"/>
      <c r="NV572" s="126"/>
      <c r="NW572" s="126"/>
      <c r="NX572" s="126"/>
      <c r="NY572" s="126"/>
      <c r="NZ572" s="126"/>
      <c r="OA572" s="126"/>
      <c r="OB572" s="126"/>
      <c r="OC572" s="126"/>
      <c r="OD572" s="126"/>
      <c r="OE572" s="126"/>
      <c r="OF572" s="126"/>
      <c r="OG572" s="126"/>
      <c r="OH572" s="126"/>
      <c r="OI572" s="126"/>
      <c r="OJ572" s="126"/>
      <c r="OK572" s="126"/>
      <c r="OL572" s="126"/>
      <c r="OM572" s="126"/>
      <c r="ON572" s="126"/>
      <c r="OO572" s="126"/>
      <c r="OP572" s="126"/>
      <c r="OQ572" s="126"/>
      <c r="OR572" s="126"/>
      <c r="OS572" s="126"/>
      <c r="OT572" s="126"/>
      <c r="OU572" s="126"/>
      <c r="OV572" s="126"/>
      <c r="OW572" s="126"/>
      <c r="OX572" s="126"/>
      <c r="OY572" s="126"/>
      <c r="OZ572" s="126"/>
      <c r="PA572" s="126"/>
      <c r="PB572" s="126"/>
      <c r="PC572" s="126"/>
      <c r="PD572" s="126"/>
      <c r="PE572" s="126"/>
      <c r="PF572" s="126"/>
      <c r="PG572" s="126"/>
      <c r="PH572" s="126"/>
      <c r="PI572" s="126"/>
      <c r="PJ572" s="126"/>
      <c r="PK572" s="126"/>
      <c r="PL572" s="126"/>
      <c r="PM572" s="126"/>
      <c r="PN572" s="126"/>
      <c r="PO572" s="126"/>
      <c r="PP572" s="126"/>
      <c r="PQ572" s="126"/>
      <c r="PR572" s="126"/>
      <c r="PS572" s="126"/>
      <c r="PT572" s="126"/>
      <c r="PU572" s="126"/>
      <c r="PV572" s="126"/>
      <c r="PW572" s="126"/>
      <c r="PX572" s="126"/>
      <c r="PY572" s="126"/>
      <c r="PZ572" s="126"/>
      <c r="QA572" s="126"/>
      <c r="QB572" s="126"/>
      <c r="QC572" s="126"/>
      <c r="QD572" s="126"/>
      <c r="QE572" s="126"/>
      <c r="QF572" s="126"/>
      <c r="QG572" s="126"/>
      <c r="QH572" s="126"/>
      <c r="QI572" s="126"/>
      <c r="QJ572" s="126"/>
      <c r="QK572" s="126"/>
      <c r="QL572" s="126"/>
      <c r="QM572" s="126"/>
      <c r="QN572" s="126"/>
      <c r="QO572" s="126"/>
      <c r="QP572" s="126"/>
      <c r="QQ572" s="126"/>
      <c r="QR572" s="126"/>
      <c r="QS572" s="126"/>
      <c r="QT572" s="126"/>
      <c r="QU572" s="126"/>
      <c r="QV572" s="126"/>
      <c r="QW572" s="126"/>
      <c r="QX572" s="126"/>
      <c r="QY572" s="126"/>
      <c r="QZ572" s="126"/>
      <c r="RA572" s="126"/>
      <c r="RB572" s="126"/>
      <c r="RC572" s="126"/>
      <c r="RD572" s="126"/>
      <c r="RE572" s="126"/>
      <c r="RF572" s="126"/>
      <c r="RG572" s="126"/>
      <c r="RH572" s="126"/>
      <c r="RI572" s="126"/>
      <c r="RJ572" s="126"/>
      <c r="RK572" s="126"/>
      <c r="RL572" s="126"/>
      <c r="RM572" s="126"/>
      <c r="RN572" s="126"/>
      <c r="RO572" s="126"/>
      <c r="RP572" s="126"/>
      <c r="RQ572" s="126"/>
      <c r="RR572" s="126"/>
      <c r="RS572" s="126"/>
      <c r="RT572" s="126"/>
      <c r="RU572" s="126"/>
      <c r="RV572" s="126"/>
      <c r="RW572" s="126"/>
      <c r="RX572" s="126"/>
      <c r="RY572" s="126"/>
      <c r="RZ572" s="126"/>
      <c r="SA572" s="126"/>
      <c r="SB572" s="126"/>
      <c r="SC572" s="126"/>
      <c r="SD572" s="126"/>
      <c r="SE572" s="126"/>
      <c r="SF572" s="126"/>
      <c r="SG572" s="126"/>
      <c r="SH572" s="126"/>
      <c r="SI572" s="126"/>
      <c r="SJ572" s="126"/>
      <c r="SK572" s="126"/>
      <c r="SL572" s="126"/>
      <c r="SM572" s="126"/>
      <c r="SN572" s="126"/>
      <c r="SO572" s="126"/>
      <c r="SP572" s="126"/>
      <c r="SQ572" s="126"/>
      <c r="SR572" s="126"/>
      <c r="SS572" s="126"/>
      <c r="ST572" s="126"/>
      <c r="SU572" s="126"/>
      <c r="SV572" s="126"/>
      <c r="SW572" s="126"/>
      <c r="SX572" s="126"/>
      <c r="SY572" s="126"/>
      <c r="SZ572" s="126"/>
      <c r="TA572" s="126"/>
      <c r="TB572" s="126"/>
      <c r="TC572" s="126"/>
      <c r="TD572" s="126"/>
      <c r="TE572" s="126"/>
      <c r="TF572" s="126"/>
      <c r="TG572" s="126"/>
      <c r="TH572" s="126"/>
      <c r="TI572" s="126"/>
      <c r="TJ572" s="126"/>
      <c r="TK572" s="126"/>
      <c r="TL572" s="126"/>
      <c r="TM572" s="126"/>
      <c r="TN572" s="126"/>
      <c r="TO572" s="126"/>
      <c r="TP572" s="126"/>
      <c r="TQ572" s="126"/>
      <c r="TR572" s="126"/>
      <c r="TS572" s="126"/>
      <c r="TT572" s="126"/>
      <c r="TU572" s="126"/>
      <c r="TV572" s="126"/>
      <c r="TW572" s="126"/>
      <c r="TX572" s="126"/>
      <c r="TY572" s="126"/>
      <c r="TZ572" s="126"/>
      <c r="UA572" s="126"/>
      <c r="UB572" s="126"/>
      <c r="UC572" s="126"/>
      <c r="UD572" s="126"/>
      <c r="UE572" s="126"/>
      <c r="UF572" s="126"/>
      <c r="UG572" s="126"/>
      <c r="UH572" s="126"/>
      <c r="UI572" s="126"/>
      <c r="UJ572" s="126"/>
      <c r="UK572" s="126"/>
      <c r="UL572" s="126"/>
      <c r="UM572" s="126"/>
      <c r="UN572" s="126"/>
      <c r="UO572" s="126"/>
      <c r="UP572" s="126"/>
      <c r="UQ572" s="126"/>
      <c r="UR572" s="126"/>
      <c r="US572" s="126"/>
      <c r="UT572" s="126"/>
      <c r="UU572" s="126"/>
      <c r="UV572" s="126"/>
      <c r="UW572" s="126"/>
      <c r="UX572" s="126"/>
      <c r="UY572" s="126"/>
      <c r="UZ572" s="126"/>
      <c r="VA572" s="126"/>
      <c r="VB572" s="126"/>
      <c r="VC572" s="126"/>
      <c r="VD572" s="126"/>
      <c r="VE572" s="126"/>
      <c r="VF572" s="126"/>
      <c r="VG572" s="126"/>
      <c r="VH572" s="126"/>
      <c r="VI572" s="126"/>
      <c r="VJ572" s="126"/>
      <c r="VK572" s="126"/>
      <c r="VL572" s="126"/>
      <c r="VM572" s="126"/>
      <c r="VN572" s="126"/>
      <c r="VO572" s="126"/>
      <c r="VP572" s="126"/>
      <c r="VQ572" s="126"/>
      <c r="VR572" s="126"/>
      <c r="VS572" s="126"/>
      <c r="VT572" s="126"/>
      <c r="VU572" s="126"/>
      <c r="VV572" s="126"/>
      <c r="VW572" s="126"/>
      <c r="VX572" s="126"/>
      <c r="VY572" s="126"/>
      <c r="VZ572" s="126"/>
      <c r="WA572" s="126"/>
      <c r="WB572" s="126"/>
      <c r="WC572" s="126"/>
      <c r="WD572" s="126"/>
      <c r="WE572" s="126"/>
      <c r="WF572" s="126"/>
      <c r="WG572" s="126"/>
      <c r="WH572" s="126"/>
      <c r="WI572" s="126"/>
      <c r="WJ572" s="126"/>
      <c r="WK572" s="126"/>
      <c r="WL572" s="126"/>
      <c r="WM572" s="126"/>
      <c r="WN572" s="126"/>
      <c r="WO572" s="126"/>
      <c r="WP572" s="126"/>
      <c r="WQ572" s="126"/>
      <c r="WR572" s="126"/>
      <c r="WS572" s="126"/>
      <c r="WT572" s="126"/>
      <c r="WU572" s="126"/>
      <c r="WV572" s="126"/>
      <c r="WW572" s="126"/>
      <c r="WX572" s="126"/>
      <c r="WY572" s="126"/>
      <c r="WZ572" s="126"/>
      <c r="XA572" s="126"/>
      <c r="XB572" s="126"/>
      <c r="XC572" s="126"/>
      <c r="XD572" s="126"/>
      <c r="XE572" s="126"/>
      <c r="XF572" s="126"/>
      <c r="XG572" s="126"/>
      <c r="XH572" s="126"/>
      <c r="XI572" s="126"/>
      <c r="XJ572" s="126"/>
      <c r="XK572" s="126"/>
      <c r="XL572" s="126"/>
      <c r="XM572" s="126"/>
      <c r="XN572" s="126"/>
      <c r="XO572" s="126"/>
      <c r="XP572" s="126"/>
      <c r="XQ572" s="126"/>
      <c r="XR572" s="126"/>
      <c r="XS572" s="126"/>
      <c r="XT572" s="126"/>
      <c r="XU572" s="126"/>
      <c r="XV572" s="126"/>
      <c r="XW572" s="126"/>
      <c r="XX572" s="126"/>
      <c r="XY572" s="126"/>
      <c r="XZ572" s="126"/>
      <c r="YA572" s="126"/>
      <c r="YB572" s="126"/>
      <c r="YC572" s="126"/>
      <c r="YD572" s="126"/>
      <c r="YE572" s="126"/>
      <c r="YF572" s="126"/>
      <c r="YG572" s="126"/>
      <c r="YH572" s="126"/>
      <c r="YI572" s="126"/>
      <c r="YJ572" s="126"/>
      <c r="YK572" s="126"/>
      <c r="YL572" s="126"/>
      <c r="YM572" s="126"/>
      <c r="YN572" s="126"/>
      <c r="YO572" s="126"/>
      <c r="YP572" s="126"/>
      <c r="YQ572" s="126"/>
      <c r="YR572" s="126"/>
      <c r="YS572" s="126"/>
      <c r="YT572" s="126"/>
      <c r="YU572" s="126"/>
      <c r="YV572" s="126"/>
      <c r="YW572" s="126"/>
      <c r="YX572" s="126"/>
      <c r="YY572" s="126"/>
      <c r="YZ572" s="126"/>
      <c r="ZA572" s="126"/>
      <c r="ZB572" s="126"/>
      <c r="ZC572" s="126"/>
      <c r="ZD572" s="126"/>
      <c r="ZE572" s="126"/>
      <c r="ZF572" s="126"/>
      <c r="ZG572" s="126"/>
      <c r="ZH572" s="126"/>
      <c r="ZI572" s="126"/>
      <c r="ZJ572" s="126"/>
      <c r="ZK572" s="126"/>
      <c r="ZL572" s="126"/>
      <c r="ZM572" s="126"/>
      <c r="ZN572" s="126"/>
      <c r="ZO572" s="126"/>
      <c r="ZP572" s="126"/>
      <c r="ZQ572" s="126"/>
      <c r="ZR572" s="126"/>
      <c r="ZS572" s="126"/>
      <c r="ZT572" s="126"/>
      <c r="ZU572" s="126"/>
      <c r="ZV572" s="126"/>
      <c r="ZW572" s="126"/>
      <c r="ZX572" s="126"/>
      <c r="ZY572" s="126"/>
      <c r="ZZ572" s="126"/>
      <c r="AAA572" s="126"/>
      <c r="AAB572" s="126"/>
      <c r="AAC572" s="126"/>
      <c r="AAD572" s="126"/>
      <c r="AAE572" s="126"/>
      <c r="AAF572" s="126"/>
      <c r="AAG572" s="126"/>
      <c r="AAH572" s="126"/>
      <c r="AAI572" s="126"/>
      <c r="AAJ572" s="126"/>
      <c r="AAK572" s="126"/>
      <c r="AAL572" s="126"/>
      <c r="AAM572" s="126"/>
      <c r="AAN572" s="126"/>
      <c r="AAO572" s="126"/>
      <c r="AAP572" s="126"/>
      <c r="AAQ572" s="126"/>
      <c r="AAR572" s="126"/>
      <c r="AAS572" s="126"/>
      <c r="AAT572" s="126"/>
      <c r="AAU572" s="126"/>
      <c r="AAV572" s="126"/>
      <c r="AAW572" s="126"/>
      <c r="AAX572" s="126"/>
      <c r="AAY572" s="126"/>
      <c r="AAZ572" s="126"/>
      <c r="ABA572" s="126"/>
      <c r="ABB572" s="126"/>
      <c r="ABC572" s="126"/>
      <c r="ABD572" s="126"/>
      <c r="ABE572" s="126"/>
      <c r="ABF572" s="126"/>
      <c r="ABG572" s="126"/>
      <c r="ABH572" s="126"/>
      <c r="ABI572" s="126"/>
      <c r="ABJ572" s="126"/>
      <c r="ABK572" s="126"/>
      <c r="ABL572" s="126"/>
      <c r="ABM572" s="126"/>
      <c r="ABN572" s="126"/>
      <c r="ABO572" s="126"/>
      <c r="ABP572" s="126"/>
      <c r="ABQ572" s="126"/>
      <c r="ABR572" s="126"/>
      <c r="ABS572" s="126"/>
      <c r="ABT572" s="126"/>
      <c r="ABU572" s="126"/>
      <c r="ABV572" s="126"/>
      <c r="ABW572" s="126"/>
      <c r="ABX572" s="126"/>
      <c r="ABY572" s="126"/>
      <c r="ABZ572" s="126"/>
      <c r="ACA572" s="126"/>
      <c r="ACB572" s="126"/>
      <c r="ACC572" s="126"/>
      <c r="ACD572" s="126"/>
      <c r="ACE572" s="126"/>
      <c r="ACF572" s="126"/>
      <c r="ACG572" s="126"/>
      <c r="ACH572" s="126"/>
      <c r="ACI572" s="126"/>
      <c r="ACJ572" s="126"/>
      <c r="ACK572" s="126"/>
      <c r="ACL572" s="126"/>
      <c r="ACM572" s="126"/>
      <c r="ACN572" s="126"/>
      <c r="ACO572" s="126"/>
      <c r="ACP572" s="126"/>
      <c r="ACQ572" s="126"/>
      <c r="ACR572" s="126"/>
      <c r="ACS572" s="126"/>
      <c r="ACT572" s="126"/>
      <c r="ACU572" s="126"/>
      <c r="ACV572" s="126"/>
      <c r="ACW572" s="126"/>
      <c r="ACX572" s="126"/>
      <c r="ACY572" s="126"/>
      <c r="ACZ572" s="126"/>
      <c r="ADA572" s="126"/>
      <c r="ADB572" s="126"/>
      <c r="ADC572" s="126"/>
      <c r="ADD572" s="126"/>
      <c r="ADE572" s="126"/>
      <c r="ADF572" s="126"/>
      <c r="ADG572" s="126"/>
      <c r="ADH572" s="126"/>
      <c r="ADI572" s="126"/>
      <c r="ADJ572" s="126"/>
      <c r="ADK572" s="126"/>
      <c r="ADL572" s="126"/>
      <c r="ADM572" s="126"/>
      <c r="ADN572" s="126"/>
      <c r="ADO572" s="126"/>
      <c r="ADP572" s="126"/>
      <c r="ADQ572" s="126"/>
      <c r="ADR572" s="126"/>
      <c r="ADS572" s="126"/>
      <c r="ADT572" s="126"/>
      <c r="ADU572" s="126"/>
      <c r="ADV572" s="126"/>
      <c r="ADW572" s="126"/>
      <c r="ADX572" s="126"/>
      <c r="ADY572" s="126"/>
      <c r="ADZ572" s="126"/>
      <c r="AEA572" s="126"/>
      <c r="AEB572" s="126"/>
      <c r="AEC572" s="126"/>
      <c r="AED572" s="126"/>
      <c r="AEE572" s="126"/>
      <c r="AEF572" s="126"/>
      <c r="AEG572" s="126"/>
      <c r="AEH572" s="126"/>
      <c r="AEI572" s="126"/>
      <c r="AEJ572" s="126"/>
      <c r="AEK572" s="126"/>
      <c r="AEL572" s="126"/>
      <c r="AEM572" s="126"/>
      <c r="AEN572" s="126"/>
      <c r="AEO572" s="126"/>
      <c r="AEP572" s="126"/>
      <c r="AEQ572" s="126"/>
      <c r="AER572" s="126"/>
      <c r="AES572" s="126"/>
      <c r="AET572" s="126"/>
      <c r="AEU572" s="126"/>
      <c r="AEV572" s="126"/>
      <c r="AEW572" s="126"/>
      <c r="AEX572" s="126"/>
      <c r="AEY572" s="126"/>
      <c r="AEZ572" s="126"/>
      <c r="AFA572" s="126"/>
      <c r="AFB572" s="126"/>
      <c r="AFC572" s="126"/>
      <c r="AFD572" s="126"/>
      <c r="AFE572" s="126"/>
      <c r="AFF572" s="126"/>
      <c r="AFG572" s="126"/>
      <c r="AFH572" s="126"/>
      <c r="AFI572" s="126"/>
      <c r="AFJ572" s="126"/>
      <c r="AFK572" s="126"/>
      <c r="AFL572" s="126"/>
      <c r="AFM572" s="126"/>
      <c r="AFN572" s="126"/>
      <c r="AFO572" s="126"/>
      <c r="AFP572" s="126"/>
      <c r="AFQ572" s="126"/>
      <c r="AFR572" s="126"/>
      <c r="AFS572" s="126"/>
      <c r="AFT572" s="126"/>
      <c r="AFU572" s="126"/>
      <c r="AFV572" s="126"/>
      <c r="AFW572" s="126"/>
      <c r="AFX572" s="126"/>
      <c r="AFY572" s="126"/>
      <c r="AFZ572" s="126"/>
      <c r="AGA572" s="126"/>
      <c r="AGB572" s="126"/>
      <c r="AGC572" s="126"/>
      <c r="AGD572" s="126"/>
      <c r="AGE572" s="126"/>
      <c r="AGF572" s="126"/>
      <c r="AGG572" s="126"/>
      <c r="AGH572" s="126"/>
      <c r="AGI572" s="126"/>
      <c r="AGJ572" s="126"/>
      <c r="AGK572" s="126"/>
      <c r="AGL572" s="126"/>
      <c r="AGM572" s="126"/>
      <c r="AGN572" s="126"/>
      <c r="AGO572" s="126"/>
      <c r="AGP572" s="126"/>
      <c r="AGQ572" s="126"/>
      <c r="AGR572" s="126"/>
      <c r="AGS572" s="126"/>
      <c r="AGT572" s="126"/>
      <c r="AGU572" s="126"/>
      <c r="AGV572" s="126"/>
      <c r="AGW572" s="126"/>
      <c r="AGX572" s="126"/>
      <c r="AGY572" s="126"/>
      <c r="AGZ572" s="126"/>
      <c r="AHA572" s="126"/>
      <c r="AHB572" s="126"/>
      <c r="AHC572" s="126"/>
      <c r="AHD572" s="126"/>
      <c r="AHE572" s="126"/>
      <c r="AHF572" s="126"/>
      <c r="AHG572" s="126"/>
      <c r="AHH572" s="126"/>
      <c r="AHI572" s="126"/>
      <c r="AHJ572" s="126"/>
      <c r="AHK572" s="126"/>
      <c r="AHL572" s="126"/>
      <c r="AHM572" s="126"/>
      <c r="AHN572" s="126"/>
      <c r="AHO572" s="126"/>
      <c r="AHP572" s="126"/>
      <c r="AHQ572" s="126"/>
      <c r="AHR572" s="126"/>
      <c r="AHS572" s="126"/>
      <c r="AHT572" s="126"/>
      <c r="AHU572" s="126"/>
      <c r="AHV572" s="126"/>
      <c r="AHW572" s="126"/>
      <c r="AHX572" s="126"/>
      <c r="AHY572" s="126"/>
      <c r="AHZ572" s="126"/>
      <c r="AIA572" s="126"/>
      <c r="AIB572" s="126"/>
      <c r="AIC572" s="126"/>
      <c r="AID572" s="126"/>
      <c r="AIE572" s="126"/>
      <c r="AIF572" s="126"/>
      <c r="AIG572" s="126"/>
      <c r="AIH572" s="126"/>
      <c r="AII572" s="126"/>
      <c r="AIJ572" s="126"/>
      <c r="AIK572" s="126"/>
      <c r="AIL572" s="126"/>
      <c r="AIM572" s="126"/>
      <c r="AIN572" s="126"/>
      <c r="AIO572" s="126"/>
      <c r="AIP572" s="126"/>
      <c r="AIQ572" s="126"/>
      <c r="AIR572" s="126"/>
      <c r="AIS572" s="126"/>
      <c r="AIT572" s="126"/>
      <c r="AIU572" s="126"/>
      <c r="AIV572" s="126"/>
      <c r="AIW572" s="126"/>
      <c r="AIX572" s="126"/>
      <c r="AIY572" s="126"/>
      <c r="AIZ572" s="126"/>
      <c r="AJA572" s="126"/>
      <c r="AJB572" s="126"/>
      <c r="AJC572" s="126"/>
      <c r="AJD572" s="126"/>
      <c r="AJE572" s="126"/>
      <c r="AJF572" s="126"/>
      <c r="AJG572" s="126"/>
      <c r="AJH572" s="126"/>
      <c r="AJI572" s="126"/>
      <c r="AJJ572" s="126"/>
      <c r="AJK572" s="126"/>
      <c r="AJL572" s="126"/>
      <c r="AJM572" s="126"/>
      <c r="AJN572" s="126"/>
      <c r="AJO572" s="126"/>
      <c r="AJP572" s="126"/>
      <c r="AJQ572" s="126"/>
      <c r="AJR572" s="126"/>
      <c r="AJS572" s="126"/>
      <c r="AJT572" s="126"/>
      <c r="AJU572" s="126"/>
      <c r="AJV572" s="126"/>
      <c r="AJW572" s="126"/>
      <c r="AJX572" s="126"/>
      <c r="AJY572" s="126"/>
      <c r="AJZ572" s="126"/>
      <c r="AKA572" s="126"/>
      <c r="AKB572" s="126"/>
      <c r="AKC572" s="126"/>
      <c r="AKD572" s="126"/>
      <c r="AKE572" s="126"/>
      <c r="AKF572" s="126"/>
      <c r="AKG572" s="126"/>
      <c r="AKH572" s="126"/>
      <c r="AKI572" s="126"/>
      <c r="AKJ572" s="126"/>
      <c r="AKK572" s="126"/>
      <c r="AKL572" s="126"/>
      <c r="AKM572" s="126"/>
      <c r="AKN572" s="126"/>
      <c r="AKO572" s="126"/>
      <c r="AKP572" s="126"/>
      <c r="AKQ572" s="126"/>
      <c r="AKR572" s="126"/>
      <c r="AKS572" s="126"/>
      <c r="AKT572" s="126"/>
      <c r="AKU572" s="126"/>
      <c r="AKV572" s="126"/>
      <c r="AKW572" s="126"/>
      <c r="AKX572" s="126"/>
      <c r="AKY572" s="126"/>
      <c r="AKZ572" s="126"/>
      <c r="ALA572" s="126"/>
      <c r="ALB572" s="126"/>
      <c r="ALC572" s="126"/>
      <c r="ALD572" s="126"/>
      <c r="ALE572" s="126"/>
      <c r="ALF572" s="126"/>
      <c r="ALG572" s="126"/>
      <c r="ALH572" s="126"/>
      <c r="ALI572" s="126"/>
      <c r="ALJ572" s="126"/>
      <c r="ALK572" s="126"/>
      <c r="ALL572" s="126"/>
      <c r="ALM572" s="126"/>
      <c r="ALN572" s="126"/>
      <c r="ALO572" s="126"/>
      <c r="ALP572" s="126"/>
      <c r="ALQ572" s="126"/>
      <c r="ALR572" s="126"/>
      <c r="ALS572" s="126"/>
      <c r="ALT572" s="126"/>
      <c r="ALU572" s="126"/>
      <c r="ALV572" s="126"/>
      <c r="ALW572" s="126"/>
      <c r="ALX572" s="126"/>
      <c r="ALY572" s="126"/>
      <c r="ALZ572" s="126"/>
      <c r="AMA572" s="126"/>
      <c r="AMB572" s="126"/>
      <c r="AMC572" s="126"/>
      <c r="AMD572" s="126"/>
      <c r="AME572" s="126"/>
      <c r="AMF572" s="126"/>
      <c r="AMG572" s="126"/>
      <c r="AMH572" s="126"/>
      <c r="AMI572" s="126"/>
      <c r="AMJ572" s="126"/>
      <c r="AMK572" s="126"/>
      <c r="AML572" s="126"/>
      <c r="AMM572" s="126"/>
      <c r="AMN572" s="126"/>
      <c r="AMO572" s="126"/>
      <c r="AMP572" s="126"/>
      <c r="AMQ572" s="126"/>
      <c r="AMR572" s="126"/>
      <c r="AMS572" s="126"/>
      <c r="AMT572" s="126"/>
      <c r="AMU572" s="126"/>
      <c r="AMV572" s="126"/>
      <c r="AMW572" s="126"/>
      <c r="AMX572" s="126"/>
      <c r="AMY572" s="126"/>
      <c r="AMZ572" s="126"/>
      <c r="ANA572" s="126"/>
      <c r="ANB572" s="126"/>
      <c r="ANC572" s="126"/>
      <c r="AND572" s="126"/>
      <c r="ANE572" s="126"/>
      <c r="ANF572" s="126"/>
      <c r="ANG572" s="126"/>
      <c r="ANH572" s="126"/>
      <c r="ANI572" s="126"/>
      <c r="ANJ572" s="126"/>
      <c r="ANK572" s="126"/>
      <c r="ANL572" s="126"/>
      <c r="ANM572" s="126"/>
      <c r="ANN572" s="126"/>
      <c r="ANO572" s="126"/>
      <c r="ANP572" s="126"/>
      <c r="ANQ572" s="126"/>
      <c r="ANR572" s="126"/>
      <c r="ANS572" s="126"/>
      <c r="ANT572" s="126"/>
      <c r="ANU572" s="126"/>
      <c r="ANV572" s="126"/>
      <c r="ANW572" s="126"/>
      <c r="ANX572" s="126"/>
      <c r="ANY572" s="126"/>
      <c r="ANZ572" s="126"/>
      <c r="AOA572" s="126"/>
      <c r="AOB572" s="126"/>
      <c r="AOC572" s="126"/>
      <c r="AOD572" s="126"/>
      <c r="AOE572" s="126"/>
      <c r="AOF572" s="126"/>
      <c r="AOG572" s="126"/>
      <c r="AOH572" s="126"/>
      <c r="AOI572" s="126"/>
      <c r="AOJ572" s="126"/>
      <c r="AOK572" s="126"/>
      <c r="AOL572" s="126"/>
      <c r="AOM572" s="126"/>
      <c r="AON572" s="126"/>
      <c r="AOO572" s="126"/>
      <c r="AOP572" s="126"/>
      <c r="AOQ572" s="126"/>
      <c r="AOR572" s="126"/>
      <c r="AOS572" s="126"/>
      <c r="AOT572" s="126"/>
      <c r="AOU572" s="126"/>
      <c r="AOV572" s="126"/>
      <c r="AOW572" s="126"/>
      <c r="AOX572" s="126"/>
      <c r="AOY572" s="126"/>
      <c r="AOZ572" s="126"/>
      <c r="APA572" s="126"/>
      <c r="APB572" s="126"/>
      <c r="APC572" s="126"/>
      <c r="APD572" s="126"/>
      <c r="APE572" s="126"/>
      <c r="APF572" s="126"/>
      <c r="APG572" s="126"/>
      <c r="APH572" s="126"/>
      <c r="API572" s="126"/>
      <c r="APJ572" s="126"/>
      <c r="APK572" s="126"/>
      <c r="APL572" s="126"/>
      <c r="APM572" s="126"/>
      <c r="APN572" s="126"/>
      <c r="APO572" s="126"/>
      <c r="APP572" s="126"/>
      <c r="APQ572" s="126"/>
      <c r="APR572" s="126"/>
      <c r="APS572" s="126"/>
      <c r="APT572" s="126"/>
      <c r="APU572" s="126"/>
      <c r="APV572" s="126"/>
      <c r="APW572" s="126"/>
      <c r="APX572" s="126"/>
      <c r="APY572" s="126"/>
      <c r="APZ572" s="126"/>
      <c r="AQA572" s="126"/>
      <c r="AQB572" s="126"/>
      <c r="AQC572" s="126"/>
      <c r="AQD572" s="126"/>
      <c r="AQE572" s="126"/>
      <c r="AQF572" s="126"/>
      <c r="AQG572" s="126"/>
      <c r="AQH572" s="126"/>
      <c r="AQI572" s="126"/>
      <c r="AQJ572" s="126"/>
      <c r="AQK572" s="126"/>
      <c r="AQL572" s="126"/>
      <c r="AQM572" s="126"/>
      <c r="AQN572" s="126"/>
      <c r="AQO572" s="126"/>
      <c r="AQP572" s="126"/>
      <c r="AQQ572" s="126"/>
      <c r="AQR572" s="126"/>
      <c r="AQS572" s="126"/>
      <c r="AQT572" s="126"/>
      <c r="AQU572" s="126"/>
      <c r="AQV572" s="126"/>
      <c r="AQW572" s="126"/>
      <c r="AQX572" s="126"/>
      <c r="AQY572" s="126"/>
      <c r="AQZ572" s="126"/>
      <c r="ARA572" s="126"/>
      <c r="ARB572" s="126"/>
      <c r="ARC572" s="126"/>
      <c r="ARD572" s="126"/>
      <c r="ARE572" s="126"/>
      <c r="ARF572" s="126"/>
      <c r="ARG572" s="126"/>
      <c r="ARH572" s="126"/>
      <c r="ARI572" s="126"/>
      <c r="ARJ572" s="126"/>
      <c r="ARK572" s="126"/>
      <c r="ARL572" s="126"/>
      <c r="ARM572" s="126"/>
      <c r="ARN572" s="126"/>
      <c r="ARO572" s="126"/>
      <c r="ARP572" s="126"/>
      <c r="ARQ572" s="126"/>
      <c r="ARR572" s="126"/>
      <c r="ARS572" s="126"/>
      <c r="ART572" s="126"/>
      <c r="ARU572" s="126"/>
      <c r="ARV572" s="126"/>
      <c r="ARW572" s="126"/>
      <c r="ARX572" s="126"/>
      <c r="ARY572" s="126"/>
      <c r="ARZ572" s="126"/>
      <c r="ASA572" s="126"/>
      <c r="ASB572" s="126"/>
      <c r="ASC572" s="126"/>
      <c r="ASD572" s="126"/>
      <c r="ASE572" s="126"/>
      <c r="ASF572" s="126"/>
      <c r="ASG572" s="126"/>
      <c r="ASH572" s="126"/>
      <c r="ASI572" s="126"/>
      <c r="ASJ572" s="126"/>
      <c r="ASK572" s="126"/>
      <c r="ASL572" s="126"/>
      <c r="ASM572" s="126"/>
      <c r="ASN572" s="126"/>
      <c r="ASO572" s="126"/>
      <c r="ASP572" s="126"/>
      <c r="ASQ572" s="126"/>
      <c r="ASR572" s="126"/>
      <c r="ASS572" s="126"/>
      <c r="AST572" s="126"/>
      <c r="ASU572" s="126"/>
      <c r="ASV572" s="126"/>
      <c r="ASW572" s="126"/>
      <c r="ASX572" s="126"/>
      <c r="ASY572" s="126"/>
      <c r="ASZ572" s="126"/>
      <c r="ATA572" s="126"/>
      <c r="ATB572" s="126"/>
      <c r="ATC572" s="126"/>
      <c r="ATD572" s="126"/>
      <c r="ATE572" s="126"/>
      <c r="ATF572" s="126"/>
      <c r="ATG572" s="126"/>
      <c r="ATH572" s="126"/>
      <c r="ATI572" s="126"/>
      <c r="ATJ572" s="126"/>
      <c r="ATK572" s="126"/>
      <c r="ATL572" s="126"/>
      <c r="ATM572" s="126"/>
      <c r="ATN572" s="126"/>
      <c r="ATO572" s="126"/>
      <c r="ATP572" s="126"/>
      <c r="ATQ572" s="126"/>
      <c r="ATR572" s="126"/>
      <c r="ATS572" s="126"/>
      <c r="ATT572" s="126"/>
      <c r="ATU572" s="126"/>
      <c r="ATV572" s="126"/>
      <c r="ATW572" s="126"/>
      <c r="ATX572" s="126"/>
      <c r="ATY572" s="126"/>
      <c r="ATZ572" s="126"/>
      <c r="AUA572" s="126"/>
      <c r="AUB572" s="126"/>
      <c r="AUC572" s="126"/>
      <c r="AUD572" s="126"/>
      <c r="AUE572" s="126"/>
      <c r="AUF572" s="126"/>
      <c r="AUG572" s="126"/>
      <c r="AUH572" s="126"/>
      <c r="AUI572" s="126"/>
      <c r="AUJ572" s="126"/>
      <c r="AUK572" s="126"/>
      <c r="AUL572" s="126"/>
      <c r="AUM572" s="126"/>
      <c r="AUN572" s="126"/>
      <c r="AUO572" s="126"/>
      <c r="AUP572" s="126"/>
      <c r="AUQ572" s="126"/>
      <c r="AUR572" s="126"/>
      <c r="AUS572" s="126"/>
      <c r="AUT572" s="126"/>
      <c r="AUU572" s="126"/>
      <c r="AUV572" s="126"/>
      <c r="AUW572" s="126"/>
      <c r="AUX572" s="126"/>
      <c r="AUY572" s="126"/>
      <c r="AUZ572" s="126"/>
      <c r="AVA572" s="126"/>
      <c r="AVB572" s="126"/>
      <c r="AVC572" s="126"/>
      <c r="AVD572" s="126"/>
      <c r="AVE572" s="126"/>
      <c r="AVF572" s="126"/>
      <c r="AVG572" s="126"/>
      <c r="AVH572" s="126"/>
      <c r="AVI572" s="126"/>
      <c r="AVJ572" s="126"/>
      <c r="AVK572" s="126"/>
      <c r="AVL572" s="126"/>
      <c r="AVM572" s="126"/>
      <c r="AVN572" s="126"/>
      <c r="AVO572" s="126"/>
      <c r="AVP572" s="126"/>
      <c r="AVQ572" s="126"/>
      <c r="AVR572" s="126"/>
      <c r="AVS572" s="126"/>
      <c r="AVT572" s="126"/>
      <c r="AVU572" s="126"/>
      <c r="AVV572" s="126"/>
      <c r="AVW572" s="126"/>
      <c r="AVX572" s="126"/>
      <c r="AVY572" s="126"/>
      <c r="AVZ572" s="126"/>
      <c r="AWA572" s="126"/>
      <c r="AWB572" s="126"/>
      <c r="AWC572" s="126"/>
      <c r="AWD572" s="126"/>
      <c r="AWE572" s="126"/>
      <c r="AWF572" s="126"/>
      <c r="AWG572" s="126"/>
      <c r="AWH572" s="126"/>
      <c r="AWI572" s="126"/>
      <c r="AWJ572" s="126"/>
      <c r="AWK572" s="126"/>
      <c r="AWL572" s="126"/>
      <c r="AWM572" s="126"/>
      <c r="AWN572" s="126"/>
      <c r="AWO572" s="126"/>
      <c r="AWP572" s="126"/>
      <c r="AWQ572" s="126"/>
      <c r="AWR572" s="126"/>
      <c r="AWS572" s="126"/>
      <c r="AWT572" s="126"/>
      <c r="AWU572" s="126"/>
      <c r="AWV572" s="126"/>
      <c r="AWW572" s="126"/>
      <c r="AWX572" s="126"/>
      <c r="AWY572" s="126"/>
      <c r="AWZ572" s="126"/>
      <c r="AXA572" s="126"/>
      <c r="AXB572" s="126"/>
      <c r="AXC572" s="126"/>
      <c r="AXD572" s="126"/>
      <c r="AXE572" s="126"/>
      <c r="AXF572" s="126"/>
      <c r="AXG572" s="126"/>
      <c r="AXH572" s="126"/>
      <c r="AXI572" s="126"/>
      <c r="AXJ572" s="126"/>
      <c r="AXK572" s="126"/>
      <c r="AXL572" s="126"/>
      <c r="AXM572" s="126"/>
      <c r="AXN572" s="126"/>
      <c r="AXO572" s="126"/>
      <c r="AXP572" s="126"/>
      <c r="AXQ572" s="126"/>
      <c r="AXR572" s="126"/>
      <c r="AXS572" s="126"/>
      <c r="AXT572" s="126"/>
      <c r="AXU572" s="126"/>
      <c r="AXV572" s="126"/>
      <c r="AXW572" s="126"/>
      <c r="AXX572" s="126"/>
      <c r="AXY572" s="126"/>
      <c r="AXZ572" s="126"/>
      <c r="AYA572" s="126"/>
      <c r="AYB572" s="126"/>
      <c r="AYC572" s="126"/>
      <c r="AYD572" s="126"/>
      <c r="AYE572" s="126"/>
      <c r="AYF572" s="126"/>
      <c r="AYG572" s="126"/>
      <c r="AYH572" s="126"/>
      <c r="AYI572" s="126"/>
      <c r="AYJ572" s="126"/>
      <c r="AYK572" s="126"/>
      <c r="AYL572" s="126"/>
      <c r="AYM572" s="126"/>
      <c r="AYN572" s="126"/>
      <c r="AYO572" s="126"/>
      <c r="AYP572" s="126"/>
      <c r="AYQ572" s="126"/>
      <c r="AYR572" s="126"/>
      <c r="AYS572" s="126"/>
      <c r="AYT572" s="126"/>
      <c r="AYU572" s="126"/>
      <c r="AYV572" s="126"/>
      <c r="AYW572" s="126"/>
      <c r="AYX572" s="126"/>
      <c r="AYY572" s="126"/>
      <c r="AYZ572" s="126"/>
      <c r="AZA572" s="126"/>
      <c r="AZB572" s="126"/>
      <c r="AZC572" s="126"/>
      <c r="AZD572" s="126"/>
      <c r="AZE572" s="126"/>
      <c r="AZF572" s="126"/>
      <c r="AZG572" s="126"/>
      <c r="AZH572" s="126"/>
      <c r="AZI572" s="126"/>
      <c r="AZJ572" s="126"/>
      <c r="AZK572" s="126"/>
      <c r="AZL572" s="126"/>
      <c r="AZM572" s="126"/>
      <c r="AZN572" s="126"/>
      <c r="AZO572" s="126"/>
      <c r="AZP572" s="126"/>
      <c r="AZQ572" s="126"/>
      <c r="AZR572" s="126"/>
      <c r="AZS572" s="126"/>
      <c r="AZT572" s="126"/>
      <c r="AZU572" s="126"/>
      <c r="AZV572" s="126"/>
      <c r="AZW572" s="126"/>
      <c r="AZX572" s="126"/>
      <c r="AZY572" s="126"/>
      <c r="AZZ572" s="126"/>
      <c r="BAA572" s="126"/>
      <c r="BAB572" s="126"/>
      <c r="BAC572" s="126"/>
      <c r="BAD572" s="126"/>
      <c r="BAE572" s="126"/>
      <c r="BAF572" s="126"/>
      <c r="BAG572" s="126"/>
      <c r="BAH572" s="126"/>
      <c r="BAI572" s="126"/>
      <c r="BAJ572" s="126"/>
      <c r="BAK572" s="126"/>
      <c r="BAL572" s="126"/>
      <c r="BAM572" s="126"/>
      <c r="BAN572" s="126"/>
      <c r="BAO572" s="126"/>
      <c r="BAP572" s="126"/>
      <c r="BAQ572" s="126"/>
      <c r="BAR572" s="126"/>
      <c r="BAS572" s="126"/>
      <c r="BAT572" s="126"/>
      <c r="BAU572" s="126"/>
      <c r="BAV572" s="126"/>
      <c r="BAW572" s="126"/>
      <c r="BAX572" s="126"/>
      <c r="BAY572" s="126"/>
      <c r="BAZ572" s="126"/>
      <c r="BBA572" s="126"/>
      <c r="BBB572" s="126"/>
      <c r="BBC572" s="126"/>
      <c r="BBD572" s="126"/>
      <c r="BBE572" s="126"/>
      <c r="BBF572" s="126"/>
      <c r="BBG572" s="126"/>
      <c r="BBH572" s="126"/>
      <c r="BBI572" s="126"/>
      <c r="BBJ572" s="126"/>
      <c r="BBK572" s="126"/>
      <c r="BBL572" s="126"/>
      <c r="BBM572" s="126"/>
      <c r="BBN572" s="126"/>
      <c r="BBO572" s="126"/>
      <c r="BBP572" s="126"/>
      <c r="BBQ572" s="126"/>
      <c r="BBR572" s="126"/>
      <c r="BBS572" s="126"/>
      <c r="BBT572" s="126"/>
      <c r="BBU572" s="126"/>
      <c r="BBV572" s="126"/>
      <c r="BBW572" s="126"/>
      <c r="BBX572" s="126"/>
      <c r="BBY572" s="126"/>
      <c r="BBZ572" s="126"/>
      <c r="BCA572" s="126"/>
      <c r="BCB572" s="126"/>
      <c r="BCC572" s="126"/>
      <c r="BCD572" s="126"/>
      <c r="BCE572" s="126"/>
      <c r="BCF572" s="126"/>
      <c r="BCG572" s="126"/>
      <c r="BCH572" s="126"/>
      <c r="BCI572" s="126"/>
      <c r="BCJ572" s="126"/>
      <c r="BCK572" s="126"/>
      <c r="BCL572" s="126"/>
      <c r="BCM572" s="126"/>
      <c r="BCN572" s="126"/>
      <c r="BCO572" s="126"/>
      <c r="BCP572" s="126"/>
      <c r="BCQ572" s="126"/>
      <c r="BCR572" s="126"/>
      <c r="BCS572" s="126"/>
      <c r="BCT572" s="126"/>
      <c r="BCU572" s="126"/>
      <c r="BCV572" s="126"/>
      <c r="BCW572" s="126"/>
      <c r="BCX572" s="126"/>
      <c r="BCY572" s="126"/>
      <c r="BCZ572" s="126"/>
      <c r="BDA572" s="126"/>
      <c r="BDB572" s="126"/>
      <c r="BDC572" s="126"/>
      <c r="BDD572" s="126"/>
      <c r="BDE572" s="126"/>
      <c r="BDF572" s="126"/>
      <c r="BDG572" s="126"/>
      <c r="BDH572" s="126"/>
      <c r="BDI572" s="126"/>
      <c r="BDJ572" s="126"/>
      <c r="BDK572" s="126"/>
      <c r="BDL572" s="126"/>
      <c r="BDM572" s="126"/>
      <c r="BDN572" s="126"/>
      <c r="BDO572" s="126"/>
      <c r="BDP572" s="126"/>
      <c r="BDQ572" s="126"/>
      <c r="BDR572" s="126"/>
      <c r="BDS572" s="126"/>
      <c r="BDT572" s="126"/>
      <c r="BDU572" s="126"/>
      <c r="BDV572" s="126"/>
      <c r="BDW572" s="126"/>
      <c r="BDX572" s="126"/>
      <c r="BDY572" s="126"/>
      <c r="BDZ572" s="126"/>
      <c r="BEA572" s="126"/>
      <c r="BEB572" s="126"/>
      <c r="BEC572" s="126"/>
      <c r="BED572" s="126"/>
      <c r="BEE572" s="126"/>
      <c r="BEF572" s="126"/>
      <c r="BEG572" s="126"/>
      <c r="BEH572" s="126"/>
      <c r="BEI572" s="126"/>
      <c r="BEJ572" s="126"/>
      <c r="BEK572" s="126"/>
      <c r="BEL572" s="126"/>
      <c r="BEM572" s="126"/>
      <c r="BEN572" s="126"/>
      <c r="BEO572" s="126"/>
      <c r="BEP572" s="126"/>
      <c r="BEQ572" s="126"/>
      <c r="BER572" s="126"/>
      <c r="BES572" s="126"/>
      <c r="BET572" s="126"/>
      <c r="BEU572" s="126"/>
      <c r="BEV572" s="126"/>
      <c r="BEW572" s="126"/>
      <c r="BEX572" s="126"/>
      <c r="BEY572" s="126"/>
      <c r="BEZ572" s="126"/>
      <c r="BFA572" s="126"/>
      <c r="BFB572" s="126"/>
      <c r="BFC572" s="126"/>
      <c r="BFD572" s="126"/>
      <c r="BFE572" s="126"/>
      <c r="BFF572" s="126"/>
      <c r="BFG572" s="126"/>
      <c r="BFH572" s="126"/>
      <c r="BFI572" s="126"/>
      <c r="BFJ572" s="126"/>
      <c r="BFK572" s="126"/>
      <c r="BFL572" s="126"/>
      <c r="BFM572" s="126"/>
      <c r="BFN572" s="126"/>
      <c r="BFO572" s="126"/>
      <c r="BFP572" s="126"/>
      <c r="BFQ572" s="126"/>
      <c r="BFR572" s="126"/>
      <c r="BFS572" s="126"/>
      <c r="BFT572" s="126"/>
      <c r="BFU572" s="126"/>
      <c r="BFV572" s="126"/>
      <c r="BFW572" s="126"/>
      <c r="BFX572" s="126"/>
      <c r="BFY572" s="126"/>
      <c r="BFZ572" s="126"/>
      <c r="BGA572" s="126"/>
      <c r="BGB572" s="126"/>
      <c r="BGC572" s="126"/>
      <c r="BGD572" s="126"/>
      <c r="BGE572" s="126"/>
      <c r="BGF572" s="126"/>
      <c r="BGG572" s="126"/>
      <c r="BGH572" s="126"/>
      <c r="BGI572" s="126"/>
      <c r="BGJ572" s="126"/>
      <c r="BGK572" s="126"/>
      <c r="BGL572" s="126"/>
      <c r="BGM572" s="126"/>
      <c r="BGN572" s="126"/>
      <c r="BGO572" s="126"/>
      <c r="BGP572" s="126"/>
      <c r="BGQ572" s="126"/>
      <c r="BGR572" s="126"/>
      <c r="BGS572" s="126"/>
      <c r="BGT572" s="126"/>
      <c r="BGU572" s="126"/>
      <c r="BGV572" s="126"/>
      <c r="BGW572" s="126"/>
      <c r="BGX572" s="126"/>
      <c r="BGY572" s="126"/>
      <c r="BGZ572" s="126"/>
      <c r="BHA572" s="126"/>
      <c r="BHB572" s="126"/>
      <c r="BHC572" s="126"/>
      <c r="BHD572" s="126"/>
      <c r="BHE572" s="126"/>
      <c r="BHF572" s="126"/>
      <c r="BHG572" s="126"/>
      <c r="BHH572" s="126"/>
      <c r="BHI572" s="126"/>
      <c r="BHJ572" s="126"/>
      <c r="BHK572" s="126"/>
      <c r="BHL572" s="126"/>
      <c r="BHM572" s="126"/>
      <c r="BHN572" s="126"/>
      <c r="BHO572" s="126"/>
      <c r="BHP572" s="126"/>
      <c r="BHQ572" s="126"/>
      <c r="BHR572" s="126"/>
      <c r="BHS572" s="126"/>
      <c r="BHT572" s="126"/>
      <c r="BHU572" s="126"/>
      <c r="BHV572" s="126"/>
      <c r="BHW572" s="126"/>
      <c r="BHX572" s="126"/>
      <c r="BHY572" s="126"/>
      <c r="BHZ572" s="126"/>
      <c r="BIA572" s="126"/>
      <c r="BIB572" s="126"/>
      <c r="BIC572" s="126"/>
      <c r="BID572" s="126"/>
      <c r="BIE572" s="126"/>
      <c r="BIF572" s="126"/>
      <c r="BIG572" s="126"/>
      <c r="BIH572" s="126"/>
      <c r="BII572" s="126"/>
      <c r="BIJ572" s="126"/>
      <c r="BIK572" s="126"/>
      <c r="BIL572" s="126"/>
      <c r="BIM572" s="126"/>
      <c r="BIN572" s="126"/>
      <c r="BIO572" s="126"/>
      <c r="BIP572" s="126"/>
      <c r="BIQ572" s="126"/>
      <c r="BIR572" s="126"/>
      <c r="BIS572" s="126"/>
      <c r="BIT572" s="126"/>
      <c r="BIU572" s="126"/>
      <c r="BIV572" s="126"/>
      <c r="BIW572" s="126"/>
      <c r="BIX572" s="126"/>
      <c r="BIY572" s="126"/>
      <c r="BIZ572" s="126"/>
      <c r="BJA572" s="126"/>
      <c r="BJB572" s="126"/>
      <c r="BJC572" s="126"/>
      <c r="BJD572" s="126"/>
      <c r="BJE572" s="126"/>
      <c r="BJF572" s="126"/>
      <c r="BJG572" s="126"/>
      <c r="BJH572" s="126"/>
      <c r="BJI572" s="126"/>
      <c r="BJJ572" s="126"/>
      <c r="BJK572" s="126"/>
      <c r="BJL572" s="126"/>
      <c r="BJM572" s="126"/>
      <c r="BJN572" s="126"/>
      <c r="BJO572" s="126"/>
      <c r="BJP572" s="126"/>
      <c r="BJQ572" s="126"/>
      <c r="BJR572" s="126"/>
      <c r="BJS572" s="126"/>
      <c r="BJT572" s="126"/>
      <c r="BJU572" s="126"/>
      <c r="BJV572" s="126"/>
      <c r="BJW572" s="126"/>
      <c r="BJX572" s="126"/>
      <c r="BJY572" s="126"/>
      <c r="BJZ572" s="126"/>
      <c r="BKA572" s="126"/>
      <c r="BKB572" s="126"/>
      <c r="BKC572" s="126"/>
      <c r="BKD572" s="126"/>
      <c r="BKE572" s="126"/>
      <c r="BKF572" s="126"/>
      <c r="BKG572" s="126"/>
      <c r="BKH572" s="126"/>
      <c r="BKI572" s="126"/>
      <c r="BKJ572" s="126"/>
      <c r="BKK572" s="126"/>
      <c r="BKL572" s="126"/>
      <c r="BKM572" s="126"/>
      <c r="BKN572" s="126"/>
      <c r="BKO572" s="126"/>
      <c r="BKP572" s="126"/>
      <c r="BKQ572" s="126"/>
      <c r="BKR572" s="126"/>
      <c r="BKS572" s="126"/>
      <c r="BKT572" s="126"/>
      <c r="BKU572" s="126"/>
      <c r="BKV572" s="126"/>
      <c r="BKW572" s="126"/>
      <c r="BKX572" s="126"/>
      <c r="BKY572" s="126"/>
      <c r="BKZ572" s="126"/>
      <c r="BLA572" s="126"/>
      <c r="BLB572" s="126"/>
      <c r="BLC572" s="126"/>
      <c r="BLD572" s="126"/>
      <c r="BLE572" s="126"/>
      <c r="BLF572" s="126"/>
      <c r="BLG572" s="126"/>
      <c r="BLH572" s="126"/>
      <c r="BLI572" s="126"/>
      <c r="BLJ572" s="126"/>
      <c r="BLK572" s="126"/>
      <c r="BLL572" s="126"/>
      <c r="BLM572" s="126"/>
      <c r="BLN572" s="126"/>
      <c r="BLO572" s="126"/>
      <c r="BLP572" s="126"/>
      <c r="BLQ572" s="126"/>
      <c r="BLR572" s="126"/>
      <c r="BLS572" s="126"/>
      <c r="BLT572" s="126"/>
      <c r="BLU572" s="126"/>
      <c r="BLV572" s="126"/>
      <c r="BLW572" s="126"/>
      <c r="BLX572" s="126"/>
      <c r="BLY572" s="126"/>
      <c r="BLZ572" s="126"/>
      <c r="BMA572" s="126"/>
      <c r="BMB572" s="126"/>
      <c r="BMC572" s="126"/>
      <c r="BMD572" s="126"/>
      <c r="BME572" s="126"/>
      <c r="BMF572" s="126"/>
      <c r="BMG572" s="126"/>
      <c r="BMH572" s="126"/>
      <c r="BMI572" s="126"/>
      <c r="BMJ572" s="126"/>
      <c r="BMK572" s="126"/>
      <c r="BML572" s="126"/>
      <c r="BMM572" s="126"/>
      <c r="BMN572" s="126"/>
      <c r="BMO572" s="126"/>
      <c r="BMP572" s="126"/>
      <c r="BMQ572" s="126"/>
      <c r="BMR572" s="126"/>
      <c r="BMS572" s="126"/>
      <c r="BMT572" s="126"/>
      <c r="BMU572" s="126"/>
      <c r="BMV572" s="126"/>
      <c r="BMW572" s="126"/>
      <c r="BMX572" s="126"/>
      <c r="BMY572" s="126"/>
      <c r="BMZ572" s="126"/>
      <c r="BNA572" s="126"/>
      <c r="BNB572" s="126"/>
      <c r="BNC572" s="126"/>
      <c r="BND572" s="126"/>
      <c r="BNE572" s="126"/>
      <c r="BNF572" s="126"/>
      <c r="BNG572" s="126"/>
      <c r="BNH572" s="126"/>
      <c r="BNI572" s="126"/>
      <c r="BNJ572" s="126"/>
      <c r="BNK572" s="126"/>
      <c r="BNL572" s="126"/>
      <c r="BNM572" s="126"/>
      <c r="BNN572" s="126"/>
      <c r="BNO572" s="126"/>
      <c r="BNP572" s="126"/>
      <c r="BNQ572" s="126"/>
      <c r="BNR572" s="126"/>
      <c r="BNS572" s="126"/>
      <c r="BNT572" s="126"/>
      <c r="BNU572" s="126"/>
      <c r="BNV572" s="126"/>
      <c r="BNW572" s="126"/>
      <c r="BNX572" s="126"/>
      <c r="BNY572" s="126"/>
      <c r="BNZ572" s="126"/>
      <c r="BOA572" s="126"/>
      <c r="BOB572" s="126"/>
      <c r="BOC572" s="126"/>
      <c r="BOD572" s="126"/>
      <c r="BOE572" s="126"/>
      <c r="BOF572" s="126"/>
      <c r="BOG572" s="126"/>
      <c r="BOH572" s="126"/>
      <c r="BOI572" s="126"/>
      <c r="BOJ572" s="126"/>
      <c r="BOK572" s="126"/>
      <c r="BOL572" s="126"/>
      <c r="BOM572" s="126"/>
      <c r="BON572" s="126"/>
      <c r="BOO572" s="126"/>
      <c r="BOP572" s="126"/>
      <c r="BOQ572" s="126"/>
      <c r="BOR572" s="126"/>
      <c r="BOS572" s="126"/>
      <c r="BOT572" s="126"/>
      <c r="BOU572" s="126"/>
      <c r="BOV572" s="126"/>
      <c r="BOW572" s="126"/>
      <c r="BOX572" s="126"/>
      <c r="BOY572" s="126"/>
      <c r="BOZ572" s="126"/>
      <c r="BPA572" s="126"/>
      <c r="BPB572" s="126"/>
      <c r="BPC572" s="126"/>
      <c r="BPD572" s="126"/>
      <c r="BPE572" s="126"/>
      <c r="BPF572" s="126"/>
      <c r="BPG572" s="126"/>
      <c r="BPH572" s="126"/>
      <c r="BPI572" s="126"/>
      <c r="BPJ572" s="126"/>
      <c r="BPK572" s="126"/>
      <c r="BPL572" s="126"/>
      <c r="BPM572" s="126"/>
      <c r="BPN572" s="126"/>
      <c r="BPO572" s="126"/>
      <c r="BPP572" s="126"/>
      <c r="BPQ572" s="126"/>
      <c r="BPR572" s="126"/>
      <c r="BPS572" s="126"/>
      <c r="BPT572" s="126"/>
      <c r="BPU572" s="126"/>
      <c r="BPV572" s="126"/>
      <c r="BPW572" s="126"/>
      <c r="BPX572" s="126"/>
      <c r="BPY572" s="126"/>
      <c r="BPZ572" s="126"/>
      <c r="BQA572" s="126"/>
      <c r="BQB572" s="126"/>
      <c r="BQC572" s="126"/>
      <c r="BQD572" s="126"/>
      <c r="BQE572" s="126"/>
      <c r="BQF572" s="126"/>
      <c r="BQG572" s="126"/>
      <c r="BQH572" s="126"/>
      <c r="BQI572" s="126"/>
      <c r="BQJ572" s="126"/>
      <c r="BQK572" s="126"/>
      <c r="BQL572" s="126"/>
      <c r="BQM572" s="126"/>
      <c r="BQN572" s="126"/>
      <c r="BQO572" s="126"/>
      <c r="BQP572" s="126"/>
      <c r="BQQ572" s="126"/>
      <c r="BQR572" s="126"/>
      <c r="BQS572" s="126"/>
      <c r="BQT572" s="126"/>
      <c r="BQU572" s="126"/>
      <c r="BQV572" s="126"/>
      <c r="BQW572" s="126"/>
      <c r="BQX572" s="126"/>
      <c r="BQY572" s="126"/>
      <c r="BQZ572" s="126"/>
      <c r="BRA572" s="126"/>
      <c r="BRB572" s="126"/>
      <c r="BRC572" s="126"/>
      <c r="BRD572" s="126"/>
      <c r="BRE572" s="126"/>
      <c r="BRF572" s="126"/>
      <c r="BRG572" s="126"/>
      <c r="BRH572" s="126"/>
      <c r="BRI572" s="126"/>
      <c r="BRJ572" s="126"/>
      <c r="BRK572" s="126"/>
      <c r="BRL572" s="126"/>
      <c r="BRM572" s="126"/>
      <c r="BRN572" s="126"/>
      <c r="BRO572" s="126"/>
      <c r="BRP572" s="126"/>
      <c r="BRQ572" s="126"/>
      <c r="BRR572" s="126"/>
      <c r="BRS572" s="126"/>
      <c r="BRT572" s="126"/>
      <c r="BRU572" s="126"/>
      <c r="BRV572" s="126"/>
      <c r="BRW572" s="126"/>
      <c r="BRX572" s="126"/>
      <c r="BRY572" s="126"/>
      <c r="BRZ572" s="126"/>
      <c r="BSA572" s="126"/>
      <c r="BSB572" s="126"/>
      <c r="BSC572" s="126"/>
      <c r="BSD572" s="126"/>
      <c r="BSE572" s="126"/>
      <c r="BSF572" s="126"/>
      <c r="BSG572" s="126"/>
      <c r="BSH572" s="126"/>
      <c r="BSI572" s="126"/>
      <c r="BSJ572" s="126"/>
      <c r="BSK572" s="126"/>
      <c r="BSL572" s="126"/>
      <c r="BSM572" s="126"/>
      <c r="BSN572" s="126"/>
      <c r="BSO572" s="126"/>
      <c r="BSP572" s="126"/>
      <c r="BSQ572" s="126"/>
      <c r="BSR572" s="126"/>
      <c r="BSS572" s="126"/>
      <c r="BST572" s="126"/>
      <c r="BSU572" s="126"/>
      <c r="BSV572" s="126"/>
      <c r="BSW572" s="126"/>
      <c r="BSX572" s="126"/>
      <c r="BSY572" s="126"/>
      <c r="BSZ572" s="126"/>
      <c r="BTA572" s="126"/>
      <c r="BTB572" s="126"/>
      <c r="BTC572" s="126"/>
      <c r="BTD572" s="126"/>
      <c r="BTE572" s="126"/>
      <c r="BTF572" s="126"/>
      <c r="BTG572" s="126"/>
      <c r="BTH572" s="126"/>
      <c r="BTI572" s="126"/>
      <c r="BTJ572" s="126"/>
      <c r="BTK572" s="126"/>
      <c r="BTL572" s="126"/>
      <c r="BTM572" s="126"/>
      <c r="BTN572" s="126"/>
      <c r="BTO572" s="126"/>
      <c r="BTP572" s="126"/>
      <c r="BTQ572" s="126"/>
      <c r="BTR572" s="126"/>
      <c r="BTS572" s="126"/>
      <c r="BTT572" s="126"/>
      <c r="BTU572" s="126"/>
      <c r="BTV572" s="126"/>
      <c r="BTW572" s="126"/>
      <c r="BTX572" s="126"/>
      <c r="BTY572" s="126"/>
      <c r="BTZ572" s="126"/>
      <c r="BUA572" s="126"/>
      <c r="BUB572" s="126"/>
      <c r="BUC572" s="126"/>
      <c r="BUD572" s="126"/>
      <c r="BUE572" s="126"/>
      <c r="BUF572" s="126"/>
      <c r="BUG572" s="126"/>
      <c r="BUH572" s="126"/>
      <c r="BUI572" s="126"/>
      <c r="BUJ572" s="126"/>
      <c r="BUK572" s="126"/>
      <c r="BUL572" s="126"/>
      <c r="BUM572" s="126"/>
      <c r="BUN572" s="126"/>
      <c r="BUO572" s="126"/>
      <c r="BUP572" s="126"/>
      <c r="BUQ572" s="126"/>
      <c r="BUR572" s="126"/>
      <c r="BUS572" s="126"/>
      <c r="BUT572" s="126"/>
      <c r="BUU572" s="126"/>
      <c r="BUV572" s="126"/>
      <c r="BUW572" s="126"/>
      <c r="BUX572" s="126"/>
      <c r="BUY572" s="126"/>
      <c r="BUZ572" s="126"/>
      <c r="BVA572" s="126"/>
      <c r="BVB572" s="126"/>
      <c r="BVC572" s="126"/>
      <c r="BVD572" s="126"/>
      <c r="BVE572" s="126"/>
      <c r="BVF572" s="126"/>
      <c r="BVG572" s="126"/>
      <c r="BVH572" s="126"/>
      <c r="BVI572" s="126"/>
      <c r="BVJ572" s="126"/>
      <c r="BVK572" s="126"/>
      <c r="BVL572" s="126"/>
      <c r="BVM572" s="126"/>
      <c r="BVN572" s="126"/>
      <c r="BVO572" s="126"/>
      <c r="BVP572" s="126"/>
      <c r="BVQ572" s="126"/>
      <c r="BVR572" s="126"/>
      <c r="BVS572" s="126"/>
      <c r="BVT572" s="126"/>
      <c r="BVU572" s="126"/>
      <c r="BVV572" s="126"/>
      <c r="BVW572" s="126"/>
      <c r="BVX572" s="126"/>
      <c r="BVY572" s="126"/>
      <c r="BVZ572" s="126"/>
      <c r="BWA572" s="126"/>
      <c r="BWB572" s="126"/>
      <c r="BWC572" s="126"/>
      <c r="BWD572" s="126"/>
      <c r="BWE572" s="126"/>
      <c r="BWF572" s="126"/>
      <c r="BWG572" s="126"/>
      <c r="BWH572" s="126"/>
      <c r="BWI572" s="126"/>
      <c r="BWJ572" s="126"/>
      <c r="BWK572" s="126"/>
      <c r="BWL572" s="126"/>
      <c r="BWM572" s="126"/>
      <c r="BWN572" s="126"/>
      <c r="BWO572" s="126"/>
      <c r="BWP572" s="126"/>
      <c r="BWQ572" s="126"/>
      <c r="BWR572" s="126"/>
      <c r="BWS572" s="126"/>
      <c r="BWT572" s="126"/>
      <c r="BWU572" s="126"/>
      <c r="BWV572" s="126"/>
      <c r="BWW572" s="126"/>
      <c r="BWX572" s="126"/>
      <c r="BWY572" s="126"/>
      <c r="BWZ572" s="126"/>
      <c r="BXA572" s="126"/>
      <c r="BXB572" s="126"/>
      <c r="BXC572" s="126"/>
      <c r="BXD572" s="126"/>
      <c r="BXE572" s="126"/>
      <c r="BXF572" s="126"/>
      <c r="BXG572" s="126"/>
      <c r="BXH572" s="126"/>
      <c r="BXI572" s="126"/>
      <c r="BXJ572" s="126"/>
      <c r="BXK572" s="126"/>
      <c r="BXL572" s="126"/>
      <c r="BXM572" s="126"/>
      <c r="BXN572" s="126"/>
      <c r="BXO572" s="126"/>
      <c r="BXP572" s="126"/>
      <c r="BXQ572" s="126"/>
      <c r="BXR572" s="126"/>
      <c r="BXS572" s="126"/>
      <c r="BXT572" s="126"/>
      <c r="BXU572" s="126"/>
      <c r="BXV572" s="126"/>
      <c r="BXW572" s="126"/>
      <c r="BXX572" s="126"/>
      <c r="BXY572" s="126"/>
      <c r="BXZ572" s="126"/>
      <c r="BYA572" s="126"/>
      <c r="BYB572" s="126"/>
      <c r="BYC572" s="126"/>
      <c r="BYD572" s="126"/>
      <c r="BYE572" s="126"/>
      <c r="BYF572" s="126"/>
      <c r="BYG572" s="126"/>
      <c r="BYH572" s="126"/>
      <c r="BYI572" s="126"/>
      <c r="BYJ572" s="126"/>
      <c r="BYK572" s="126"/>
      <c r="BYL572" s="126"/>
      <c r="BYM572" s="126"/>
      <c r="BYN572" s="126"/>
      <c r="BYO572" s="126"/>
      <c r="BYP572" s="126"/>
      <c r="BYQ572" s="126"/>
      <c r="BYR572" s="126"/>
      <c r="BYS572" s="126"/>
      <c r="BYT572" s="126"/>
      <c r="BYU572" s="126"/>
      <c r="BYV572" s="126"/>
      <c r="BYW572" s="126"/>
      <c r="BYX572" s="126"/>
      <c r="BYY572" s="126"/>
      <c r="BYZ572" s="126"/>
      <c r="BZA572" s="126"/>
      <c r="BZB572" s="126"/>
      <c r="BZC572" s="126"/>
      <c r="BZD572" s="126"/>
      <c r="BZE572" s="126"/>
      <c r="BZF572" s="126"/>
      <c r="BZG572" s="126"/>
      <c r="BZH572" s="126"/>
      <c r="BZI572" s="126"/>
      <c r="BZJ572" s="126"/>
      <c r="BZK572" s="126"/>
      <c r="BZL572" s="126"/>
      <c r="BZM572" s="126"/>
      <c r="BZN572" s="126"/>
      <c r="BZO572" s="126"/>
      <c r="BZP572" s="126"/>
      <c r="BZQ572" s="126"/>
      <c r="BZR572" s="126"/>
      <c r="BZS572" s="126"/>
      <c r="BZT572" s="126"/>
      <c r="BZU572" s="126"/>
      <c r="BZV572" s="126"/>
      <c r="BZW572" s="126"/>
      <c r="BZX572" s="126"/>
      <c r="BZY572" s="126"/>
      <c r="BZZ572" s="126"/>
      <c r="CAA572" s="126"/>
      <c r="CAB572" s="126"/>
      <c r="CAC572" s="126"/>
      <c r="CAD572" s="126"/>
      <c r="CAE572" s="126"/>
      <c r="CAF572" s="126"/>
      <c r="CAG572" s="126"/>
      <c r="CAH572" s="126"/>
      <c r="CAI572" s="126"/>
      <c r="CAJ572" s="126"/>
      <c r="CAK572" s="126"/>
      <c r="CAL572" s="126"/>
      <c r="CAM572" s="126"/>
      <c r="CAN572" s="126"/>
      <c r="CAO572" s="126"/>
      <c r="CAP572" s="126"/>
      <c r="CAQ572" s="126"/>
      <c r="CAR572" s="126"/>
      <c r="CAS572" s="126"/>
      <c r="CAT572" s="126"/>
      <c r="CAU572" s="126"/>
      <c r="CAV572" s="126"/>
      <c r="CAW572" s="126"/>
      <c r="CAX572" s="126"/>
      <c r="CAY572" s="126"/>
      <c r="CAZ572" s="126"/>
      <c r="CBA572" s="126"/>
      <c r="CBB572" s="126"/>
      <c r="CBC572" s="126"/>
      <c r="CBD572" s="126"/>
      <c r="CBE572" s="126"/>
      <c r="CBF572" s="126"/>
      <c r="CBG572" s="126"/>
      <c r="CBH572" s="126"/>
      <c r="CBI572" s="126"/>
      <c r="CBJ572" s="126"/>
      <c r="CBK572" s="126"/>
      <c r="CBL572" s="126"/>
      <c r="CBM572" s="126"/>
      <c r="CBN572" s="126"/>
      <c r="CBO572" s="126"/>
      <c r="CBP572" s="126"/>
      <c r="CBQ572" s="126"/>
      <c r="CBR572" s="126"/>
      <c r="CBS572" s="126"/>
      <c r="CBT572" s="126"/>
      <c r="CBU572" s="126"/>
      <c r="CBV572" s="126"/>
      <c r="CBW572" s="126"/>
      <c r="CBX572" s="126"/>
      <c r="CBY572" s="126"/>
      <c r="CBZ572" s="126"/>
      <c r="CCA572" s="126"/>
      <c r="CCB572" s="126"/>
      <c r="CCC572" s="126"/>
      <c r="CCD572" s="126"/>
      <c r="CCE572" s="126"/>
      <c r="CCF572" s="126"/>
      <c r="CCG572" s="126"/>
      <c r="CCH572" s="126"/>
      <c r="CCI572" s="126"/>
      <c r="CCJ572" s="126"/>
      <c r="CCK572" s="126"/>
      <c r="CCL572" s="126"/>
      <c r="CCM572" s="126"/>
      <c r="CCN572" s="126"/>
      <c r="CCO572" s="126"/>
      <c r="CCP572" s="126"/>
      <c r="CCQ572" s="126"/>
      <c r="CCR572" s="126"/>
      <c r="CCS572" s="126"/>
      <c r="CCT572" s="126"/>
      <c r="CCU572" s="126"/>
      <c r="CCV572" s="126"/>
      <c r="CCW572" s="126"/>
      <c r="CCX572" s="126"/>
      <c r="CCY572" s="126"/>
      <c r="CCZ572" s="126"/>
      <c r="CDA572" s="126"/>
      <c r="CDB572" s="126"/>
      <c r="CDC572" s="126"/>
      <c r="CDD572" s="126"/>
      <c r="CDE572" s="126"/>
      <c r="CDF572" s="126"/>
      <c r="CDG572" s="126"/>
      <c r="CDH572" s="126"/>
      <c r="CDI572" s="126"/>
      <c r="CDJ572" s="126"/>
      <c r="CDK572" s="126"/>
      <c r="CDL572" s="126"/>
      <c r="CDM572" s="126"/>
      <c r="CDN572" s="126"/>
      <c r="CDO572" s="126"/>
      <c r="CDP572" s="126"/>
      <c r="CDQ572" s="126"/>
      <c r="CDR572" s="126"/>
      <c r="CDS572" s="126"/>
      <c r="CDT572" s="126"/>
      <c r="CDU572" s="126"/>
      <c r="CDV572" s="126"/>
      <c r="CDW572" s="126"/>
      <c r="CDX572" s="126"/>
      <c r="CDY572" s="126"/>
      <c r="CDZ572" s="126"/>
      <c r="CEA572" s="126"/>
      <c r="CEB572" s="126"/>
      <c r="CEC572" s="126"/>
      <c r="CED572" s="126"/>
      <c r="CEE572" s="126"/>
      <c r="CEF572" s="126"/>
      <c r="CEG572" s="126"/>
      <c r="CEH572" s="126"/>
      <c r="CEI572" s="126"/>
      <c r="CEJ572" s="126"/>
      <c r="CEK572" s="126"/>
      <c r="CEL572" s="126"/>
      <c r="CEM572" s="126"/>
      <c r="CEN572" s="126"/>
      <c r="CEO572" s="126"/>
      <c r="CEP572" s="126"/>
      <c r="CEQ572" s="126"/>
      <c r="CER572" s="126"/>
      <c r="CES572" s="126"/>
      <c r="CET572" s="126"/>
      <c r="CEU572" s="126"/>
      <c r="CEV572" s="126"/>
      <c r="CEW572" s="126"/>
      <c r="CEX572" s="126"/>
      <c r="CEY572" s="126"/>
      <c r="CEZ572" s="126"/>
      <c r="CFA572" s="126"/>
      <c r="CFB572" s="126"/>
      <c r="CFC572" s="126"/>
      <c r="CFD572" s="126"/>
      <c r="CFE572" s="126"/>
      <c r="CFF572" s="126"/>
      <c r="CFG572" s="126"/>
      <c r="CFH572" s="126"/>
      <c r="CFI572" s="126"/>
      <c r="CFJ572" s="126"/>
      <c r="CFK572" s="126"/>
      <c r="CFL572" s="126"/>
      <c r="CFM572" s="126"/>
      <c r="CFN572" s="126"/>
      <c r="CFO572" s="126"/>
      <c r="CFP572" s="126"/>
      <c r="CFQ572" s="126"/>
      <c r="CFR572" s="126"/>
      <c r="CFS572" s="126"/>
      <c r="CFT572" s="126"/>
      <c r="CFU572" s="126"/>
      <c r="CFV572" s="126"/>
      <c r="CFW572" s="126"/>
      <c r="CFX572" s="126"/>
      <c r="CFY572" s="126"/>
      <c r="CFZ572" s="126"/>
      <c r="CGA572" s="126"/>
      <c r="CGB572" s="126"/>
      <c r="CGC572" s="126"/>
      <c r="CGD572" s="126"/>
      <c r="CGE572" s="126"/>
      <c r="CGF572" s="126"/>
      <c r="CGG572" s="126"/>
      <c r="CGH572" s="126"/>
      <c r="CGI572" s="126"/>
      <c r="CGJ572" s="126"/>
      <c r="CGK572" s="126"/>
      <c r="CGL572" s="126"/>
      <c r="CGM572" s="126"/>
      <c r="CGN572" s="126"/>
      <c r="CGO572" s="126"/>
      <c r="CGP572" s="126"/>
      <c r="CGQ572" s="126"/>
      <c r="CGR572" s="126"/>
      <c r="CGS572" s="126"/>
      <c r="CGT572" s="126"/>
      <c r="CGU572" s="126"/>
      <c r="CGV572" s="126"/>
      <c r="CGW572" s="126"/>
      <c r="CGX572" s="126"/>
      <c r="CGY572" s="126"/>
      <c r="CGZ572" s="126"/>
      <c r="CHA572" s="126"/>
      <c r="CHB572" s="126"/>
      <c r="CHC572" s="126"/>
      <c r="CHD572" s="126"/>
      <c r="CHE572" s="126"/>
      <c r="CHF572" s="126"/>
      <c r="CHG572" s="126"/>
      <c r="CHH572" s="126"/>
      <c r="CHI572" s="126"/>
      <c r="CHJ572" s="126"/>
      <c r="CHK572" s="126"/>
      <c r="CHL572" s="126"/>
      <c r="CHM572" s="126"/>
      <c r="CHN572" s="126"/>
      <c r="CHO572" s="126"/>
      <c r="CHP572" s="126"/>
      <c r="CHQ572" s="126"/>
      <c r="CHR572" s="126"/>
      <c r="CHS572" s="126"/>
      <c r="CHT572" s="126"/>
      <c r="CHU572" s="126"/>
      <c r="CHV572" s="126"/>
      <c r="CHW572" s="126"/>
      <c r="CHX572" s="126"/>
      <c r="CHY572" s="126"/>
      <c r="CHZ572" s="126"/>
      <c r="CIA572" s="126"/>
      <c r="CIB572" s="126"/>
      <c r="CIC572" s="126"/>
      <c r="CID572" s="126"/>
      <c r="CIE572" s="126"/>
      <c r="CIF572" s="126"/>
      <c r="CIG572" s="126"/>
      <c r="CIH572" s="126"/>
      <c r="CII572" s="126"/>
      <c r="CIJ572" s="126"/>
      <c r="CIK572" s="126"/>
      <c r="CIL572" s="126"/>
      <c r="CIM572" s="126"/>
      <c r="CIN572" s="126"/>
      <c r="CIO572" s="126"/>
      <c r="CIP572" s="126"/>
      <c r="CIQ572" s="126"/>
      <c r="CIR572" s="126"/>
      <c r="CIS572" s="126"/>
      <c r="CIT572" s="126"/>
      <c r="CIU572" s="126"/>
      <c r="CIV572" s="126"/>
      <c r="CIW572" s="126"/>
      <c r="CIX572" s="126"/>
      <c r="CIY572" s="126"/>
      <c r="CIZ572" s="126"/>
      <c r="CJA572" s="126"/>
      <c r="CJB572" s="126"/>
      <c r="CJC572" s="126"/>
      <c r="CJD572" s="126"/>
      <c r="CJE572" s="126"/>
      <c r="CJF572" s="126"/>
      <c r="CJG572" s="126"/>
      <c r="CJH572" s="126"/>
      <c r="CJI572" s="126"/>
      <c r="CJJ572" s="126"/>
      <c r="CJK572" s="126"/>
      <c r="CJL572" s="126"/>
      <c r="CJM572" s="126"/>
      <c r="CJN572" s="126"/>
      <c r="CJO572" s="126"/>
      <c r="CJP572" s="126"/>
      <c r="CJQ572" s="126"/>
      <c r="CJR572" s="126"/>
      <c r="CJS572" s="126"/>
      <c r="CJT572" s="126"/>
      <c r="CJU572" s="126"/>
      <c r="CJV572" s="126"/>
      <c r="CJW572" s="126"/>
      <c r="CJX572" s="126"/>
      <c r="CJY572" s="126"/>
      <c r="CJZ572" s="126"/>
      <c r="CKA572" s="126"/>
      <c r="CKB572" s="126"/>
      <c r="CKC572" s="126"/>
      <c r="CKD572" s="126"/>
      <c r="CKE572" s="126"/>
      <c r="CKF572" s="126"/>
      <c r="CKG572" s="126"/>
      <c r="CKH572" s="126"/>
      <c r="CKI572" s="126"/>
      <c r="CKJ572" s="126"/>
      <c r="CKK572" s="126"/>
      <c r="CKL572" s="126"/>
      <c r="CKM572" s="126"/>
      <c r="CKN572" s="126"/>
      <c r="CKO572" s="126"/>
      <c r="CKP572" s="126"/>
      <c r="CKQ572" s="126"/>
      <c r="CKR572" s="126"/>
      <c r="CKS572" s="126"/>
      <c r="CKT572" s="126"/>
      <c r="CKU572" s="126"/>
      <c r="CKV572" s="126"/>
      <c r="CKW572" s="126"/>
      <c r="CKX572" s="126"/>
      <c r="CKY572" s="126"/>
      <c r="CKZ572" s="126"/>
      <c r="CLA572" s="126"/>
      <c r="CLB572" s="126"/>
      <c r="CLC572" s="126"/>
      <c r="CLD572" s="126"/>
      <c r="CLE572" s="126"/>
      <c r="CLF572" s="126"/>
      <c r="CLG572" s="126"/>
      <c r="CLH572" s="126"/>
      <c r="CLI572" s="126"/>
      <c r="CLJ572" s="126"/>
      <c r="CLK572" s="126"/>
      <c r="CLL572" s="126"/>
      <c r="CLM572" s="126"/>
      <c r="CLN572" s="126"/>
      <c r="CLO572" s="126"/>
      <c r="CLP572" s="126"/>
      <c r="CLQ572" s="126"/>
      <c r="CLR572" s="126"/>
      <c r="CLS572" s="126"/>
      <c r="CLT572" s="126"/>
      <c r="CLU572" s="126"/>
      <c r="CLV572" s="126"/>
      <c r="CLW572" s="126"/>
      <c r="CLX572" s="126"/>
      <c r="CLY572" s="126"/>
      <c r="CLZ572" s="126"/>
      <c r="CMA572" s="126"/>
      <c r="CMB572" s="126"/>
      <c r="CMC572" s="126"/>
      <c r="CMD572" s="126"/>
      <c r="CME572" s="126"/>
      <c r="CMF572" s="126"/>
      <c r="CMG572" s="126"/>
      <c r="CMH572" s="126"/>
      <c r="CMI572" s="126"/>
      <c r="CMJ572" s="126"/>
      <c r="CMK572" s="126"/>
      <c r="CML572" s="126"/>
      <c r="CMM572" s="126"/>
      <c r="CMN572" s="126"/>
      <c r="CMO572" s="126"/>
      <c r="CMP572" s="126"/>
      <c r="CMQ572" s="126"/>
      <c r="CMR572" s="126"/>
      <c r="CMS572" s="126"/>
      <c r="CMT572" s="126"/>
      <c r="CMU572" s="126"/>
      <c r="CMV572" s="126"/>
      <c r="CMW572" s="126"/>
      <c r="CMX572" s="126"/>
      <c r="CMY572" s="126"/>
      <c r="CMZ572" s="126"/>
      <c r="CNA572" s="126"/>
      <c r="CNB572" s="126"/>
      <c r="CNC572" s="126"/>
      <c r="CND572" s="126"/>
      <c r="CNE572" s="126"/>
      <c r="CNF572" s="126"/>
      <c r="CNG572" s="126"/>
      <c r="CNH572" s="126"/>
      <c r="CNI572" s="126"/>
      <c r="CNJ572" s="126"/>
      <c r="CNK572" s="126"/>
      <c r="CNL572" s="126"/>
      <c r="CNM572" s="126"/>
      <c r="CNN572" s="126"/>
      <c r="CNO572" s="126"/>
      <c r="CNP572" s="126"/>
      <c r="CNQ572" s="126"/>
      <c r="CNR572" s="126"/>
      <c r="CNS572" s="126"/>
      <c r="CNT572" s="126"/>
      <c r="CNU572" s="126"/>
      <c r="CNV572" s="126"/>
      <c r="CNW572" s="126"/>
      <c r="CNX572" s="126"/>
      <c r="CNY572" s="126"/>
      <c r="CNZ572" s="126"/>
      <c r="COA572" s="126"/>
      <c r="COB572" s="126"/>
      <c r="COC572" s="126"/>
      <c r="COD572" s="126"/>
      <c r="COE572" s="126"/>
      <c r="COF572" s="126"/>
      <c r="COG572" s="126"/>
      <c r="COH572" s="126"/>
      <c r="COI572" s="126"/>
      <c r="COJ572" s="126"/>
      <c r="COK572" s="126"/>
      <c r="COL572" s="126"/>
      <c r="COM572" s="126"/>
      <c r="CON572" s="126"/>
      <c r="COO572" s="126"/>
      <c r="COP572" s="126"/>
      <c r="COQ572" s="126"/>
      <c r="COR572" s="126"/>
      <c r="COS572" s="126"/>
      <c r="COT572" s="126"/>
      <c r="COU572" s="126"/>
      <c r="COV572" s="126"/>
      <c r="COW572" s="126"/>
      <c r="COX572" s="126"/>
      <c r="COY572" s="126"/>
      <c r="COZ572" s="126"/>
      <c r="CPA572" s="126"/>
      <c r="CPB572" s="126"/>
      <c r="CPC572" s="126"/>
      <c r="CPD572" s="126"/>
      <c r="CPE572" s="126"/>
      <c r="CPF572" s="126"/>
      <c r="CPG572" s="126"/>
      <c r="CPH572" s="126"/>
      <c r="CPI572" s="126"/>
      <c r="CPJ572" s="126"/>
      <c r="CPK572" s="126"/>
      <c r="CPL572" s="126"/>
      <c r="CPM572" s="126"/>
      <c r="CPN572" s="126"/>
      <c r="CPO572" s="126"/>
      <c r="CPP572" s="126"/>
      <c r="CPQ572" s="126"/>
      <c r="CPR572" s="126"/>
      <c r="CPS572" s="126"/>
      <c r="CPT572" s="126"/>
      <c r="CPU572" s="126"/>
      <c r="CPV572" s="126"/>
      <c r="CPW572" s="126"/>
      <c r="CPX572" s="126"/>
      <c r="CPY572" s="126"/>
      <c r="CPZ572" s="126"/>
      <c r="CQA572" s="126"/>
      <c r="CQB572" s="126"/>
      <c r="CQC572" s="126"/>
      <c r="CQD572" s="126"/>
      <c r="CQE572" s="126"/>
      <c r="CQF572" s="126"/>
      <c r="CQG572" s="126"/>
      <c r="CQH572" s="126"/>
      <c r="CQI572" s="126"/>
      <c r="CQJ572" s="126"/>
      <c r="CQK572" s="126"/>
      <c r="CQL572" s="126"/>
      <c r="CQM572" s="126"/>
      <c r="CQN572" s="126"/>
      <c r="CQO572" s="126"/>
      <c r="CQP572" s="126"/>
      <c r="CQQ572" s="126"/>
      <c r="CQR572" s="126"/>
      <c r="CQS572" s="126"/>
      <c r="CQT572" s="126"/>
      <c r="CQU572" s="126"/>
      <c r="CQV572" s="126"/>
      <c r="CQW572" s="126"/>
      <c r="CQX572" s="126"/>
      <c r="CQY572" s="126"/>
      <c r="CQZ572" s="126"/>
      <c r="CRA572" s="126"/>
      <c r="CRB572" s="126"/>
      <c r="CRC572" s="126"/>
      <c r="CRD572" s="126"/>
      <c r="CRE572" s="126"/>
      <c r="CRF572" s="126"/>
      <c r="CRG572" s="126"/>
      <c r="CRH572" s="126"/>
      <c r="CRI572" s="126"/>
      <c r="CRJ572" s="126"/>
      <c r="CRK572" s="126"/>
      <c r="CRL572" s="126"/>
      <c r="CRM572" s="126"/>
      <c r="CRN572" s="126"/>
      <c r="CRO572" s="126"/>
      <c r="CRP572" s="126"/>
      <c r="CRQ572" s="126"/>
      <c r="CRR572" s="126"/>
      <c r="CRS572" s="126"/>
      <c r="CRT572" s="126"/>
      <c r="CRU572" s="126"/>
      <c r="CRV572" s="126"/>
      <c r="CRW572" s="126"/>
      <c r="CRX572" s="126"/>
      <c r="CRY572" s="126"/>
      <c r="CRZ572" s="126"/>
      <c r="CSA572" s="126"/>
      <c r="CSB572" s="126"/>
      <c r="CSC572" s="126"/>
      <c r="CSD572" s="126"/>
      <c r="CSE572" s="126"/>
      <c r="CSF572" s="126"/>
      <c r="CSG572" s="126"/>
      <c r="CSH572" s="126"/>
      <c r="CSI572" s="126"/>
      <c r="CSJ572" s="126"/>
      <c r="CSK572" s="126"/>
      <c r="CSL572" s="126"/>
      <c r="CSM572" s="126"/>
      <c r="CSN572" s="126"/>
      <c r="CSO572" s="126"/>
      <c r="CSP572" s="126"/>
      <c r="CSQ572" s="126"/>
      <c r="CSR572" s="126"/>
      <c r="CSS572" s="126"/>
      <c r="CST572" s="126"/>
      <c r="CSU572" s="126"/>
      <c r="CSV572" s="126"/>
      <c r="CSW572" s="126"/>
      <c r="CSX572" s="126"/>
      <c r="CSY572" s="126"/>
      <c r="CSZ572" s="126"/>
      <c r="CTA572" s="126"/>
      <c r="CTB572" s="126"/>
      <c r="CTC572" s="126"/>
      <c r="CTD572" s="126"/>
      <c r="CTE572" s="126"/>
      <c r="CTF572" s="126"/>
      <c r="CTG572" s="126"/>
      <c r="CTH572" s="126"/>
      <c r="CTI572" s="126"/>
      <c r="CTJ572" s="126"/>
      <c r="CTK572" s="126"/>
      <c r="CTL572" s="126"/>
      <c r="CTM572" s="126"/>
      <c r="CTN572" s="126"/>
      <c r="CTO572" s="126"/>
      <c r="CTP572" s="126"/>
      <c r="CTQ572" s="126"/>
      <c r="CTR572" s="126"/>
      <c r="CTS572" s="126"/>
      <c r="CTT572" s="126"/>
      <c r="CTU572" s="126"/>
      <c r="CTV572" s="126"/>
      <c r="CTW572" s="126"/>
      <c r="CTX572" s="126"/>
      <c r="CTY572" s="126"/>
      <c r="CTZ572" s="126"/>
      <c r="CUA572" s="126"/>
      <c r="CUB572" s="126"/>
      <c r="CUC572" s="126"/>
      <c r="CUD572" s="126"/>
      <c r="CUE572" s="126"/>
      <c r="CUF572" s="126"/>
      <c r="CUG572" s="126"/>
      <c r="CUH572" s="126"/>
      <c r="CUI572" s="126"/>
      <c r="CUJ572" s="126"/>
      <c r="CUK572" s="126"/>
      <c r="CUL572" s="126"/>
      <c r="CUM572" s="126"/>
      <c r="CUN572" s="126"/>
      <c r="CUO572" s="126"/>
      <c r="CUP572" s="126"/>
      <c r="CUQ572" s="126"/>
      <c r="CUR572" s="126"/>
      <c r="CUS572" s="126"/>
      <c r="CUT572" s="126"/>
      <c r="CUU572" s="126"/>
      <c r="CUV572" s="126"/>
      <c r="CUW572" s="126"/>
      <c r="CUX572" s="126"/>
      <c r="CUY572" s="126"/>
      <c r="CUZ572" s="126"/>
      <c r="CVA572" s="126"/>
      <c r="CVB572" s="126"/>
      <c r="CVC572" s="126"/>
      <c r="CVD572" s="126"/>
      <c r="CVE572" s="126"/>
      <c r="CVF572" s="126"/>
      <c r="CVG572" s="126"/>
      <c r="CVH572" s="126"/>
      <c r="CVI572" s="126"/>
      <c r="CVJ572" s="126"/>
      <c r="CVK572" s="126"/>
      <c r="CVL572" s="126"/>
      <c r="CVM572" s="126"/>
      <c r="CVN572" s="126"/>
      <c r="CVO572" s="126"/>
      <c r="CVP572" s="126"/>
      <c r="CVQ572" s="126"/>
      <c r="CVR572" s="126"/>
      <c r="CVS572" s="126"/>
      <c r="CVT572" s="126"/>
      <c r="CVU572" s="126"/>
      <c r="CVV572" s="126"/>
      <c r="CVW572" s="126"/>
      <c r="CVX572" s="126"/>
      <c r="CVY572" s="126"/>
      <c r="CVZ572" s="126"/>
      <c r="CWA572" s="126"/>
      <c r="CWB572" s="126"/>
      <c r="CWC572" s="126"/>
      <c r="CWD572" s="126"/>
      <c r="CWE572" s="126"/>
      <c r="CWF572" s="126"/>
      <c r="CWG572" s="126"/>
      <c r="CWH572" s="126"/>
      <c r="CWI572" s="126"/>
      <c r="CWJ572" s="126"/>
      <c r="CWK572" s="126"/>
      <c r="CWL572" s="126"/>
      <c r="CWM572" s="126"/>
      <c r="CWN572" s="126"/>
      <c r="CWO572" s="126"/>
      <c r="CWP572" s="126"/>
      <c r="CWQ572" s="126"/>
      <c r="CWR572" s="126"/>
      <c r="CWS572" s="126"/>
      <c r="CWT572" s="126"/>
      <c r="CWU572" s="126"/>
      <c r="CWV572" s="126"/>
      <c r="CWW572" s="126"/>
      <c r="CWX572" s="126"/>
      <c r="CWY572" s="126"/>
      <c r="CWZ572" s="126"/>
      <c r="CXA572" s="126"/>
      <c r="CXB572" s="126"/>
      <c r="CXC572" s="126"/>
      <c r="CXD572" s="126"/>
      <c r="CXE572" s="126"/>
      <c r="CXF572" s="126"/>
      <c r="CXG572" s="126"/>
      <c r="CXH572" s="126"/>
      <c r="CXI572" s="126"/>
      <c r="CXJ572" s="126"/>
      <c r="CXK572" s="126"/>
      <c r="CXL572" s="126"/>
      <c r="CXM572" s="126"/>
      <c r="CXN572" s="126"/>
      <c r="CXO572" s="126"/>
      <c r="CXP572" s="126"/>
      <c r="CXQ572" s="126"/>
      <c r="CXR572" s="126"/>
      <c r="CXS572" s="126"/>
      <c r="CXT572" s="126"/>
      <c r="CXU572" s="126"/>
      <c r="CXV572" s="126"/>
      <c r="CXW572" s="126"/>
      <c r="CXX572" s="126"/>
      <c r="CXY572" s="126"/>
      <c r="CXZ572" s="126"/>
      <c r="CYA572" s="126"/>
      <c r="CYB572" s="126"/>
      <c r="CYC572" s="126"/>
      <c r="CYD572" s="126"/>
      <c r="CYE572" s="126"/>
      <c r="CYF572" s="126"/>
      <c r="CYG572" s="126"/>
      <c r="CYH572" s="126"/>
      <c r="CYI572" s="126"/>
      <c r="CYJ572" s="126"/>
      <c r="CYK572" s="126"/>
      <c r="CYL572" s="126"/>
      <c r="CYM572" s="126"/>
      <c r="CYN572" s="126"/>
      <c r="CYO572" s="126"/>
      <c r="CYP572" s="126"/>
      <c r="CYQ572" s="126"/>
      <c r="CYR572" s="126"/>
      <c r="CYS572" s="126"/>
      <c r="CYT572" s="126"/>
      <c r="CYU572" s="126"/>
      <c r="CYV572" s="126"/>
      <c r="CYW572" s="126"/>
      <c r="CYX572" s="126"/>
      <c r="CYY572" s="126"/>
      <c r="CYZ572" s="126"/>
      <c r="CZA572" s="126"/>
      <c r="CZB572" s="126"/>
      <c r="CZC572" s="126"/>
      <c r="CZD572" s="126"/>
      <c r="CZE572" s="126"/>
      <c r="CZF572" s="126"/>
      <c r="CZG572" s="126"/>
      <c r="CZH572" s="126"/>
      <c r="CZI572" s="126"/>
      <c r="CZJ572" s="126"/>
      <c r="CZK572" s="126"/>
      <c r="CZL572" s="126"/>
      <c r="CZM572" s="126"/>
      <c r="CZN572" s="126"/>
      <c r="CZO572" s="126"/>
      <c r="CZP572" s="126"/>
      <c r="CZQ572" s="126"/>
      <c r="CZR572" s="126"/>
      <c r="CZS572" s="126"/>
      <c r="CZT572" s="126"/>
      <c r="CZU572" s="126"/>
      <c r="CZV572" s="126"/>
      <c r="CZW572" s="126"/>
      <c r="CZX572" s="126"/>
      <c r="CZY572" s="126"/>
      <c r="CZZ572" s="126"/>
      <c r="DAA572" s="126"/>
      <c r="DAB572" s="126"/>
      <c r="DAC572" s="126"/>
      <c r="DAD572" s="126"/>
      <c r="DAE572" s="126"/>
      <c r="DAF572" s="126"/>
      <c r="DAG572" s="126"/>
      <c r="DAH572" s="126"/>
      <c r="DAI572" s="126"/>
      <c r="DAJ572" s="126"/>
      <c r="DAK572" s="126"/>
      <c r="DAL572" s="126"/>
      <c r="DAM572" s="126"/>
      <c r="DAN572" s="126"/>
      <c r="DAO572" s="126"/>
      <c r="DAP572" s="126"/>
      <c r="DAQ572" s="126"/>
      <c r="DAR572" s="126"/>
      <c r="DAS572" s="126"/>
      <c r="DAT572" s="126"/>
      <c r="DAU572" s="126"/>
      <c r="DAV572" s="126"/>
      <c r="DAW572" s="126"/>
      <c r="DAX572" s="126"/>
      <c r="DAY572" s="126"/>
      <c r="DAZ572" s="126"/>
      <c r="DBA572" s="126"/>
      <c r="DBB572" s="126"/>
      <c r="DBC572" s="126"/>
      <c r="DBD572" s="126"/>
      <c r="DBE572" s="126"/>
      <c r="DBF572" s="126"/>
      <c r="DBG572" s="126"/>
      <c r="DBH572" s="126"/>
      <c r="DBI572" s="126"/>
      <c r="DBJ572" s="126"/>
      <c r="DBK572" s="126"/>
      <c r="DBL572" s="126"/>
      <c r="DBM572" s="126"/>
      <c r="DBN572" s="126"/>
      <c r="DBO572" s="126"/>
      <c r="DBP572" s="126"/>
      <c r="DBQ572" s="126"/>
      <c r="DBR572" s="126"/>
      <c r="DBS572" s="126"/>
      <c r="DBT572" s="126"/>
      <c r="DBU572" s="126"/>
      <c r="DBV572" s="126"/>
      <c r="DBW572" s="126"/>
      <c r="DBX572" s="126"/>
      <c r="DBY572" s="126"/>
      <c r="DBZ572" s="126"/>
      <c r="DCA572" s="126"/>
      <c r="DCB572" s="126"/>
      <c r="DCC572" s="126"/>
      <c r="DCD572" s="126"/>
      <c r="DCE572" s="126"/>
      <c r="DCF572" s="126"/>
      <c r="DCG572" s="126"/>
      <c r="DCH572" s="126"/>
      <c r="DCI572" s="126"/>
      <c r="DCJ572" s="126"/>
      <c r="DCK572" s="126"/>
      <c r="DCL572" s="126"/>
      <c r="DCM572" s="126"/>
      <c r="DCN572" s="126"/>
      <c r="DCO572" s="126"/>
      <c r="DCP572" s="126"/>
      <c r="DCQ572" s="126"/>
      <c r="DCR572" s="126"/>
      <c r="DCS572" s="126"/>
      <c r="DCT572" s="126"/>
      <c r="DCU572" s="126"/>
      <c r="DCV572" s="126"/>
      <c r="DCW572" s="126"/>
      <c r="DCX572" s="126"/>
      <c r="DCY572" s="126"/>
      <c r="DCZ572" s="126"/>
      <c r="DDA572" s="126"/>
      <c r="DDB572" s="126"/>
      <c r="DDC572" s="126"/>
      <c r="DDD572" s="126"/>
      <c r="DDE572" s="126"/>
      <c r="DDF572" s="126"/>
      <c r="DDG572" s="126"/>
      <c r="DDH572" s="126"/>
      <c r="DDI572" s="126"/>
      <c r="DDJ572" s="126"/>
      <c r="DDK572" s="126"/>
      <c r="DDL572" s="126"/>
      <c r="DDM572" s="126"/>
      <c r="DDN572" s="126"/>
      <c r="DDO572" s="126"/>
      <c r="DDP572" s="126"/>
      <c r="DDQ572" s="126"/>
      <c r="DDR572" s="126"/>
      <c r="DDS572" s="126"/>
      <c r="DDT572" s="126"/>
      <c r="DDU572" s="126"/>
      <c r="DDV572" s="126"/>
      <c r="DDW572" s="126"/>
      <c r="DDX572" s="126"/>
      <c r="DDY572" s="126"/>
      <c r="DDZ572" s="126"/>
      <c r="DEA572" s="126"/>
      <c r="DEB572" s="126"/>
      <c r="DEC572" s="126"/>
      <c r="DED572" s="126"/>
      <c r="DEE572" s="126"/>
      <c r="DEF572" s="126"/>
      <c r="DEG572" s="126"/>
      <c r="DEH572" s="126"/>
      <c r="DEI572" s="126"/>
      <c r="DEJ572" s="126"/>
      <c r="DEK572" s="126"/>
      <c r="DEL572" s="126"/>
      <c r="DEM572" s="126"/>
      <c r="DEN572" s="126"/>
      <c r="DEO572" s="126"/>
      <c r="DEP572" s="126"/>
      <c r="DEQ572" s="126"/>
      <c r="DER572" s="126"/>
      <c r="DES572" s="126"/>
      <c r="DET572" s="126"/>
      <c r="DEU572" s="126"/>
      <c r="DEV572" s="126"/>
      <c r="DEW572" s="126"/>
      <c r="DEX572" s="126"/>
      <c r="DEY572" s="126"/>
      <c r="DEZ572" s="126"/>
      <c r="DFA572" s="126"/>
      <c r="DFB572" s="126"/>
      <c r="DFC572" s="126"/>
      <c r="DFD572" s="126"/>
      <c r="DFE572" s="126"/>
      <c r="DFF572" s="126"/>
      <c r="DFG572" s="126"/>
      <c r="DFH572" s="126"/>
      <c r="DFI572" s="126"/>
      <c r="DFJ572" s="126"/>
      <c r="DFK572" s="126"/>
      <c r="DFL572" s="126"/>
      <c r="DFM572" s="126"/>
      <c r="DFN572" s="126"/>
      <c r="DFO572" s="126"/>
      <c r="DFP572" s="126"/>
      <c r="DFQ572" s="126"/>
      <c r="DFR572" s="126"/>
      <c r="DFS572" s="126"/>
      <c r="DFT572" s="126"/>
      <c r="DFU572" s="126"/>
      <c r="DFV572" s="126"/>
      <c r="DFW572" s="126"/>
      <c r="DFX572" s="126"/>
      <c r="DFY572" s="126"/>
      <c r="DFZ572" s="126"/>
      <c r="DGA572" s="126"/>
      <c r="DGB572" s="126"/>
      <c r="DGC572" s="126"/>
      <c r="DGD572" s="126"/>
      <c r="DGE572" s="126"/>
      <c r="DGF572" s="126"/>
      <c r="DGG572" s="126"/>
      <c r="DGH572" s="126"/>
      <c r="DGI572" s="126"/>
      <c r="DGJ572" s="126"/>
      <c r="DGK572" s="126"/>
      <c r="DGL572" s="126"/>
      <c r="DGM572" s="126"/>
      <c r="DGN572" s="126"/>
      <c r="DGO572" s="126"/>
      <c r="DGP572" s="126"/>
      <c r="DGQ572" s="126"/>
      <c r="DGR572" s="126"/>
      <c r="DGS572" s="126"/>
      <c r="DGT572" s="126"/>
      <c r="DGU572" s="126"/>
      <c r="DGV572" s="126"/>
      <c r="DGW572" s="126"/>
      <c r="DGX572" s="126"/>
      <c r="DGY572" s="126"/>
      <c r="DGZ572" s="126"/>
      <c r="DHA572" s="126"/>
      <c r="DHB572" s="126"/>
      <c r="DHC572" s="126"/>
      <c r="DHD572" s="126"/>
      <c r="DHE572" s="126"/>
      <c r="DHF572" s="126"/>
      <c r="DHG572" s="126"/>
      <c r="DHH572" s="126"/>
      <c r="DHI572" s="126"/>
      <c r="DHJ572" s="126"/>
      <c r="DHK572" s="126"/>
      <c r="DHL572" s="126"/>
      <c r="DHM572" s="126"/>
      <c r="DHN572" s="126"/>
      <c r="DHO572" s="126"/>
      <c r="DHP572" s="126"/>
      <c r="DHQ572" s="126"/>
      <c r="DHR572" s="126"/>
      <c r="DHS572" s="126"/>
      <c r="DHT572" s="126"/>
      <c r="DHU572" s="126"/>
      <c r="DHV572" s="126"/>
      <c r="DHW572" s="126"/>
      <c r="DHX572" s="126"/>
      <c r="DHY572" s="126"/>
      <c r="DHZ572" s="126"/>
      <c r="DIA572" s="126"/>
      <c r="DIB572" s="126"/>
      <c r="DIC572" s="126"/>
      <c r="DID572" s="126"/>
      <c r="DIE572" s="126"/>
      <c r="DIF572" s="126"/>
      <c r="DIG572" s="126"/>
      <c r="DIH572" s="126"/>
      <c r="DII572" s="126"/>
      <c r="DIJ572" s="126"/>
      <c r="DIK572" s="126"/>
      <c r="DIL572" s="126"/>
      <c r="DIM572" s="126"/>
      <c r="DIN572" s="126"/>
      <c r="DIO572" s="126"/>
      <c r="DIP572" s="126"/>
      <c r="DIQ572" s="126"/>
      <c r="DIR572" s="126"/>
      <c r="DIS572" s="126"/>
      <c r="DIT572" s="126"/>
      <c r="DIU572" s="126"/>
      <c r="DIV572" s="126"/>
      <c r="DIW572" s="126"/>
      <c r="DIX572" s="126"/>
      <c r="DIY572" s="126"/>
      <c r="DIZ572" s="126"/>
      <c r="DJA572" s="126"/>
      <c r="DJB572" s="126"/>
      <c r="DJC572" s="126"/>
      <c r="DJD572" s="126"/>
      <c r="DJE572" s="126"/>
      <c r="DJF572" s="126"/>
      <c r="DJG572" s="126"/>
      <c r="DJH572" s="126"/>
      <c r="DJI572" s="126"/>
      <c r="DJJ572" s="126"/>
      <c r="DJK572" s="126"/>
      <c r="DJL572" s="126"/>
      <c r="DJM572" s="126"/>
      <c r="DJN572" s="126"/>
      <c r="DJO572" s="126"/>
      <c r="DJP572" s="126"/>
      <c r="DJQ572" s="126"/>
      <c r="DJR572" s="126"/>
      <c r="DJS572" s="126"/>
      <c r="DJT572" s="126"/>
      <c r="DJU572" s="126"/>
      <c r="DJV572" s="126"/>
      <c r="DJW572" s="126"/>
      <c r="DJX572" s="126"/>
      <c r="DJY572" s="126"/>
      <c r="DJZ572" s="126"/>
      <c r="DKA572" s="126"/>
      <c r="DKB572" s="126"/>
      <c r="DKC572" s="126"/>
      <c r="DKD572" s="126"/>
      <c r="DKE572" s="126"/>
      <c r="DKF572" s="126"/>
      <c r="DKG572" s="126"/>
      <c r="DKH572" s="126"/>
      <c r="DKI572" s="126"/>
      <c r="DKJ572" s="126"/>
      <c r="DKK572" s="126"/>
      <c r="DKL572" s="126"/>
      <c r="DKM572" s="126"/>
      <c r="DKN572" s="126"/>
      <c r="DKO572" s="126"/>
      <c r="DKP572" s="126"/>
      <c r="DKQ572" s="126"/>
      <c r="DKR572" s="126"/>
      <c r="DKS572" s="126"/>
      <c r="DKT572" s="126"/>
      <c r="DKU572" s="126"/>
      <c r="DKV572" s="126"/>
      <c r="DKW572" s="126"/>
      <c r="DKX572" s="126"/>
      <c r="DKY572" s="126"/>
      <c r="DKZ572" s="126"/>
      <c r="DLA572" s="126"/>
      <c r="DLB572" s="126"/>
      <c r="DLC572" s="126"/>
      <c r="DLD572" s="126"/>
      <c r="DLE572" s="126"/>
      <c r="DLF572" s="126"/>
      <c r="DLG572" s="126"/>
      <c r="DLH572" s="126"/>
      <c r="DLI572" s="126"/>
      <c r="DLJ572" s="126"/>
      <c r="DLK572" s="126"/>
      <c r="DLL572" s="126"/>
      <c r="DLM572" s="126"/>
      <c r="DLN572" s="126"/>
      <c r="DLO572" s="126"/>
      <c r="DLP572" s="126"/>
      <c r="DLQ572" s="126"/>
      <c r="DLR572" s="126"/>
      <c r="DLS572" s="126"/>
      <c r="DLT572" s="126"/>
      <c r="DLU572" s="126"/>
      <c r="DLV572" s="126"/>
      <c r="DLW572" s="126"/>
      <c r="DLX572" s="126"/>
      <c r="DLY572" s="126"/>
      <c r="DLZ572" s="126"/>
      <c r="DMA572" s="126"/>
      <c r="DMB572" s="126"/>
      <c r="DMC572" s="126"/>
      <c r="DMD572" s="126"/>
      <c r="DME572" s="126"/>
      <c r="DMF572" s="126"/>
      <c r="DMG572" s="126"/>
      <c r="DMH572" s="126"/>
      <c r="DMI572" s="126"/>
      <c r="DMJ572" s="126"/>
      <c r="DMK572" s="126"/>
      <c r="DML572" s="126"/>
      <c r="DMM572" s="126"/>
      <c r="DMN572" s="126"/>
      <c r="DMO572" s="126"/>
      <c r="DMP572" s="126"/>
      <c r="DMQ572" s="126"/>
      <c r="DMR572" s="126"/>
      <c r="DMS572" s="126"/>
      <c r="DMT572" s="126"/>
      <c r="DMU572" s="126"/>
      <c r="DMV572" s="126"/>
      <c r="DMW572" s="126"/>
      <c r="DMX572" s="126"/>
      <c r="DMY572" s="126"/>
      <c r="DMZ572" s="126"/>
      <c r="DNA572" s="126"/>
      <c r="DNB572" s="126"/>
      <c r="DNC572" s="126"/>
      <c r="DND572" s="126"/>
      <c r="DNE572" s="126"/>
      <c r="DNF572" s="126"/>
      <c r="DNG572" s="126"/>
      <c r="DNH572" s="126"/>
      <c r="DNI572" s="126"/>
      <c r="DNJ572" s="126"/>
      <c r="DNK572" s="126"/>
      <c r="DNL572" s="126"/>
      <c r="DNM572" s="126"/>
      <c r="DNN572" s="126"/>
      <c r="DNO572" s="126"/>
      <c r="DNP572" s="126"/>
      <c r="DNQ572" s="126"/>
      <c r="DNR572" s="126"/>
      <c r="DNS572" s="126"/>
      <c r="DNT572" s="126"/>
      <c r="DNU572" s="126"/>
      <c r="DNV572" s="126"/>
      <c r="DNW572" s="126"/>
      <c r="DNX572" s="126"/>
      <c r="DNY572" s="126"/>
      <c r="DNZ572" s="126"/>
      <c r="DOA572" s="126"/>
      <c r="DOB572" s="126"/>
      <c r="DOC572" s="126"/>
      <c r="DOD572" s="126"/>
      <c r="DOE572" s="126"/>
      <c r="DOF572" s="126"/>
      <c r="DOG572" s="126"/>
      <c r="DOH572" s="126"/>
      <c r="DOI572" s="126"/>
      <c r="DOJ572" s="126"/>
      <c r="DOK572" s="126"/>
      <c r="DOL572" s="126"/>
      <c r="DOM572" s="126"/>
      <c r="DON572" s="126"/>
      <c r="DOO572" s="126"/>
      <c r="DOP572" s="126"/>
      <c r="DOQ572" s="126"/>
      <c r="DOR572" s="126"/>
      <c r="DOS572" s="126"/>
      <c r="DOT572" s="126"/>
      <c r="DOU572" s="126"/>
      <c r="DOV572" s="126"/>
      <c r="DOW572" s="126"/>
      <c r="DOX572" s="126"/>
      <c r="DOY572" s="126"/>
      <c r="DOZ572" s="126"/>
      <c r="DPA572" s="126"/>
      <c r="DPB572" s="126"/>
      <c r="DPC572" s="126"/>
      <c r="DPD572" s="126"/>
      <c r="DPE572" s="126"/>
      <c r="DPF572" s="126"/>
      <c r="DPG572" s="126"/>
      <c r="DPH572" s="126"/>
      <c r="DPI572" s="126"/>
      <c r="DPJ572" s="126"/>
      <c r="DPK572" s="126"/>
      <c r="DPL572" s="126"/>
      <c r="DPM572" s="126"/>
      <c r="DPN572" s="126"/>
      <c r="DPO572" s="126"/>
      <c r="DPP572" s="126"/>
      <c r="DPQ572" s="126"/>
      <c r="DPR572" s="126"/>
      <c r="DPS572" s="126"/>
      <c r="DPT572" s="126"/>
      <c r="DPU572" s="126"/>
      <c r="DPV572" s="126"/>
      <c r="DPW572" s="126"/>
      <c r="DPX572" s="126"/>
      <c r="DPY572" s="126"/>
      <c r="DPZ572" s="126"/>
      <c r="DQA572" s="126"/>
      <c r="DQB572" s="126"/>
      <c r="DQC572" s="126"/>
      <c r="DQD572" s="126"/>
      <c r="DQE572" s="126"/>
      <c r="DQF572" s="126"/>
      <c r="DQG572" s="126"/>
      <c r="DQH572" s="126"/>
      <c r="DQI572" s="126"/>
      <c r="DQJ572" s="126"/>
      <c r="DQK572" s="126"/>
      <c r="DQL572" s="126"/>
      <c r="DQM572" s="126"/>
      <c r="DQN572" s="126"/>
      <c r="DQO572" s="126"/>
      <c r="DQP572" s="126"/>
      <c r="DQQ572" s="126"/>
      <c r="DQR572" s="126"/>
      <c r="DQS572" s="126"/>
      <c r="DQT572" s="126"/>
      <c r="DQU572" s="126"/>
      <c r="DQV572" s="126"/>
      <c r="DQW572" s="126"/>
      <c r="DQX572" s="126"/>
      <c r="DQY572" s="126"/>
      <c r="DQZ572" s="126"/>
      <c r="DRA572" s="126"/>
      <c r="DRB572" s="126"/>
      <c r="DRC572" s="126"/>
      <c r="DRD572" s="126"/>
      <c r="DRE572" s="126"/>
      <c r="DRF572" s="126"/>
      <c r="DRG572" s="126"/>
      <c r="DRH572" s="126"/>
      <c r="DRI572" s="126"/>
      <c r="DRJ572" s="126"/>
      <c r="DRK572" s="126"/>
      <c r="DRL572" s="126"/>
      <c r="DRM572" s="126"/>
      <c r="DRN572" s="126"/>
      <c r="DRO572" s="126"/>
      <c r="DRP572" s="126"/>
      <c r="DRQ572" s="126"/>
      <c r="DRR572" s="126"/>
      <c r="DRS572" s="126"/>
      <c r="DRT572" s="126"/>
      <c r="DRU572" s="126"/>
      <c r="DRV572" s="126"/>
      <c r="DRW572" s="126"/>
      <c r="DRX572" s="126"/>
      <c r="DRY572" s="126"/>
      <c r="DRZ572" s="126"/>
      <c r="DSA572" s="126"/>
      <c r="DSB572" s="126"/>
      <c r="DSC572" s="126"/>
      <c r="DSD572" s="126"/>
      <c r="DSE572" s="126"/>
      <c r="DSF572" s="126"/>
      <c r="DSG572" s="126"/>
      <c r="DSH572" s="126"/>
      <c r="DSI572" s="126"/>
      <c r="DSJ572" s="126"/>
      <c r="DSK572" s="126"/>
      <c r="DSL572" s="126"/>
      <c r="DSM572" s="126"/>
      <c r="DSN572" s="126"/>
      <c r="DSO572" s="126"/>
      <c r="DSP572" s="126"/>
      <c r="DSQ572" s="126"/>
      <c r="DSR572" s="126"/>
      <c r="DSS572" s="126"/>
      <c r="DST572" s="126"/>
      <c r="DSU572" s="126"/>
      <c r="DSV572" s="126"/>
      <c r="DSW572" s="126"/>
      <c r="DSX572" s="126"/>
      <c r="DSY572" s="126"/>
      <c r="DSZ572" s="126"/>
      <c r="DTA572" s="126"/>
      <c r="DTB572" s="126"/>
      <c r="DTC572" s="126"/>
      <c r="DTD572" s="126"/>
      <c r="DTE572" s="126"/>
      <c r="DTF572" s="126"/>
      <c r="DTG572" s="126"/>
      <c r="DTH572" s="126"/>
      <c r="DTI572" s="126"/>
      <c r="DTJ572" s="126"/>
      <c r="DTK572" s="126"/>
      <c r="DTL572" s="126"/>
      <c r="DTM572" s="126"/>
      <c r="DTN572" s="126"/>
      <c r="DTO572" s="126"/>
      <c r="DTP572" s="126"/>
      <c r="DTQ572" s="126"/>
      <c r="DTR572" s="126"/>
      <c r="DTS572" s="126"/>
      <c r="DTT572" s="126"/>
      <c r="DTU572" s="126"/>
      <c r="DTV572" s="126"/>
      <c r="DTW572" s="126"/>
      <c r="DTX572" s="126"/>
      <c r="DTY572" s="126"/>
      <c r="DTZ572" s="126"/>
      <c r="DUA572" s="126"/>
      <c r="DUB572" s="126"/>
      <c r="DUC572" s="126"/>
      <c r="DUD572" s="126"/>
      <c r="DUE572" s="126"/>
      <c r="DUF572" s="126"/>
      <c r="DUG572" s="126"/>
      <c r="DUH572" s="126"/>
      <c r="DUI572" s="126"/>
      <c r="DUJ572" s="126"/>
      <c r="DUK572" s="126"/>
      <c r="DUL572" s="126"/>
      <c r="DUM572" s="126"/>
      <c r="DUN572" s="126"/>
      <c r="DUO572" s="126"/>
      <c r="DUP572" s="126"/>
      <c r="DUQ572" s="126"/>
      <c r="DUR572" s="126"/>
      <c r="DUS572" s="126"/>
      <c r="DUT572" s="126"/>
      <c r="DUU572" s="126"/>
      <c r="DUV572" s="126"/>
      <c r="DUW572" s="126"/>
      <c r="DUX572" s="126"/>
      <c r="DUY572" s="126"/>
      <c r="DUZ572" s="126"/>
      <c r="DVA572" s="126"/>
      <c r="DVB572" s="126"/>
      <c r="DVC572" s="126"/>
      <c r="DVD572" s="126"/>
      <c r="DVE572" s="126"/>
      <c r="DVF572" s="126"/>
      <c r="DVG572" s="126"/>
      <c r="DVH572" s="126"/>
      <c r="DVI572" s="126"/>
      <c r="DVJ572" s="126"/>
      <c r="DVK572" s="126"/>
      <c r="DVL572" s="126"/>
      <c r="DVM572" s="126"/>
      <c r="DVN572" s="126"/>
      <c r="DVO572" s="126"/>
      <c r="DVP572" s="126"/>
      <c r="DVQ572" s="126"/>
      <c r="DVR572" s="126"/>
      <c r="DVS572" s="126"/>
      <c r="DVT572" s="126"/>
      <c r="DVU572" s="126"/>
      <c r="DVV572" s="126"/>
      <c r="DVW572" s="126"/>
      <c r="DVX572" s="126"/>
      <c r="DVY572" s="126"/>
      <c r="DVZ572" s="126"/>
      <c r="DWA572" s="126"/>
      <c r="DWB572" s="126"/>
      <c r="DWC572" s="126"/>
      <c r="DWD572" s="126"/>
      <c r="DWE572" s="126"/>
      <c r="DWF572" s="126"/>
      <c r="DWG572" s="126"/>
      <c r="DWH572" s="126"/>
      <c r="DWI572" s="126"/>
      <c r="DWJ572" s="126"/>
      <c r="DWK572" s="126"/>
      <c r="DWL572" s="126"/>
      <c r="DWM572" s="126"/>
      <c r="DWN572" s="126"/>
      <c r="DWO572" s="126"/>
      <c r="DWP572" s="126"/>
      <c r="DWQ572" s="126"/>
      <c r="DWR572" s="126"/>
      <c r="DWS572" s="126"/>
      <c r="DWT572" s="126"/>
      <c r="DWU572" s="126"/>
      <c r="DWV572" s="126"/>
      <c r="DWW572" s="126"/>
      <c r="DWX572" s="126"/>
      <c r="DWY572" s="126"/>
      <c r="DWZ572" s="126"/>
      <c r="DXA572" s="126"/>
      <c r="DXB572" s="126"/>
      <c r="DXC572" s="126"/>
      <c r="DXD572" s="126"/>
      <c r="DXE572" s="126"/>
      <c r="DXF572" s="126"/>
      <c r="DXG572" s="126"/>
      <c r="DXH572" s="126"/>
      <c r="DXI572" s="126"/>
      <c r="DXJ572" s="126"/>
      <c r="DXK572" s="126"/>
      <c r="DXL572" s="126"/>
      <c r="DXM572" s="126"/>
      <c r="DXN572" s="126"/>
      <c r="DXO572" s="126"/>
      <c r="DXP572" s="126"/>
      <c r="DXQ572" s="126"/>
      <c r="DXR572" s="126"/>
      <c r="DXS572" s="126"/>
      <c r="DXT572" s="126"/>
      <c r="DXU572" s="126"/>
      <c r="DXV572" s="126"/>
      <c r="DXW572" s="126"/>
      <c r="DXX572" s="126"/>
      <c r="DXY572" s="126"/>
      <c r="DXZ572" s="126"/>
      <c r="DYA572" s="126"/>
      <c r="DYB572" s="126"/>
      <c r="DYC572" s="126"/>
      <c r="DYD572" s="126"/>
      <c r="DYE572" s="126"/>
      <c r="DYF572" s="126"/>
      <c r="DYG572" s="126"/>
      <c r="DYH572" s="126"/>
      <c r="DYI572" s="126"/>
      <c r="DYJ572" s="126"/>
      <c r="DYK572" s="126"/>
      <c r="DYL572" s="126"/>
      <c r="DYM572" s="126"/>
      <c r="DYN572" s="126"/>
      <c r="DYO572" s="126"/>
      <c r="DYP572" s="126"/>
      <c r="DYQ572" s="126"/>
      <c r="DYR572" s="126"/>
      <c r="DYS572" s="126"/>
      <c r="DYT572" s="126"/>
      <c r="DYU572" s="126"/>
      <c r="DYV572" s="126"/>
      <c r="DYW572" s="126"/>
      <c r="DYX572" s="126"/>
      <c r="DYY572" s="126"/>
      <c r="DYZ572" s="126"/>
      <c r="DZA572" s="126"/>
      <c r="DZB572" s="126"/>
      <c r="DZC572" s="126"/>
      <c r="DZD572" s="126"/>
      <c r="DZE572" s="126"/>
      <c r="DZF572" s="126"/>
      <c r="DZG572" s="126"/>
      <c r="DZH572" s="126"/>
      <c r="DZI572" s="126"/>
      <c r="DZJ572" s="126"/>
      <c r="DZK572" s="126"/>
      <c r="DZL572" s="126"/>
      <c r="DZM572" s="126"/>
      <c r="DZN572" s="126"/>
      <c r="DZO572" s="126"/>
      <c r="DZP572" s="126"/>
      <c r="DZQ572" s="126"/>
      <c r="DZR572" s="126"/>
      <c r="DZS572" s="126"/>
      <c r="DZT572" s="126"/>
      <c r="DZU572" s="126"/>
      <c r="DZV572" s="126"/>
      <c r="DZW572" s="126"/>
      <c r="DZX572" s="126"/>
      <c r="DZY572" s="126"/>
      <c r="DZZ572" s="126"/>
      <c r="EAA572" s="126"/>
      <c r="EAB572" s="126"/>
      <c r="EAC572" s="126"/>
      <c r="EAD572" s="126"/>
      <c r="EAE572" s="126"/>
      <c r="EAF572" s="126"/>
      <c r="EAG572" s="126"/>
      <c r="EAH572" s="126"/>
      <c r="EAI572" s="126"/>
      <c r="EAJ572" s="126"/>
      <c r="EAK572" s="126"/>
      <c r="EAL572" s="126"/>
      <c r="EAM572" s="126"/>
      <c r="EAN572" s="126"/>
      <c r="EAO572" s="126"/>
      <c r="EAP572" s="126"/>
      <c r="EAQ572" s="126"/>
      <c r="EAR572" s="126"/>
      <c r="EAS572" s="126"/>
      <c r="EAT572" s="126"/>
      <c r="EAU572" s="126"/>
      <c r="EAV572" s="126"/>
      <c r="EAW572" s="126"/>
      <c r="EAX572" s="126"/>
      <c r="EAY572" s="126"/>
      <c r="EAZ572" s="126"/>
      <c r="EBA572" s="126"/>
      <c r="EBB572" s="126"/>
      <c r="EBC572" s="126"/>
      <c r="EBD572" s="126"/>
      <c r="EBE572" s="126"/>
      <c r="EBF572" s="126"/>
      <c r="EBG572" s="126"/>
      <c r="EBH572" s="126"/>
      <c r="EBI572" s="126"/>
      <c r="EBJ572" s="126"/>
      <c r="EBK572" s="126"/>
      <c r="EBL572" s="126"/>
      <c r="EBM572" s="126"/>
      <c r="EBN572" s="126"/>
      <c r="EBO572" s="126"/>
      <c r="EBP572" s="126"/>
      <c r="EBQ572" s="126"/>
      <c r="EBR572" s="126"/>
      <c r="EBS572" s="126"/>
      <c r="EBT572" s="126"/>
      <c r="EBU572" s="126"/>
      <c r="EBV572" s="126"/>
      <c r="EBW572" s="126"/>
      <c r="EBX572" s="126"/>
      <c r="EBY572" s="126"/>
      <c r="EBZ572" s="126"/>
      <c r="ECA572" s="126"/>
      <c r="ECB572" s="126"/>
      <c r="ECC572" s="126"/>
      <c r="ECD572" s="126"/>
      <c r="ECE572" s="126"/>
      <c r="ECF572" s="126"/>
      <c r="ECG572" s="126"/>
      <c r="ECH572" s="126"/>
      <c r="ECI572" s="126"/>
      <c r="ECJ572" s="126"/>
      <c r="ECK572" s="126"/>
      <c r="ECL572" s="126"/>
      <c r="ECM572" s="126"/>
      <c r="ECN572" s="126"/>
      <c r="ECO572" s="126"/>
      <c r="ECP572" s="126"/>
      <c r="ECQ572" s="126"/>
      <c r="ECR572" s="126"/>
      <c r="ECS572" s="126"/>
      <c r="ECT572" s="126"/>
      <c r="ECU572" s="126"/>
      <c r="ECV572" s="126"/>
      <c r="ECW572" s="126"/>
      <c r="ECX572" s="126"/>
      <c r="ECY572" s="126"/>
      <c r="ECZ572" s="126"/>
      <c r="EDA572" s="126"/>
      <c r="EDB572" s="126"/>
      <c r="EDC572" s="126"/>
      <c r="EDD572" s="126"/>
      <c r="EDE572" s="126"/>
      <c r="EDF572" s="126"/>
      <c r="EDG572" s="126"/>
      <c r="EDH572" s="126"/>
      <c r="EDI572" s="126"/>
      <c r="EDJ572" s="126"/>
      <c r="EDK572" s="126"/>
      <c r="EDL572" s="126"/>
      <c r="EDM572" s="126"/>
      <c r="EDN572" s="126"/>
      <c r="EDO572" s="126"/>
      <c r="EDP572" s="126"/>
      <c r="EDQ572" s="126"/>
      <c r="EDR572" s="126"/>
      <c r="EDS572" s="126"/>
      <c r="EDT572" s="126"/>
      <c r="EDU572" s="126"/>
      <c r="EDV572" s="126"/>
      <c r="EDW572" s="126"/>
      <c r="EDX572" s="126"/>
      <c r="EDY572" s="126"/>
      <c r="EDZ572" s="126"/>
      <c r="EEA572" s="126"/>
      <c r="EEB572" s="126"/>
      <c r="EEC572" s="126"/>
      <c r="EED572" s="126"/>
      <c r="EEE572" s="126"/>
      <c r="EEF572" s="126"/>
      <c r="EEG572" s="126"/>
      <c r="EEH572" s="126"/>
      <c r="EEI572" s="126"/>
      <c r="EEJ572" s="126"/>
      <c r="EEK572" s="126"/>
      <c r="EEL572" s="126"/>
      <c r="EEM572" s="126"/>
      <c r="EEN572" s="126"/>
      <c r="EEO572" s="126"/>
      <c r="EEP572" s="126"/>
      <c r="EEQ572" s="126"/>
      <c r="EER572" s="126"/>
      <c r="EES572" s="126"/>
      <c r="EET572" s="126"/>
      <c r="EEU572" s="126"/>
      <c r="EEV572" s="126"/>
      <c r="EEW572" s="126"/>
      <c r="EEX572" s="126"/>
      <c r="EEY572" s="126"/>
      <c r="EEZ572" s="126"/>
      <c r="EFA572" s="126"/>
      <c r="EFB572" s="126"/>
      <c r="EFC572" s="126"/>
      <c r="EFD572" s="126"/>
      <c r="EFE572" s="126"/>
      <c r="EFF572" s="126"/>
      <c r="EFG572" s="126"/>
      <c r="EFH572" s="126"/>
      <c r="EFI572" s="126"/>
      <c r="EFJ572" s="126"/>
      <c r="EFK572" s="126"/>
      <c r="EFL572" s="126"/>
      <c r="EFM572" s="126"/>
      <c r="EFN572" s="126"/>
      <c r="EFO572" s="126"/>
      <c r="EFP572" s="126"/>
      <c r="EFQ572" s="126"/>
      <c r="EFR572" s="126"/>
      <c r="EFS572" s="126"/>
      <c r="EFT572" s="126"/>
      <c r="EFU572" s="126"/>
      <c r="EFV572" s="126"/>
      <c r="EFW572" s="126"/>
      <c r="EFX572" s="126"/>
      <c r="EFY572" s="126"/>
      <c r="EFZ572" s="126"/>
      <c r="EGA572" s="126"/>
      <c r="EGB572" s="126"/>
      <c r="EGC572" s="126"/>
      <c r="EGD572" s="126"/>
      <c r="EGE572" s="126"/>
      <c r="EGF572" s="126"/>
      <c r="EGG572" s="126"/>
      <c r="EGH572" s="126"/>
      <c r="EGI572" s="126"/>
      <c r="EGJ572" s="126"/>
      <c r="EGK572" s="126"/>
      <c r="EGL572" s="126"/>
      <c r="EGM572" s="126"/>
      <c r="EGN572" s="126"/>
      <c r="EGO572" s="126"/>
      <c r="EGP572" s="126"/>
      <c r="EGQ572" s="126"/>
      <c r="EGR572" s="126"/>
      <c r="EGS572" s="126"/>
      <c r="EGT572" s="126"/>
      <c r="EGU572" s="126"/>
      <c r="EGV572" s="126"/>
      <c r="EGW572" s="126"/>
      <c r="EGX572" s="126"/>
      <c r="EGY572" s="126"/>
      <c r="EGZ572" s="126"/>
      <c r="EHA572" s="126"/>
      <c r="EHB572" s="126"/>
      <c r="EHC572" s="126"/>
      <c r="EHD572" s="126"/>
      <c r="EHE572" s="126"/>
      <c r="EHF572" s="126"/>
      <c r="EHG572" s="126"/>
      <c r="EHH572" s="126"/>
      <c r="EHI572" s="126"/>
      <c r="EHJ572" s="126"/>
      <c r="EHK572" s="126"/>
      <c r="EHL572" s="126"/>
      <c r="EHM572" s="126"/>
      <c r="EHN572" s="126"/>
      <c r="EHO572" s="126"/>
      <c r="EHP572" s="126"/>
      <c r="EHQ572" s="126"/>
      <c r="EHR572" s="126"/>
      <c r="EHS572" s="126"/>
      <c r="EHT572" s="126"/>
      <c r="EHU572" s="126"/>
      <c r="EHV572" s="126"/>
      <c r="EHW572" s="126"/>
      <c r="EHX572" s="126"/>
      <c r="EHY572" s="126"/>
      <c r="EHZ572" s="126"/>
      <c r="EIA572" s="126"/>
      <c r="EIB572" s="126"/>
      <c r="EIC572" s="126"/>
      <c r="EID572" s="126"/>
      <c r="EIE572" s="126"/>
      <c r="EIF572" s="126"/>
      <c r="EIG572" s="126"/>
      <c r="EIH572" s="126"/>
      <c r="EII572" s="126"/>
      <c r="EIJ572" s="126"/>
      <c r="EIK572" s="126"/>
      <c r="EIL572" s="126"/>
      <c r="EIM572" s="126"/>
      <c r="EIN572" s="126"/>
      <c r="EIO572" s="126"/>
      <c r="EIP572" s="126"/>
      <c r="EIQ572" s="126"/>
      <c r="EIR572" s="126"/>
      <c r="EIS572" s="126"/>
      <c r="EIT572" s="126"/>
      <c r="EIU572" s="126"/>
      <c r="EIV572" s="126"/>
      <c r="EIW572" s="126"/>
      <c r="EIX572" s="126"/>
      <c r="EIY572" s="126"/>
      <c r="EIZ572" s="126"/>
      <c r="EJA572" s="126"/>
      <c r="EJB572" s="126"/>
      <c r="EJC572" s="126"/>
      <c r="EJD572" s="126"/>
      <c r="EJE572" s="126"/>
      <c r="EJF572" s="126"/>
      <c r="EJG572" s="126"/>
      <c r="EJH572" s="126"/>
      <c r="EJI572" s="126"/>
      <c r="EJJ572" s="126"/>
      <c r="EJK572" s="126"/>
      <c r="EJL572" s="126"/>
      <c r="EJM572" s="126"/>
      <c r="EJN572" s="126"/>
      <c r="EJO572" s="126"/>
      <c r="EJP572" s="126"/>
      <c r="EJQ572" s="126"/>
      <c r="EJR572" s="126"/>
      <c r="EJS572" s="126"/>
      <c r="EJT572" s="126"/>
      <c r="EJU572" s="126"/>
      <c r="EJV572" s="126"/>
      <c r="EJW572" s="126"/>
      <c r="EJX572" s="126"/>
      <c r="EJY572" s="126"/>
      <c r="EJZ572" s="126"/>
      <c r="EKA572" s="126"/>
      <c r="EKB572" s="126"/>
      <c r="EKC572" s="126"/>
      <c r="EKD572" s="126"/>
      <c r="EKE572" s="126"/>
      <c r="EKF572" s="126"/>
      <c r="EKG572" s="126"/>
      <c r="EKH572" s="126"/>
      <c r="EKI572" s="126"/>
      <c r="EKJ572" s="126"/>
      <c r="EKK572" s="126"/>
      <c r="EKL572" s="126"/>
      <c r="EKM572" s="126"/>
      <c r="EKN572" s="126"/>
      <c r="EKO572" s="126"/>
      <c r="EKP572" s="126"/>
      <c r="EKQ572" s="126"/>
      <c r="EKR572" s="126"/>
      <c r="EKS572" s="126"/>
      <c r="EKT572" s="126"/>
      <c r="EKU572" s="126"/>
      <c r="EKV572" s="126"/>
      <c r="EKW572" s="126"/>
      <c r="EKX572" s="126"/>
      <c r="EKY572" s="126"/>
      <c r="EKZ572" s="126"/>
      <c r="ELA572" s="126"/>
      <c r="ELB572" s="126"/>
      <c r="ELC572" s="126"/>
      <c r="ELD572" s="126"/>
      <c r="ELE572" s="126"/>
      <c r="ELF572" s="126"/>
      <c r="ELG572" s="126"/>
      <c r="ELH572" s="126"/>
      <c r="ELI572" s="126"/>
      <c r="ELJ572" s="126"/>
      <c r="ELK572" s="126"/>
      <c r="ELL572" s="126"/>
      <c r="ELM572" s="126"/>
      <c r="ELN572" s="126"/>
      <c r="ELO572" s="126"/>
      <c r="ELP572" s="126"/>
      <c r="ELQ572" s="126"/>
      <c r="ELR572" s="126"/>
      <c r="ELS572" s="126"/>
      <c r="ELT572" s="126"/>
      <c r="ELU572" s="126"/>
      <c r="ELV572" s="126"/>
      <c r="ELW572" s="126"/>
      <c r="ELX572" s="126"/>
      <c r="ELY572" s="126"/>
      <c r="ELZ572" s="126"/>
      <c r="EMA572" s="126"/>
      <c r="EMB572" s="126"/>
      <c r="EMC572" s="126"/>
      <c r="EMD572" s="126"/>
      <c r="EME572" s="126"/>
      <c r="EMF572" s="126"/>
      <c r="EMG572" s="126"/>
      <c r="EMH572" s="126"/>
      <c r="EMI572" s="126"/>
      <c r="EMJ572" s="126"/>
      <c r="EMK572" s="126"/>
      <c r="EML572" s="126"/>
      <c r="EMM572" s="126"/>
      <c r="EMN572" s="126"/>
      <c r="EMO572" s="126"/>
      <c r="EMP572" s="126"/>
      <c r="EMQ572" s="126"/>
      <c r="EMR572" s="126"/>
      <c r="EMS572" s="126"/>
      <c r="EMT572" s="126"/>
      <c r="EMU572" s="126"/>
      <c r="EMV572" s="126"/>
      <c r="EMW572" s="126"/>
      <c r="EMX572" s="126"/>
      <c r="EMY572" s="126"/>
      <c r="EMZ572" s="126"/>
      <c r="ENA572" s="126"/>
      <c r="ENB572" s="126"/>
      <c r="ENC572" s="126"/>
      <c r="END572" s="126"/>
      <c r="ENE572" s="126"/>
      <c r="ENF572" s="126"/>
      <c r="ENG572" s="126"/>
      <c r="ENH572" s="126"/>
      <c r="ENI572" s="126"/>
      <c r="ENJ572" s="126"/>
      <c r="ENK572" s="126"/>
      <c r="ENL572" s="126"/>
      <c r="ENM572" s="126"/>
      <c r="ENN572" s="126"/>
      <c r="ENO572" s="126"/>
      <c r="ENP572" s="126"/>
      <c r="ENQ572" s="126"/>
      <c r="ENR572" s="126"/>
      <c r="ENS572" s="126"/>
      <c r="ENT572" s="126"/>
      <c r="ENU572" s="126"/>
      <c r="ENV572" s="126"/>
      <c r="ENW572" s="126"/>
      <c r="ENX572" s="126"/>
      <c r="ENY572" s="126"/>
      <c r="ENZ572" s="126"/>
      <c r="EOA572" s="126"/>
      <c r="EOB572" s="126"/>
      <c r="EOC572" s="126"/>
      <c r="EOD572" s="126"/>
      <c r="EOE572" s="126"/>
      <c r="EOF572" s="126"/>
      <c r="EOG572" s="126"/>
      <c r="EOH572" s="126"/>
      <c r="EOI572" s="126"/>
      <c r="EOJ572" s="126"/>
      <c r="EOK572" s="126"/>
      <c r="EOL572" s="126"/>
      <c r="EOM572" s="126"/>
      <c r="EON572" s="126"/>
      <c r="EOO572" s="126"/>
      <c r="EOP572" s="126"/>
      <c r="EOQ572" s="126"/>
      <c r="EOR572" s="126"/>
      <c r="EOS572" s="126"/>
      <c r="EOT572" s="126"/>
      <c r="EOU572" s="126"/>
      <c r="EOV572" s="126"/>
      <c r="EOW572" s="126"/>
      <c r="EOX572" s="126"/>
      <c r="EOY572" s="126"/>
      <c r="EOZ572" s="126"/>
      <c r="EPA572" s="126"/>
      <c r="EPB572" s="126"/>
      <c r="EPC572" s="126"/>
      <c r="EPD572" s="126"/>
      <c r="EPE572" s="126"/>
      <c r="EPF572" s="126"/>
      <c r="EPG572" s="126"/>
      <c r="EPH572" s="126"/>
      <c r="EPI572" s="126"/>
      <c r="EPJ572" s="126"/>
      <c r="EPK572" s="126"/>
      <c r="EPL572" s="126"/>
      <c r="EPM572" s="126"/>
      <c r="EPN572" s="126"/>
      <c r="EPO572" s="126"/>
      <c r="EPP572" s="126"/>
      <c r="EPQ572" s="126"/>
      <c r="EPR572" s="126"/>
      <c r="EPS572" s="126"/>
      <c r="EPT572" s="126"/>
      <c r="EPU572" s="126"/>
      <c r="EPV572" s="126"/>
      <c r="EPW572" s="126"/>
      <c r="EPX572" s="126"/>
      <c r="EPY572" s="126"/>
      <c r="EPZ572" s="126"/>
      <c r="EQA572" s="126"/>
      <c r="EQB572" s="126"/>
      <c r="EQC572" s="126"/>
      <c r="EQD572" s="126"/>
      <c r="EQE572" s="126"/>
      <c r="EQF572" s="126"/>
      <c r="EQG572" s="126"/>
      <c r="EQH572" s="126"/>
      <c r="EQI572" s="126"/>
      <c r="EQJ572" s="126"/>
      <c r="EQK572" s="126"/>
      <c r="EQL572" s="126"/>
      <c r="EQM572" s="126"/>
      <c r="EQN572" s="126"/>
      <c r="EQO572" s="126"/>
      <c r="EQP572" s="126"/>
      <c r="EQQ572" s="126"/>
      <c r="EQR572" s="126"/>
      <c r="EQS572" s="126"/>
      <c r="EQT572" s="126"/>
      <c r="EQU572" s="126"/>
      <c r="EQV572" s="126"/>
      <c r="EQW572" s="126"/>
      <c r="EQX572" s="126"/>
      <c r="EQY572" s="126"/>
      <c r="EQZ572" s="126"/>
      <c r="ERA572" s="126"/>
      <c r="ERB572" s="126"/>
      <c r="ERC572" s="126"/>
      <c r="ERD572" s="126"/>
      <c r="ERE572" s="126"/>
      <c r="ERF572" s="126"/>
      <c r="ERG572" s="126"/>
      <c r="ERH572" s="126"/>
      <c r="ERI572" s="126"/>
      <c r="ERJ572" s="126"/>
      <c r="ERK572" s="126"/>
      <c r="ERL572" s="126"/>
      <c r="ERM572" s="126"/>
      <c r="ERN572" s="126"/>
      <c r="ERO572" s="126"/>
      <c r="ERP572" s="126"/>
      <c r="ERQ572" s="126"/>
      <c r="ERR572" s="126"/>
      <c r="ERS572" s="126"/>
      <c r="ERT572" s="126"/>
      <c r="ERU572" s="126"/>
      <c r="ERV572" s="126"/>
      <c r="ERW572" s="126"/>
      <c r="ERX572" s="126"/>
      <c r="ERY572" s="126"/>
      <c r="ERZ572" s="126"/>
      <c r="ESA572" s="126"/>
      <c r="ESB572" s="126"/>
      <c r="ESC572" s="126"/>
      <c r="ESD572" s="126"/>
      <c r="ESE572" s="126"/>
      <c r="ESF572" s="126"/>
      <c r="ESG572" s="126"/>
      <c r="ESH572" s="126"/>
      <c r="ESI572" s="126"/>
      <c r="ESJ572" s="126"/>
      <c r="ESK572" s="126"/>
      <c r="ESL572" s="126"/>
      <c r="ESM572" s="126"/>
      <c r="ESN572" s="126"/>
      <c r="ESO572" s="126"/>
      <c r="ESP572" s="126"/>
      <c r="ESQ572" s="126"/>
      <c r="ESR572" s="126"/>
      <c r="ESS572" s="126"/>
      <c r="EST572" s="126"/>
      <c r="ESU572" s="126"/>
      <c r="ESV572" s="126"/>
      <c r="ESW572" s="126"/>
      <c r="ESX572" s="126"/>
      <c r="ESY572" s="126"/>
      <c r="ESZ572" s="126"/>
      <c r="ETA572" s="126"/>
      <c r="ETB572" s="126"/>
      <c r="ETC572" s="126"/>
      <c r="ETD572" s="126"/>
      <c r="ETE572" s="126"/>
      <c r="ETF572" s="126"/>
      <c r="ETG572" s="126"/>
      <c r="ETH572" s="126"/>
      <c r="ETI572" s="126"/>
      <c r="ETJ572" s="126"/>
      <c r="ETK572" s="126"/>
      <c r="ETL572" s="126"/>
      <c r="ETM572" s="126"/>
      <c r="ETN572" s="126"/>
      <c r="ETO572" s="126"/>
      <c r="ETP572" s="126"/>
      <c r="ETQ572" s="126"/>
      <c r="ETR572" s="126"/>
      <c r="ETS572" s="126"/>
      <c r="ETT572" s="126"/>
      <c r="ETU572" s="126"/>
      <c r="ETV572" s="126"/>
      <c r="ETW572" s="126"/>
      <c r="ETX572" s="126"/>
      <c r="ETY572" s="126"/>
      <c r="ETZ572" s="126"/>
      <c r="EUA572" s="126"/>
      <c r="EUB572" s="126"/>
      <c r="EUC572" s="126"/>
      <c r="EUD572" s="126"/>
      <c r="EUE572" s="126"/>
      <c r="EUF572" s="126"/>
      <c r="EUG572" s="126"/>
      <c r="EUH572" s="126"/>
      <c r="EUI572" s="126"/>
      <c r="EUJ572" s="126"/>
      <c r="EUK572" s="126"/>
      <c r="EUL572" s="126"/>
      <c r="EUM572" s="126"/>
      <c r="EUN572" s="126"/>
      <c r="EUO572" s="126"/>
      <c r="EUP572" s="126"/>
      <c r="EUQ572" s="126"/>
      <c r="EUR572" s="126"/>
      <c r="EUS572" s="126"/>
      <c r="EUT572" s="126"/>
      <c r="EUU572" s="126"/>
      <c r="EUV572" s="126"/>
      <c r="EUW572" s="126"/>
      <c r="EUX572" s="126"/>
      <c r="EUY572" s="126"/>
      <c r="EUZ572" s="126"/>
      <c r="EVA572" s="126"/>
      <c r="EVB572" s="126"/>
      <c r="EVC572" s="126"/>
      <c r="EVD572" s="126"/>
      <c r="EVE572" s="126"/>
      <c r="EVF572" s="126"/>
      <c r="EVG572" s="126"/>
      <c r="EVH572" s="126"/>
      <c r="EVI572" s="126"/>
      <c r="EVJ572" s="126"/>
      <c r="EVK572" s="126"/>
      <c r="EVL572" s="126"/>
      <c r="EVM572" s="126"/>
      <c r="EVN572" s="126"/>
      <c r="EVO572" s="126"/>
      <c r="EVP572" s="126"/>
      <c r="EVQ572" s="126"/>
      <c r="EVR572" s="126"/>
      <c r="EVS572" s="126"/>
      <c r="EVT572" s="126"/>
      <c r="EVU572" s="126"/>
      <c r="EVV572" s="126"/>
      <c r="EVW572" s="126"/>
      <c r="EVX572" s="126"/>
      <c r="EVY572" s="126"/>
      <c r="EVZ572" s="126"/>
      <c r="EWA572" s="126"/>
      <c r="EWB572" s="126"/>
      <c r="EWC572" s="126"/>
      <c r="EWD572" s="126"/>
      <c r="EWE572" s="126"/>
      <c r="EWF572" s="126"/>
      <c r="EWG572" s="126"/>
      <c r="EWH572" s="126"/>
      <c r="EWI572" s="126"/>
      <c r="EWJ572" s="126"/>
      <c r="EWK572" s="126"/>
      <c r="EWL572" s="126"/>
      <c r="EWM572" s="126"/>
      <c r="EWN572" s="126"/>
      <c r="EWO572" s="126"/>
      <c r="EWP572" s="126"/>
      <c r="EWQ572" s="126"/>
      <c r="EWR572" s="126"/>
      <c r="EWS572" s="126"/>
      <c r="EWT572" s="126"/>
      <c r="EWU572" s="126"/>
      <c r="EWV572" s="126"/>
      <c r="EWW572" s="126"/>
      <c r="EWX572" s="126"/>
      <c r="EWY572" s="126"/>
      <c r="EWZ572" s="126"/>
      <c r="EXA572" s="126"/>
      <c r="EXB572" s="126"/>
      <c r="EXC572" s="126"/>
      <c r="EXD572" s="126"/>
      <c r="EXE572" s="126"/>
      <c r="EXF572" s="126"/>
      <c r="EXG572" s="126"/>
      <c r="EXH572" s="126"/>
      <c r="EXI572" s="126"/>
      <c r="EXJ572" s="126"/>
      <c r="EXK572" s="126"/>
      <c r="EXL572" s="126"/>
      <c r="EXM572" s="126"/>
      <c r="EXN572" s="126"/>
      <c r="EXO572" s="126"/>
      <c r="EXP572" s="126"/>
      <c r="EXQ572" s="126"/>
      <c r="EXR572" s="126"/>
      <c r="EXS572" s="126"/>
      <c r="EXT572" s="126"/>
      <c r="EXU572" s="126"/>
      <c r="EXV572" s="126"/>
      <c r="EXW572" s="126"/>
      <c r="EXX572" s="126"/>
      <c r="EXY572" s="126"/>
      <c r="EXZ572" s="126"/>
      <c r="EYA572" s="126"/>
      <c r="EYB572" s="126"/>
      <c r="EYC572" s="126"/>
      <c r="EYD572" s="126"/>
      <c r="EYE572" s="126"/>
      <c r="EYF572" s="126"/>
      <c r="EYG572" s="126"/>
      <c r="EYH572" s="126"/>
      <c r="EYI572" s="126"/>
      <c r="EYJ572" s="126"/>
      <c r="EYK572" s="126"/>
      <c r="EYL572" s="126"/>
      <c r="EYM572" s="126"/>
      <c r="EYN572" s="126"/>
      <c r="EYO572" s="126"/>
      <c r="EYP572" s="126"/>
      <c r="EYQ572" s="126"/>
      <c r="EYR572" s="126"/>
      <c r="EYS572" s="126"/>
      <c r="EYT572" s="126"/>
      <c r="EYU572" s="126"/>
      <c r="EYV572" s="126"/>
      <c r="EYW572" s="126"/>
      <c r="EYX572" s="126"/>
      <c r="EYY572" s="126"/>
      <c r="EYZ572" s="126"/>
      <c r="EZA572" s="126"/>
      <c r="EZB572" s="126"/>
      <c r="EZC572" s="126"/>
      <c r="EZD572" s="126"/>
      <c r="EZE572" s="126"/>
      <c r="EZF572" s="126"/>
      <c r="EZG572" s="126"/>
      <c r="EZH572" s="126"/>
      <c r="EZI572" s="126"/>
      <c r="EZJ572" s="126"/>
      <c r="EZK572" s="126"/>
      <c r="EZL572" s="126"/>
      <c r="EZM572" s="126"/>
      <c r="EZN572" s="126"/>
      <c r="EZO572" s="126"/>
      <c r="EZP572" s="126"/>
      <c r="EZQ572" s="126"/>
      <c r="EZR572" s="126"/>
      <c r="EZS572" s="126"/>
      <c r="EZT572" s="126"/>
      <c r="EZU572" s="126"/>
      <c r="EZV572" s="126"/>
      <c r="EZW572" s="126"/>
      <c r="EZX572" s="126"/>
      <c r="EZY572" s="126"/>
      <c r="EZZ572" s="126"/>
      <c r="FAA572" s="126"/>
      <c r="FAB572" s="126"/>
      <c r="FAC572" s="126"/>
      <c r="FAD572" s="126"/>
      <c r="FAE572" s="126"/>
      <c r="FAF572" s="126"/>
      <c r="FAG572" s="126"/>
      <c r="FAH572" s="126"/>
      <c r="FAI572" s="126"/>
      <c r="FAJ572" s="126"/>
      <c r="FAK572" s="126"/>
      <c r="FAL572" s="126"/>
      <c r="FAM572" s="126"/>
      <c r="FAN572" s="126"/>
      <c r="FAO572" s="126"/>
      <c r="FAP572" s="126"/>
      <c r="FAQ572" s="126"/>
      <c r="FAR572" s="126"/>
      <c r="FAS572" s="126"/>
      <c r="FAT572" s="126"/>
      <c r="FAU572" s="126"/>
      <c r="FAV572" s="126"/>
      <c r="FAW572" s="126"/>
      <c r="FAX572" s="126"/>
      <c r="FAY572" s="126"/>
      <c r="FAZ572" s="126"/>
      <c r="FBA572" s="126"/>
      <c r="FBB572" s="126"/>
      <c r="FBC572" s="126"/>
      <c r="FBD572" s="126"/>
      <c r="FBE572" s="126"/>
      <c r="FBF572" s="126"/>
      <c r="FBG572" s="126"/>
      <c r="FBH572" s="126"/>
      <c r="FBI572" s="126"/>
      <c r="FBJ572" s="126"/>
      <c r="FBK572" s="126"/>
      <c r="FBL572" s="126"/>
      <c r="FBM572" s="126"/>
      <c r="FBN572" s="126"/>
      <c r="FBO572" s="126"/>
      <c r="FBP572" s="126"/>
      <c r="FBQ572" s="126"/>
      <c r="FBR572" s="126"/>
      <c r="FBS572" s="126"/>
      <c r="FBT572" s="126"/>
      <c r="FBU572" s="126"/>
      <c r="FBV572" s="126"/>
      <c r="FBW572" s="126"/>
      <c r="FBX572" s="126"/>
      <c r="FBY572" s="126"/>
      <c r="FBZ572" s="126"/>
      <c r="FCA572" s="126"/>
      <c r="FCB572" s="126"/>
      <c r="FCC572" s="126"/>
      <c r="FCD572" s="126"/>
      <c r="FCE572" s="126"/>
      <c r="FCF572" s="126"/>
      <c r="FCG572" s="126"/>
      <c r="FCH572" s="126"/>
      <c r="FCI572" s="126"/>
      <c r="FCJ572" s="126"/>
      <c r="FCK572" s="126"/>
      <c r="FCL572" s="126"/>
      <c r="FCM572" s="126"/>
      <c r="FCN572" s="126"/>
      <c r="FCO572" s="126"/>
      <c r="FCP572" s="126"/>
      <c r="FCQ572" s="126"/>
      <c r="FCR572" s="126"/>
      <c r="FCS572" s="126"/>
      <c r="FCT572" s="126"/>
      <c r="FCU572" s="126"/>
      <c r="FCV572" s="126"/>
      <c r="FCW572" s="126"/>
      <c r="FCX572" s="126"/>
      <c r="FCY572" s="126"/>
      <c r="FCZ572" s="126"/>
      <c r="FDA572" s="126"/>
      <c r="FDB572" s="126"/>
      <c r="FDC572" s="126"/>
      <c r="FDD572" s="126"/>
      <c r="FDE572" s="126"/>
      <c r="FDF572" s="126"/>
      <c r="FDG572" s="126"/>
      <c r="FDH572" s="126"/>
      <c r="FDI572" s="126"/>
      <c r="FDJ572" s="126"/>
      <c r="FDK572" s="126"/>
      <c r="FDL572" s="126"/>
      <c r="FDM572" s="126"/>
      <c r="FDN572" s="126"/>
      <c r="FDO572" s="126"/>
      <c r="FDP572" s="126"/>
      <c r="FDQ572" s="126"/>
      <c r="FDR572" s="126"/>
      <c r="FDS572" s="126"/>
      <c r="FDT572" s="126"/>
      <c r="FDU572" s="126"/>
      <c r="FDV572" s="126"/>
      <c r="FDW572" s="126"/>
      <c r="FDX572" s="126"/>
      <c r="FDY572" s="126"/>
      <c r="FDZ572" s="126"/>
      <c r="FEA572" s="126"/>
      <c r="FEB572" s="126"/>
      <c r="FEC572" s="126"/>
      <c r="FED572" s="126"/>
      <c r="FEE572" s="126"/>
      <c r="FEF572" s="126"/>
      <c r="FEG572" s="126"/>
      <c r="FEH572" s="126"/>
      <c r="FEI572" s="126"/>
      <c r="FEJ572" s="126"/>
      <c r="FEK572" s="126"/>
      <c r="FEL572" s="126"/>
      <c r="FEM572" s="126"/>
      <c r="FEN572" s="126"/>
      <c r="FEO572" s="126"/>
      <c r="FEP572" s="126"/>
      <c r="FEQ572" s="126"/>
      <c r="FER572" s="126"/>
      <c r="FES572" s="126"/>
      <c r="FET572" s="126"/>
      <c r="FEU572" s="126"/>
      <c r="FEV572" s="126"/>
      <c r="FEW572" s="126"/>
      <c r="FEX572" s="126"/>
      <c r="FEY572" s="126"/>
      <c r="FEZ572" s="126"/>
      <c r="FFA572" s="126"/>
      <c r="FFB572" s="126"/>
      <c r="FFC572" s="126"/>
      <c r="FFD572" s="126"/>
      <c r="FFE572" s="126"/>
      <c r="FFF572" s="126"/>
      <c r="FFG572" s="126"/>
      <c r="FFH572" s="126"/>
      <c r="FFI572" s="126"/>
      <c r="FFJ572" s="126"/>
      <c r="FFK572" s="126"/>
      <c r="FFL572" s="126"/>
      <c r="FFM572" s="126"/>
      <c r="FFN572" s="126"/>
      <c r="FFO572" s="126"/>
      <c r="FFP572" s="126"/>
      <c r="FFQ572" s="126"/>
      <c r="FFR572" s="126"/>
      <c r="FFS572" s="126"/>
      <c r="FFT572" s="126"/>
      <c r="FFU572" s="126"/>
      <c r="FFV572" s="126"/>
      <c r="FFW572" s="126"/>
      <c r="FFX572" s="126"/>
      <c r="FFY572" s="126"/>
      <c r="FFZ572" s="126"/>
      <c r="FGA572" s="126"/>
      <c r="FGB572" s="126"/>
      <c r="FGC572" s="126"/>
      <c r="FGD572" s="126"/>
      <c r="FGE572" s="126"/>
      <c r="FGF572" s="126"/>
      <c r="FGG572" s="126"/>
      <c r="FGH572" s="126"/>
      <c r="FGI572" s="126"/>
      <c r="FGJ572" s="126"/>
      <c r="FGK572" s="126"/>
      <c r="FGL572" s="126"/>
      <c r="FGM572" s="126"/>
      <c r="FGN572" s="126"/>
      <c r="FGO572" s="126"/>
      <c r="FGP572" s="126"/>
      <c r="FGQ572" s="126"/>
      <c r="FGR572" s="126"/>
      <c r="FGS572" s="126"/>
      <c r="FGT572" s="126"/>
      <c r="FGU572" s="126"/>
      <c r="FGV572" s="126"/>
      <c r="FGW572" s="126"/>
      <c r="FGX572" s="126"/>
      <c r="FGY572" s="126"/>
      <c r="FGZ572" s="126"/>
      <c r="FHA572" s="126"/>
      <c r="FHB572" s="126"/>
      <c r="FHC572" s="126"/>
      <c r="FHD572" s="126"/>
      <c r="FHE572" s="126"/>
      <c r="FHF572" s="126"/>
      <c r="FHG572" s="126"/>
      <c r="FHH572" s="126"/>
      <c r="FHI572" s="126"/>
      <c r="FHJ572" s="126"/>
      <c r="FHK572" s="126"/>
      <c r="FHL572" s="126"/>
      <c r="FHM572" s="126"/>
      <c r="FHN572" s="126"/>
      <c r="FHO572" s="126"/>
      <c r="FHP572" s="126"/>
      <c r="FHQ572" s="126"/>
      <c r="FHR572" s="126"/>
      <c r="FHS572" s="126"/>
      <c r="FHT572" s="126"/>
      <c r="FHU572" s="126"/>
      <c r="FHV572" s="126"/>
      <c r="FHW572" s="126"/>
      <c r="FHX572" s="126"/>
      <c r="FHY572" s="126"/>
      <c r="FHZ572" s="126"/>
      <c r="FIA572" s="126"/>
      <c r="FIB572" s="126"/>
      <c r="FIC572" s="126"/>
      <c r="FID572" s="126"/>
      <c r="FIE572" s="126"/>
      <c r="FIF572" s="126"/>
      <c r="FIG572" s="126"/>
      <c r="FIH572" s="126"/>
      <c r="FII572" s="126"/>
      <c r="FIJ572" s="126"/>
      <c r="FIK572" s="126"/>
      <c r="FIL572" s="126"/>
      <c r="FIM572" s="126"/>
      <c r="FIN572" s="126"/>
      <c r="FIO572" s="126"/>
      <c r="FIP572" s="126"/>
      <c r="FIQ572" s="126"/>
      <c r="FIR572" s="126"/>
      <c r="FIS572" s="126"/>
      <c r="FIT572" s="126"/>
      <c r="FIU572" s="126"/>
      <c r="FIV572" s="126"/>
      <c r="FIW572" s="126"/>
      <c r="FIX572" s="126"/>
      <c r="FIY572" s="126"/>
      <c r="FIZ572" s="126"/>
      <c r="FJA572" s="126"/>
      <c r="FJB572" s="126"/>
      <c r="FJC572" s="126"/>
      <c r="FJD572" s="126"/>
      <c r="FJE572" s="126"/>
      <c r="FJF572" s="126"/>
      <c r="FJG572" s="126"/>
      <c r="FJH572" s="126"/>
      <c r="FJI572" s="126"/>
      <c r="FJJ572" s="126"/>
      <c r="FJK572" s="126"/>
      <c r="FJL572" s="126"/>
      <c r="FJM572" s="126"/>
      <c r="FJN572" s="126"/>
      <c r="FJO572" s="126"/>
      <c r="FJP572" s="126"/>
      <c r="FJQ572" s="126"/>
      <c r="FJR572" s="126"/>
      <c r="FJS572" s="126"/>
      <c r="FJT572" s="126"/>
      <c r="FJU572" s="126"/>
      <c r="FJV572" s="126"/>
      <c r="FJW572" s="126"/>
      <c r="FJX572" s="126"/>
      <c r="FJY572" s="126"/>
      <c r="FJZ572" s="126"/>
      <c r="FKA572" s="126"/>
      <c r="FKB572" s="126"/>
      <c r="FKC572" s="126"/>
      <c r="FKD572" s="126"/>
      <c r="FKE572" s="126"/>
      <c r="FKF572" s="126"/>
      <c r="FKG572" s="126"/>
      <c r="FKH572" s="126"/>
      <c r="FKI572" s="126"/>
      <c r="FKJ572" s="126"/>
      <c r="FKK572" s="126"/>
      <c r="FKL572" s="126"/>
      <c r="FKM572" s="126"/>
      <c r="FKN572" s="126"/>
      <c r="FKO572" s="126"/>
      <c r="FKP572" s="126"/>
      <c r="FKQ572" s="126"/>
      <c r="FKR572" s="126"/>
      <c r="FKS572" s="126"/>
      <c r="FKT572" s="126"/>
      <c r="FKU572" s="126"/>
      <c r="FKV572" s="126"/>
      <c r="FKW572" s="126"/>
      <c r="FKX572" s="126"/>
      <c r="FKY572" s="126"/>
      <c r="FKZ572" s="126"/>
      <c r="FLA572" s="126"/>
      <c r="FLB572" s="126"/>
      <c r="FLC572" s="126"/>
      <c r="FLD572" s="126"/>
      <c r="FLE572" s="126"/>
      <c r="FLF572" s="126"/>
      <c r="FLG572" s="126"/>
      <c r="FLH572" s="126"/>
      <c r="FLI572" s="126"/>
      <c r="FLJ572" s="126"/>
      <c r="FLK572" s="126"/>
      <c r="FLL572" s="126"/>
      <c r="FLM572" s="126"/>
      <c r="FLN572" s="126"/>
      <c r="FLO572" s="126"/>
      <c r="FLP572" s="126"/>
      <c r="FLQ572" s="126"/>
      <c r="FLR572" s="126"/>
      <c r="FLS572" s="126"/>
      <c r="FLT572" s="126"/>
      <c r="FLU572" s="126"/>
      <c r="FLV572" s="126"/>
      <c r="FLW572" s="126"/>
      <c r="FLX572" s="126"/>
      <c r="FLY572" s="126"/>
      <c r="FLZ572" s="126"/>
      <c r="FMA572" s="126"/>
      <c r="FMB572" s="126"/>
      <c r="FMC572" s="126"/>
      <c r="FMD572" s="126"/>
      <c r="FME572" s="126"/>
      <c r="FMF572" s="126"/>
      <c r="FMG572" s="126"/>
      <c r="FMH572" s="126"/>
      <c r="FMI572" s="126"/>
      <c r="FMJ572" s="126"/>
      <c r="FMK572" s="126"/>
      <c r="FML572" s="126"/>
      <c r="FMM572" s="126"/>
      <c r="FMN572" s="126"/>
      <c r="FMO572" s="126"/>
      <c r="FMP572" s="126"/>
      <c r="FMQ572" s="126"/>
      <c r="FMR572" s="126"/>
      <c r="FMS572" s="126"/>
      <c r="FMT572" s="126"/>
      <c r="FMU572" s="126"/>
      <c r="FMV572" s="126"/>
      <c r="FMW572" s="126"/>
      <c r="FMX572" s="126"/>
      <c r="FMY572" s="126"/>
      <c r="FMZ572" s="126"/>
      <c r="FNA572" s="126"/>
      <c r="FNB572" s="126"/>
      <c r="FNC572" s="126"/>
      <c r="FND572" s="126"/>
      <c r="FNE572" s="126"/>
      <c r="FNF572" s="126"/>
      <c r="FNG572" s="126"/>
      <c r="FNH572" s="126"/>
      <c r="FNI572" s="126"/>
      <c r="FNJ572" s="126"/>
      <c r="FNK572" s="126"/>
      <c r="FNL572" s="126"/>
      <c r="FNM572" s="126"/>
      <c r="FNN572" s="126"/>
      <c r="FNO572" s="126"/>
      <c r="FNP572" s="126"/>
      <c r="FNQ572" s="126"/>
      <c r="FNR572" s="126"/>
      <c r="FNS572" s="126"/>
      <c r="FNT572" s="126"/>
      <c r="FNU572" s="126"/>
      <c r="FNV572" s="126"/>
      <c r="FNW572" s="126"/>
      <c r="FNX572" s="126"/>
      <c r="FNY572" s="126"/>
      <c r="FNZ572" s="126"/>
      <c r="FOA572" s="126"/>
      <c r="FOB572" s="126"/>
      <c r="FOC572" s="126"/>
      <c r="FOD572" s="126"/>
      <c r="FOE572" s="126"/>
      <c r="FOF572" s="126"/>
      <c r="FOG572" s="126"/>
      <c r="FOH572" s="126"/>
      <c r="FOI572" s="126"/>
      <c r="FOJ572" s="126"/>
      <c r="FOK572" s="126"/>
      <c r="FOL572" s="126"/>
      <c r="FOM572" s="126"/>
      <c r="FON572" s="126"/>
      <c r="FOO572" s="126"/>
      <c r="FOP572" s="126"/>
      <c r="FOQ572" s="126"/>
      <c r="FOR572" s="126"/>
      <c r="FOS572" s="126"/>
      <c r="FOT572" s="126"/>
      <c r="FOU572" s="126"/>
      <c r="FOV572" s="126"/>
      <c r="FOW572" s="126"/>
      <c r="FOX572" s="126"/>
      <c r="FOY572" s="126"/>
      <c r="FOZ572" s="126"/>
      <c r="FPA572" s="126"/>
      <c r="FPB572" s="126"/>
      <c r="FPC572" s="126"/>
      <c r="FPD572" s="126"/>
      <c r="FPE572" s="126"/>
      <c r="FPF572" s="126"/>
      <c r="FPG572" s="126"/>
      <c r="FPH572" s="126"/>
      <c r="FPI572" s="126"/>
      <c r="FPJ572" s="126"/>
      <c r="FPK572" s="126"/>
      <c r="FPL572" s="126"/>
      <c r="FPM572" s="126"/>
      <c r="FPN572" s="126"/>
      <c r="FPO572" s="126"/>
      <c r="FPP572" s="126"/>
      <c r="FPQ572" s="126"/>
      <c r="FPR572" s="126"/>
      <c r="FPS572" s="126"/>
      <c r="FPT572" s="126"/>
      <c r="FPU572" s="126"/>
      <c r="FPV572" s="126"/>
      <c r="FPW572" s="126"/>
      <c r="FPX572" s="126"/>
      <c r="FPY572" s="126"/>
      <c r="FPZ572" s="126"/>
      <c r="FQA572" s="126"/>
      <c r="FQB572" s="126"/>
      <c r="FQC572" s="126"/>
      <c r="FQD572" s="126"/>
      <c r="FQE572" s="126"/>
      <c r="FQF572" s="126"/>
      <c r="FQG572" s="126"/>
      <c r="FQH572" s="126"/>
      <c r="FQI572" s="126"/>
      <c r="FQJ572" s="126"/>
      <c r="FQK572" s="126"/>
      <c r="FQL572" s="126"/>
      <c r="FQM572" s="126"/>
      <c r="FQN572" s="126"/>
      <c r="FQO572" s="126"/>
      <c r="FQP572" s="126"/>
      <c r="FQQ572" s="126"/>
      <c r="FQR572" s="126"/>
      <c r="FQS572" s="126"/>
      <c r="FQT572" s="126"/>
      <c r="FQU572" s="126"/>
      <c r="FQV572" s="126"/>
      <c r="FQW572" s="126"/>
      <c r="FQX572" s="126"/>
      <c r="FQY572" s="126"/>
      <c r="FQZ572" s="126"/>
      <c r="FRA572" s="126"/>
      <c r="FRB572" s="126"/>
      <c r="FRC572" s="126"/>
      <c r="FRD572" s="126"/>
      <c r="FRE572" s="126"/>
      <c r="FRF572" s="126"/>
      <c r="FRG572" s="126"/>
      <c r="FRH572" s="126"/>
      <c r="FRI572" s="126"/>
      <c r="FRJ572" s="126"/>
      <c r="FRK572" s="126"/>
      <c r="FRL572" s="126"/>
      <c r="FRM572" s="126"/>
      <c r="FRN572" s="126"/>
      <c r="FRO572" s="126"/>
      <c r="FRP572" s="126"/>
      <c r="FRQ572" s="126"/>
      <c r="FRR572" s="126"/>
      <c r="FRS572" s="126"/>
      <c r="FRT572" s="126"/>
      <c r="FRU572" s="126"/>
      <c r="FRV572" s="126"/>
      <c r="FRW572" s="126"/>
      <c r="FRX572" s="126"/>
      <c r="FRY572" s="126"/>
      <c r="FRZ572" s="126"/>
      <c r="FSA572" s="126"/>
      <c r="FSB572" s="126"/>
      <c r="FSC572" s="126"/>
      <c r="FSD572" s="126"/>
      <c r="FSE572" s="126"/>
      <c r="FSF572" s="126"/>
      <c r="FSG572" s="126"/>
      <c r="FSH572" s="126"/>
      <c r="FSI572" s="126"/>
      <c r="FSJ572" s="126"/>
      <c r="FSK572" s="126"/>
      <c r="FSL572" s="126"/>
      <c r="FSM572" s="126"/>
      <c r="FSN572" s="126"/>
      <c r="FSO572" s="126"/>
      <c r="FSP572" s="126"/>
      <c r="FSQ572" s="126"/>
      <c r="FSR572" s="126"/>
      <c r="FSS572" s="126"/>
      <c r="FST572" s="126"/>
      <c r="FSU572" s="126"/>
      <c r="FSV572" s="126"/>
      <c r="FSW572" s="126"/>
      <c r="FSX572" s="126"/>
      <c r="FSY572" s="126"/>
      <c r="FSZ572" s="126"/>
      <c r="FTA572" s="126"/>
      <c r="FTB572" s="126"/>
      <c r="FTC572" s="126"/>
      <c r="FTD572" s="126"/>
      <c r="FTE572" s="126"/>
      <c r="FTF572" s="126"/>
      <c r="FTG572" s="126"/>
      <c r="FTH572" s="126"/>
      <c r="FTI572" s="126"/>
      <c r="FTJ572" s="126"/>
      <c r="FTK572" s="126"/>
      <c r="FTL572" s="126"/>
      <c r="FTM572" s="126"/>
      <c r="FTN572" s="126"/>
      <c r="FTO572" s="126"/>
      <c r="FTP572" s="126"/>
      <c r="FTQ572" s="126"/>
      <c r="FTR572" s="126"/>
      <c r="FTS572" s="126"/>
      <c r="FTT572" s="126"/>
      <c r="FTU572" s="126"/>
      <c r="FTV572" s="126"/>
      <c r="FTW572" s="126"/>
      <c r="FTX572" s="126"/>
      <c r="FTY572" s="126"/>
      <c r="FTZ572" s="126"/>
      <c r="FUA572" s="126"/>
      <c r="FUB572" s="126"/>
      <c r="FUC572" s="126"/>
      <c r="FUD572" s="126"/>
      <c r="FUE572" s="126"/>
      <c r="FUF572" s="126"/>
      <c r="FUG572" s="126"/>
      <c r="FUH572" s="126"/>
      <c r="FUI572" s="126"/>
      <c r="FUJ572" s="126"/>
      <c r="FUK572" s="126"/>
      <c r="FUL572" s="126"/>
      <c r="FUM572" s="126"/>
      <c r="FUN572" s="126"/>
      <c r="FUO572" s="126"/>
      <c r="FUP572" s="126"/>
      <c r="FUQ572" s="126"/>
      <c r="FUR572" s="126"/>
      <c r="FUS572" s="126"/>
      <c r="FUT572" s="126"/>
      <c r="FUU572" s="126"/>
      <c r="FUV572" s="126"/>
      <c r="FUW572" s="126"/>
      <c r="FUX572" s="126"/>
      <c r="FUY572" s="126"/>
      <c r="FUZ572" s="126"/>
      <c r="FVA572" s="126"/>
      <c r="FVB572" s="126"/>
      <c r="FVC572" s="126"/>
      <c r="FVD572" s="126"/>
      <c r="FVE572" s="126"/>
      <c r="FVF572" s="126"/>
      <c r="FVG572" s="126"/>
      <c r="FVH572" s="126"/>
      <c r="FVI572" s="126"/>
      <c r="FVJ572" s="126"/>
      <c r="FVK572" s="126"/>
      <c r="FVL572" s="126"/>
      <c r="FVM572" s="126"/>
      <c r="FVN572" s="126"/>
      <c r="FVO572" s="126"/>
      <c r="FVP572" s="126"/>
      <c r="FVQ572" s="126"/>
      <c r="FVR572" s="126"/>
      <c r="FVS572" s="126"/>
      <c r="FVT572" s="126"/>
      <c r="FVU572" s="126"/>
      <c r="FVV572" s="126"/>
      <c r="FVW572" s="126"/>
      <c r="FVX572" s="126"/>
      <c r="FVY572" s="126"/>
      <c r="FVZ572" s="126"/>
      <c r="FWA572" s="126"/>
      <c r="FWB572" s="126"/>
      <c r="FWC572" s="126"/>
      <c r="FWD572" s="126"/>
      <c r="FWE572" s="126"/>
      <c r="FWF572" s="126"/>
      <c r="FWG572" s="126"/>
      <c r="FWH572" s="126"/>
      <c r="FWI572" s="126"/>
      <c r="FWJ572" s="126"/>
      <c r="FWK572" s="126"/>
      <c r="FWL572" s="126"/>
      <c r="FWM572" s="126"/>
      <c r="FWN572" s="126"/>
      <c r="FWO572" s="126"/>
      <c r="FWP572" s="126"/>
      <c r="FWQ572" s="126"/>
      <c r="FWR572" s="126"/>
      <c r="FWS572" s="126"/>
      <c r="FWT572" s="126"/>
      <c r="FWU572" s="126"/>
      <c r="FWV572" s="126"/>
      <c r="FWW572" s="126"/>
      <c r="FWX572" s="126"/>
      <c r="FWY572" s="126"/>
      <c r="FWZ572" s="126"/>
      <c r="FXA572" s="126"/>
      <c r="FXB572" s="126"/>
      <c r="FXC572" s="126"/>
      <c r="FXD572" s="126"/>
      <c r="FXE572" s="126"/>
      <c r="FXF572" s="126"/>
      <c r="FXG572" s="126"/>
      <c r="FXH572" s="126"/>
      <c r="FXI572" s="126"/>
      <c r="FXJ572" s="126"/>
      <c r="FXK572" s="126"/>
      <c r="FXL572" s="126"/>
      <c r="FXM572" s="126"/>
      <c r="FXN572" s="126"/>
      <c r="FXO572" s="126"/>
      <c r="FXP572" s="126"/>
      <c r="FXQ572" s="126"/>
      <c r="FXR572" s="126"/>
      <c r="FXS572" s="126"/>
      <c r="FXT572" s="126"/>
      <c r="FXU572" s="126"/>
      <c r="FXV572" s="126"/>
      <c r="FXW572" s="126"/>
      <c r="FXX572" s="126"/>
      <c r="FXY572" s="126"/>
      <c r="FXZ572" s="126"/>
      <c r="FYA572" s="126"/>
      <c r="FYB572" s="126"/>
      <c r="FYC572" s="126"/>
      <c r="FYD572" s="126"/>
      <c r="FYE572" s="126"/>
      <c r="FYF572" s="126"/>
      <c r="FYG572" s="126"/>
      <c r="FYH572" s="126"/>
      <c r="FYI572" s="126"/>
      <c r="FYJ572" s="126"/>
      <c r="FYK572" s="126"/>
      <c r="FYL572" s="126"/>
      <c r="FYM572" s="126"/>
      <c r="FYN572" s="126"/>
      <c r="FYO572" s="126"/>
      <c r="FYP572" s="126"/>
      <c r="FYQ572" s="126"/>
      <c r="FYR572" s="126"/>
      <c r="FYS572" s="126"/>
      <c r="FYT572" s="126"/>
      <c r="FYU572" s="126"/>
      <c r="FYV572" s="126"/>
      <c r="FYW572" s="126"/>
      <c r="FYX572" s="126"/>
      <c r="FYY572" s="126"/>
      <c r="FYZ572" s="126"/>
      <c r="FZA572" s="126"/>
      <c r="FZB572" s="126"/>
      <c r="FZC572" s="126"/>
      <c r="FZD572" s="126"/>
      <c r="FZE572" s="126"/>
      <c r="FZF572" s="126"/>
      <c r="FZG572" s="126"/>
      <c r="FZH572" s="126"/>
      <c r="FZI572" s="126"/>
      <c r="FZJ572" s="126"/>
      <c r="FZK572" s="126"/>
      <c r="FZL572" s="126"/>
      <c r="FZM572" s="126"/>
      <c r="FZN572" s="126"/>
      <c r="FZO572" s="126"/>
      <c r="FZP572" s="126"/>
      <c r="FZQ572" s="126"/>
      <c r="FZR572" s="126"/>
      <c r="FZS572" s="126"/>
      <c r="FZT572" s="126"/>
      <c r="FZU572" s="126"/>
      <c r="FZV572" s="126"/>
      <c r="FZW572" s="126"/>
      <c r="FZX572" s="126"/>
      <c r="FZY572" s="126"/>
      <c r="FZZ572" s="126"/>
      <c r="GAA572" s="126"/>
      <c r="GAB572" s="126"/>
      <c r="GAC572" s="126"/>
      <c r="GAD572" s="126"/>
      <c r="GAE572" s="126"/>
      <c r="GAF572" s="126"/>
      <c r="GAG572" s="126"/>
      <c r="GAH572" s="126"/>
      <c r="GAI572" s="126"/>
      <c r="GAJ572" s="126"/>
      <c r="GAK572" s="126"/>
      <c r="GAL572" s="126"/>
      <c r="GAM572" s="126"/>
      <c r="GAN572" s="126"/>
      <c r="GAO572" s="126"/>
      <c r="GAP572" s="126"/>
      <c r="GAQ572" s="126"/>
      <c r="GAR572" s="126"/>
      <c r="GAS572" s="126"/>
      <c r="GAT572" s="126"/>
      <c r="GAU572" s="126"/>
      <c r="GAV572" s="126"/>
      <c r="GAW572" s="126"/>
      <c r="GAX572" s="126"/>
      <c r="GAY572" s="126"/>
      <c r="GAZ572" s="126"/>
      <c r="GBA572" s="126"/>
      <c r="GBB572" s="126"/>
      <c r="GBC572" s="126"/>
      <c r="GBD572" s="126"/>
      <c r="GBE572" s="126"/>
      <c r="GBF572" s="126"/>
      <c r="GBG572" s="126"/>
      <c r="GBH572" s="126"/>
      <c r="GBI572" s="126"/>
      <c r="GBJ572" s="126"/>
      <c r="GBK572" s="126"/>
      <c r="GBL572" s="126"/>
      <c r="GBM572" s="126"/>
      <c r="GBN572" s="126"/>
      <c r="GBO572" s="126"/>
      <c r="GBP572" s="126"/>
      <c r="GBQ572" s="126"/>
      <c r="GBR572" s="126"/>
      <c r="GBS572" s="126"/>
      <c r="GBT572" s="126"/>
      <c r="GBU572" s="126"/>
      <c r="GBV572" s="126"/>
      <c r="GBW572" s="126"/>
      <c r="GBX572" s="126"/>
      <c r="GBY572" s="126"/>
      <c r="GBZ572" s="126"/>
      <c r="GCA572" s="126"/>
      <c r="GCB572" s="126"/>
      <c r="GCC572" s="126"/>
      <c r="GCD572" s="126"/>
      <c r="GCE572" s="126"/>
      <c r="GCF572" s="126"/>
      <c r="GCG572" s="126"/>
      <c r="GCH572" s="126"/>
      <c r="GCI572" s="126"/>
      <c r="GCJ572" s="126"/>
      <c r="GCK572" s="126"/>
      <c r="GCL572" s="126"/>
      <c r="GCM572" s="126"/>
      <c r="GCN572" s="126"/>
      <c r="GCO572" s="126"/>
      <c r="GCP572" s="126"/>
      <c r="GCQ572" s="126"/>
      <c r="GCR572" s="126"/>
      <c r="GCS572" s="126"/>
      <c r="GCT572" s="126"/>
      <c r="GCU572" s="126"/>
      <c r="GCV572" s="126"/>
      <c r="GCW572" s="126"/>
      <c r="GCX572" s="126"/>
      <c r="GCY572" s="126"/>
      <c r="GCZ572" s="126"/>
      <c r="GDA572" s="126"/>
      <c r="GDB572" s="126"/>
      <c r="GDC572" s="126"/>
      <c r="GDD572" s="126"/>
      <c r="GDE572" s="126"/>
      <c r="GDF572" s="126"/>
      <c r="GDG572" s="126"/>
      <c r="GDH572" s="126"/>
      <c r="GDI572" s="126"/>
      <c r="GDJ572" s="126"/>
      <c r="GDK572" s="126"/>
      <c r="GDL572" s="126"/>
      <c r="GDM572" s="126"/>
      <c r="GDN572" s="126"/>
      <c r="GDO572" s="126"/>
      <c r="GDP572" s="126"/>
      <c r="GDQ572" s="126"/>
      <c r="GDR572" s="126"/>
      <c r="GDS572" s="126"/>
      <c r="GDT572" s="126"/>
      <c r="GDU572" s="126"/>
      <c r="GDV572" s="126"/>
      <c r="GDW572" s="126"/>
      <c r="GDX572" s="126"/>
      <c r="GDY572" s="126"/>
      <c r="GDZ572" s="126"/>
      <c r="GEA572" s="126"/>
      <c r="GEB572" s="126"/>
      <c r="GEC572" s="126"/>
      <c r="GED572" s="126"/>
      <c r="GEE572" s="126"/>
      <c r="GEF572" s="126"/>
      <c r="GEG572" s="126"/>
      <c r="GEH572" s="126"/>
      <c r="GEI572" s="126"/>
      <c r="GEJ572" s="126"/>
      <c r="GEK572" s="126"/>
      <c r="GEL572" s="126"/>
      <c r="GEM572" s="126"/>
      <c r="GEN572" s="126"/>
      <c r="GEO572" s="126"/>
      <c r="GEP572" s="126"/>
      <c r="GEQ572" s="126"/>
      <c r="GER572" s="126"/>
      <c r="GES572" s="126"/>
      <c r="GET572" s="126"/>
      <c r="GEU572" s="126"/>
      <c r="GEV572" s="126"/>
      <c r="GEW572" s="126"/>
      <c r="GEX572" s="126"/>
      <c r="GEY572" s="126"/>
      <c r="GEZ572" s="126"/>
      <c r="GFA572" s="126"/>
      <c r="GFB572" s="126"/>
      <c r="GFC572" s="126"/>
      <c r="GFD572" s="126"/>
      <c r="GFE572" s="126"/>
      <c r="GFF572" s="126"/>
      <c r="GFG572" s="126"/>
      <c r="GFH572" s="126"/>
      <c r="GFI572" s="126"/>
      <c r="GFJ572" s="126"/>
      <c r="GFK572" s="126"/>
      <c r="GFL572" s="126"/>
      <c r="GFM572" s="126"/>
      <c r="GFN572" s="126"/>
      <c r="GFO572" s="126"/>
      <c r="GFP572" s="126"/>
      <c r="GFQ572" s="126"/>
      <c r="GFR572" s="126"/>
      <c r="GFS572" s="126"/>
      <c r="GFT572" s="126"/>
      <c r="GFU572" s="126"/>
      <c r="GFV572" s="126"/>
      <c r="GFW572" s="126"/>
      <c r="GFX572" s="126"/>
      <c r="GFY572" s="126"/>
      <c r="GFZ572" s="126"/>
      <c r="GGA572" s="126"/>
      <c r="GGB572" s="126"/>
      <c r="GGC572" s="126"/>
      <c r="GGD572" s="126"/>
      <c r="GGE572" s="126"/>
      <c r="GGF572" s="126"/>
      <c r="GGG572" s="126"/>
      <c r="GGH572" s="126"/>
      <c r="GGI572" s="126"/>
      <c r="GGJ572" s="126"/>
      <c r="GGK572" s="126"/>
      <c r="GGL572" s="126"/>
      <c r="GGM572" s="126"/>
      <c r="GGN572" s="126"/>
      <c r="GGO572" s="126"/>
      <c r="GGP572" s="126"/>
      <c r="GGQ572" s="126"/>
      <c r="GGR572" s="126"/>
      <c r="GGS572" s="126"/>
      <c r="GGT572" s="126"/>
      <c r="GGU572" s="126"/>
      <c r="GGV572" s="126"/>
      <c r="GGW572" s="126"/>
      <c r="GGX572" s="126"/>
      <c r="GGY572" s="126"/>
      <c r="GGZ572" s="126"/>
      <c r="GHA572" s="126"/>
      <c r="GHB572" s="126"/>
      <c r="GHC572" s="126"/>
      <c r="GHD572" s="126"/>
      <c r="GHE572" s="126"/>
      <c r="GHF572" s="126"/>
      <c r="GHG572" s="126"/>
      <c r="GHH572" s="126"/>
      <c r="GHI572" s="126"/>
      <c r="GHJ572" s="126"/>
      <c r="GHK572" s="126"/>
      <c r="GHL572" s="126"/>
      <c r="GHM572" s="126"/>
      <c r="GHN572" s="126"/>
      <c r="GHO572" s="126"/>
      <c r="GHP572" s="126"/>
      <c r="GHQ572" s="126"/>
      <c r="GHR572" s="126"/>
      <c r="GHS572" s="126"/>
      <c r="GHT572" s="126"/>
      <c r="GHU572" s="126"/>
      <c r="GHV572" s="126"/>
      <c r="GHW572" s="126"/>
      <c r="GHX572" s="126"/>
      <c r="GHY572" s="126"/>
      <c r="GHZ572" s="126"/>
      <c r="GIA572" s="126"/>
      <c r="GIB572" s="126"/>
      <c r="GIC572" s="126"/>
      <c r="GID572" s="126"/>
      <c r="GIE572" s="126"/>
      <c r="GIF572" s="126"/>
      <c r="GIG572" s="126"/>
      <c r="GIH572" s="126"/>
      <c r="GII572" s="126"/>
      <c r="GIJ572" s="126"/>
      <c r="GIK572" s="126"/>
      <c r="GIL572" s="126"/>
      <c r="GIM572" s="126"/>
      <c r="GIN572" s="126"/>
      <c r="GIO572" s="126"/>
      <c r="GIP572" s="126"/>
      <c r="GIQ572" s="126"/>
      <c r="GIR572" s="126"/>
      <c r="GIS572" s="126"/>
      <c r="GIT572" s="126"/>
      <c r="GIU572" s="126"/>
      <c r="GIV572" s="126"/>
      <c r="GIW572" s="126"/>
      <c r="GIX572" s="126"/>
      <c r="GIY572" s="126"/>
      <c r="GIZ572" s="126"/>
      <c r="GJA572" s="126"/>
      <c r="GJB572" s="126"/>
      <c r="GJC572" s="126"/>
      <c r="GJD572" s="126"/>
      <c r="GJE572" s="126"/>
      <c r="GJF572" s="126"/>
      <c r="GJG572" s="126"/>
      <c r="GJH572" s="126"/>
      <c r="GJI572" s="126"/>
      <c r="GJJ572" s="126"/>
      <c r="GJK572" s="126"/>
      <c r="GJL572" s="126"/>
      <c r="GJM572" s="126"/>
      <c r="GJN572" s="126"/>
      <c r="GJO572" s="126"/>
      <c r="GJP572" s="126"/>
      <c r="GJQ572" s="126"/>
      <c r="GJR572" s="126"/>
      <c r="GJS572" s="126"/>
      <c r="GJT572" s="126"/>
      <c r="GJU572" s="126"/>
      <c r="GJV572" s="126"/>
      <c r="GJW572" s="126"/>
      <c r="GJX572" s="126"/>
      <c r="GJY572" s="126"/>
      <c r="GJZ572" s="126"/>
      <c r="GKA572" s="126"/>
      <c r="GKB572" s="126"/>
      <c r="GKC572" s="126"/>
      <c r="GKD572" s="126"/>
      <c r="GKE572" s="126"/>
      <c r="GKF572" s="126"/>
      <c r="GKG572" s="126"/>
      <c r="GKH572" s="126"/>
      <c r="GKI572" s="126"/>
      <c r="GKJ572" s="126"/>
      <c r="GKK572" s="126"/>
      <c r="GKL572" s="126"/>
      <c r="GKM572" s="126"/>
      <c r="GKN572" s="126"/>
      <c r="GKO572" s="126"/>
      <c r="GKP572" s="126"/>
      <c r="GKQ572" s="126"/>
      <c r="GKR572" s="126"/>
      <c r="GKS572" s="126"/>
      <c r="GKT572" s="126"/>
      <c r="GKU572" s="126"/>
      <c r="GKV572" s="126"/>
      <c r="GKW572" s="126"/>
      <c r="GKX572" s="126"/>
      <c r="GKY572" s="126"/>
      <c r="GKZ572" s="126"/>
      <c r="GLA572" s="126"/>
      <c r="GLB572" s="126"/>
      <c r="GLC572" s="126"/>
      <c r="GLD572" s="126"/>
      <c r="GLE572" s="126"/>
      <c r="GLF572" s="126"/>
      <c r="GLG572" s="126"/>
      <c r="GLH572" s="126"/>
      <c r="GLI572" s="126"/>
      <c r="GLJ572" s="126"/>
      <c r="GLK572" s="126"/>
      <c r="GLL572" s="126"/>
      <c r="GLM572" s="126"/>
      <c r="GLN572" s="126"/>
      <c r="GLO572" s="126"/>
      <c r="GLP572" s="126"/>
      <c r="GLQ572" s="126"/>
      <c r="GLR572" s="126"/>
      <c r="GLS572" s="126"/>
      <c r="GLT572" s="126"/>
      <c r="GLU572" s="126"/>
      <c r="GLV572" s="126"/>
      <c r="GLW572" s="126"/>
      <c r="GLX572" s="126"/>
      <c r="GLY572" s="126"/>
      <c r="GLZ572" s="126"/>
      <c r="GMA572" s="126"/>
      <c r="GMB572" s="126"/>
      <c r="GMC572" s="126"/>
      <c r="GMD572" s="126"/>
      <c r="GME572" s="126"/>
      <c r="GMF572" s="126"/>
      <c r="GMG572" s="126"/>
      <c r="GMH572" s="126"/>
      <c r="GMI572" s="126"/>
      <c r="GMJ572" s="126"/>
      <c r="GMK572" s="126"/>
      <c r="GML572" s="126"/>
      <c r="GMM572" s="126"/>
      <c r="GMN572" s="126"/>
      <c r="GMO572" s="126"/>
      <c r="GMP572" s="126"/>
      <c r="GMQ572" s="126"/>
      <c r="GMR572" s="126"/>
      <c r="GMS572" s="126"/>
      <c r="GMT572" s="126"/>
      <c r="GMU572" s="126"/>
      <c r="GMV572" s="126"/>
      <c r="GMW572" s="126"/>
      <c r="GMX572" s="126"/>
      <c r="GMY572" s="126"/>
      <c r="GMZ572" s="126"/>
      <c r="GNA572" s="126"/>
      <c r="GNB572" s="126"/>
      <c r="GNC572" s="126"/>
      <c r="GND572" s="126"/>
      <c r="GNE572" s="126"/>
      <c r="GNF572" s="126"/>
      <c r="GNG572" s="126"/>
      <c r="GNH572" s="126"/>
      <c r="GNI572" s="126"/>
      <c r="GNJ572" s="126"/>
      <c r="GNK572" s="126"/>
      <c r="GNL572" s="126"/>
      <c r="GNM572" s="126"/>
      <c r="GNN572" s="126"/>
      <c r="GNO572" s="126"/>
      <c r="GNP572" s="126"/>
      <c r="GNQ572" s="126"/>
      <c r="GNR572" s="126"/>
      <c r="GNS572" s="126"/>
      <c r="GNT572" s="126"/>
      <c r="GNU572" s="126"/>
      <c r="GNV572" s="126"/>
      <c r="GNW572" s="126"/>
      <c r="GNX572" s="126"/>
      <c r="GNY572" s="126"/>
      <c r="GNZ572" s="126"/>
      <c r="GOA572" s="126"/>
      <c r="GOB572" s="126"/>
      <c r="GOC572" s="126"/>
      <c r="GOD572" s="126"/>
      <c r="GOE572" s="126"/>
      <c r="GOF572" s="126"/>
      <c r="GOG572" s="126"/>
      <c r="GOH572" s="126"/>
      <c r="GOI572" s="126"/>
      <c r="GOJ572" s="126"/>
      <c r="GOK572" s="126"/>
      <c r="GOL572" s="126"/>
      <c r="GOM572" s="126"/>
      <c r="GON572" s="126"/>
      <c r="GOO572" s="126"/>
      <c r="GOP572" s="126"/>
      <c r="GOQ572" s="126"/>
      <c r="GOR572" s="126"/>
      <c r="GOS572" s="126"/>
      <c r="GOT572" s="126"/>
      <c r="GOU572" s="126"/>
      <c r="GOV572" s="126"/>
      <c r="GOW572" s="126"/>
      <c r="GOX572" s="126"/>
      <c r="GOY572" s="126"/>
      <c r="GOZ572" s="126"/>
      <c r="GPA572" s="126"/>
      <c r="GPB572" s="126"/>
      <c r="GPC572" s="126"/>
      <c r="GPD572" s="126"/>
      <c r="GPE572" s="126"/>
      <c r="GPF572" s="126"/>
      <c r="GPG572" s="126"/>
      <c r="GPH572" s="126"/>
      <c r="GPI572" s="126"/>
      <c r="GPJ572" s="126"/>
      <c r="GPK572" s="126"/>
      <c r="GPL572" s="126"/>
      <c r="GPM572" s="126"/>
      <c r="GPN572" s="126"/>
      <c r="GPO572" s="126"/>
      <c r="GPP572" s="126"/>
      <c r="GPQ572" s="126"/>
      <c r="GPR572" s="126"/>
      <c r="GPS572" s="126"/>
      <c r="GPT572" s="126"/>
      <c r="GPU572" s="126"/>
      <c r="GPV572" s="126"/>
      <c r="GPW572" s="126"/>
      <c r="GPX572" s="126"/>
      <c r="GPY572" s="126"/>
      <c r="GPZ572" s="126"/>
      <c r="GQA572" s="126"/>
      <c r="GQB572" s="126"/>
      <c r="GQC572" s="126"/>
      <c r="GQD572" s="126"/>
      <c r="GQE572" s="126"/>
      <c r="GQF572" s="126"/>
      <c r="GQG572" s="126"/>
      <c r="GQH572" s="126"/>
      <c r="GQI572" s="126"/>
      <c r="GQJ572" s="126"/>
      <c r="GQK572" s="126"/>
      <c r="GQL572" s="126"/>
      <c r="GQM572" s="126"/>
      <c r="GQN572" s="126"/>
      <c r="GQO572" s="126"/>
      <c r="GQP572" s="126"/>
      <c r="GQQ572" s="126"/>
      <c r="GQR572" s="126"/>
      <c r="GQS572" s="126"/>
      <c r="GQT572" s="126"/>
      <c r="GQU572" s="126"/>
      <c r="GQV572" s="126"/>
      <c r="GQW572" s="126"/>
      <c r="GQX572" s="126"/>
      <c r="GQY572" s="126"/>
      <c r="GQZ572" s="126"/>
      <c r="GRA572" s="126"/>
      <c r="GRB572" s="126"/>
      <c r="GRC572" s="126"/>
      <c r="GRD572" s="126"/>
      <c r="GRE572" s="126"/>
      <c r="GRF572" s="126"/>
      <c r="GRG572" s="126"/>
      <c r="GRH572" s="126"/>
      <c r="GRI572" s="126"/>
      <c r="GRJ572" s="126"/>
      <c r="GRK572" s="126"/>
      <c r="GRL572" s="126"/>
      <c r="GRM572" s="126"/>
      <c r="GRN572" s="126"/>
      <c r="GRO572" s="126"/>
      <c r="GRP572" s="126"/>
      <c r="GRQ572" s="126"/>
      <c r="GRR572" s="126"/>
      <c r="GRS572" s="126"/>
      <c r="GRT572" s="126"/>
      <c r="GRU572" s="126"/>
      <c r="GRV572" s="126"/>
      <c r="GRW572" s="126"/>
      <c r="GRX572" s="126"/>
      <c r="GRY572" s="126"/>
      <c r="GRZ572" s="126"/>
      <c r="GSA572" s="126"/>
      <c r="GSB572" s="126"/>
      <c r="GSC572" s="126"/>
      <c r="GSD572" s="126"/>
      <c r="GSE572" s="126"/>
      <c r="GSF572" s="126"/>
      <c r="GSG572" s="126"/>
      <c r="GSH572" s="126"/>
      <c r="GSI572" s="126"/>
      <c r="GSJ572" s="126"/>
      <c r="GSK572" s="126"/>
      <c r="GSL572" s="126"/>
      <c r="GSM572" s="126"/>
      <c r="GSN572" s="126"/>
      <c r="GSO572" s="126"/>
      <c r="GSP572" s="126"/>
      <c r="GSQ572" s="126"/>
      <c r="GSR572" s="126"/>
      <c r="GSS572" s="126"/>
      <c r="GST572" s="126"/>
      <c r="GSU572" s="126"/>
      <c r="GSV572" s="126"/>
      <c r="GSW572" s="126"/>
      <c r="GSX572" s="126"/>
      <c r="GSY572" s="126"/>
      <c r="GSZ572" s="126"/>
      <c r="GTA572" s="126"/>
      <c r="GTB572" s="126"/>
      <c r="GTC572" s="126"/>
      <c r="GTD572" s="126"/>
      <c r="GTE572" s="126"/>
      <c r="GTF572" s="126"/>
      <c r="GTG572" s="126"/>
      <c r="GTH572" s="126"/>
      <c r="GTI572" s="126"/>
      <c r="GTJ572" s="126"/>
      <c r="GTK572" s="126"/>
      <c r="GTL572" s="126"/>
      <c r="GTM572" s="126"/>
      <c r="GTN572" s="126"/>
      <c r="GTO572" s="126"/>
      <c r="GTP572" s="126"/>
      <c r="GTQ572" s="126"/>
      <c r="GTR572" s="126"/>
      <c r="GTS572" s="126"/>
      <c r="GTT572" s="126"/>
      <c r="GTU572" s="126"/>
      <c r="GTV572" s="126"/>
      <c r="GTW572" s="126"/>
      <c r="GTX572" s="126"/>
      <c r="GTY572" s="126"/>
      <c r="GTZ572" s="126"/>
      <c r="GUA572" s="126"/>
      <c r="GUB572" s="126"/>
      <c r="GUC572" s="126"/>
      <c r="GUD572" s="126"/>
      <c r="GUE572" s="126"/>
      <c r="GUF572" s="126"/>
      <c r="GUG572" s="126"/>
      <c r="GUH572" s="126"/>
      <c r="GUI572" s="126"/>
      <c r="GUJ572" s="126"/>
      <c r="GUK572" s="126"/>
      <c r="GUL572" s="126"/>
      <c r="GUM572" s="126"/>
      <c r="GUN572" s="126"/>
      <c r="GUO572" s="126"/>
      <c r="GUP572" s="126"/>
      <c r="GUQ572" s="126"/>
      <c r="GUR572" s="126"/>
      <c r="GUS572" s="126"/>
      <c r="GUT572" s="126"/>
      <c r="GUU572" s="126"/>
      <c r="GUV572" s="126"/>
      <c r="GUW572" s="126"/>
      <c r="GUX572" s="126"/>
      <c r="GUY572" s="126"/>
      <c r="GUZ572" s="126"/>
      <c r="GVA572" s="126"/>
      <c r="GVB572" s="126"/>
      <c r="GVC572" s="126"/>
      <c r="GVD572" s="126"/>
      <c r="GVE572" s="126"/>
      <c r="GVF572" s="126"/>
      <c r="GVG572" s="126"/>
      <c r="GVH572" s="126"/>
      <c r="GVI572" s="126"/>
      <c r="GVJ572" s="126"/>
      <c r="GVK572" s="126"/>
      <c r="GVL572" s="126"/>
      <c r="GVM572" s="126"/>
      <c r="GVN572" s="126"/>
      <c r="GVO572" s="126"/>
      <c r="GVP572" s="126"/>
      <c r="GVQ572" s="126"/>
      <c r="GVR572" s="126"/>
      <c r="GVS572" s="126"/>
      <c r="GVT572" s="126"/>
      <c r="GVU572" s="126"/>
      <c r="GVV572" s="126"/>
      <c r="GVW572" s="126"/>
      <c r="GVX572" s="126"/>
      <c r="GVY572" s="126"/>
      <c r="GVZ572" s="126"/>
      <c r="GWA572" s="126"/>
      <c r="GWB572" s="126"/>
      <c r="GWC572" s="126"/>
      <c r="GWD572" s="126"/>
      <c r="GWE572" s="126"/>
      <c r="GWF572" s="126"/>
      <c r="GWG572" s="126"/>
      <c r="GWH572" s="126"/>
      <c r="GWI572" s="126"/>
      <c r="GWJ572" s="126"/>
      <c r="GWK572" s="126"/>
      <c r="GWL572" s="126"/>
      <c r="GWM572" s="126"/>
      <c r="GWN572" s="126"/>
      <c r="GWO572" s="126"/>
      <c r="GWP572" s="126"/>
      <c r="GWQ572" s="126"/>
      <c r="GWR572" s="126"/>
      <c r="GWS572" s="126"/>
      <c r="GWT572" s="126"/>
      <c r="GWU572" s="126"/>
      <c r="GWV572" s="126"/>
      <c r="GWW572" s="126"/>
      <c r="GWX572" s="126"/>
      <c r="GWY572" s="126"/>
      <c r="GWZ572" s="126"/>
      <c r="GXA572" s="126"/>
      <c r="GXB572" s="126"/>
      <c r="GXC572" s="126"/>
      <c r="GXD572" s="126"/>
      <c r="GXE572" s="126"/>
      <c r="GXF572" s="126"/>
      <c r="GXG572" s="126"/>
      <c r="GXH572" s="126"/>
      <c r="GXI572" s="126"/>
      <c r="GXJ572" s="126"/>
      <c r="GXK572" s="126"/>
      <c r="GXL572" s="126"/>
      <c r="GXM572" s="126"/>
      <c r="GXN572" s="126"/>
      <c r="GXO572" s="126"/>
      <c r="GXP572" s="126"/>
      <c r="GXQ572" s="126"/>
      <c r="GXR572" s="126"/>
      <c r="GXS572" s="126"/>
      <c r="GXT572" s="126"/>
      <c r="GXU572" s="126"/>
      <c r="GXV572" s="126"/>
      <c r="GXW572" s="126"/>
      <c r="GXX572" s="126"/>
      <c r="GXY572" s="126"/>
      <c r="GXZ572" s="126"/>
      <c r="GYA572" s="126"/>
      <c r="GYB572" s="126"/>
      <c r="GYC572" s="126"/>
      <c r="GYD572" s="126"/>
      <c r="GYE572" s="126"/>
      <c r="GYF572" s="126"/>
      <c r="GYG572" s="126"/>
      <c r="GYH572" s="126"/>
      <c r="GYI572" s="126"/>
      <c r="GYJ572" s="126"/>
      <c r="GYK572" s="126"/>
      <c r="GYL572" s="126"/>
      <c r="GYM572" s="126"/>
      <c r="GYN572" s="126"/>
      <c r="GYO572" s="126"/>
      <c r="GYP572" s="126"/>
      <c r="GYQ572" s="126"/>
      <c r="GYR572" s="126"/>
      <c r="GYS572" s="126"/>
      <c r="GYT572" s="126"/>
      <c r="GYU572" s="126"/>
      <c r="GYV572" s="126"/>
      <c r="GYW572" s="126"/>
      <c r="GYX572" s="126"/>
      <c r="GYY572" s="126"/>
      <c r="GYZ572" s="126"/>
      <c r="GZA572" s="126"/>
      <c r="GZB572" s="126"/>
      <c r="GZC572" s="126"/>
      <c r="GZD572" s="126"/>
      <c r="GZE572" s="126"/>
      <c r="GZF572" s="126"/>
      <c r="GZG572" s="126"/>
      <c r="GZH572" s="126"/>
      <c r="GZI572" s="126"/>
      <c r="GZJ572" s="126"/>
      <c r="GZK572" s="126"/>
      <c r="GZL572" s="126"/>
      <c r="GZM572" s="126"/>
      <c r="GZN572" s="126"/>
      <c r="GZO572" s="126"/>
      <c r="GZP572" s="126"/>
      <c r="GZQ572" s="126"/>
      <c r="GZR572" s="126"/>
      <c r="GZS572" s="126"/>
      <c r="GZT572" s="126"/>
      <c r="GZU572" s="126"/>
      <c r="GZV572" s="126"/>
      <c r="GZW572" s="126"/>
      <c r="GZX572" s="126"/>
      <c r="GZY572" s="126"/>
      <c r="GZZ572" s="126"/>
      <c r="HAA572" s="126"/>
      <c r="HAB572" s="126"/>
      <c r="HAC572" s="126"/>
      <c r="HAD572" s="126"/>
      <c r="HAE572" s="126"/>
      <c r="HAF572" s="126"/>
      <c r="HAG572" s="126"/>
      <c r="HAH572" s="126"/>
      <c r="HAI572" s="126"/>
      <c r="HAJ572" s="126"/>
      <c r="HAK572" s="126"/>
      <c r="HAL572" s="126"/>
      <c r="HAM572" s="126"/>
      <c r="HAN572" s="126"/>
      <c r="HAO572" s="126"/>
      <c r="HAP572" s="126"/>
      <c r="HAQ572" s="126"/>
      <c r="HAR572" s="126"/>
      <c r="HAS572" s="126"/>
      <c r="HAT572" s="126"/>
      <c r="HAU572" s="126"/>
      <c r="HAV572" s="126"/>
      <c r="HAW572" s="126"/>
      <c r="HAX572" s="126"/>
      <c r="HAY572" s="126"/>
      <c r="HAZ572" s="126"/>
      <c r="HBA572" s="126"/>
      <c r="HBB572" s="126"/>
      <c r="HBC572" s="126"/>
      <c r="HBD572" s="126"/>
      <c r="HBE572" s="126"/>
      <c r="HBF572" s="126"/>
      <c r="HBG572" s="126"/>
      <c r="HBH572" s="126"/>
      <c r="HBI572" s="126"/>
      <c r="HBJ572" s="126"/>
      <c r="HBK572" s="126"/>
      <c r="HBL572" s="126"/>
      <c r="HBM572" s="126"/>
      <c r="HBN572" s="126"/>
      <c r="HBO572" s="126"/>
      <c r="HBP572" s="126"/>
      <c r="HBQ572" s="126"/>
      <c r="HBR572" s="126"/>
      <c r="HBS572" s="126"/>
      <c r="HBT572" s="126"/>
      <c r="HBU572" s="126"/>
      <c r="HBV572" s="126"/>
      <c r="HBW572" s="126"/>
      <c r="HBX572" s="126"/>
      <c r="HBY572" s="126"/>
      <c r="HBZ572" s="126"/>
      <c r="HCA572" s="126"/>
      <c r="HCB572" s="126"/>
      <c r="HCC572" s="126"/>
      <c r="HCD572" s="126"/>
      <c r="HCE572" s="126"/>
      <c r="HCF572" s="126"/>
      <c r="HCG572" s="126"/>
      <c r="HCH572" s="126"/>
      <c r="HCI572" s="126"/>
      <c r="HCJ572" s="126"/>
      <c r="HCK572" s="126"/>
      <c r="HCL572" s="126"/>
      <c r="HCM572" s="126"/>
      <c r="HCN572" s="126"/>
      <c r="HCO572" s="126"/>
      <c r="HCP572" s="126"/>
      <c r="HCQ572" s="126"/>
      <c r="HCR572" s="126"/>
      <c r="HCS572" s="126"/>
      <c r="HCT572" s="126"/>
      <c r="HCU572" s="126"/>
      <c r="HCV572" s="126"/>
      <c r="HCW572" s="126"/>
      <c r="HCX572" s="126"/>
      <c r="HCY572" s="126"/>
      <c r="HCZ572" s="126"/>
      <c r="HDA572" s="126"/>
      <c r="HDB572" s="126"/>
      <c r="HDC572" s="126"/>
      <c r="HDD572" s="126"/>
      <c r="HDE572" s="126"/>
      <c r="HDF572" s="126"/>
      <c r="HDG572" s="126"/>
      <c r="HDH572" s="126"/>
      <c r="HDI572" s="126"/>
      <c r="HDJ572" s="126"/>
      <c r="HDK572" s="126"/>
      <c r="HDL572" s="126"/>
      <c r="HDM572" s="126"/>
      <c r="HDN572" s="126"/>
      <c r="HDO572" s="126"/>
      <c r="HDP572" s="126"/>
      <c r="HDQ572" s="126"/>
      <c r="HDR572" s="126"/>
      <c r="HDS572" s="126"/>
      <c r="HDT572" s="126"/>
      <c r="HDU572" s="126"/>
      <c r="HDV572" s="126"/>
      <c r="HDW572" s="126"/>
      <c r="HDX572" s="126"/>
      <c r="HDY572" s="126"/>
      <c r="HDZ572" s="126"/>
      <c r="HEA572" s="126"/>
      <c r="HEB572" s="126"/>
      <c r="HEC572" s="126"/>
      <c r="HED572" s="126"/>
      <c r="HEE572" s="126"/>
      <c r="HEF572" s="126"/>
      <c r="HEG572" s="126"/>
      <c r="HEH572" s="126"/>
      <c r="HEI572" s="126"/>
      <c r="HEJ572" s="126"/>
      <c r="HEK572" s="126"/>
      <c r="HEL572" s="126"/>
      <c r="HEM572" s="126"/>
      <c r="HEN572" s="126"/>
      <c r="HEO572" s="126"/>
      <c r="HEP572" s="126"/>
      <c r="HEQ572" s="126"/>
      <c r="HER572" s="126"/>
      <c r="HES572" s="126"/>
      <c r="HET572" s="126"/>
      <c r="HEU572" s="126"/>
      <c r="HEV572" s="126"/>
      <c r="HEW572" s="126"/>
      <c r="HEX572" s="126"/>
      <c r="HEY572" s="126"/>
      <c r="HEZ572" s="126"/>
      <c r="HFA572" s="126"/>
      <c r="HFB572" s="126"/>
      <c r="HFC572" s="126"/>
      <c r="HFD572" s="126"/>
      <c r="HFE572" s="126"/>
      <c r="HFF572" s="126"/>
      <c r="HFG572" s="126"/>
      <c r="HFH572" s="126"/>
      <c r="HFI572" s="126"/>
      <c r="HFJ572" s="126"/>
      <c r="HFK572" s="126"/>
      <c r="HFL572" s="126"/>
      <c r="HFM572" s="126"/>
      <c r="HFN572" s="126"/>
      <c r="HFO572" s="126"/>
      <c r="HFP572" s="126"/>
      <c r="HFQ572" s="126"/>
      <c r="HFR572" s="126"/>
      <c r="HFS572" s="126"/>
      <c r="HFT572" s="126"/>
      <c r="HFU572" s="126"/>
      <c r="HFV572" s="126"/>
      <c r="HFW572" s="126"/>
      <c r="HFX572" s="126"/>
      <c r="HFY572" s="126"/>
      <c r="HFZ572" s="126"/>
      <c r="HGA572" s="126"/>
      <c r="HGB572" s="126"/>
      <c r="HGC572" s="126"/>
      <c r="HGD572" s="126"/>
      <c r="HGE572" s="126"/>
      <c r="HGF572" s="126"/>
      <c r="HGG572" s="126"/>
      <c r="HGH572" s="126"/>
      <c r="HGI572" s="126"/>
      <c r="HGJ572" s="126"/>
      <c r="HGK572" s="126"/>
      <c r="HGL572" s="126"/>
      <c r="HGM572" s="126"/>
      <c r="HGN572" s="126"/>
      <c r="HGO572" s="126"/>
      <c r="HGP572" s="126"/>
      <c r="HGQ572" s="126"/>
      <c r="HGR572" s="126"/>
      <c r="HGS572" s="126"/>
      <c r="HGT572" s="126"/>
      <c r="HGU572" s="126"/>
      <c r="HGV572" s="126"/>
      <c r="HGW572" s="126"/>
      <c r="HGX572" s="126"/>
      <c r="HGY572" s="126"/>
      <c r="HGZ572" s="126"/>
      <c r="HHA572" s="126"/>
      <c r="HHB572" s="126"/>
      <c r="HHC572" s="126"/>
      <c r="HHD572" s="126"/>
      <c r="HHE572" s="126"/>
      <c r="HHF572" s="126"/>
      <c r="HHG572" s="126"/>
      <c r="HHH572" s="126"/>
      <c r="HHI572" s="126"/>
      <c r="HHJ572" s="126"/>
      <c r="HHK572" s="126"/>
      <c r="HHL572" s="126"/>
      <c r="HHM572" s="126"/>
      <c r="HHN572" s="126"/>
      <c r="HHO572" s="126"/>
      <c r="HHP572" s="126"/>
      <c r="HHQ572" s="126"/>
      <c r="HHR572" s="126"/>
      <c r="HHS572" s="126"/>
      <c r="HHT572" s="126"/>
      <c r="HHU572" s="126"/>
      <c r="HHV572" s="126"/>
      <c r="HHW572" s="126"/>
      <c r="HHX572" s="126"/>
      <c r="HHY572" s="126"/>
      <c r="HHZ572" s="126"/>
      <c r="HIA572" s="126"/>
      <c r="HIB572" s="126"/>
      <c r="HIC572" s="126"/>
      <c r="HID572" s="126"/>
      <c r="HIE572" s="126"/>
      <c r="HIF572" s="126"/>
      <c r="HIG572" s="126"/>
      <c r="HIH572" s="126"/>
      <c r="HII572" s="126"/>
      <c r="HIJ572" s="126"/>
      <c r="HIK572" s="126"/>
      <c r="HIL572" s="126"/>
      <c r="HIM572" s="126"/>
      <c r="HIN572" s="126"/>
      <c r="HIO572" s="126"/>
      <c r="HIP572" s="126"/>
      <c r="HIQ572" s="126"/>
      <c r="HIR572" s="126"/>
      <c r="HIS572" s="126"/>
      <c r="HIT572" s="126"/>
      <c r="HIU572" s="126"/>
      <c r="HIV572" s="126"/>
      <c r="HIW572" s="126"/>
      <c r="HIX572" s="126"/>
      <c r="HIY572" s="126"/>
      <c r="HIZ572" s="126"/>
      <c r="HJA572" s="126"/>
      <c r="HJB572" s="126"/>
      <c r="HJC572" s="126"/>
      <c r="HJD572" s="126"/>
      <c r="HJE572" s="126"/>
      <c r="HJF572" s="126"/>
      <c r="HJG572" s="126"/>
      <c r="HJH572" s="126"/>
      <c r="HJI572" s="126"/>
      <c r="HJJ572" s="126"/>
      <c r="HJK572" s="126"/>
      <c r="HJL572" s="126"/>
      <c r="HJM572" s="126"/>
      <c r="HJN572" s="126"/>
      <c r="HJO572" s="126"/>
      <c r="HJP572" s="126"/>
      <c r="HJQ572" s="126"/>
      <c r="HJR572" s="126"/>
      <c r="HJS572" s="126"/>
      <c r="HJT572" s="126"/>
      <c r="HJU572" s="126"/>
      <c r="HJV572" s="126"/>
      <c r="HJW572" s="126"/>
      <c r="HJX572" s="126"/>
      <c r="HJY572" s="126"/>
      <c r="HJZ572" s="126"/>
      <c r="HKA572" s="126"/>
      <c r="HKB572" s="126"/>
      <c r="HKC572" s="126"/>
      <c r="HKD572" s="126"/>
      <c r="HKE572" s="126"/>
      <c r="HKF572" s="126"/>
      <c r="HKG572" s="126"/>
      <c r="HKH572" s="126"/>
      <c r="HKI572" s="126"/>
      <c r="HKJ572" s="126"/>
      <c r="HKK572" s="126"/>
      <c r="HKL572" s="126"/>
      <c r="HKM572" s="126"/>
      <c r="HKN572" s="126"/>
      <c r="HKO572" s="126"/>
      <c r="HKP572" s="126"/>
      <c r="HKQ572" s="126"/>
      <c r="HKR572" s="126"/>
      <c r="HKS572" s="126"/>
      <c r="HKT572" s="126"/>
      <c r="HKU572" s="126"/>
      <c r="HKV572" s="126"/>
      <c r="HKW572" s="126"/>
      <c r="HKX572" s="126"/>
      <c r="HKY572" s="126"/>
      <c r="HKZ572" s="126"/>
      <c r="HLA572" s="126"/>
      <c r="HLB572" s="126"/>
      <c r="HLC572" s="126"/>
      <c r="HLD572" s="126"/>
      <c r="HLE572" s="126"/>
      <c r="HLF572" s="126"/>
      <c r="HLG572" s="126"/>
      <c r="HLH572" s="126"/>
      <c r="HLI572" s="126"/>
      <c r="HLJ572" s="126"/>
      <c r="HLK572" s="126"/>
      <c r="HLL572" s="126"/>
      <c r="HLM572" s="126"/>
      <c r="HLN572" s="126"/>
      <c r="HLO572" s="126"/>
      <c r="HLP572" s="126"/>
      <c r="HLQ572" s="126"/>
      <c r="HLR572" s="126"/>
      <c r="HLS572" s="126"/>
      <c r="HLT572" s="126"/>
      <c r="HLU572" s="126"/>
      <c r="HLV572" s="126"/>
      <c r="HLW572" s="126"/>
      <c r="HLX572" s="126"/>
      <c r="HLY572" s="126"/>
      <c r="HLZ572" s="126"/>
      <c r="HMA572" s="126"/>
      <c r="HMB572" s="126"/>
      <c r="HMC572" s="126"/>
      <c r="HMD572" s="126"/>
      <c r="HME572" s="126"/>
      <c r="HMF572" s="126"/>
      <c r="HMG572" s="126"/>
      <c r="HMH572" s="126"/>
      <c r="HMI572" s="126"/>
      <c r="HMJ572" s="126"/>
      <c r="HMK572" s="126"/>
      <c r="HML572" s="126"/>
      <c r="HMM572" s="126"/>
      <c r="HMN572" s="126"/>
      <c r="HMO572" s="126"/>
      <c r="HMP572" s="126"/>
      <c r="HMQ572" s="126"/>
      <c r="HMR572" s="126"/>
      <c r="HMS572" s="126"/>
      <c r="HMT572" s="126"/>
      <c r="HMU572" s="126"/>
      <c r="HMV572" s="126"/>
      <c r="HMW572" s="126"/>
      <c r="HMX572" s="126"/>
      <c r="HMY572" s="126"/>
      <c r="HMZ572" s="126"/>
      <c r="HNA572" s="126"/>
      <c r="HNB572" s="126"/>
      <c r="HNC572" s="126"/>
      <c r="HND572" s="126"/>
      <c r="HNE572" s="126"/>
      <c r="HNF572" s="126"/>
      <c r="HNG572" s="126"/>
      <c r="HNH572" s="126"/>
      <c r="HNI572" s="126"/>
      <c r="HNJ572" s="126"/>
      <c r="HNK572" s="126"/>
      <c r="HNL572" s="126"/>
      <c r="HNM572" s="126"/>
      <c r="HNN572" s="126"/>
      <c r="HNO572" s="126"/>
      <c r="HNP572" s="126"/>
      <c r="HNQ572" s="126"/>
      <c r="HNR572" s="126"/>
      <c r="HNS572" s="126"/>
      <c r="HNT572" s="126"/>
      <c r="HNU572" s="126"/>
      <c r="HNV572" s="126"/>
      <c r="HNW572" s="126"/>
      <c r="HNX572" s="126"/>
      <c r="HNY572" s="126"/>
      <c r="HNZ572" s="126"/>
      <c r="HOA572" s="126"/>
      <c r="HOB572" s="126"/>
      <c r="HOC572" s="126"/>
      <c r="HOD572" s="126"/>
      <c r="HOE572" s="126"/>
      <c r="HOF572" s="126"/>
      <c r="HOG572" s="126"/>
      <c r="HOH572" s="126"/>
      <c r="HOI572" s="126"/>
      <c r="HOJ572" s="126"/>
      <c r="HOK572" s="126"/>
      <c r="HOL572" s="126"/>
      <c r="HOM572" s="126"/>
      <c r="HON572" s="126"/>
      <c r="HOO572" s="126"/>
      <c r="HOP572" s="126"/>
      <c r="HOQ572" s="126"/>
      <c r="HOR572" s="126"/>
      <c r="HOS572" s="126"/>
      <c r="HOT572" s="126"/>
      <c r="HOU572" s="126"/>
      <c r="HOV572" s="126"/>
      <c r="HOW572" s="126"/>
      <c r="HOX572" s="126"/>
      <c r="HOY572" s="126"/>
      <c r="HOZ572" s="126"/>
      <c r="HPA572" s="126"/>
      <c r="HPB572" s="126"/>
      <c r="HPC572" s="126"/>
      <c r="HPD572" s="126"/>
      <c r="HPE572" s="126"/>
      <c r="HPF572" s="126"/>
      <c r="HPG572" s="126"/>
      <c r="HPH572" s="126"/>
      <c r="HPI572" s="126"/>
      <c r="HPJ572" s="126"/>
      <c r="HPK572" s="126"/>
      <c r="HPL572" s="126"/>
      <c r="HPM572" s="126"/>
      <c r="HPN572" s="126"/>
      <c r="HPO572" s="126"/>
      <c r="HPP572" s="126"/>
      <c r="HPQ572" s="126"/>
      <c r="HPR572" s="126"/>
      <c r="HPS572" s="126"/>
      <c r="HPT572" s="126"/>
      <c r="HPU572" s="126"/>
      <c r="HPV572" s="126"/>
      <c r="HPW572" s="126"/>
      <c r="HPX572" s="126"/>
      <c r="HPY572" s="126"/>
      <c r="HPZ572" s="126"/>
      <c r="HQA572" s="126"/>
      <c r="HQB572" s="126"/>
      <c r="HQC572" s="126"/>
      <c r="HQD572" s="126"/>
      <c r="HQE572" s="126"/>
      <c r="HQF572" s="126"/>
      <c r="HQG572" s="126"/>
      <c r="HQH572" s="126"/>
      <c r="HQI572" s="126"/>
      <c r="HQJ572" s="126"/>
      <c r="HQK572" s="126"/>
      <c r="HQL572" s="126"/>
      <c r="HQM572" s="126"/>
      <c r="HQN572" s="126"/>
      <c r="HQO572" s="126"/>
      <c r="HQP572" s="126"/>
      <c r="HQQ572" s="126"/>
      <c r="HQR572" s="126"/>
      <c r="HQS572" s="126"/>
      <c r="HQT572" s="126"/>
      <c r="HQU572" s="126"/>
      <c r="HQV572" s="126"/>
      <c r="HQW572" s="126"/>
      <c r="HQX572" s="126"/>
      <c r="HQY572" s="126"/>
      <c r="HQZ572" s="126"/>
      <c r="HRA572" s="126"/>
      <c r="HRB572" s="126"/>
      <c r="HRC572" s="126"/>
      <c r="HRD572" s="126"/>
      <c r="HRE572" s="126"/>
      <c r="HRF572" s="126"/>
      <c r="HRG572" s="126"/>
      <c r="HRH572" s="126"/>
      <c r="HRI572" s="126"/>
      <c r="HRJ572" s="126"/>
      <c r="HRK572" s="126"/>
      <c r="HRL572" s="126"/>
      <c r="HRM572" s="126"/>
      <c r="HRN572" s="126"/>
      <c r="HRO572" s="126"/>
      <c r="HRP572" s="126"/>
      <c r="HRQ572" s="126"/>
      <c r="HRR572" s="126"/>
      <c r="HRS572" s="126"/>
      <c r="HRT572" s="126"/>
      <c r="HRU572" s="126"/>
      <c r="HRV572" s="126"/>
      <c r="HRW572" s="126"/>
      <c r="HRX572" s="126"/>
      <c r="HRY572" s="126"/>
      <c r="HRZ572" s="126"/>
      <c r="HSA572" s="126"/>
      <c r="HSB572" s="126"/>
      <c r="HSC572" s="126"/>
      <c r="HSD572" s="126"/>
      <c r="HSE572" s="126"/>
      <c r="HSF572" s="126"/>
      <c r="HSG572" s="126"/>
      <c r="HSH572" s="126"/>
      <c r="HSI572" s="126"/>
      <c r="HSJ572" s="126"/>
      <c r="HSK572" s="126"/>
      <c r="HSL572" s="126"/>
      <c r="HSM572" s="126"/>
      <c r="HSN572" s="126"/>
      <c r="HSO572" s="126"/>
      <c r="HSP572" s="126"/>
      <c r="HSQ572" s="126"/>
      <c r="HSR572" s="126"/>
      <c r="HSS572" s="126"/>
      <c r="HST572" s="126"/>
      <c r="HSU572" s="126"/>
      <c r="HSV572" s="126"/>
      <c r="HSW572" s="126"/>
      <c r="HSX572" s="126"/>
      <c r="HSY572" s="126"/>
      <c r="HSZ572" s="126"/>
      <c r="HTA572" s="126"/>
      <c r="HTB572" s="126"/>
      <c r="HTC572" s="126"/>
      <c r="HTD572" s="126"/>
      <c r="HTE572" s="126"/>
      <c r="HTF572" s="126"/>
      <c r="HTG572" s="126"/>
      <c r="HTH572" s="126"/>
      <c r="HTI572" s="126"/>
      <c r="HTJ572" s="126"/>
      <c r="HTK572" s="126"/>
      <c r="HTL572" s="126"/>
      <c r="HTM572" s="126"/>
      <c r="HTN572" s="126"/>
      <c r="HTO572" s="126"/>
      <c r="HTP572" s="126"/>
      <c r="HTQ572" s="126"/>
      <c r="HTR572" s="126"/>
      <c r="HTS572" s="126"/>
      <c r="HTT572" s="126"/>
      <c r="HTU572" s="126"/>
      <c r="HTV572" s="126"/>
      <c r="HTW572" s="126"/>
      <c r="HTX572" s="126"/>
      <c r="HTY572" s="126"/>
      <c r="HTZ572" s="126"/>
      <c r="HUA572" s="126"/>
      <c r="HUB572" s="126"/>
      <c r="HUC572" s="126"/>
      <c r="HUD572" s="126"/>
      <c r="HUE572" s="126"/>
      <c r="HUF572" s="126"/>
      <c r="HUG572" s="126"/>
      <c r="HUH572" s="126"/>
      <c r="HUI572" s="126"/>
      <c r="HUJ572" s="126"/>
      <c r="HUK572" s="126"/>
      <c r="HUL572" s="126"/>
      <c r="HUM572" s="126"/>
      <c r="HUN572" s="126"/>
      <c r="HUO572" s="126"/>
      <c r="HUP572" s="126"/>
      <c r="HUQ572" s="126"/>
      <c r="HUR572" s="126"/>
      <c r="HUS572" s="126"/>
      <c r="HUT572" s="126"/>
      <c r="HUU572" s="126"/>
      <c r="HUV572" s="126"/>
      <c r="HUW572" s="126"/>
      <c r="HUX572" s="126"/>
      <c r="HUY572" s="126"/>
      <c r="HUZ572" s="126"/>
      <c r="HVA572" s="126"/>
      <c r="HVB572" s="126"/>
      <c r="HVC572" s="126"/>
      <c r="HVD572" s="126"/>
      <c r="HVE572" s="126"/>
      <c r="HVF572" s="126"/>
      <c r="HVG572" s="126"/>
      <c r="HVH572" s="126"/>
      <c r="HVI572" s="126"/>
      <c r="HVJ572" s="126"/>
      <c r="HVK572" s="126"/>
      <c r="HVL572" s="126"/>
      <c r="HVM572" s="126"/>
      <c r="HVN572" s="126"/>
      <c r="HVO572" s="126"/>
      <c r="HVP572" s="126"/>
      <c r="HVQ572" s="126"/>
      <c r="HVR572" s="126"/>
      <c r="HVS572" s="126"/>
      <c r="HVT572" s="126"/>
      <c r="HVU572" s="126"/>
      <c r="HVV572" s="126"/>
      <c r="HVW572" s="126"/>
      <c r="HVX572" s="126"/>
      <c r="HVY572" s="126"/>
      <c r="HVZ572" s="126"/>
      <c r="HWA572" s="126"/>
      <c r="HWB572" s="126"/>
      <c r="HWC572" s="126"/>
      <c r="HWD572" s="126"/>
      <c r="HWE572" s="126"/>
      <c r="HWF572" s="126"/>
      <c r="HWG572" s="126"/>
      <c r="HWH572" s="126"/>
      <c r="HWI572" s="126"/>
      <c r="HWJ572" s="126"/>
      <c r="HWK572" s="126"/>
      <c r="HWL572" s="126"/>
      <c r="HWM572" s="126"/>
      <c r="HWN572" s="126"/>
      <c r="HWO572" s="126"/>
      <c r="HWP572" s="126"/>
      <c r="HWQ572" s="126"/>
      <c r="HWR572" s="126"/>
      <c r="HWS572" s="126"/>
      <c r="HWT572" s="126"/>
      <c r="HWU572" s="126"/>
      <c r="HWV572" s="126"/>
      <c r="HWW572" s="126"/>
      <c r="HWX572" s="126"/>
      <c r="HWY572" s="126"/>
      <c r="HWZ572" s="126"/>
      <c r="HXA572" s="126"/>
      <c r="HXB572" s="126"/>
      <c r="HXC572" s="126"/>
      <c r="HXD572" s="126"/>
      <c r="HXE572" s="126"/>
      <c r="HXF572" s="126"/>
      <c r="HXG572" s="126"/>
      <c r="HXH572" s="126"/>
      <c r="HXI572" s="126"/>
      <c r="HXJ572" s="126"/>
      <c r="HXK572" s="126"/>
      <c r="HXL572" s="126"/>
      <c r="HXM572" s="126"/>
      <c r="HXN572" s="126"/>
      <c r="HXO572" s="126"/>
      <c r="HXP572" s="126"/>
      <c r="HXQ572" s="126"/>
      <c r="HXR572" s="126"/>
      <c r="HXS572" s="126"/>
      <c r="HXT572" s="126"/>
      <c r="HXU572" s="126"/>
      <c r="HXV572" s="126"/>
      <c r="HXW572" s="126"/>
      <c r="HXX572" s="126"/>
      <c r="HXY572" s="126"/>
      <c r="HXZ572" s="126"/>
      <c r="HYA572" s="126"/>
      <c r="HYB572" s="126"/>
      <c r="HYC572" s="126"/>
      <c r="HYD572" s="126"/>
      <c r="HYE572" s="126"/>
      <c r="HYF572" s="126"/>
      <c r="HYG572" s="126"/>
      <c r="HYH572" s="126"/>
      <c r="HYI572" s="126"/>
      <c r="HYJ572" s="126"/>
      <c r="HYK572" s="126"/>
      <c r="HYL572" s="126"/>
      <c r="HYM572" s="126"/>
      <c r="HYN572" s="126"/>
      <c r="HYO572" s="126"/>
      <c r="HYP572" s="126"/>
      <c r="HYQ572" s="126"/>
      <c r="HYR572" s="126"/>
      <c r="HYS572" s="126"/>
      <c r="HYT572" s="126"/>
      <c r="HYU572" s="126"/>
      <c r="HYV572" s="126"/>
      <c r="HYW572" s="126"/>
      <c r="HYX572" s="126"/>
      <c r="HYY572" s="126"/>
      <c r="HYZ572" s="126"/>
      <c r="HZA572" s="126"/>
      <c r="HZB572" s="126"/>
      <c r="HZC572" s="126"/>
      <c r="HZD572" s="126"/>
      <c r="HZE572" s="126"/>
      <c r="HZF572" s="126"/>
      <c r="HZG572" s="126"/>
      <c r="HZH572" s="126"/>
      <c r="HZI572" s="126"/>
      <c r="HZJ572" s="126"/>
      <c r="HZK572" s="126"/>
      <c r="HZL572" s="126"/>
      <c r="HZM572" s="126"/>
      <c r="HZN572" s="126"/>
      <c r="HZO572" s="126"/>
      <c r="HZP572" s="126"/>
      <c r="HZQ572" s="126"/>
      <c r="HZR572" s="126"/>
      <c r="HZS572" s="126"/>
      <c r="HZT572" s="126"/>
      <c r="HZU572" s="126"/>
      <c r="HZV572" s="126"/>
      <c r="HZW572" s="126"/>
      <c r="HZX572" s="126"/>
      <c r="HZY572" s="126"/>
      <c r="HZZ572" s="126"/>
      <c r="IAA572" s="126"/>
      <c r="IAB572" s="126"/>
      <c r="IAC572" s="126"/>
      <c r="IAD572" s="126"/>
      <c r="IAE572" s="126"/>
      <c r="IAF572" s="126"/>
      <c r="IAG572" s="126"/>
      <c r="IAH572" s="126"/>
      <c r="IAI572" s="126"/>
      <c r="IAJ572" s="126"/>
      <c r="IAK572" s="126"/>
      <c r="IAL572" s="126"/>
      <c r="IAM572" s="126"/>
      <c r="IAN572" s="126"/>
      <c r="IAO572" s="126"/>
      <c r="IAP572" s="126"/>
      <c r="IAQ572" s="126"/>
      <c r="IAR572" s="126"/>
      <c r="IAS572" s="126"/>
      <c r="IAT572" s="126"/>
      <c r="IAU572" s="126"/>
      <c r="IAV572" s="126"/>
      <c r="IAW572" s="126"/>
      <c r="IAX572" s="126"/>
      <c r="IAY572" s="126"/>
      <c r="IAZ572" s="126"/>
      <c r="IBA572" s="126"/>
      <c r="IBB572" s="126"/>
      <c r="IBC572" s="126"/>
      <c r="IBD572" s="126"/>
      <c r="IBE572" s="126"/>
      <c r="IBF572" s="126"/>
      <c r="IBG572" s="126"/>
      <c r="IBH572" s="126"/>
      <c r="IBI572" s="126"/>
      <c r="IBJ572" s="126"/>
      <c r="IBK572" s="126"/>
      <c r="IBL572" s="126"/>
      <c r="IBM572" s="126"/>
      <c r="IBN572" s="126"/>
      <c r="IBO572" s="126"/>
      <c r="IBP572" s="126"/>
      <c r="IBQ572" s="126"/>
      <c r="IBR572" s="126"/>
      <c r="IBS572" s="126"/>
      <c r="IBT572" s="126"/>
      <c r="IBU572" s="126"/>
      <c r="IBV572" s="126"/>
      <c r="IBW572" s="126"/>
      <c r="IBX572" s="126"/>
      <c r="IBY572" s="126"/>
      <c r="IBZ572" s="126"/>
      <c r="ICA572" s="126"/>
      <c r="ICB572" s="126"/>
      <c r="ICC572" s="126"/>
      <c r="ICD572" s="126"/>
      <c r="ICE572" s="126"/>
      <c r="ICF572" s="126"/>
      <c r="ICG572" s="126"/>
      <c r="ICH572" s="126"/>
      <c r="ICI572" s="126"/>
      <c r="ICJ572" s="126"/>
      <c r="ICK572" s="126"/>
      <c r="ICL572" s="126"/>
      <c r="ICM572" s="126"/>
      <c r="ICN572" s="126"/>
      <c r="ICO572" s="126"/>
      <c r="ICP572" s="126"/>
      <c r="ICQ572" s="126"/>
      <c r="ICR572" s="126"/>
      <c r="ICS572" s="126"/>
      <c r="ICT572" s="126"/>
      <c r="ICU572" s="126"/>
      <c r="ICV572" s="126"/>
      <c r="ICW572" s="126"/>
      <c r="ICX572" s="126"/>
      <c r="ICY572" s="126"/>
      <c r="ICZ572" s="126"/>
      <c r="IDA572" s="126"/>
      <c r="IDB572" s="126"/>
      <c r="IDC572" s="126"/>
      <c r="IDD572" s="126"/>
      <c r="IDE572" s="126"/>
      <c r="IDF572" s="126"/>
      <c r="IDG572" s="126"/>
      <c r="IDH572" s="126"/>
      <c r="IDI572" s="126"/>
      <c r="IDJ572" s="126"/>
      <c r="IDK572" s="126"/>
      <c r="IDL572" s="126"/>
      <c r="IDM572" s="126"/>
      <c r="IDN572" s="126"/>
      <c r="IDO572" s="126"/>
      <c r="IDP572" s="126"/>
      <c r="IDQ572" s="126"/>
      <c r="IDR572" s="126"/>
      <c r="IDS572" s="126"/>
      <c r="IDT572" s="126"/>
      <c r="IDU572" s="126"/>
      <c r="IDV572" s="126"/>
      <c r="IDW572" s="126"/>
      <c r="IDX572" s="126"/>
      <c r="IDY572" s="126"/>
      <c r="IDZ572" s="126"/>
      <c r="IEA572" s="126"/>
      <c r="IEB572" s="126"/>
      <c r="IEC572" s="126"/>
      <c r="IED572" s="126"/>
      <c r="IEE572" s="126"/>
      <c r="IEF572" s="126"/>
      <c r="IEG572" s="126"/>
      <c r="IEH572" s="126"/>
      <c r="IEI572" s="126"/>
      <c r="IEJ572" s="126"/>
      <c r="IEK572" s="126"/>
      <c r="IEL572" s="126"/>
      <c r="IEM572" s="126"/>
      <c r="IEN572" s="126"/>
      <c r="IEO572" s="126"/>
      <c r="IEP572" s="126"/>
      <c r="IEQ572" s="126"/>
      <c r="IER572" s="126"/>
      <c r="IES572" s="126"/>
      <c r="IET572" s="126"/>
      <c r="IEU572" s="126"/>
      <c r="IEV572" s="126"/>
      <c r="IEW572" s="126"/>
      <c r="IEX572" s="126"/>
      <c r="IEY572" s="126"/>
      <c r="IEZ572" s="126"/>
      <c r="IFA572" s="126"/>
      <c r="IFB572" s="126"/>
      <c r="IFC572" s="126"/>
      <c r="IFD572" s="126"/>
      <c r="IFE572" s="126"/>
      <c r="IFF572" s="126"/>
      <c r="IFG572" s="126"/>
      <c r="IFH572" s="126"/>
      <c r="IFI572" s="126"/>
      <c r="IFJ572" s="126"/>
      <c r="IFK572" s="126"/>
      <c r="IFL572" s="126"/>
      <c r="IFM572" s="126"/>
      <c r="IFN572" s="126"/>
      <c r="IFO572" s="126"/>
      <c r="IFP572" s="126"/>
      <c r="IFQ572" s="126"/>
      <c r="IFR572" s="126"/>
      <c r="IFS572" s="126"/>
      <c r="IFT572" s="126"/>
      <c r="IFU572" s="126"/>
      <c r="IFV572" s="126"/>
      <c r="IFW572" s="126"/>
      <c r="IFX572" s="126"/>
      <c r="IFY572" s="126"/>
      <c r="IFZ572" s="126"/>
      <c r="IGA572" s="126"/>
      <c r="IGB572" s="126"/>
      <c r="IGC572" s="126"/>
      <c r="IGD572" s="126"/>
      <c r="IGE572" s="126"/>
      <c r="IGF572" s="126"/>
      <c r="IGG572" s="126"/>
      <c r="IGH572" s="126"/>
      <c r="IGI572" s="126"/>
      <c r="IGJ572" s="126"/>
      <c r="IGK572" s="126"/>
      <c r="IGL572" s="126"/>
      <c r="IGM572" s="126"/>
      <c r="IGN572" s="126"/>
      <c r="IGO572" s="126"/>
      <c r="IGP572" s="126"/>
      <c r="IGQ572" s="126"/>
      <c r="IGR572" s="126"/>
      <c r="IGS572" s="126"/>
      <c r="IGT572" s="126"/>
      <c r="IGU572" s="126"/>
      <c r="IGV572" s="126"/>
      <c r="IGW572" s="126"/>
      <c r="IGX572" s="126"/>
      <c r="IGY572" s="126"/>
      <c r="IGZ572" s="126"/>
      <c r="IHA572" s="126"/>
      <c r="IHB572" s="126"/>
      <c r="IHC572" s="126"/>
      <c r="IHD572" s="126"/>
      <c r="IHE572" s="126"/>
      <c r="IHF572" s="126"/>
      <c r="IHG572" s="126"/>
      <c r="IHH572" s="126"/>
      <c r="IHI572" s="126"/>
      <c r="IHJ572" s="126"/>
      <c r="IHK572" s="126"/>
      <c r="IHL572" s="126"/>
      <c r="IHM572" s="126"/>
      <c r="IHN572" s="126"/>
      <c r="IHO572" s="126"/>
      <c r="IHP572" s="126"/>
      <c r="IHQ572" s="126"/>
      <c r="IHR572" s="126"/>
      <c r="IHS572" s="126"/>
      <c r="IHT572" s="126"/>
      <c r="IHU572" s="126"/>
      <c r="IHV572" s="126"/>
      <c r="IHW572" s="126"/>
      <c r="IHX572" s="126"/>
      <c r="IHY572" s="126"/>
      <c r="IHZ572" s="126"/>
      <c r="IIA572" s="126"/>
      <c r="IIB572" s="126"/>
      <c r="IIC572" s="126"/>
      <c r="IID572" s="126"/>
      <c r="IIE572" s="126"/>
      <c r="IIF572" s="126"/>
      <c r="IIG572" s="126"/>
      <c r="IIH572" s="126"/>
      <c r="III572" s="126"/>
      <c r="IIJ572" s="126"/>
      <c r="IIK572" s="126"/>
      <c r="IIL572" s="126"/>
      <c r="IIM572" s="126"/>
      <c r="IIN572" s="126"/>
      <c r="IIO572" s="126"/>
      <c r="IIP572" s="126"/>
      <c r="IIQ572" s="126"/>
      <c r="IIR572" s="126"/>
      <c r="IIS572" s="126"/>
      <c r="IIT572" s="126"/>
      <c r="IIU572" s="126"/>
      <c r="IIV572" s="126"/>
      <c r="IIW572" s="126"/>
      <c r="IIX572" s="126"/>
      <c r="IIY572" s="126"/>
      <c r="IIZ572" s="126"/>
      <c r="IJA572" s="126"/>
      <c r="IJB572" s="126"/>
      <c r="IJC572" s="126"/>
      <c r="IJD572" s="126"/>
      <c r="IJE572" s="126"/>
      <c r="IJF572" s="126"/>
      <c r="IJG572" s="126"/>
      <c r="IJH572" s="126"/>
      <c r="IJI572" s="126"/>
      <c r="IJJ572" s="126"/>
      <c r="IJK572" s="126"/>
      <c r="IJL572" s="126"/>
      <c r="IJM572" s="126"/>
      <c r="IJN572" s="126"/>
      <c r="IJO572" s="126"/>
      <c r="IJP572" s="126"/>
      <c r="IJQ572" s="126"/>
      <c r="IJR572" s="126"/>
      <c r="IJS572" s="126"/>
      <c r="IJT572" s="126"/>
      <c r="IJU572" s="126"/>
      <c r="IJV572" s="126"/>
      <c r="IJW572" s="126"/>
      <c r="IJX572" s="126"/>
      <c r="IJY572" s="126"/>
      <c r="IJZ572" s="126"/>
      <c r="IKA572" s="126"/>
      <c r="IKB572" s="126"/>
      <c r="IKC572" s="126"/>
      <c r="IKD572" s="126"/>
      <c r="IKE572" s="126"/>
      <c r="IKF572" s="126"/>
      <c r="IKG572" s="126"/>
      <c r="IKH572" s="126"/>
      <c r="IKI572" s="126"/>
      <c r="IKJ572" s="126"/>
      <c r="IKK572" s="126"/>
      <c r="IKL572" s="126"/>
      <c r="IKM572" s="126"/>
      <c r="IKN572" s="126"/>
      <c r="IKO572" s="126"/>
      <c r="IKP572" s="126"/>
      <c r="IKQ572" s="126"/>
      <c r="IKR572" s="126"/>
      <c r="IKS572" s="126"/>
      <c r="IKT572" s="126"/>
      <c r="IKU572" s="126"/>
      <c r="IKV572" s="126"/>
      <c r="IKW572" s="126"/>
      <c r="IKX572" s="126"/>
      <c r="IKY572" s="126"/>
      <c r="IKZ572" s="126"/>
      <c r="ILA572" s="126"/>
      <c r="ILB572" s="126"/>
      <c r="ILC572" s="126"/>
      <c r="ILD572" s="126"/>
      <c r="ILE572" s="126"/>
      <c r="ILF572" s="126"/>
      <c r="ILG572" s="126"/>
      <c r="ILH572" s="126"/>
      <c r="ILI572" s="126"/>
      <c r="ILJ572" s="126"/>
      <c r="ILK572" s="126"/>
      <c r="ILL572" s="126"/>
      <c r="ILM572" s="126"/>
      <c r="ILN572" s="126"/>
      <c r="ILO572" s="126"/>
      <c r="ILP572" s="126"/>
      <c r="ILQ572" s="126"/>
      <c r="ILR572" s="126"/>
      <c r="ILS572" s="126"/>
      <c r="ILT572" s="126"/>
      <c r="ILU572" s="126"/>
      <c r="ILV572" s="126"/>
      <c r="ILW572" s="126"/>
      <c r="ILX572" s="126"/>
      <c r="ILY572" s="126"/>
      <c r="ILZ572" s="126"/>
      <c r="IMA572" s="126"/>
      <c r="IMB572" s="126"/>
      <c r="IMC572" s="126"/>
      <c r="IMD572" s="126"/>
      <c r="IME572" s="126"/>
      <c r="IMF572" s="126"/>
      <c r="IMG572" s="126"/>
      <c r="IMH572" s="126"/>
      <c r="IMI572" s="126"/>
      <c r="IMJ572" s="126"/>
      <c r="IMK572" s="126"/>
      <c r="IML572" s="126"/>
      <c r="IMM572" s="126"/>
      <c r="IMN572" s="126"/>
      <c r="IMO572" s="126"/>
      <c r="IMP572" s="126"/>
      <c r="IMQ572" s="126"/>
      <c r="IMR572" s="126"/>
      <c r="IMS572" s="126"/>
      <c r="IMT572" s="126"/>
      <c r="IMU572" s="126"/>
      <c r="IMV572" s="126"/>
      <c r="IMW572" s="126"/>
      <c r="IMX572" s="126"/>
      <c r="IMY572" s="126"/>
      <c r="IMZ572" s="126"/>
      <c r="INA572" s="126"/>
      <c r="INB572" s="126"/>
      <c r="INC572" s="126"/>
      <c r="IND572" s="126"/>
      <c r="INE572" s="126"/>
      <c r="INF572" s="126"/>
      <c r="ING572" s="126"/>
      <c r="INH572" s="126"/>
      <c r="INI572" s="126"/>
      <c r="INJ572" s="126"/>
      <c r="INK572" s="126"/>
      <c r="INL572" s="126"/>
      <c r="INM572" s="126"/>
      <c r="INN572" s="126"/>
      <c r="INO572" s="126"/>
      <c r="INP572" s="126"/>
      <c r="INQ572" s="126"/>
      <c r="INR572" s="126"/>
      <c r="INS572" s="126"/>
      <c r="INT572" s="126"/>
      <c r="INU572" s="126"/>
      <c r="INV572" s="126"/>
      <c r="INW572" s="126"/>
      <c r="INX572" s="126"/>
      <c r="INY572" s="126"/>
      <c r="INZ572" s="126"/>
      <c r="IOA572" s="126"/>
      <c r="IOB572" s="126"/>
      <c r="IOC572" s="126"/>
      <c r="IOD572" s="126"/>
      <c r="IOE572" s="126"/>
      <c r="IOF572" s="126"/>
      <c r="IOG572" s="126"/>
      <c r="IOH572" s="126"/>
      <c r="IOI572" s="126"/>
      <c r="IOJ572" s="126"/>
      <c r="IOK572" s="126"/>
      <c r="IOL572" s="126"/>
      <c r="IOM572" s="126"/>
      <c r="ION572" s="126"/>
      <c r="IOO572" s="126"/>
      <c r="IOP572" s="126"/>
      <c r="IOQ572" s="126"/>
      <c r="IOR572" s="126"/>
      <c r="IOS572" s="126"/>
      <c r="IOT572" s="126"/>
      <c r="IOU572" s="126"/>
      <c r="IOV572" s="126"/>
      <c r="IOW572" s="126"/>
      <c r="IOX572" s="126"/>
      <c r="IOY572" s="126"/>
      <c r="IOZ572" s="126"/>
      <c r="IPA572" s="126"/>
      <c r="IPB572" s="126"/>
      <c r="IPC572" s="126"/>
      <c r="IPD572" s="126"/>
      <c r="IPE572" s="126"/>
      <c r="IPF572" s="126"/>
      <c r="IPG572" s="126"/>
      <c r="IPH572" s="126"/>
      <c r="IPI572" s="126"/>
      <c r="IPJ572" s="126"/>
      <c r="IPK572" s="126"/>
      <c r="IPL572" s="126"/>
      <c r="IPM572" s="126"/>
      <c r="IPN572" s="126"/>
      <c r="IPO572" s="126"/>
      <c r="IPP572" s="126"/>
      <c r="IPQ572" s="126"/>
      <c r="IPR572" s="126"/>
      <c r="IPS572" s="126"/>
      <c r="IPT572" s="126"/>
      <c r="IPU572" s="126"/>
      <c r="IPV572" s="126"/>
      <c r="IPW572" s="126"/>
      <c r="IPX572" s="126"/>
      <c r="IPY572" s="126"/>
      <c r="IPZ572" s="126"/>
      <c r="IQA572" s="126"/>
      <c r="IQB572" s="126"/>
      <c r="IQC572" s="126"/>
      <c r="IQD572" s="126"/>
      <c r="IQE572" s="126"/>
      <c r="IQF572" s="126"/>
      <c r="IQG572" s="126"/>
      <c r="IQH572" s="126"/>
      <c r="IQI572" s="126"/>
      <c r="IQJ572" s="126"/>
      <c r="IQK572" s="126"/>
      <c r="IQL572" s="126"/>
      <c r="IQM572" s="126"/>
      <c r="IQN572" s="126"/>
      <c r="IQO572" s="126"/>
      <c r="IQP572" s="126"/>
      <c r="IQQ572" s="126"/>
      <c r="IQR572" s="126"/>
      <c r="IQS572" s="126"/>
      <c r="IQT572" s="126"/>
      <c r="IQU572" s="126"/>
      <c r="IQV572" s="126"/>
      <c r="IQW572" s="126"/>
      <c r="IQX572" s="126"/>
      <c r="IQY572" s="126"/>
      <c r="IQZ572" s="126"/>
      <c r="IRA572" s="126"/>
      <c r="IRB572" s="126"/>
      <c r="IRC572" s="126"/>
      <c r="IRD572" s="126"/>
      <c r="IRE572" s="126"/>
      <c r="IRF572" s="126"/>
      <c r="IRG572" s="126"/>
      <c r="IRH572" s="126"/>
      <c r="IRI572" s="126"/>
      <c r="IRJ572" s="126"/>
      <c r="IRK572" s="126"/>
      <c r="IRL572" s="126"/>
      <c r="IRM572" s="126"/>
      <c r="IRN572" s="126"/>
      <c r="IRO572" s="126"/>
      <c r="IRP572" s="126"/>
      <c r="IRQ572" s="126"/>
      <c r="IRR572" s="126"/>
      <c r="IRS572" s="126"/>
      <c r="IRT572" s="126"/>
      <c r="IRU572" s="126"/>
      <c r="IRV572" s="126"/>
      <c r="IRW572" s="126"/>
      <c r="IRX572" s="126"/>
      <c r="IRY572" s="126"/>
      <c r="IRZ572" s="126"/>
      <c r="ISA572" s="126"/>
      <c r="ISB572" s="126"/>
      <c r="ISC572" s="126"/>
      <c r="ISD572" s="126"/>
      <c r="ISE572" s="126"/>
      <c r="ISF572" s="126"/>
      <c r="ISG572" s="126"/>
      <c r="ISH572" s="126"/>
      <c r="ISI572" s="126"/>
      <c r="ISJ572" s="126"/>
      <c r="ISK572" s="126"/>
      <c r="ISL572" s="126"/>
      <c r="ISM572" s="126"/>
      <c r="ISN572" s="126"/>
      <c r="ISO572" s="126"/>
      <c r="ISP572" s="126"/>
      <c r="ISQ572" s="126"/>
      <c r="ISR572" s="126"/>
      <c r="ISS572" s="126"/>
      <c r="IST572" s="126"/>
      <c r="ISU572" s="126"/>
      <c r="ISV572" s="126"/>
      <c r="ISW572" s="126"/>
      <c r="ISX572" s="126"/>
      <c r="ISY572" s="126"/>
      <c r="ISZ572" s="126"/>
      <c r="ITA572" s="126"/>
      <c r="ITB572" s="126"/>
      <c r="ITC572" s="126"/>
      <c r="ITD572" s="126"/>
      <c r="ITE572" s="126"/>
      <c r="ITF572" s="126"/>
      <c r="ITG572" s="126"/>
      <c r="ITH572" s="126"/>
      <c r="ITI572" s="126"/>
      <c r="ITJ572" s="126"/>
      <c r="ITK572" s="126"/>
      <c r="ITL572" s="126"/>
      <c r="ITM572" s="126"/>
      <c r="ITN572" s="126"/>
      <c r="ITO572" s="126"/>
      <c r="ITP572" s="126"/>
      <c r="ITQ572" s="126"/>
      <c r="ITR572" s="126"/>
      <c r="ITS572" s="126"/>
      <c r="ITT572" s="126"/>
      <c r="ITU572" s="126"/>
      <c r="ITV572" s="126"/>
      <c r="ITW572" s="126"/>
      <c r="ITX572" s="126"/>
      <c r="ITY572" s="126"/>
      <c r="ITZ572" s="126"/>
      <c r="IUA572" s="126"/>
      <c r="IUB572" s="126"/>
      <c r="IUC572" s="126"/>
      <c r="IUD572" s="126"/>
      <c r="IUE572" s="126"/>
      <c r="IUF572" s="126"/>
      <c r="IUG572" s="126"/>
      <c r="IUH572" s="126"/>
      <c r="IUI572" s="126"/>
      <c r="IUJ572" s="126"/>
      <c r="IUK572" s="126"/>
      <c r="IUL572" s="126"/>
      <c r="IUM572" s="126"/>
      <c r="IUN572" s="126"/>
      <c r="IUO572" s="126"/>
      <c r="IUP572" s="126"/>
      <c r="IUQ572" s="126"/>
      <c r="IUR572" s="126"/>
      <c r="IUS572" s="126"/>
      <c r="IUT572" s="126"/>
      <c r="IUU572" s="126"/>
      <c r="IUV572" s="126"/>
      <c r="IUW572" s="126"/>
      <c r="IUX572" s="126"/>
      <c r="IUY572" s="126"/>
      <c r="IUZ572" s="126"/>
      <c r="IVA572" s="126"/>
      <c r="IVB572" s="126"/>
      <c r="IVC572" s="126"/>
      <c r="IVD572" s="126"/>
      <c r="IVE572" s="126"/>
      <c r="IVF572" s="126"/>
      <c r="IVG572" s="126"/>
      <c r="IVH572" s="126"/>
      <c r="IVI572" s="126"/>
      <c r="IVJ572" s="126"/>
      <c r="IVK572" s="126"/>
      <c r="IVL572" s="126"/>
      <c r="IVM572" s="126"/>
      <c r="IVN572" s="126"/>
      <c r="IVO572" s="126"/>
      <c r="IVP572" s="126"/>
      <c r="IVQ572" s="126"/>
      <c r="IVR572" s="126"/>
      <c r="IVS572" s="126"/>
      <c r="IVT572" s="126"/>
      <c r="IVU572" s="126"/>
      <c r="IVV572" s="126"/>
      <c r="IVW572" s="126"/>
      <c r="IVX572" s="126"/>
      <c r="IVY572" s="126"/>
      <c r="IVZ572" s="126"/>
      <c r="IWA572" s="126"/>
      <c r="IWB572" s="126"/>
      <c r="IWC572" s="126"/>
      <c r="IWD572" s="126"/>
      <c r="IWE572" s="126"/>
      <c r="IWF572" s="126"/>
      <c r="IWG572" s="126"/>
      <c r="IWH572" s="126"/>
      <c r="IWI572" s="126"/>
      <c r="IWJ572" s="126"/>
      <c r="IWK572" s="126"/>
      <c r="IWL572" s="126"/>
      <c r="IWM572" s="126"/>
      <c r="IWN572" s="126"/>
      <c r="IWO572" s="126"/>
      <c r="IWP572" s="126"/>
      <c r="IWQ572" s="126"/>
      <c r="IWR572" s="126"/>
      <c r="IWS572" s="126"/>
      <c r="IWT572" s="126"/>
      <c r="IWU572" s="126"/>
      <c r="IWV572" s="126"/>
      <c r="IWW572" s="126"/>
      <c r="IWX572" s="126"/>
      <c r="IWY572" s="126"/>
      <c r="IWZ572" s="126"/>
      <c r="IXA572" s="126"/>
      <c r="IXB572" s="126"/>
      <c r="IXC572" s="126"/>
      <c r="IXD572" s="126"/>
      <c r="IXE572" s="126"/>
      <c r="IXF572" s="126"/>
      <c r="IXG572" s="126"/>
      <c r="IXH572" s="126"/>
      <c r="IXI572" s="126"/>
      <c r="IXJ572" s="126"/>
      <c r="IXK572" s="126"/>
      <c r="IXL572" s="126"/>
      <c r="IXM572" s="126"/>
      <c r="IXN572" s="126"/>
      <c r="IXO572" s="126"/>
      <c r="IXP572" s="126"/>
      <c r="IXQ572" s="126"/>
      <c r="IXR572" s="126"/>
      <c r="IXS572" s="126"/>
      <c r="IXT572" s="126"/>
      <c r="IXU572" s="126"/>
      <c r="IXV572" s="126"/>
      <c r="IXW572" s="126"/>
      <c r="IXX572" s="126"/>
      <c r="IXY572" s="126"/>
      <c r="IXZ572" s="126"/>
      <c r="IYA572" s="126"/>
      <c r="IYB572" s="126"/>
      <c r="IYC572" s="126"/>
      <c r="IYD572" s="126"/>
      <c r="IYE572" s="126"/>
      <c r="IYF572" s="126"/>
      <c r="IYG572" s="126"/>
      <c r="IYH572" s="126"/>
      <c r="IYI572" s="126"/>
      <c r="IYJ572" s="126"/>
      <c r="IYK572" s="126"/>
      <c r="IYL572" s="126"/>
      <c r="IYM572" s="126"/>
      <c r="IYN572" s="126"/>
      <c r="IYO572" s="126"/>
      <c r="IYP572" s="126"/>
      <c r="IYQ572" s="126"/>
      <c r="IYR572" s="126"/>
      <c r="IYS572" s="126"/>
      <c r="IYT572" s="126"/>
      <c r="IYU572" s="126"/>
      <c r="IYV572" s="126"/>
      <c r="IYW572" s="126"/>
      <c r="IYX572" s="126"/>
      <c r="IYY572" s="126"/>
      <c r="IYZ572" s="126"/>
      <c r="IZA572" s="126"/>
      <c r="IZB572" s="126"/>
      <c r="IZC572" s="126"/>
      <c r="IZD572" s="126"/>
      <c r="IZE572" s="126"/>
      <c r="IZF572" s="126"/>
      <c r="IZG572" s="126"/>
      <c r="IZH572" s="126"/>
      <c r="IZI572" s="126"/>
      <c r="IZJ572" s="126"/>
      <c r="IZK572" s="126"/>
      <c r="IZL572" s="126"/>
      <c r="IZM572" s="126"/>
      <c r="IZN572" s="126"/>
      <c r="IZO572" s="126"/>
      <c r="IZP572" s="126"/>
      <c r="IZQ572" s="126"/>
      <c r="IZR572" s="126"/>
      <c r="IZS572" s="126"/>
      <c r="IZT572" s="126"/>
      <c r="IZU572" s="126"/>
      <c r="IZV572" s="126"/>
      <c r="IZW572" s="126"/>
      <c r="IZX572" s="126"/>
      <c r="IZY572" s="126"/>
      <c r="IZZ572" s="126"/>
      <c r="JAA572" s="126"/>
      <c r="JAB572" s="126"/>
      <c r="JAC572" s="126"/>
      <c r="JAD572" s="126"/>
      <c r="JAE572" s="126"/>
      <c r="JAF572" s="126"/>
      <c r="JAG572" s="126"/>
      <c r="JAH572" s="126"/>
      <c r="JAI572" s="126"/>
      <c r="JAJ572" s="126"/>
      <c r="JAK572" s="126"/>
      <c r="JAL572" s="126"/>
      <c r="JAM572" s="126"/>
      <c r="JAN572" s="126"/>
      <c r="JAO572" s="126"/>
      <c r="JAP572" s="126"/>
      <c r="JAQ572" s="126"/>
      <c r="JAR572" s="126"/>
      <c r="JAS572" s="126"/>
      <c r="JAT572" s="126"/>
      <c r="JAU572" s="126"/>
      <c r="JAV572" s="126"/>
      <c r="JAW572" s="126"/>
      <c r="JAX572" s="126"/>
      <c r="JAY572" s="126"/>
      <c r="JAZ572" s="126"/>
      <c r="JBA572" s="126"/>
      <c r="JBB572" s="126"/>
      <c r="JBC572" s="126"/>
      <c r="JBD572" s="126"/>
      <c r="JBE572" s="126"/>
      <c r="JBF572" s="126"/>
      <c r="JBG572" s="126"/>
      <c r="JBH572" s="126"/>
      <c r="JBI572" s="126"/>
      <c r="JBJ572" s="126"/>
      <c r="JBK572" s="126"/>
      <c r="JBL572" s="126"/>
      <c r="JBM572" s="126"/>
      <c r="JBN572" s="126"/>
      <c r="JBO572" s="126"/>
      <c r="JBP572" s="126"/>
      <c r="JBQ572" s="126"/>
      <c r="JBR572" s="126"/>
      <c r="JBS572" s="126"/>
      <c r="JBT572" s="126"/>
      <c r="JBU572" s="126"/>
      <c r="JBV572" s="126"/>
      <c r="JBW572" s="126"/>
      <c r="JBX572" s="126"/>
      <c r="JBY572" s="126"/>
      <c r="JBZ572" s="126"/>
      <c r="JCA572" s="126"/>
      <c r="JCB572" s="126"/>
      <c r="JCC572" s="126"/>
      <c r="JCD572" s="126"/>
      <c r="JCE572" s="126"/>
      <c r="JCF572" s="126"/>
      <c r="JCG572" s="126"/>
      <c r="JCH572" s="126"/>
      <c r="JCI572" s="126"/>
      <c r="JCJ572" s="126"/>
      <c r="JCK572" s="126"/>
      <c r="JCL572" s="126"/>
      <c r="JCM572" s="126"/>
      <c r="JCN572" s="126"/>
      <c r="JCO572" s="126"/>
      <c r="JCP572" s="126"/>
      <c r="JCQ572" s="126"/>
      <c r="JCR572" s="126"/>
      <c r="JCS572" s="126"/>
      <c r="JCT572" s="126"/>
      <c r="JCU572" s="126"/>
      <c r="JCV572" s="126"/>
      <c r="JCW572" s="126"/>
      <c r="JCX572" s="126"/>
      <c r="JCY572" s="126"/>
      <c r="JCZ572" s="126"/>
      <c r="JDA572" s="126"/>
      <c r="JDB572" s="126"/>
      <c r="JDC572" s="126"/>
      <c r="JDD572" s="126"/>
      <c r="JDE572" s="126"/>
      <c r="JDF572" s="126"/>
      <c r="JDG572" s="126"/>
      <c r="JDH572" s="126"/>
      <c r="JDI572" s="126"/>
      <c r="JDJ572" s="126"/>
      <c r="JDK572" s="126"/>
      <c r="JDL572" s="126"/>
      <c r="JDM572" s="126"/>
      <c r="JDN572" s="126"/>
      <c r="JDO572" s="126"/>
      <c r="JDP572" s="126"/>
      <c r="JDQ572" s="126"/>
      <c r="JDR572" s="126"/>
      <c r="JDS572" s="126"/>
      <c r="JDT572" s="126"/>
      <c r="JDU572" s="126"/>
      <c r="JDV572" s="126"/>
      <c r="JDW572" s="126"/>
      <c r="JDX572" s="126"/>
      <c r="JDY572" s="126"/>
      <c r="JDZ572" s="126"/>
      <c r="JEA572" s="126"/>
      <c r="JEB572" s="126"/>
      <c r="JEC572" s="126"/>
      <c r="JED572" s="126"/>
      <c r="JEE572" s="126"/>
      <c r="JEF572" s="126"/>
      <c r="JEG572" s="126"/>
      <c r="JEH572" s="126"/>
      <c r="JEI572" s="126"/>
      <c r="JEJ572" s="126"/>
      <c r="JEK572" s="126"/>
      <c r="JEL572" s="126"/>
      <c r="JEM572" s="126"/>
      <c r="JEN572" s="126"/>
      <c r="JEO572" s="126"/>
      <c r="JEP572" s="126"/>
      <c r="JEQ572" s="126"/>
      <c r="JER572" s="126"/>
      <c r="JES572" s="126"/>
      <c r="JET572" s="126"/>
      <c r="JEU572" s="126"/>
      <c r="JEV572" s="126"/>
      <c r="JEW572" s="126"/>
      <c r="JEX572" s="126"/>
      <c r="JEY572" s="126"/>
      <c r="JEZ572" s="126"/>
      <c r="JFA572" s="126"/>
      <c r="JFB572" s="126"/>
      <c r="JFC572" s="126"/>
      <c r="JFD572" s="126"/>
      <c r="JFE572" s="126"/>
      <c r="JFF572" s="126"/>
      <c r="JFG572" s="126"/>
      <c r="JFH572" s="126"/>
      <c r="JFI572" s="126"/>
      <c r="JFJ572" s="126"/>
      <c r="JFK572" s="126"/>
      <c r="JFL572" s="126"/>
      <c r="JFM572" s="126"/>
      <c r="JFN572" s="126"/>
      <c r="JFO572" s="126"/>
      <c r="JFP572" s="126"/>
      <c r="JFQ572" s="126"/>
      <c r="JFR572" s="126"/>
      <c r="JFS572" s="126"/>
      <c r="JFT572" s="126"/>
      <c r="JFU572" s="126"/>
      <c r="JFV572" s="126"/>
      <c r="JFW572" s="126"/>
      <c r="JFX572" s="126"/>
      <c r="JFY572" s="126"/>
      <c r="JFZ572" s="126"/>
      <c r="JGA572" s="126"/>
      <c r="JGB572" s="126"/>
      <c r="JGC572" s="126"/>
      <c r="JGD572" s="126"/>
      <c r="JGE572" s="126"/>
      <c r="JGF572" s="126"/>
      <c r="JGG572" s="126"/>
      <c r="JGH572" s="126"/>
      <c r="JGI572" s="126"/>
      <c r="JGJ572" s="126"/>
      <c r="JGK572" s="126"/>
      <c r="JGL572" s="126"/>
      <c r="JGM572" s="126"/>
      <c r="JGN572" s="126"/>
      <c r="JGO572" s="126"/>
      <c r="JGP572" s="126"/>
      <c r="JGQ572" s="126"/>
      <c r="JGR572" s="126"/>
      <c r="JGS572" s="126"/>
      <c r="JGT572" s="126"/>
      <c r="JGU572" s="126"/>
      <c r="JGV572" s="126"/>
      <c r="JGW572" s="126"/>
      <c r="JGX572" s="126"/>
      <c r="JGY572" s="126"/>
      <c r="JGZ572" s="126"/>
      <c r="JHA572" s="126"/>
      <c r="JHB572" s="126"/>
      <c r="JHC572" s="126"/>
      <c r="JHD572" s="126"/>
      <c r="JHE572" s="126"/>
      <c r="JHF572" s="126"/>
      <c r="JHG572" s="126"/>
      <c r="JHH572" s="126"/>
      <c r="JHI572" s="126"/>
      <c r="JHJ572" s="126"/>
      <c r="JHK572" s="126"/>
      <c r="JHL572" s="126"/>
      <c r="JHM572" s="126"/>
      <c r="JHN572" s="126"/>
      <c r="JHO572" s="126"/>
      <c r="JHP572" s="126"/>
      <c r="JHQ572" s="126"/>
      <c r="JHR572" s="126"/>
      <c r="JHS572" s="126"/>
      <c r="JHT572" s="126"/>
      <c r="JHU572" s="126"/>
      <c r="JHV572" s="126"/>
      <c r="JHW572" s="126"/>
      <c r="JHX572" s="126"/>
      <c r="JHY572" s="126"/>
      <c r="JHZ572" s="126"/>
      <c r="JIA572" s="126"/>
      <c r="JIB572" s="126"/>
      <c r="JIC572" s="126"/>
      <c r="JID572" s="126"/>
      <c r="JIE572" s="126"/>
      <c r="JIF572" s="126"/>
      <c r="JIG572" s="126"/>
      <c r="JIH572" s="126"/>
      <c r="JII572" s="126"/>
      <c r="JIJ572" s="126"/>
      <c r="JIK572" s="126"/>
      <c r="JIL572" s="126"/>
      <c r="JIM572" s="126"/>
      <c r="JIN572" s="126"/>
      <c r="JIO572" s="126"/>
      <c r="JIP572" s="126"/>
      <c r="JIQ572" s="126"/>
      <c r="JIR572" s="126"/>
      <c r="JIS572" s="126"/>
      <c r="JIT572" s="126"/>
      <c r="JIU572" s="126"/>
      <c r="JIV572" s="126"/>
      <c r="JIW572" s="126"/>
      <c r="JIX572" s="126"/>
      <c r="JIY572" s="126"/>
      <c r="JIZ572" s="126"/>
      <c r="JJA572" s="126"/>
      <c r="JJB572" s="126"/>
      <c r="JJC572" s="126"/>
      <c r="JJD572" s="126"/>
      <c r="JJE572" s="126"/>
      <c r="JJF572" s="126"/>
      <c r="JJG572" s="126"/>
      <c r="JJH572" s="126"/>
      <c r="JJI572" s="126"/>
      <c r="JJJ572" s="126"/>
      <c r="JJK572" s="126"/>
      <c r="JJL572" s="126"/>
      <c r="JJM572" s="126"/>
      <c r="JJN572" s="126"/>
      <c r="JJO572" s="126"/>
      <c r="JJP572" s="126"/>
      <c r="JJQ572" s="126"/>
      <c r="JJR572" s="126"/>
      <c r="JJS572" s="126"/>
      <c r="JJT572" s="126"/>
      <c r="JJU572" s="126"/>
      <c r="JJV572" s="126"/>
      <c r="JJW572" s="126"/>
      <c r="JJX572" s="126"/>
      <c r="JJY572" s="126"/>
      <c r="JJZ572" s="126"/>
      <c r="JKA572" s="126"/>
      <c r="JKB572" s="126"/>
      <c r="JKC572" s="126"/>
      <c r="JKD572" s="126"/>
      <c r="JKE572" s="126"/>
      <c r="JKF572" s="126"/>
      <c r="JKG572" s="126"/>
      <c r="JKH572" s="126"/>
      <c r="JKI572" s="126"/>
      <c r="JKJ572" s="126"/>
      <c r="JKK572" s="126"/>
      <c r="JKL572" s="126"/>
      <c r="JKM572" s="126"/>
      <c r="JKN572" s="126"/>
      <c r="JKO572" s="126"/>
      <c r="JKP572" s="126"/>
      <c r="JKQ572" s="126"/>
      <c r="JKR572" s="126"/>
      <c r="JKS572" s="126"/>
      <c r="JKT572" s="126"/>
      <c r="JKU572" s="126"/>
      <c r="JKV572" s="126"/>
      <c r="JKW572" s="126"/>
      <c r="JKX572" s="126"/>
      <c r="JKY572" s="126"/>
      <c r="JKZ572" s="126"/>
      <c r="JLA572" s="126"/>
      <c r="JLB572" s="126"/>
      <c r="JLC572" s="126"/>
      <c r="JLD572" s="126"/>
      <c r="JLE572" s="126"/>
      <c r="JLF572" s="126"/>
      <c r="JLG572" s="126"/>
      <c r="JLH572" s="126"/>
      <c r="JLI572" s="126"/>
      <c r="JLJ572" s="126"/>
      <c r="JLK572" s="126"/>
      <c r="JLL572" s="126"/>
      <c r="JLM572" s="126"/>
      <c r="JLN572" s="126"/>
      <c r="JLO572" s="126"/>
      <c r="JLP572" s="126"/>
      <c r="JLQ572" s="126"/>
      <c r="JLR572" s="126"/>
      <c r="JLS572" s="126"/>
      <c r="JLT572" s="126"/>
      <c r="JLU572" s="126"/>
      <c r="JLV572" s="126"/>
      <c r="JLW572" s="126"/>
      <c r="JLX572" s="126"/>
      <c r="JLY572" s="126"/>
      <c r="JLZ572" s="126"/>
      <c r="JMA572" s="126"/>
      <c r="JMB572" s="126"/>
      <c r="JMC572" s="126"/>
      <c r="JMD572" s="126"/>
      <c r="JME572" s="126"/>
      <c r="JMF572" s="126"/>
      <c r="JMG572" s="126"/>
      <c r="JMH572" s="126"/>
      <c r="JMI572" s="126"/>
      <c r="JMJ572" s="126"/>
      <c r="JMK572" s="126"/>
      <c r="JML572" s="126"/>
      <c r="JMM572" s="126"/>
      <c r="JMN572" s="126"/>
      <c r="JMO572" s="126"/>
      <c r="JMP572" s="126"/>
      <c r="JMQ572" s="126"/>
      <c r="JMR572" s="126"/>
      <c r="JMS572" s="126"/>
      <c r="JMT572" s="126"/>
      <c r="JMU572" s="126"/>
      <c r="JMV572" s="126"/>
      <c r="JMW572" s="126"/>
      <c r="JMX572" s="126"/>
      <c r="JMY572" s="126"/>
      <c r="JMZ572" s="126"/>
      <c r="JNA572" s="126"/>
      <c r="JNB572" s="126"/>
      <c r="JNC572" s="126"/>
      <c r="JND572" s="126"/>
      <c r="JNE572" s="126"/>
      <c r="JNF572" s="126"/>
      <c r="JNG572" s="126"/>
      <c r="JNH572" s="126"/>
      <c r="JNI572" s="126"/>
      <c r="JNJ572" s="126"/>
      <c r="JNK572" s="126"/>
      <c r="JNL572" s="126"/>
      <c r="JNM572" s="126"/>
      <c r="JNN572" s="126"/>
      <c r="JNO572" s="126"/>
      <c r="JNP572" s="126"/>
      <c r="JNQ572" s="126"/>
      <c r="JNR572" s="126"/>
      <c r="JNS572" s="126"/>
      <c r="JNT572" s="126"/>
      <c r="JNU572" s="126"/>
      <c r="JNV572" s="126"/>
      <c r="JNW572" s="126"/>
      <c r="JNX572" s="126"/>
      <c r="JNY572" s="126"/>
      <c r="JNZ572" s="126"/>
      <c r="JOA572" s="126"/>
      <c r="JOB572" s="126"/>
      <c r="JOC572" s="126"/>
      <c r="JOD572" s="126"/>
      <c r="JOE572" s="126"/>
      <c r="JOF572" s="126"/>
      <c r="JOG572" s="126"/>
      <c r="JOH572" s="126"/>
      <c r="JOI572" s="126"/>
      <c r="JOJ572" s="126"/>
      <c r="JOK572" s="126"/>
      <c r="JOL572" s="126"/>
      <c r="JOM572" s="126"/>
      <c r="JON572" s="126"/>
      <c r="JOO572" s="126"/>
      <c r="JOP572" s="126"/>
      <c r="JOQ572" s="126"/>
      <c r="JOR572" s="126"/>
      <c r="JOS572" s="126"/>
      <c r="JOT572" s="126"/>
      <c r="JOU572" s="126"/>
      <c r="JOV572" s="126"/>
      <c r="JOW572" s="126"/>
      <c r="JOX572" s="126"/>
      <c r="JOY572" s="126"/>
      <c r="JOZ572" s="126"/>
      <c r="JPA572" s="126"/>
      <c r="JPB572" s="126"/>
      <c r="JPC572" s="126"/>
      <c r="JPD572" s="126"/>
      <c r="JPE572" s="126"/>
      <c r="JPF572" s="126"/>
      <c r="JPG572" s="126"/>
      <c r="JPH572" s="126"/>
      <c r="JPI572" s="126"/>
      <c r="JPJ572" s="126"/>
      <c r="JPK572" s="126"/>
      <c r="JPL572" s="126"/>
      <c r="JPM572" s="126"/>
      <c r="JPN572" s="126"/>
      <c r="JPO572" s="126"/>
      <c r="JPP572" s="126"/>
      <c r="JPQ572" s="126"/>
      <c r="JPR572" s="126"/>
      <c r="JPS572" s="126"/>
      <c r="JPT572" s="126"/>
      <c r="JPU572" s="126"/>
      <c r="JPV572" s="126"/>
      <c r="JPW572" s="126"/>
      <c r="JPX572" s="126"/>
      <c r="JPY572" s="126"/>
      <c r="JPZ572" s="126"/>
      <c r="JQA572" s="126"/>
      <c r="JQB572" s="126"/>
      <c r="JQC572" s="126"/>
      <c r="JQD572" s="126"/>
      <c r="JQE572" s="126"/>
      <c r="JQF572" s="126"/>
      <c r="JQG572" s="126"/>
      <c r="JQH572" s="126"/>
      <c r="JQI572" s="126"/>
      <c r="JQJ572" s="126"/>
      <c r="JQK572" s="126"/>
      <c r="JQL572" s="126"/>
      <c r="JQM572" s="126"/>
      <c r="JQN572" s="126"/>
      <c r="JQO572" s="126"/>
      <c r="JQP572" s="126"/>
      <c r="JQQ572" s="126"/>
      <c r="JQR572" s="126"/>
      <c r="JQS572" s="126"/>
      <c r="JQT572" s="126"/>
      <c r="JQU572" s="126"/>
      <c r="JQV572" s="126"/>
      <c r="JQW572" s="126"/>
      <c r="JQX572" s="126"/>
      <c r="JQY572" s="126"/>
      <c r="JQZ572" s="126"/>
      <c r="JRA572" s="126"/>
      <c r="JRB572" s="126"/>
      <c r="JRC572" s="126"/>
      <c r="JRD572" s="126"/>
      <c r="JRE572" s="126"/>
      <c r="JRF572" s="126"/>
      <c r="JRG572" s="126"/>
      <c r="JRH572" s="126"/>
      <c r="JRI572" s="126"/>
      <c r="JRJ572" s="126"/>
      <c r="JRK572" s="126"/>
      <c r="JRL572" s="126"/>
      <c r="JRM572" s="126"/>
      <c r="JRN572" s="126"/>
      <c r="JRO572" s="126"/>
      <c r="JRP572" s="126"/>
      <c r="JRQ572" s="126"/>
      <c r="JRR572" s="126"/>
      <c r="JRS572" s="126"/>
      <c r="JRT572" s="126"/>
      <c r="JRU572" s="126"/>
      <c r="JRV572" s="126"/>
      <c r="JRW572" s="126"/>
      <c r="JRX572" s="126"/>
      <c r="JRY572" s="126"/>
      <c r="JRZ572" s="126"/>
      <c r="JSA572" s="126"/>
      <c r="JSB572" s="126"/>
      <c r="JSC572" s="126"/>
      <c r="JSD572" s="126"/>
      <c r="JSE572" s="126"/>
      <c r="JSF572" s="126"/>
      <c r="JSG572" s="126"/>
      <c r="JSH572" s="126"/>
      <c r="JSI572" s="126"/>
      <c r="JSJ572" s="126"/>
      <c r="JSK572" s="126"/>
      <c r="JSL572" s="126"/>
      <c r="JSM572" s="126"/>
      <c r="JSN572" s="126"/>
      <c r="JSO572" s="126"/>
      <c r="JSP572" s="126"/>
      <c r="JSQ572" s="126"/>
      <c r="JSR572" s="126"/>
      <c r="JSS572" s="126"/>
      <c r="JST572" s="126"/>
      <c r="JSU572" s="126"/>
      <c r="JSV572" s="126"/>
      <c r="JSW572" s="126"/>
      <c r="JSX572" s="126"/>
      <c r="JSY572" s="126"/>
      <c r="JSZ572" s="126"/>
      <c r="JTA572" s="126"/>
      <c r="JTB572" s="126"/>
      <c r="JTC572" s="126"/>
      <c r="JTD572" s="126"/>
      <c r="JTE572" s="126"/>
      <c r="JTF572" s="126"/>
      <c r="JTG572" s="126"/>
      <c r="JTH572" s="126"/>
      <c r="JTI572" s="126"/>
      <c r="JTJ572" s="126"/>
      <c r="JTK572" s="126"/>
      <c r="JTL572" s="126"/>
      <c r="JTM572" s="126"/>
      <c r="JTN572" s="126"/>
      <c r="JTO572" s="126"/>
      <c r="JTP572" s="126"/>
      <c r="JTQ572" s="126"/>
      <c r="JTR572" s="126"/>
      <c r="JTS572" s="126"/>
      <c r="JTT572" s="126"/>
      <c r="JTU572" s="126"/>
      <c r="JTV572" s="126"/>
      <c r="JTW572" s="126"/>
      <c r="JTX572" s="126"/>
      <c r="JTY572" s="126"/>
      <c r="JTZ572" s="126"/>
      <c r="JUA572" s="126"/>
      <c r="JUB572" s="126"/>
      <c r="JUC572" s="126"/>
      <c r="JUD572" s="126"/>
      <c r="JUE572" s="126"/>
      <c r="JUF572" s="126"/>
      <c r="JUG572" s="126"/>
      <c r="JUH572" s="126"/>
      <c r="JUI572" s="126"/>
      <c r="JUJ572" s="126"/>
      <c r="JUK572" s="126"/>
      <c r="JUL572" s="126"/>
      <c r="JUM572" s="126"/>
      <c r="JUN572" s="126"/>
      <c r="JUO572" s="126"/>
      <c r="JUP572" s="126"/>
      <c r="JUQ572" s="126"/>
      <c r="JUR572" s="126"/>
      <c r="JUS572" s="126"/>
      <c r="JUT572" s="126"/>
      <c r="JUU572" s="126"/>
      <c r="JUV572" s="126"/>
      <c r="JUW572" s="126"/>
      <c r="JUX572" s="126"/>
      <c r="JUY572" s="126"/>
      <c r="JUZ572" s="126"/>
      <c r="JVA572" s="126"/>
      <c r="JVB572" s="126"/>
      <c r="JVC572" s="126"/>
      <c r="JVD572" s="126"/>
      <c r="JVE572" s="126"/>
      <c r="JVF572" s="126"/>
      <c r="JVG572" s="126"/>
      <c r="JVH572" s="126"/>
      <c r="JVI572" s="126"/>
      <c r="JVJ572" s="126"/>
      <c r="JVK572" s="126"/>
      <c r="JVL572" s="126"/>
      <c r="JVM572" s="126"/>
      <c r="JVN572" s="126"/>
      <c r="JVO572" s="126"/>
      <c r="JVP572" s="126"/>
      <c r="JVQ572" s="126"/>
      <c r="JVR572" s="126"/>
      <c r="JVS572" s="126"/>
      <c r="JVT572" s="126"/>
      <c r="JVU572" s="126"/>
      <c r="JVV572" s="126"/>
      <c r="JVW572" s="126"/>
      <c r="JVX572" s="126"/>
      <c r="JVY572" s="126"/>
      <c r="JVZ572" s="126"/>
      <c r="JWA572" s="126"/>
      <c r="JWB572" s="126"/>
      <c r="JWC572" s="126"/>
      <c r="JWD572" s="126"/>
      <c r="JWE572" s="126"/>
      <c r="JWF572" s="126"/>
      <c r="JWG572" s="126"/>
      <c r="JWH572" s="126"/>
      <c r="JWI572" s="126"/>
      <c r="JWJ572" s="126"/>
      <c r="JWK572" s="126"/>
      <c r="JWL572" s="126"/>
      <c r="JWM572" s="126"/>
      <c r="JWN572" s="126"/>
      <c r="JWO572" s="126"/>
      <c r="JWP572" s="126"/>
      <c r="JWQ572" s="126"/>
      <c r="JWR572" s="126"/>
      <c r="JWS572" s="126"/>
      <c r="JWT572" s="126"/>
      <c r="JWU572" s="126"/>
      <c r="JWV572" s="126"/>
      <c r="JWW572" s="126"/>
      <c r="JWX572" s="126"/>
      <c r="JWY572" s="126"/>
      <c r="JWZ572" s="126"/>
      <c r="JXA572" s="126"/>
      <c r="JXB572" s="126"/>
      <c r="JXC572" s="126"/>
      <c r="JXD572" s="126"/>
      <c r="JXE572" s="126"/>
      <c r="JXF572" s="126"/>
      <c r="JXG572" s="126"/>
      <c r="JXH572" s="126"/>
      <c r="JXI572" s="126"/>
      <c r="JXJ572" s="126"/>
      <c r="JXK572" s="126"/>
      <c r="JXL572" s="126"/>
      <c r="JXM572" s="126"/>
      <c r="JXN572" s="126"/>
      <c r="JXO572" s="126"/>
      <c r="JXP572" s="126"/>
      <c r="JXQ572" s="126"/>
      <c r="JXR572" s="126"/>
      <c r="JXS572" s="126"/>
      <c r="JXT572" s="126"/>
      <c r="JXU572" s="126"/>
      <c r="JXV572" s="126"/>
      <c r="JXW572" s="126"/>
      <c r="JXX572" s="126"/>
      <c r="JXY572" s="126"/>
      <c r="JXZ572" s="126"/>
      <c r="JYA572" s="126"/>
      <c r="JYB572" s="126"/>
      <c r="JYC572" s="126"/>
      <c r="JYD572" s="126"/>
      <c r="JYE572" s="126"/>
      <c r="JYF572" s="126"/>
      <c r="JYG572" s="126"/>
      <c r="JYH572" s="126"/>
      <c r="JYI572" s="126"/>
      <c r="JYJ572" s="126"/>
      <c r="JYK572" s="126"/>
      <c r="JYL572" s="126"/>
      <c r="JYM572" s="126"/>
      <c r="JYN572" s="126"/>
      <c r="JYO572" s="126"/>
      <c r="JYP572" s="126"/>
      <c r="JYQ572" s="126"/>
      <c r="JYR572" s="126"/>
      <c r="JYS572" s="126"/>
      <c r="JYT572" s="126"/>
      <c r="JYU572" s="126"/>
      <c r="JYV572" s="126"/>
      <c r="JYW572" s="126"/>
      <c r="JYX572" s="126"/>
      <c r="JYY572" s="126"/>
      <c r="JYZ572" s="126"/>
      <c r="JZA572" s="126"/>
      <c r="JZB572" s="126"/>
      <c r="JZC572" s="126"/>
      <c r="JZD572" s="126"/>
      <c r="JZE572" s="126"/>
      <c r="JZF572" s="126"/>
      <c r="JZG572" s="126"/>
      <c r="JZH572" s="126"/>
      <c r="JZI572" s="126"/>
      <c r="JZJ572" s="126"/>
      <c r="JZK572" s="126"/>
      <c r="JZL572" s="126"/>
      <c r="JZM572" s="126"/>
      <c r="JZN572" s="126"/>
      <c r="JZO572" s="126"/>
      <c r="JZP572" s="126"/>
      <c r="JZQ572" s="126"/>
      <c r="JZR572" s="126"/>
      <c r="JZS572" s="126"/>
      <c r="JZT572" s="126"/>
      <c r="JZU572" s="126"/>
      <c r="JZV572" s="126"/>
      <c r="JZW572" s="126"/>
      <c r="JZX572" s="126"/>
      <c r="JZY572" s="126"/>
      <c r="JZZ572" s="126"/>
      <c r="KAA572" s="126"/>
      <c r="KAB572" s="126"/>
      <c r="KAC572" s="126"/>
      <c r="KAD572" s="126"/>
      <c r="KAE572" s="126"/>
      <c r="KAF572" s="126"/>
      <c r="KAG572" s="126"/>
      <c r="KAH572" s="126"/>
      <c r="KAI572" s="126"/>
      <c r="KAJ572" s="126"/>
      <c r="KAK572" s="126"/>
      <c r="KAL572" s="126"/>
      <c r="KAM572" s="126"/>
      <c r="KAN572" s="126"/>
      <c r="KAO572" s="126"/>
      <c r="KAP572" s="126"/>
      <c r="KAQ572" s="126"/>
      <c r="KAR572" s="126"/>
      <c r="KAS572" s="126"/>
      <c r="KAT572" s="126"/>
      <c r="KAU572" s="126"/>
      <c r="KAV572" s="126"/>
      <c r="KAW572" s="126"/>
      <c r="KAX572" s="126"/>
      <c r="KAY572" s="126"/>
      <c r="KAZ572" s="126"/>
      <c r="KBA572" s="126"/>
      <c r="KBB572" s="126"/>
      <c r="KBC572" s="126"/>
      <c r="KBD572" s="126"/>
      <c r="KBE572" s="126"/>
      <c r="KBF572" s="126"/>
      <c r="KBG572" s="126"/>
      <c r="KBH572" s="126"/>
      <c r="KBI572" s="126"/>
      <c r="KBJ572" s="126"/>
      <c r="KBK572" s="126"/>
      <c r="KBL572" s="126"/>
      <c r="KBM572" s="126"/>
      <c r="KBN572" s="126"/>
      <c r="KBO572" s="126"/>
      <c r="KBP572" s="126"/>
      <c r="KBQ572" s="126"/>
      <c r="KBR572" s="126"/>
      <c r="KBS572" s="126"/>
      <c r="KBT572" s="126"/>
      <c r="KBU572" s="126"/>
      <c r="KBV572" s="126"/>
      <c r="KBW572" s="126"/>
      <c r="KBX572" s="126"/>
      <c r="KBY572" s="126"/>
      <c r="KBZ572" s="126"/>
      <c r="KCA572" s="126"/>
      <c r="KCB572" s="126"/>
      <c r="KCC572" s="126"/>
      <c r="KCD572" s="126"/>
      <c r="KCE572" s="126"/>
      <c r="KCF572" s="126"/>
      <c r="KCG572" s="126"/>
      <c r="KCH572" s="126"/>
      <c r="KCI572" s="126"/>
      <c r="KCJ572" s="126"/>
      <c r="KCK572" s="126"/>
      <c r="KCL572" s="126"/>
      <c r="KCM572" s="126"/>
      <c r="KCN572" s="126"/>
      <c r="KCO572" s="126"/>
      <c r="KCP572" s="126"/>
      <c r="KCQ572" s="126"/>
      <c r="KCR572" s="126"/>
      <c r="KCS572" s="126"/>
      <c r="KCT572" s="126"/>
      <c r="KCU572" s="126"/>
      <c r="KCV572" s="126"/>
      <c r="KCW572" s="126"/>
      <c r="KCX572" s="126"/>
      <c r="KCY572" s="126"/>
      <c r="KCZ572" s="126"/>
      <c r="KDA572" s="126"/>
      <c r="KDB572" s="126"/>
      <c r="KDC572" s="126"/>
      <c r="KDD572" s="126"/>
      <c r="KDE572" s="126"/>
      <c r="KDF572" s="126"/>
      <c r="KDG572" s="126"/>
      <c r="KDH572" s="126"/>
      <c r="KDI572" s="126"/>
      <c r="KDJ572" s="126"/>
      <c r="KDK572" s="126"/>
      <c r="KDL572" s="126"/>
      <c r="KDM572" s="126"/>
      <c r="KDN572" s="126"/>
      <c r="KDO572" s="126"/>
      <c r="KDP572" s="126"/>
      <c r="KDQ572" s="126"/>
      <c r="KDR572" s="126"/>
      <c r="KDS572" s="126"/>
      <c r="KDT572" s="126"/>
      <c r="KDU572" s="126"/>
      <c r="KDV572" s="126"/>
      <c r="KDW572" s="126"/>
      <c r="KDX572" s="126"/>
      <c r="KDY572" s="126"/>
      <c r="KDZ572" s="126"/>
      <c r="KEA572" s="126"/>
      <c r="KEB572" s="126"/>
      <c r="KEC572" s="126"/>
      <c r="KED572" s="126"/>
      <c r="KEE572" s="126"/>
      <c r="KEF572" s="126"/>
      <c r="KEG572" s="126"/>
      <c r="KEH572" s="126"/>
      <c r="KEI572" s="126"/>
      <c r="KEJ572" s="126"/>
      <c r="KEK572" s="126"/>
      <c r="KEL572" s="126"/>
      <c r="KEM572" s="126"/>
      <c r="KEN572" s="126"/>
      <c r="KEO572" s="126"/>
      <c r="KEP572" s="126"/>
      <c r="KEQ572" s="126"/>
      <c r="KER572" s="126"/>
      <c r="KES572" s="126"/>
      <c r="KET572" s="126"/>
      <c r="KEU572" s="126"/>
      <c r="KEV572" s="126"/>
      <c r="KEW572" s="126"/>
      <c r="KEX572" s="126"/>
      <c r="KEY572" s="126"/>
      <c r="KEZ572" s="126"/>
      <c r="KFA572" s="126"/>
      <c r="KFB572" s="126"/>
      <c r="KFC572" s="126"/>
      <c r="KFD572" s="126"/>
      <c r="KFE572" s="126"/>
      <c r="KFF572" s="126"/>
      <c r="KFG572" s="126"/>
      <c r="KFH572" s="126"/>
      <c r="KFI572" s="126"/>
      <c r="KFJ572" s="126"/>
      <c r="KFK572" s="126"/>
      <c r="KFL572" s="126"/>
      <c r="KFM572" s="126"/>
      <c r="KFN572" s="126"/>
      <c r="KFO572" s="126"/>
      <c r="KFP572" s="126"/>
      <c r="KFQ572" s="126"/>
      <c r="KFR572" s="126"/>
      <c r="KFS572" s="126"/>
      <c r="KFT572" s="126"/>
      <c r="KFU572" s="126"/>
      <c r="KFV572" s="126"/>
      <c r="KFW572" s="126"/>
      <c r="KFX572" s="126"/>
      <c r="KFY572" s="126"/>
      <c r="KFZ572" s="126"/>
      <c r="KGA572" s="126"/>
      <c r="KGB572" s="126"/>
      <c r="KGC572" s="126"/>
      <c r="KGD572" s="126"/>
      <c r="KGE572" s="126"/>
      <c r="KGF572" s="126"/>
      <c r="KGG572" s="126"/>
      <c r="KGH572" s="126"/>
      <c r="KGI572" s="126"/>
      <c r="KGJ572" s="126"/>
      <c r="KGK572" s="126"/>
      <c r="KGL572" s="126"/>
      <c r="KGM572" s="126"/>
      <c r="KGN572" s="126"/>
      <c r="KGO572" s="126"/>
      <c r="KGP572" s="126"/>
      <c r="KGQ572" s="126"/>
      <c r="KGR572" s="126"/>
      <c r="KGS572" s="126"/>
      <c r="KGT572" s="126"/>
      <c r="KGU572" s="126"/>
      <c r="KGV572" s="126"/>
      <c r="KGW572" s="126"/>
      <c r="KGX572" s="126"/>
      <c r="KGY572" s="126"/>
      <c r="KGZ572" s="126"/>
      <c r="KHA572" s="126"/>
      <c r="KHB572" s="126"/>
      <c r="KHC572" s="126"/>
      <c r="KHD572" s="126"/>
      <c r="KHE572" s="126"/>
      <c r="KHF572" s="126"/>
      <c r="KHG572" s="126"/>
      <c r="KHH572" s="126"/>
      <c r="KHI572" s="126"/>
      <c r="KHJ572" s="126"/>
      <c r="KHK572" s="126"/>
      <c r="KHL572" s="126"/>
      <c r="KHM572" s="126"/>
      <c r="KHN572" s="126"/>
      <c r="KHO572" s="126"/>
      <c r="KHP572" s="126"/>
      <c r="KHQ572" s="126"/>
      <c r="KHR572" s="126"/>
      <c r="KHS572" s="126"/>
      <c r="KHT572" s="126"/>
      <c r="KHU572" s="126"/>
      <c r="KHV572" s="126"/>
      <c r="KHW572" s="126"/>
      <c r="KHX572" s="126"/>
      <c r="KHY572" s="126"/>
      <c r="KHZ572" s="126"/>
      <c r="KIA572" s="126"/>
      <c r="KIB572" s="126"/>
      <c r="KIC572" s="126"/>
      <c r="KID572" s="126"/>
      <c r="KIE572" s="126"/>
      <c r="KIF572" s="126"/>
      <c r="KIG572" s="126"/>
      <c r="KIH572" s="126"/>
      <c r="KII572" s="126"/>
      <c r="KIJ572" s="126"/>
      <c r="KIK572" s="126"/>
      <c r="KIL572" s="126"/>
      <c r="KIM572" s="126"/>
      <c r="KIN572" s="126"/>
      <c r="KIO572" s="126"/>
      <c r="KIP572" s="126"/>
      <c r="KIQ572" s="126"/>
      <c r="KIR572" s="126"/>
      <c r="KIS572" s="126"/>
      <c r="KIT572" s="126"/>
      <c r="KIU572" s="126"/>
      <c r="KIV572" s="126"/>
      <c r="KIW572" s="126"/>
      <c r="KIX572" s="126"/>
      <c r="KIY572" s="126"/>
      <c r="KIZ572" s="126"/>
      <c r="KJA572" s="126"/>
      <c r="KJB572" s="126"/>
      <c r="KJC572" s="126"/>
      <c r="KJD572" s="126"/>
      <c r="KJE572" s="126"/>
      <c r="KJF572" s="126"/>
      <c r="KJG572" s="126"/>
      <c r="KJH572" s="126"/>
      <c r="KJI572" s="126"/>
      <c r="KJJ572" s="126"/>
      <c r="KJK572" s="126"/>
      <c r="KJL572" s="126"/>
      <c r="KJM572" s="126"/>
      <c r="KJN572" s="126"/>
      <c r="KJO572" s="126"/>
      <c r="KJP572" s="126"/>
      <c r="KJQ572" s="126"/>
      <c r="KJR572" s="126"/>
      <c r="KJS572" s="126"/>
      <c r="KJT572" s="126"/>
      <c r="KJU572" s="126"/>
      <c r="KJV572" s="126"/>
      <c r="KJW572" s="126"/>
      <c r="KJX572" s="126"/>
      <c r="KJY572" s="126"/>
      <c r="KJZ572" s="126"/>
      <c r="KKA572" s="126"/>
      <c r="KKB572" s="126"/>
      <c r="KKC572" s="126"/>
      <c r="KKD572" s="126"/>
      <c r="KKE572" s="126"/>
      <c r="KKF572" s="126"/>
      <c r="KKG572" s="126"/>
      <c r="KKH572" s="126"/>
      <c r="KKI572" s="126"/>
      <c r="KKJ572" s="126"/>
      <c r="KKK572" s="126"/>
      <c r="KKL572" s="126"/>
      <c r="KKM572" s="126"/>
      <c r="KKN572" s="126"/>
      <c r="KKO572" s="126"/>
      <c r="KKP572" s="126"/>
      <c r="KKQ572" s="126"/>
      <c r="KKR572" s="126"/>
      <c r="KKS572" s="126"/>
      <c r="KKT572" s="126"/>
      <c r="KKU572" s="126"/>
      <c r="KKV572" s="126"/>
      <c r="KKW572" s="126"/>
      <c r="KKX572" s="126"/>
      <c r="KKY572" s="126"/>
      <c r="KKZ572" s="126"/>
      <c r="KLA572" s="126"/>
      <c r="KLB572" s="126"/>
      <c r="KLC572" s="126"/>
      <c r="KLD572" s="126"/>
      <c r="KLE572" s="126"/>
      <c r="KLF572" s="126"/>
      <c r="KLG572" s="126"/>
      <c r="KLH572" s="126"/>
      <c r="KLI572" s="126"/>
      <c r="KLJ572" s="126"/>
      <c r="KLK572" s="126"/>
      <c r="KLL572" s="126"/>
      <c r="KLM572" s="126"/>
      <c r="KLN572" s="126"/>
      <c r="KLO572" s="126"/>
      <c r="KLP572" s="126"/>
      <c r="KLQ572" s="126"/>
      <c r="KLR572" s="126"/>
      <c r="KLS572" s="126"/>
      <c r="KLT572" s="126"/>
      <c r="KLU572" s="126"/>
      <c r="KLV572" s="126"/>
      <c r="KLW572" s="126"/>
      <c r="KLX572" s="126"/>
      <c r="KLY572" s="126"/>
      <c r="KLZ572" s="126"/>
      <c r="KMA572" s="126"/>
      <c r="KMB572" s="126"/>
      <c r="KMC572" s="126"/>
      <c r="KMD572" s="126"/>
      <c r="KME572" s="126"/>
      <c r="KMF572" s="126"/>
      <c r="KMG572" s="126"/>
      <c r="KMH572" s="126"/>
      <c r="KMI572" s="126"/>
      <c r="KMJ572" s="126"/>
      <c r="KMK572" s="126"/>
      <c r="KML572" s="126"/>
      <c r="KMM572" s="126"/>
      <c r="KMN572" s="126"/>
      <c r="KMO572" s="126"/>
      <c r="KMP572" s="126"/>
      <c r="KMQ572" s="126"/>
      <c r="KMR572" s="126"/>
      <c r="KMS572" s="126"/>
      <c r="KMT572" s="126"/>
      <c r="KMU572" s="126"/>
      <c r="KMV572" s="126"/>
      <c r="KMW572" s="126"/>
      <c r="KMX572" s="126"/>
      <c r="KMY572" s="126"/>
      <c r="KMZ572" s="126"/>
      <c r="KNA572" s="126"/>
      <c r="KNB572" s="126"/>
      <c r="KNC572" s="126"/>
      <c r="KND572" s="126"/>
      <c r="KNE572" s="126"/>
      <c r="KNF572" s="126"/>
      <c r="KNG572" s="126"/>
      <c r="KNH572" s="126"/>
      <c r="KNI572" s="126"/>
      <c r="KNJ572" s="126"/>
      <c r="KNK572" s="126"/>
      <c r="KNL572" s="126"/>
      <c r="KNM572" s="126"/>
      <c r="KNN572" s="126"/>
      <c r="KNO572" s="126"/>
      <c r="KNP572" s="126"/>
      <c r="KNQ572" s="126"/>
      <c r="KNR572" s="126"/>
      <c r="KNS572" s="126"/>
      <c r="KNT572" s="126"/>
      <c r="KNU572" s="126"/>
      <c r="KNV572" s="126"/>
      <c r="KNW572" s="126"/>
      <c r="KNX572" s="126"/>
      <c r="KNY572" s="126"/>
      <c r="KNZ572" s="126"/>
      <c r="KOA572" s="126"/>
      <c r="KOB572" s="126"/>
      <c r="KOC572" s="126"/>
      <c r="KOD572" s="126"/>
      <c r="KOE572" s="126"/>
      <c r="KOF572" s="126"/>
      <c r="KOG572" s="126"/>
      <c r="KOH572" s="126"/>
      <c r="KOI572" s="126"/>
      <c r="KOJ572" s="126"/>
      <c r="KOK572" s="126"/>
      <c r="KOL572" s="126"/>
      <c r="KOM572" s="126"/>
      <c r="KON572" s="126"/>
      <c r="KOO572" s="126"/>
      <c r="KOP572" s="126"/>
      <c r="KOQ572" s="126"/>
      <c r="KOR572" s="126"/>
      <c r="KOS572" s="126"/>
      <c r="KOT572" s="126"/>
      <c r="KOU572" s="126"/>
      <c r="KOV572" s="126"/>
      <c r="KOW572" s="126"/>
      <c r="KOX572" s="126"/>
      <c r="KOY572" s="126"/>
      <c r="KOZ572" s="126"/>
      <c r="KPA572" s="126"/>
      <c r="KPB572" s="126"/>
      <c r="KPC572" s="126"/>
      <c r="KPD572" s="126"/>
      <c r="KPE572" s="126"/>
      <c r="KPF572" s="126"/>
      <c r="KPG572" s="126"/>
      <c r="KPH572" s="126"/>
      <c r="KPI572" s="126"/>
      <c r="KPJ572" s="126"/>
      <c r="KPK572" s="126"/>
      <c r="KPL572" s="126"/>
      <c r="KPM572" s="126"/>
      <c r="KPN572" s="126"/>
      <c r="KPO572" s="126"/>
      <c r="KPP572" s="126"/>
      <c r="KPQ572" s="126"/>
      <c r="KPR572" s="126"/>
      <c r="KPS572" s="126"/>
      <c r="KPT572" s="126"/>
      <c r="KPU572" s="126"/>
      <c r="KPV572" s="126"/>
      <c r="KPW572" s="126"/>
      <c r="KPX572" s="126"/>
      <c r="KPY572" s="126"/>
      <c r="KPZ572" s="126"/>
      <c r="KQA572" s="126"/>
      <c r="KQB572" s="126"/>
      <c r="KQC572" s="126"/>
      <c r="KQD572" s="126"/>
      <c r="KQE572" s="126"/>
      <c r="KQF572" s="126"/>
      <c r="KQG572" s="126"/>
      <c r="KQH572" s="126"/>
      <c r="KQI572" s="126"/>
      <c r="KQJ572" s="126"/>
      <c r="KQK572" s="126"/>
      <c r="KQL572" s="126"/>
      <c r="KQM572" s="126"/>
      <c r="KQN572" s="126"/>
      <c r="KQO572" s="126"/>
      <c r="KQP572" s="126"/>
      <c r="KQQ572" s="126"/>
      <c r="KQR572" s="126"/>
      <c r="KQS572" s="126"/>
      <c r="KQT572" s="126"/>
      <c r="KQU572" s="126"/>
      <c r="KQV572" s="126"/>
      <c r="KQW572" s="126"/>
      <c r="KQX572" s="126"/>
      <c r="KQY572" s="126"/>
      <c r="KQZ572" s="126"/>
      <c r="KRA572" s="126"/>
      <c r="KRB572" s="126"/>
      <c r="KRC572" s="126"/>
      <c r="KRD572" s="126"/>
      <c r="KRE572" s="126"/>
      <c r="KRF572" s="126"/>
      <c r="KRG572" s="126"/>
      <c r="KRH572" s="126"/>
      <c r="KRI572" s="126"/>
      <c r="KRJ572" s="126"/>
      <c r="KRK572" s="126"/>
      <c r="KRL572" s="126"/>
      <c r="KRM572" s="126"/>
      <c r="KRN572" s="126"/>
      <c r="KRO572" s="126"/>
      <c r="KRP572" s="126"/>
      <c r="KRQ572" s="126"/>
      <c r="KRR572" s="126"/>
      <c r="KRS572" s="126"/>
      <c r="KRT572" s="126"/>
      <c r="KRU572" s="126"/>
      <c r="KRV572" s="126"/>
      <c r="KRW572" s="126"/>
      <c r="KRX572" s="126"/>
      <c r="KRY572" s="126"/>
      <c r="KRZ572" s="126"/>
      <c r="KSA572" s="126"/>
      <c r="KSB572" s="126"/>
      <c r="KSC572" s="126"/>
      <c r="KSD572" s="126"/>
      <c r="KSE572" s="126"/>
      <c r="KSF572" s="126"/>
      <c r="KSG572" s="126"/>
      <c r="KSH572" s="126"/>
      <c r="KSI572" s="126"/>
      <c r="KSJ572" s="126"/>
      <c r="KSK572" s="126"/>
      <c r="KSL572" s="126"/>
      <c r="KSM572" s="126"/>
      <c r="KSN572" s="126"/>
      <c r="KSO572" s="126"/>
      <c r="KSP572" s="126"/>
      <c r="KSQ572" s="126"/>
      <c r="KSR572" s="126"/>
      <c r="KSS572" s="126"/>
      <c r="KST572" s="126"/>
      <c r="KSU572" s="126"/>
      <c r="KSV572" s="126"/>
      <c r="KSW572" s="126"/>
      <c r="KSX572" s="126"/>
      <c r="KSY572" s="126"/>
      <c r="KSZ572" s="126"/>
      <c r="KTA572" s="126"/>
      <c r="KTB572" s="126"/>
      <c r="KTC572" s="126"/>
      <c r="KTD572" s="126"/>
      <c r="KTE572" s="126"/>
      <c r="KTF572" s="126"/>
      <c r="KTG572" s="126"/>
      <c r="KTH572" s="126"/>
      <c r="KTI572" s="126"/>
      <c r="KTJ572" s="126"/>
      <c r="KTK572" s="126"/>
      <c r="KTL572" s="126"/>
      <c r="KTM572" s="126"/>
      <c r="KTN572" s="126"/>
      <c r="KTO572" s="126"/>
      <c r="KTP572" s="126"/>
      <c r="KTQ572" s="126"/>
      <c r="KTR572" s="126"/>
      <c r="KTS572" s="126"/>
      <c r="KTT572" s="126"/>
      <c r="KTU572" s="126"/>
      <c r="KTV572" s="126"/>
      <c r="KTW572" s="126"/>
      <c r="KTX572" s="126"/>
      <c r="KTY572" s="126"/>
      <c r="KTZ572" s="126"/>
      <c r="KUA572" s="126"/>
      <c r="KUB572" s="126"/>
      <c r="KUC572" s="126"/>
      <c r="KUD572" s="126"/>
      <c r="KUE572" s="126"/>
      <c r="KUF572" s="126"/>
      <c r="KUG572" s="126"/>
      <c r="KUH572" s="126"/>
      <c r="KUI572" s="126"/>
      <c r="KUJ572" s="126"/>
      <c r="KUK572" s="126"/>
      <c r="KUL572" s="126"/>
      <c r="KUM572" s="126"/>
      <c r="KUN572" s="126"/>
      <c r="KUO572" s="126"/>
      <c r="KUP572" s="126"/>
      <c r="KUQ572" s="126"/>
      <c r="KUR572" s="126"/>
      <c r="KUS572" s="126"/>
      <c r="KUT572" s="126"/>
      <c r="KUU572" s="126"/>
      <c r="KUV572" s="126"/>
      <c r="KUW572" s="126"/>
      <c r="KUX572" s="126"/>
      <c r="KUY572" s="126"/>
      <c r="KUZ572" s="126"/>
      <c r="KVA572" s="126"/>
      <c r="KVB572" s="126"/>
      <c r="KVC572" s="126"/>
      <c r="KVD572" s="126"/>
      <c r="KVE572" s="126"/>
      <c r="KVF572" s="126"/>
      <c r="KVG572" s="126"/>
      <c r="KVH572" s="126"/>
      <c r="KVI572" s="126"/>
      <c r="KVJ572" s="126"/>
      <c r="KVK572" s="126"/>
      <c r="KVL572" s="126"/>
      <c r="KVM572" s="126"/>
      <c r="KVN572" s="126"/>
      <c r="KVO572" s="126"/>
      <c r="KVP572" s="126"/>
      <c r="KVQ572" s="126"/>
      <c r="KVR572" s="126"/>
      <c r="KVS572" s="126"/>
      <c r="KVT572" s="126"/>
      <c r="KVU572" s="126"/>
      <c r="KVV572" s="126"/>
      <c r="KVW572" s="126"/>
      <c r="KVX572" s="126"/>
      <c r="KVY572" s="126"/>
      <c r="KVZ572" s="126"/>
      <c r="KWA572" s="126"/>
      <c r="KWB572" s="126"/>
      <c r="KWC572" s="126"/>
      <c r="KWD572" s="126"/>
      <c r="KWE572" s="126"/>
      <c r="KWF572" s="126"/>
      <c r="KWG572" s="126"/>
      <c r="KWH572" s="126"/>
      <c r="KWI572" s="126"/>
      <c r="KWJ572" s="126"/>
      <c r="KWK572" s="126"/>
      <c r="KWL572" s="126"/>
      <c r="KWM572" s="126"/>
      <c r="KWN572" s="126"/>
      <c r="KWO572" s="126"/>
      <c r="KWP572" s="126"/>
      <c r="KWQ572" s="126"/>
      <c r="KWR572" s="126"/>
      <c r="KWS572" s="126"/>
      <c r="KWT572" s="126"/>
      <c r="KWU572" s="126"/>
      <c r="KWV572" s="126"/>
      <c r="KWW572" s="126"/>
      <c r="KWX572" s="126"/>
      <c r="KWY572" s="126"/>
      <c r="KWZ572" s="126"/>
      <c r="KXA572" s="126"/>
      <c r="KXB572" s="126"/>
      <c r="KXC572" s="126"/>
      <c r="KXD572" s="126"/>
      <c r="KXE572" s="126"/>
      <c r="KXF572" s="126"/>
      <c r="KXG572" s="126"/>
      <c r="KXH572" s="126"/>
      <c r="KXI572" s="126"/>
      <c r="KXJ572" s="126"/>
      <c r="KXK572" s="126"/>
      <c r="KXL572" s="126"/>
      <c r="KXM572" s="126"/>
      <c r="KXN572" s="126"/>
      <c r="KXO572" s="126"/>
      <c r="KXP572" s="126"/>
      <c r="KXQ572" s="126"/>
      <c r="KXR572" s="126"/>
      <c r="KXS572" s="126"/>
      <c r="KXT572" s="126"/>
      <c r="KXU572" s="126"/>
      <c r="KXV572" s="126"/>
      <c r="KXW572" s="126"/>
      <c r="KXX572" s="126"/>
      <c r="KXY572" s="126"/>
      <c r="KXZ572" s="126"/>
      <c r="KYA572" s="126"/>
      <c r="KYB572" s="126"/>
      <c r="KYC572" s="126"/>
      <c r="KYD572" s="126"/>
      <c r="KYE572" s="126"/>
      <c r="KYF572" s="126"/>
      <c r="KYG572" s="126"/>
      <c r="KYH572" s="126"/>
      <c r="KYI572" s="126"/>
      <c r="KYJ572" s="126"/>
      <c r="KYK572" s="126"/>
      <c r="KYL572" s="126"/>
      <c r="KYM572" s="126"/>
      <c r="KYN572" s="126"/>
      <c r="KYO572" s="126"/>
      <c r="KYP572" s="126"/>
      <c r="KYQ572" s="126"/>
      <c r="KYR572" s="126"/>
      <c r="KYS572" s="126"/>
      <c r="KYT572" s="126"/>
      <c r="KYU572" s="126"/>
      <c r="KYV572" s="126"/>
      <c r="KYW572" s="126"/>
      <c r="KYX572" s="126"/>
      <c r="KYY572" s="126"/>
      <c r="KYZ572" s="126"/>
      <c r="KZA572" s="126"/>
      <c r="KZB572" s="126"/>
      <c r="KZC572" s="126"/>
      <c r="KZD572" s="126"/>
      <c r="KZE572" s="126"/>
      <c r="KZF572" s="126"/>
      <c r="KZG572" s="126"/>
      <c r="KZH572" s="126"/>
      <c r="KZI572" s="126"/>
      <c r="KZJ572" s="126"/>
      <c r="KZK572" s="126"/>
      <c r="KZL572" s="126"/>
      <c r="KZM572" s="126"/>
      <c r="KZN572" s="126"/>
      <c r="KZO572" s="126"/>
      <c r="KZP572" s="126"/>
      <c r="KZQ572" s="126"/>
      <c r="KZR572" s="126"/>
      <c r="KZS572" s="126"/>
      <c r="KZT572" s="126"/>
      <c r="KZU572" s="126"/>
      <c r="KZV572" s="126"/>
      <c r="KZW572" s="126"/>
      <c r="KZX572" s="126"/>
      <c r="KZY572" s="126"/>
      <c r="KZZ572" s="126"/>
      <c r="LAA572" s="126"/>
      <c r="LAB572" s="126"/>
      <c r="LAC572" s="126"/>
      <c r="LAD572" s="126"/>
      <c r="LAE572" s="126"/>
      <c r="LAF572" s="126"/>
      <c r="LAG572" s="126"/>
      <c r="LAH572" s="126"/>
      <c r="LAI572" s="126"/>
      <c r="LAJ572" s="126"/>
      <c r="LAK572" s="126"/>
      <c r="LAL572" s="126"/>
      <c r="LAM572" s="126"/>
      <c r="LAN572" s="126"/>
      <c r="LAO572" s="126"/>
      <c r="LAP572" s="126"/>
      <c r="LAQ572" s="126"/>
      <c r="LAR572" s="126"/>
      <c r="LAS572" s="126"/>
      <c r="LAT572" s="126"/>
      <c r="LAU572" s="126"/>
      <c r="LAV572" s="126"/>
      <c r="LAW572" s="126"/>
      <c r="LAX572" s="126"/>
      <c r="LAY572" s="126"/>
      <c r="LAZ572" s="126"/>
      <c r="LBA572" s="126"/>
      <c r="LBB572" s="126"/>
      <c r="LBC572" s="126"/>
      <c r="LBD572" s="126"/>
      <c r="LBE572" s="126"/>
      <c r="LBF572" s="126"/>
      <c r="LBG572" s="126"/>
      <c r="LBH572" s="126"/>
      <c r="LBI572" s="126"/>
      <c r="LBJ572" s="126"/>
      <c r="LBK572" s="126"/>
      <c r="LBL572" s="126"/>
      <c r="LBM572" s="126"/>
      <c r="LBN572" s="126"/>
      <c r="LBO572" s="126"/>
      <c r="LBP572" s="126"/>
      <c r="LBQ572" s="126"/>
      <c r="LBR572" s="126"/>
      <c r="LBS572" s="126"/>
      <c r="LBT572" s="126"/>
      <c r="LBU572" s="126"/>
      <c r="LBV572" s="126"/>
      <c r="LBW572" s="126"/>
      <c r="LBX572" s="126"/>
      <c r="LBY572" s="126"/>
      <c r="LBZ572" s="126"/>
      <c r="LCA572" s="126"/>
      <c r="LCB572" s="126"/>
      <c r="LCC572" s="126"/>
      <c r="LCD572" s="126"/>
      <c r="LCE572" s="126"/>
      <c r="LCF572" s="126"/>
      <c r="LCG572" s="126"/>
      <c r="LCH572" s="126"/>
      <c r="LCI572" s="126"/>
      <c r="LCJ572" s="126"/>
      <c r="LCK572" s="126"/>
      <c r="LCL572" s="126"/>
      <c r="LCM572" s="126"/>
      <c r="LCN572" s="126"/>
      <c r="LCO572" s="126"/>
      <c r="LCP572" s="126"/>
      <c r="LCQ572" s="126"/>
      <c r="LCR572" s="126"/>
      <c r="LCS572" s="126"/>
      <c r="LCT572" s="126"/>
      <c r="LCU572" s="126"/>
      <c r="LCV572" s="126"/>
      <c r="LCW572" s="126"/>
      <c r="LCX572" s="126"/>
      <c r="LCY572" s="126"/>
      <c r="LCZ572" s="126"/>
      <c r="LDA572" s="126"/>
      <c r="LDB572" s="126"/>
      <c r="LDC572" s="126"/>
      <c r="LDD572" s="126"/>
      <c r="LDE572" s="126"/>
      <c r="LDF572" s="126"/>
      <c r="LDG572" s="126"/>
      <c r="LDH572" s="126"/>
      <c r="LDI572" s="126"/>
      <c r="LDJ572" s="126"/>
      <c r="LDK572" s="126"/>
      <c r="LDL572" s="126"/>
      <c r="LDM572" s="126"/>
      <c r="LDN572" s="126"/>
      <c r="LDO572" s="126"/>
      <c r="LDP572" s="126"/>
      <c r="LDQ572" s="126"/>
      <c r="LDR572" s="126"/>
      <c r="LDS572" s="126"/>
      <c r="LDT572" s="126"/>
      <c r="LDU572" s="126"/>
      <c r="LDV572" s="126"/>
      <c r="LDW572" s="126"/>
      <c r="LDX572" s="126"/>
      <c r="LDY572" s="126"/>
      <c r="LDZ572" s="126"/>
      <c r="LEA572" s="126"/>
      <c r="LEB572" s="126"/>
      <c r="LEC572" s="126"/>
      <c r="LED572" s="126"/>
      <c r="LEE572" s="126"/>
      <c r="LEF572" s="126"/>
      <c r="LEG572" s="126"/>
      <c r="LEH572" s="126"/>
      <c r="LEI572" s="126"/>
      <c r="LEJ572" s="126"/>
      <c r="LEK572" s="126"/>
      <c r="LEL572" s="126"/>
      <c r="LEM572" s="126"/>
      <c r="LEN572" s="126"/>
      <c r="LEO572" s="126"/>
      <c r="LEP572" s="126"/>
      <c r="LEQ572" s="126"/>
      <c r="LER572" s="126"/>
      <c r="LES572" s="126"/>
      <c r="LET572" s="126"/>
      <c r="LEU572" s="126"/>
      <c r="LEV572" s="126"/>
      <c r="LEW572" s="126"/>
      <c r="LEX572" s="126"/>
      <c r="LEY572" s="126"/>
      <c r="LEZ572" s="126"/>
      <c r="LFA572" s="126"/>
      <c r="LFB572" s="126"/>
      <c r="LFC572" s="126"/>
      <c r="LFD572" s="126"/>
      <c r="LFE572" s="126"/>
      <c r="LFF572" s="126"/>
      <c r="LFG572" s="126"/>
      <c r="LFH572" s="126"/>
      <c r="LFI572" s="126"/>
      <c r="LFJ572" s="126"/>
      <c r="LFK572" s="126"/>
      <c r="LFL572" s="126"/>
      <c r="LFM572" s="126"/>
      <c r="LFN572" s="126"/>
      <c r="LFO572" s="126"/>
      <c r="LFP572" s="126"/>
      <c r="LFQ572" s="126"/>
      <c r="LFR572" s="126"/>
      <c r="LFS572" s="126"/>
      <c r="LFT572" s="126"/>
      <c r="LFU572" s="126"/>
      <c r="LFV572" s="126"/>
      <c r="LFW572" s="126"/>
      <c r="LFX572" s="126"/>
      <c r="LFY572" s="126"/>
      <c r="LFZ572" s="126"/>
      <c r="LGA572" s="126"/>
      <c r="LGB572" s="126"/>
      <c r="LGC572" s="126"/>
      <c r="LGD572" s="126"/>
      <c r="LGE572" s="126"/>
      <c r="LGF572" s="126"/>
      <c r="LGG572" s="126"/>
      <c r="LGH572" s="126"/>
      <c r="LGI572" s="126"/>
      <c r="LGJ572" s="126"/>
      <c r="LGK572" s="126"/>
      <c r="LGL572" s="126"/>
      <c r="LGM572" s="126"/>
      <c r="LGN572" s="126"/>
      <c r="LGO572" s="126"/>
      <c r="LGP572" s="126"/>
      <c r="LGQ572" s="126"/>
      <c r="LGR572" s="126"/>
      <c r="LGS572" s="126"/>
      <c r="LGT572" s="126"/>
      <c r="LGU572" s="126"/>
      <c r="LGV572" s="126"/>
      <c r="LGW572" s="126"/>
      <c r="LGX572" s="126"/>
      <c r="LGY572" s="126"/>
      <c r="LGZ572" s="126"/>
      <c r="LHA572" s="126"/>
      <c r="LHB572" s="126"/>
      <c r="LHC572" s="126"/>
      <c r="LHD572" s="126"/>
      <c r="LHE572" s="126"/>
      <c r="LHF572" s="126"/>
      <c r="LHG572" s="126"/>
      <c r="LHH572" s="126"/>
      <c r="LHI572" s="126"/>
      <c r="LHJ572" s="126"/>
      <c r="LHK572" s="126"/>
      <c r="LHL572" s="126"/>
      <c r="LHM572" s="126"/>
      <c r="LHN572" s="126"/>
      <c r="LHO572" s="126"/>
      <c r="LHP572" s="126"/>
      <c r="LHQ572" s="126"/>
      <c r="LHR572" s="126"/>
      <c r="LHS572" s="126"/>
      <c r="LHT572" s="126"/>
      <c r="LHU572" s="126"/>
      <c r="LHV572" s="126"/>
      <c r="LHW572" s="126"/>
      <c r="LHX572" s="126"/>
      <c r="LHY572" s="126"/>
      <c r="LHZ572" s="126"/>
      <c r="LIA572" s="126"/>
      <c r="LIB572" s="126"/>
      <c r="LIC572" s="126"/>
      <c r="LID572" s="126"/>
      <c r="LIE572" s="126"/>
      <c r="LIF572" s="126"/>
      <c r="LIG572" s="126"/>
      <c r="LIH572" s="126"/>
      <c r="LII572" s="126"/>
      <c r="LIJ572" s="126"/>
      <c r="LIK572" s="126"/>
      <c r="LIL572" s="126"/>
      <c r="LIM572" s="126"/>
      <c r="LIN572" s="126"/>
      <c r="LIO572" s="126"/>
      <c r="LIP572" s="126"/>
      <c r="LIQ572" s="126"/>
      <c r="LIR572" s="126"/>
      <c r="LIS572" s="126"/>
      <c r="LIT572" s="126"/>
      <c r="LIU572" s="126"/>
      <c r="LIV572" s="126"/>
      <c r="LIW572" s="126"/>
      <c r="LIX572" s="126"/>
      <c r="LIY572" s="126"/>
      <c r="LIZ572" s="126"/>
      <c r="LJA572" s="126"/>
      <c r="LJB572" s="126"/>
      <c r="LJC572" s="126"/>
      <c r="LJD572" s="126"/>
      <c r="LJE572" s="126"/>
      <c r="LJF572" s="126"/>
      <c r="LJG572" s="126"/>
      <c r="LJH572" s="126"/>
      <c r="LJI572" s="126"/>
      <c r="LJJ572" s="126"/>
      <c r="LJK572" s="126"/>
      <c r="LJL572" s="126"/>
      <c r="LJM572" s="126"/>
      <c r="LJN572" s="126"/>
      <c r="LJO572" s="126"/>
      <c r="LJP572" s="126"/>
      <c r="LJQ572" s="126"/>
      <c r="LJR572" s="126"/>
      <c r="LJS572" s="126"/>
      <c r="LJT572" s="126"/>
      <c r="LJU572" s="126"/>
      <c r="LJV572" s="126"/>
      <c r="LJW572" s="126"/>
      <c r="LJX572" s="126"/>
      <c r="LJY572" s="126"/>
      <c r="LJZ572" s="126"/>
      <c r="LKA572" s="126"/>
      <c r="LKB572" s="126"/>
      <c r="LKC572" s="126"/>
      <c r="LKD572" s="126"/>
      <c r="LKE572" s="126"/>
      <c r="LKF572" s="126"/>
      <c r="LKG572" s="126"/>
      <c r="LKH572" s="126"/>
      <c r="LKI572" s="126"/>
      <c r="LKJ572" s="126"/>
      <c r="LKK572" s="126"/>
      <c r="LKL572" s="126"/>
      <c r="LKM572" s="126"/>
      <c r="LKN572" s="126"/>
      <c r="LKO572" s="126"/>
      <c r="LKP572" s="126"/>
      <c r="LKQ572" s="126"/>
      <c r="LKR572" s="126"/>
      <c r="LKS572" s="126"/>
      <c r="LKT572" s="126"/>
      <c r="LKU572" s="126"/>
      <c r="LKV572" s="126"/>
      <c r="LKW572" s="126"/>
      <c r="LKX572" s="126"/>
      <c r="LKY572" s="126"/>
      <c r="LKZ572" s="126"/>
      <c r="LLA572" s="126"/>
      <c r="LLB572" s="126"/>
      <c r="LLC572" s="126"/>
      <c r="LLD572" s="126"/>
      <c r="LLE572" s="126"/>
      <c r="LLF572" s="126"/>
      <c r="LLG572" s="126"/>
      <c r="LLH572" s="126"/>
      <c r="LLI572" s="126"/>
      <c r="LLJ572" s="126"/>
      <c r="LLK572" s="126"/>
      <c r="LLL572" s="126"/>
      <c r="LLM572" s="126"/>
      <c r="LLN572" s="126"/>
      <c r="LLO572" s="126"/>
      <c r="LLP572" s="126"/>
      <c r="LLQ572" s="126"/>
      <c r="LLR572" s="126"/>
      <c r="LLS572" s="126"/>
      <c r="LLT572" s="126"/>
      <c r="LLU572" s="126"/>
      <c r="LLV572" s="126"/>
      <c r="LLW572" s="126"/>
      <c r="LLX572" s="126"/>
      <c r="LLY572" s="126"/>
      <c r="LLZ572" s="126"/>
      <c r="LMA572" s="126"/>
      <c r="LMB572" s="126"/>
      <c r="LMC572" s="126"/>
      <c r="LMD572" s="126"/>
      <c r="LME572" s="126"/>
      <c r="LMF572" s="126"/>
      <c r="LMG572" s="126"/>
      <c r="LMH572" s="126"/>
      <c r="LMI572" s="126"/>
      <c r="LMJ572" s="126"/>
      <c r="LMK572" s="126"/>
      <c r="LML572" s="126"/>
      <c r="LMM572" s="126"/>
      <c r="LMN572" s="126"/>
      <c r="LMO572" s="126"/>
      <c r="LMP572" s="126"/>
      <c r="LMQ572" s="126"/>
      <c r="LMR572" s="126"/>
      <c r="LMS572" s="126"/>
      <c r="LMT572" s="126"/>
      <c r="LMU572" s="126"/>
      <c r="LMV572" s="126"/>
      <c r="LMW572" s="126"/>
      <c r="LMX572" s="126"/>
      <c r="LMY572" s="126"/>
      <c r="LMZ572" s="126"/>
      <c r="LNA572" s="126"/>
      <c r="LNB572" s="126"/>
      <c r="LNC572" s="126"/>
      <c r="LND572" s="126"/>
      <c r="LNE572" s="126"/>
      <c r="LNF572" s="126"/>
      <c r="LNG572" s="126"/>
      <c r="LNH572" s="126"/>
      <c r="LNI572" s="126"/>
      <c r="LNJ572" s="126"/>
      <c r="LNK572" s="126"/>
      <c r="LNL572" s="126"/>
      <c r="LNM572" s="126"/>
      <c r="LNN572" s="126"/>
      <c r="LNO572" s="126"/>
      <c r="LNP572" s="126"/>
      <c r="LNQ572" s="126"/>
      <c r="LNR572" s="126"/>
      <c r="LNS572" s="126"/>
      <c r="LNT572" s="126"/>
      <c r="LNU572" s="126"/>
      <c r="LNV572" s="126"/>
      <c r="LNW572" s="126"/>
      <c r="LNX572" s="126"/>
      <c r="LNY572" s="126"/>
      <c r="LNZ572" s="126"/>
      <c r="LOA572" s="126"/>
      <c r="LOB572" s="126"/>
      <c r="LOC572" s="126"/>
      <c r="LOD572" s="126"/>
      <c r="LOE572" s="126"/>
      <c r="LOF572" s="126"/>
      <c r="LOG572" s="126"/>
      <c r="LOH572" s="126"/>
      <c r="LOI572" s="126"/>
      <c r="LOJ572" s="126"/>
      <c r="LOK572" s="126"/>
      <c r="LOL572" s="126"/>
      <c r="LOM572" s="126"/>
      <c r="LON572" s="126"/>
      <c r="LOO572" s="126"/>
      <c r="LOP572" s="126"/>
      <c r="LOQ572" s="126"/>
      <c r="LOR572" s="126"/>
      <c r="LOS572" s="126"/>
      <c r="LOT572" s="126"/>
      <c r="LOU572" s="126"/>
      <c r="LOV572" s="126"/>
      <c r="LOW572" s="126"/>
      <c r="LOX572" s="126"/>
      <c r="LOY572" s="126"/>
      <c r="LOZ572" s="126"/>
      <c r="LPA572" s="126"/>
      <c r="LPB572" s="126"/>
      <c r="LPC572" s="126"/>
      <c r="LPD572" s="126"/>
      <c r="LPE572" s="126"/>
      <c r="LPF572" s="126"/>
      <c r="LPG572" s="126"/>
      <c r="LPH572" s="126"/>
      <c r="LPI572" s="126"/>
      <c r="LPJ572" s="126"/>
      <c r="LPK572" s="126"/>
      <c r="LPL572" s="126"/>
      <c r="LPM572" s="126"/>
      <c r="LPN572" s="126"/>
      <c r="LPO572" s="126"/>
      <c r="LPP572" s="126"/>
      <c r="LPQ572" s="126"/>
      <c r="LPR572" s="126"/>
      <c r="LPS572" s="126"/>
      <c r="LPT572" s="126"/>
      <c r="LPU572" s="126"/>
      <c r="LPV572" s="126"/>
      <c r="LPW572" s="126"/>
      <c r="LPX572" s="126"/>
      <c r="LPY572" s="126"/>
      <c r="LPZ572" s="126"/>
      <c r="LQA572" s="126"/>
      <c r="LQB572" s="126"/>
      <c r="LQC572" s="126"/>
      <c r="LQD572" s="126"/>
      <c r="LQE572" s="126"/>
      <c r="LQF572" s="126"/>
      <c r="LQG572" s="126"/>
      <c r="LQH572" s="126"/>
      <c r="LQI572" s="126"/>
      <c r="LQJ572" s="126"/>
      <c r="LQK572" s="126"/>
      <c r="LQL572" s="126"/>
      <c r="LQM572" s="126"/>
      <c r="LQN572" s="126"/>
      <c r="LQO572" s="126"/>
      <c r="LQP572" s="126"/>
      <c r="LQQ572" s="126"/>
      <c r="LQR572" s="126"/>
      <c r="LQS572" s="126"/>
      <c r="LQT572" s="126"/>
      <c r="LQU572" s="126"/>
      <c r="LQV572" s="126"/>
      <c r="LQW572" s="126"/>
      <c r="LQX572" s="126"/>
      <c r="LQY572" s="126"/>
      <c r="LQZ572" s="126"/>
      <c r="LRA572" s="126"/>
      <c r="LRB572" s="126"/>
      <c r="LRC572" s="126"/>
      <c r="LRD572" s="126"/>
      <c r="LRE572" s="126"/>
      <c r="LRF572" s="126"/>
      <c r="LRG572" s="126"/>
      <c r="LRH572" s="126"/>
      <c r="LRI572" s="126"/>
      <c r="LRJ572" s="126"/>
      <c r="LRK572" s="126"/>
      <c r="LRL572" s="126"/>
      <c r="LRM572" s="126"/>
      <c r="LRN572" s="126"/>
      <c r="LRO572" s="126"/>
      <c r="LRP572" s="126"/>
      <c r="LRQ572" s="126"/>
      <c r="LRR572" s="126"/>
      <c r="LRS572" s="126"/>
      <c r="LRT572" s="126"/>
      <c r="LRU572" s="126"/>
      <c r="LRV572" s="126"/>
      <c r="LRW572" s="126"/>
      <c r="LRX572" s="126"/>
      <c r="LRY572" s="126"/>
      <c r="LRZ572" s="126"/>
      <c r="LSA572" s="126"/>
      <c r="LSB572" s="126"/>
      <c r="LSC572" s="126"/>
      <c r="LSD572" s="126"/>
      <c r="LSE572" s="126"/>
      <c r="LSF572" s="126"/>
      <c r="LSG572" s="126"/>
      <c r="LSH572" s="126"/>
      <c r="LSI572" s="126"/>
      <c r="LSJ572" s="126"/>
      <c r="LSK572" s="126"/>
      <c r="LSL572" s="126"/>
      <c r="LSM572" s="126"/>
      <c r="LSN572" s="126"/>
      <c r="LSO572" s="126"/>
      <c r="LSP572" s="126"/>
      <c r="LSQ572" s="126"/>
      <c r="LSR572" s="126"/>
      <c r="LSS572" s="126"/>
      <c r="LST572" s="126"/>
      <c r="LSU572" s="126"/>
      <c r="LSV572" s="126"/>
      <c r="LSW572" s="126"/>
      <c r="LSX572" s="126"/>
      <c r="LSY572" s="126"/>
      <c r="LSZ572" s="126"/>
      <c r="LTA572" s="126"/>
      <c r="LTB572" s="126"/>
      <c r="LTC572" s="126"/>
      <c r="LTD572" s="126"/>
      <c r="LTE572" s="126"/>
      <c r="LTF572" s="126"/>
      <c r="LTG572" s="126"/>
      <c r="LTH572" s="126"/>
      <c r="LTI572" s="126"/>
      <c r="LTJ572" s="126"/>
      <c r="LTK572" s="126"/>
      <c r="LTL572" s="126"/>
      <c r="LTM572" s="126"/>
      <c r="LTN572" s="126"/>
      <c r="LTO572" s="126"/>
      <c r="LTP572" s="126"/>
      <c r="LTQ572" s="126"/>
      <c r="LTR572" s="126"/>
      <c r="LTS572" s="126"/>
      <c r="LTT572" s="126"/>
      <c r="LTU572" s="126"/>
      <c r="LTV572" s="126"/>
      <c r="LTW572" s="126"/>
      <c r="LTX572" s="126"/>
      <c r="LTY572" s="126"/>
      <c r="LTZ572" s="126"/>
      <c r="LUA572" s="126"/>
      <c r="LUB572" s="126"/>
      <c r="LUC572" s="126"/>
      <c r="LUD572" s="126"/>
      <c r="LUE572" s="126"/>
      <c r="LUF572" s="126"/>
      <c r="LUG572" s="126"/>
      <c r="LUH572" s="126"/>
      <c r="LUI572" s="126"/>
      <c r="LUJ572" s="126"/>
      <c r="LUK572" s="126"/>
      <c r="LUL572" s="126"/>
      <c r="LUM572" s="126"/>
      <c r="LUN572" s="126"/>
      <c r="LUO572" s="126"/>
      <c r="LUP572" s="126"/>
      <c r="LUQ572" s="126"/>
      <c r="LUR572" s="126"/>
      <c r="LUS572" s="126"/>
      <c r="LUT572" s="126"/>
      <c r="LUU572" s="126"/>
      <c r="LUV572" s="126"/>
      <c r="LUW572" s="126"/>
      <c r="LUX572" s="126"/>
      <c r="LUY572" s="126"/>
      <c r="LUZ572" s="126"/>
      <c r="LVA572" s="126"/>
      <c r="LVB572" s="126"/>
      <c r="LVC572" s="126"/>
      <c r="LVD572" s="126"/>
      <c r="LVE572" s="126"/>
      <c r="LVF572" s="126"/>
      <c r="LVG572" s="126"/>
      <c r="LVH572" s="126"/>
      <c r="LVI572" s="126"/>
      <c r="LVJ572" s="126"/>
      <c r="LVK572" s="126"/>
      <c r="LVL572" s="126"/>
      <c r="LVM572" s="126"/>
      <c r="LVN572" s="126"/>
      <c r="LVO572" s="126"/>
      <c r="LVP572" s="126"/>
      <c r="LVQ572" s="126"/>
      <c r="LVR572" s="126"/>
      <c r="LVS572" s="126"/>
      <c r="LVT572" s="126"/>
      <c r="LVU572" s="126"/>
      <c r="LVV572" s="126"/>
      <c r="LVW572" s="126"/>
      <c r="LVX572" s="126"/>
      <c r="LVY572" s="126"/>
      <c r="LVZ572" s="126"/>
      <c r="LWA572" s="126"/>
      <c r="LWB572" s="126"/>
      <c r="LWC572" s="126"/>
      <c r="LWD572" s="126"/>
      <c r="LWE572" s="126"/>
      <c r="LWF572" s="126"/>
      <c r="LWG572" s="126"/>
      <c r="LWH572" s="126"/>
      <c r="LWI572" s="126"/>
      <c r="LWJ572" s="126"/>
      <c r="LWK572" s="126"/>
      <c r="LWL572" s="126"/>
      <c r="LWM572" s="126"/>
      <c r="LWN572" s="126"/>
      <c r="LWO572" s="126"/>
      <c r="LWP572" s="126"/>
      <c r="LWQ572" s="126"/>
      <c r="LWR572" s="126"/>
      <c r="LWS572" s="126"/>
      <c r="LWT572" s="126"/>
      <c r="LWU572" s="126"/>
      <c r="LWV572" s="126"/>
      <c r="LWW572" s="126"/>
      <c r="LWX572" s="126"/>
      <c r="LWY572" s="126"/>
      <c r="LWZ572" s="126"/>
      <c r="LXA572" s="126"/>
      <c r="LXB572" s="126"/>
      <c r="LXC572" s="126"/>
      <c r="LXD572" s="126"/>
      <c r="LXE572" s="126"/>
      <c r="LXF572" s="126"/>
      <c r="LXG572" s="126"/>
      <c r="LXH572" s="126"/>
      <c r="LXI572" s="126"/>
      <c r="LXJ572" s="126"/>
      <c r="LXK572" s="126"/>
      <c r="LXL572" s="126"/>
      <c r="LXM572" s="126"/>
      <c r="LXN572" s="126"/>
      <c r="LXO572" s="126"/>
      <c r="LXP572" s="126"/>
      <c r="LXQ572" s="126"/>
      <c r="LXR572" s="126"/>
      <c r="LXS572" s="126"/>
      <c r="LXT572" s="126"/>
      <c r="LXU572" s="126"/>
      <c r="LXV572" s="126"/>
      <c r="LXW572" s="126"/>
      <c r="LXX572" s="126"/>
      <c r="LXY572" s="126"/>
      <c r="LXZ572" s="126"/>
      <c r="LYA572" s="126"/>
      <c r="LYB572" s="126"/>
      <c r="LYC572" s="126"/>
      <c r="LYD572" s="126"/>
      <c r="LYE572" s="126"/>
      <c r="LYF572" s="126"/>
      <c r="LYG572" s="126"/>
      <c r="LYH572" s="126"/>
      <c r="LYI572" s="126"/>
      <c r="LYJ572" s="126"/>
      <c r="LYK572" s="126"/>
      <c r="LYL572" s="126"/>
      <c r="LYM572" s="126"/>
      <c r="LYN572" s="126"/>
      <c r="LYO572" s="126"/>
      <c r="LYP572" s="126"/>
      <c r="LYQ572" s="126"/>
      <c r="LYR572" s="126"/>
      <c r="LYS572" s="126"/>
      <c r="LYT572" s="126"/>
      <c r="LYU572" s="126"/>
      <c r="LYV572" s="126"/>
      <c r="LYW572" s="126"/>
      <c r="LYX572" s="126"/>
      <c r="LYY572" s="126"/>
      <c r="LYZ572" s="126"/>
      <c r="LZA572" s="126"/>
      <c r="LZB572" s="126"/>
      <c r="LZC572" s="126"/>
      <c r="LZD572" s="126"/>
      <c r="LZE572" s="126"/>
      <c r="LZF572" s="126"/>
      <c r="LZG572" s="126"/>
      <c r="LZH572" s="126"/>
      <c r="LZI572" s="126"/>
      <c r="LZJ572" s="126"/>
      <c r="LZK572" s="126"/>
      <c r="LZL572" s="126"/>
      <c r="LZM572" s="126"/>
      <c r="LZN572" s="126"/>
      <c r="LZO572" s="126"/>
      <c r="LZP572" s="126"/>
      <c r="LZQ572" s="126"/>
      <c r="LZR572" s="126"/>
      <c r="LZS572" s="126"/>
      <c r="LZT572" s="126"/>
      <c r="LZU572" s="126"/>
      <c r="LZV572" s="126"/>
      <c r="LZW572" s="126"/>
      <c r="LZX572" s="126"/>
      <c r="LZY572" s="126"/>
      <c r="LZZ572" s="126"/>
      <c r="MAA572" s="126"/>
      <c r="MAB572" s="126"/>
      <c r="MAC572" s="126"/>
      <c r="MAD572" s="126"/>
      <c r="MAE572" s="126"/>
      <c r="MAF572" s="126"/>
      <c r="MAG572" s="126"/>
      <c r="MAH572" s="126"/>
      <c r="MAI572" s="126"/>
      <c r="MAJ572" s="126"/>
      <c r="MAK572" s="126"/>
      <c r="MAL572" s="126"/>
      <c r="MAM572" s="126"/>
      <c r="MAN572" s="126"/>
      <c r="MAO572" s="126"/>
      <c r="MAP572" s="126"/>
      <c r="MAQ572" s="126"/>
      <c r="MAR572" s="126"/>
      <c r="MAS572" s="126"/>
      <c r="MAT572" s="126"/>
      <c r="MAU572" s="126"/>
      <c r="MAV572" s="126"/>
      <c r="MAW572" s="126"/>
      <c r="MAX572" s="126"/>
      <c r="MAY572" s="126"/>
      <c r="MAZ572" s="126"/>
      <c r="MBA572" s="126"/>
      <c r="MBB572" s="126"/>
      <c r="MBC572" s="126"/>
      <c r="MBD572" s="126"/>
      <c r="MBE572" s="126"/>
      <c r="MBF572" s="126"/>
      <c r="MBG572" s="126"/>
      <c r="MBH572" s="126"/>
      <c r="MBI572" s="126"/>
      <c r="MBJ572" s="126"/>
      <c r="MBK572" s="126"/>
      <c r="MBL572" s="126"/>
      <c r="MBM572" s="126"/>
      <c r="MBN572" s="126"/>
      <c r="MBO572" s="126"/>
      <c r="MBP572" s="126"/>
      <c r="MBQ572" s="126"/>
      <c r="MBR572" s="126"/>
      <c r="MBS572" s="126"/>
      <c r="MBT572" s="126"/>
      <c r="MBU572" s="126"/>
      <c r="MBV572" s="126"/>
      <c r="MBW572" s="126"/>
      <c r="MBX572" s="126"/>
      <c r="MBY572" s="126"/>
      <c r="MBZ572" s="126"/>
      <c r="MCA572" s="126"/>
      <c r="MCB572" s="126"/>
      <c r="MCC572" s="126"/>
      <c r="MCD572" s="126"/>
      <c r="MCE572" s="126"/>
      <c r="MCF572" s="126"/>
      <c r="MCG572" s="126"/>
      <c r="MCH572" s="126"/>
      <c r="MCI572" s="126"/>
      <c r="MCJ572" s="126"/>
      <c r="MCK572" s="126"/>
      <c r="MCL572" s="126"/>
      <c r="MCM572" s="126"/>
      <c r="MCN572" s="126"/>
      <c r="MCO572" s="126"/>
      <c r="MCP572" s="126"/>
      <c r="MCQ572" s="126"/>
      <c r="MCR572" s="126"/>
      <c r="MCS572" s="126"/>
      <c r="MCT572" s="126"/>
      <c r="MCU572" s="126"/>
      <c r="MCV572" s="126"/>
      <c r="MCW572" s="126"/>
      <c r="MCX572" s="126"/>
      <c r="MCY572" s="126"/>
      <c r="MCZ572" s="126"/>
      <c r="MDA572" s="126"/>
      <c r="MDB572" s="126"/>
      <c r="MDC572" s="126"/>
      <c r="MDD572" s="126"/>
      <c r="MDE572" s="126"/>
      <c r="MDF572" s="126"/>
      <c r="MDG572" s="126"/>
      <c r="MDH572" s="126"/>
      <c r="MDI572" s="126"/>
      <c r="MDJ572" s="126"/>
      <c r="MDK572" s="126"/>
      <c r="MDL572" s="126"/>
      <c r="MDM572" s="126"/>
      <c r="MDN572" s="126"/>
      <c r="MDO572" s="126"/>
      <c r="MDP572" s="126"/>
      <c r="MDQ572" s="126"/>
      <c r="MDR572" s="126"/>
      <c r="MDS572" s="126"/>
      <c r="MDT572" s="126"/>
      <c r="MDU572" s="126"/>
      <c r="MDV572" s="126"/>
      <c r="MDW572" s="126"/>
      <c r="MDX572" s="126"/>
      <c r="MDY572" s="126"/>
      <c r="MDZ572" s="126"/>
      <c r="MEA572" s="126"/>
      <c r="MEB572" s="126"/>
      <c r="MEC572" s="126"/>
      <c r="MED572" s="126"/>
      <c r="MEE572" s="126"/>
      <c r="MEF572" s="126"/>
      <c r="MEG572" s="126"/>
      <c r="MEH572" s="126"/>
      <c r="MEI572" s="126"/>
      <c r="MEJ572" s="126"/>
      <c r="MEK572" s="126"/>
      <c r="MEL572" s="126"/>
      <c r="MEM572" s="126"/>
      <c r="MEN572" s="126"/>
      <c r="MEO572" s="126"/>
      <c r="MEP572" s="126"/>
      <c r="MEQ572" s="126"/>
      <c r="MER572" s="126"/>
      <c r="MES572" s="126"/>
      <c r="MET572" s="126"/>
      <c r="MEU572" s="126"/>
      <c r="MEV572" s="126"/>
      <c r="MEW572" s="126"/>
      <c r="MEX572" s="126"/>
      <c r="MEY572" s="126"/>
      <c r="MEZ572" s="126"/>
      <c r="MFA572" s="126"/>
      <c r="MFB572" s="126"/>
      <c r="MFC572" s="126"/>
      <c r="MFD572" s="126"/>
      <c r="MFE572" s="126"/>
      <c r="MFF572" s="126"/>
      <c r="MFG572" s="126"/>
      <c r="MFH572" s="126"/>
      <c r="MFI572" s="126"/>
      <c r="MFJ572" s="126"/>
      <c r="MFK572" s="126"/>
      <c r="MFL572" s="126"/>
      <c r="MFM572" s="126"/>
      <c r="MFN572" s="126"/>
      <c r="MFO572" s="126"/>
      <c r="MFP572" s="126"/>
      <c r="MFQ572" s="126"/>
      <c r="MFR572" s="126"/>
      <c r="MFS572" s="126"/>
      <c r="MFT572" s="126"/>
      <c r="MFU572" s="126"/>
      <c r="MFV572" s="126"/>
      <c r="MFW572" s="126"/>
      <c r="MFX572" s="126"/>
      <c r="MFY572" s="126"/>
      <c r="MFZ572" s="126"/>
      <c r="MGA572" s="126"/>
      <c r="MGB572" s="126"/>
      <c r="MGC572" s="126"/>
      <c r="MGD572" s="126"/>
      <c r="MGE572" s="126"/>
      <c r="MGF572" s="126"/>
      <c r="MGG572" s="126"/>
      <c r="MGH572" s="126"/>
      <c r="MGI572" s="126"/>
      <c r="MGJ572" s="126"/>
      <c r="MGK572" s="126"/>
      <c r="MGL572" s="126"/>
      <c r="MGM572" s="126"/>
      <c r="MGN572" s="126"/>
      <c r="MGO572" s="126"/>
      <c r="MGP572" s="126"/>
      <c r="MGQ572" s="126"/>
      <c r="MGR572" s="126"/>
      <c r="MGS572" s="126"/>
      <c r="MGT572" s="126"/>
      <c r="MGU572" s="126"/>
      <c r="MGV572" s="126"/>
      <c r="MGW572" s="126"/>
      <c r="MGX572" s="126"/>
      <c r="MGY572" s="126"/>
      <c r="MGZ572" s="126"/>
      <c r="MHA572" s="126"/>
      <c r="MHB572" s="126"/>
      <c r="MHC572" s="126"/>
      <c r="MHD572" s="126"/>
      <c r="MHE572" s="126"/>
      <c r="MHF572" s="126"/>
      <c r="MHG572" s="126"/>
      <c r="MHH572" s="126"/>
      <c r="MHI572" s="126"/>
      <c r="MHJ572" s="126"/>
      <c r="MHK572" s="126"/>
      <c r="MHL572" s="126"/>
      <c r="MHM572" s="126"/>
      <c r="MHN572" s="126"/>
      <c r="MHO572" s="126"/>
      <c r="MHP572" s="126"/>
      <c r="MHQ572" s="126"/>
      <c r="MHR572" s="126"/>
      <c r="MHS572" s="126"/>
      <c r="MHT572" s="126"/>
      <c r="MHU572" s="126"/>
      <c r="MHV572" s="126"/>
      <c r="MHW572" s="126"/>
      <c r="MHX572" s="126"/>
      <c r="MHY572" s="126"/>
      <c r="MHZ572" s="126"/>
      <c r="MIA572" s="126"/>
      <c r="MIB572" s="126"/>
      <c r="MIC572" s="126"/>
      <c r="MID572" s="126"/>
      <c r="MIE572" s="126"/>
      <c r="MIF572" s="126"/>
      <c r="MIG572" s="126"/>
      <c r="MIH572" s="126"/>
      <c r="MII572" s="126"/>
      <c r="MIJ572" s="126"/>
      <c r="MIK572" s="126"/>
      <c r="MIL572" s="126"/>
      <c r="MIM572" s="126"/>
      <c r="MIN572" s="126"/>
      <c r="MIO572" s="126"/>
      <c r="MIP572" s="126"/>
      <c r="MIQ572" s="126"/>
      <c r="MIR572" s="126"/>
      <c r="MIS572" s="126"/>
      <c r="MIT572" s="126"/>
      <c r="MIU572" s="126"/>
      <c r="MIV572" s="126"/>
      <c r="MIW572" s="126"/>
      <c r="MIX572" s="126"/>
      <c r="MIY572" s="126"/>
      <c r="MIZ572" s="126"/>
      <c r="MJA572" s="126"/>
      <c r="MJB572" s="126"/>
      <c r="MJC572" s="126"/>
      <c r="MJD572" s="126"/>
      <c r="MJE572" s="126"/>
      <c r="MJF572" s="126"/>
      <c r="MJG572" s="126"/>
      <c r="MJH572" s="126"/>
      <c r="MJI572" s="126"/>
      <c r="MJJ572" s="126"/>
      <c r="MJK572" s="126"/>
      <c r="MJL572" s="126"/>
      <c r="MJM572" s="126"/>
      <c r="MJN572" s="126"/>
      <c r="MJO572" s="126"/>
      <c r="MJP572" s="126"/>
      <c r="MJQ572" s="126"/>
      <c r="MJR572" s="126"/>
      <c r="MJS572" s="126"/>
      <c r="MJT572" s="126"/>
      <c r="MJU572" s="126"/>
      <c r="MJV572" s="126"/>
      <c r="MJW572" s="126"/>
      <c r="MJX572" s="126"/>
      <c r="MJY572" s="126"/>
      <c r="MJZ572" s="126"/>
      <c r="MKA572" s="126"/>
      <c r="MKB572" s="126"/>
      <c r="MKC572" s="126"/>
      <c r="MKD572" s="126"/>
      <c r="MKE572" s="126"/>
      <c r="MKF572" s="126"/>
      <c r="MKG572" s="126"/>
      <c r="MKH572" s="126"/>
      <c r="MKI572" s="126"/>
      <c r="MKJ572" s="126"/>
      <c r="MKK572" s="126"/>
      <c r="MKL572" s="126"/>
      <c r="MKM572" s="126"/>
      <c r="MKN572" s="126"/>
      <c r="MKO572" s="126"/>
      <c r="MKP572" s="126"/>
      <c r="MKQ572" s="126"/>
      <c r="MKR572" s="126"/>
      <c r="MKS572" s="126"/>
      <c r="MKT572" s="126"/>
      <c r="MKU572" s="126"/>
      <c r="MKV572" s="126"/>
      <c r="MKW572" s="126"/>
      <c r="MKX572" s="126"/>
      <c r="MKY572" s="126"/>
      <c r="MKZ572" s="126"/>
      <c r="MLA572" s="126"/>
      <c r="MLB572" s="126"/>
      <c r="MLC572" s="126"/>
      <c r="MLD572" s="126"/>
      <c r="MLE572" s="126"/>
      <c r="MLF572" s="126"/>
      <c r="MLG572" s="126"/>
      <c r="MLH572" s="126"/>
      <c r="MLI572" s="126"/>
      <c r="MLJ572" s="126"/>
      <c r="MLK572" s="126"/>
      <c r="MLL572" s="126"/>
      <c r="MLM572" s="126"/>
      <c r="MLN572" s="126"/>
      <c r="MLO572" s="126"/>
      <c r="MLP572" s="126"/>
      <c r="MLQ572" s="126"/>
      <c r="MLR572" s="126"/>
      <c r="MLS572" s="126"/>
      <c r="MLT572" s="126"/>
      <c r="MLU572" s="126"/>
      <c r="MLV572" s="126"/>
      <c r="MLW572" s="126"/>
      <c r="MLX572" s="126"/>
      <c r="MLY572" s="126"/>
      <c r="MLZ572" s="126"/>
      <c r="MMA572" s="126"/>
      <c r="MMB572" s="126"/>
      <c r="MMC572" s="126"/>
      <c r="MMD572" s="126"/>
      <c r="MME572" s="126"/>
      <c r="MMF572" s="126"/>
      <c r="MMG572" s="126"/>
      <c r="MMH572" s="126"/>
      <c r="MMI572" s="126"/>
      <c r="MMJ572" s="126"/>
      <c r="MMK572" s="126"/>
      <c r="MML572" s="126"/>
      <c r="MMM572" s="126"/>
      <c r="MMN572" s="126"/>
      <c r="MMO572" s="126"/>
      <c r="MMP572" s="126"/>
      <c r="MMQ572" s="126"/>
      <c r="MMR572" s="126"/>
      <c r="MMS572" s="126"/>
      <c r="MMT572" s="126"/>
      <c r="MMU572" s="126"/>
      <c r="MMV572" s="126"/>
      <c r="MMW572" s="126"/>
      <c r="MMX572" s="126"/>
      <c r="MMY572" s="126"/>
      <c r="MMZ572" s="126"/>
      <c r="MNA572" s="126"/>
      <c r="MNB572" s="126"/>
      <c r="MNC572" s="126"/>
      <c r="MND572" s="126"/>
      <c r="MNE572" s="126"/>
      <c r="MNF572" s="126"/>
      <c r="MNG572" s="126"/>
      <c r="MNH572" s="126"/>
      <c r="MNI572" s="126"/>
      <c r="MNJ572" s="126"/>
      <c r="MNK572" s="126"/>
      <c r="MNL572" s="126"/>
      <c r="MNM572" s="126"/>
      <c r="MNN572" s="126"/>
      <c r="MNO572" s="126"/>
      <c r="MNP572" s="126"/>
      <c r="MNQ572" s="126"/>
      <c r="MNR572" s="126"/>
      <c r="MNS572" s="126"/>
      <c r="MNT572" s="126"/>
      <c r="MNU572" s="126"/>
      <c r="MNV572" s="126"/>
      <c r="MNW572" s="126"/>
      <c r="MNX572" s="126"/>
      <c r="MNY572" s="126"/>
      <c r="MNZ572" s="126"/>
      <c r="MOA572" s="126"/>
      <c r="MOB572" s="126"/>
      <c r="MOC572" s="126"/>
      <c r="MOD572" s="126"/>
      <c r="MOE572" s="126"/>
      <c r="MOF572" s="126"/>
      <c r="MOG572" s="126"/>
      <c r="MOH572" s="126"/>
      <c r="MOI572" s="126"/>
      <c r="MOJ572" s="126"/>
      <c r="MOK572" s="126"/>
      <c r="MOL572" s="126"/>
      <c r="MOM572" s="126"/>
      <c r="MON572" s="126"/>
      <c r="MOO572" s="126"/>
      <c r="MOP572" s="126"/>
      <c r="MOQ572" s="126"/>
      <c r="MOR572" s="126"/>
      <c r="MOS572" s="126"/>
      <c r="MOT572" s="126"/>
      <c r="MOU572" s="126"/>
      <c r="MOV572" s="126"/>
      <c r="MOW572" s="126"/>
      <c r="MOX572" s="126"/>
      <c r="MOY572" s="126"/>
      <c r="MOZ572" s="126"/>
      <c r="MPA572" s="126"/>
      <c r="MPB572" s="126"/>
      <c r="MPC572" s="126"/>
      <c r="MPD572" s="126"/>
      <c r="MPE572" s="126"/>
      <c r="MPF572" s="126"/>
      <c r="MPG572" s="126"/>
      <c r="MPH572" s="126"/>
      <c r="MPI572" s="126"/>
      <c r="MPJ572" s="126"/>
      <c r="MPK572" s="126"/>
      <c r="MPL572" s="126"/>
      <c r="MPM572" s="126"/>
      <c r="MPN572" s="126"/>
      <c r="MPO572" s="126"/>
      <c r="MPP572" s="126"/>
      <c r="MPQ572" s="126"/>
      <c r="MPR572" s="126"/>
      <c r="MPS572" s="126"/>
      <c r="MPT572" s="126"/>
      <c r="MPU572" s="126"/>
      <c r="MPV572" s="126"/>
      <c r="MPW572" s="126"/>
      <c r="MPX572" s="126"/>
      <c r="MPY572" s="126"/>
      <c r="MPZ572" s="126"/>
      <c r="MQA572" s="126"/>
      <c r="MQB572" s="126"/>
      <c r="MQC572" s="126"/>
      <c r="MQD572" s="126"/>
      <c r="MQE572" s="126"/>
      <c r="MQF572" s="126"/>
      <c r="MQG572" s="126"/>
      <c r="MQH572" s="126"/>
      <c r="MQI572" s="126"/>
      <c r="MQJ572" s="126"/>
      <c r="MQK572" s="126"/>
      <c r="MQL572" s="126"/>
      <c r="MQM572" s="126"/>
      <c r="MQN572" s="126"/>
      <c r="MQO572" s="126"/>
      <c r="MQP572" s="126"/>
      <c r="MQQ572" s="126"/>
      <c r="MQR572" s="126"/>
      <c r="MQS572" s="126"/>
      <c r="MQT572" s="126"/>
      <c r="MQU572" s="126"/>
      <c r="MQV572" s="126"/>
      <c r="MQW572" s="126"/>
      <c r="MQX572" s="126"/>
      <c r="MQY572" s="126"/>
      <c r="MQZ572" s="126"/>
      <c r="MRA572" s="126"/>
      <c r="MRB572" s="126"/>
      <c r="MRC572" s="126"/>
      <c r="MRD572" s="126"/>
      <c r="MRE572" s="126"/>
      <c r="MRF572" s="126"/>
      <c r="MRG572" s="126"/>
      <c r="MRH572" s="126"/>
      <c r="MRI572" s="126"/>
      <c r="MRJ572" s="126"/>
      <c r="MRK572" s="126"/>
      <c r="MRL572" s="126"/>
      <c r="MRM572" s="126"/>
      <c r="MRN572" s="126"/>
      <c r="MRO572" s="126"/>
      <c r="MRP572" s="126"/>
      <c r="MRQ572" s="126"/>
      <c r="MRR572" s="126"/>
      <c r="MRS572" s="126"/>
      <c r="MRT572" s="126"/>
      <c r="MRU572" s="126"/>
      <c r="MRV572" s="126"/>
      <c r="MRW572" s="126"/>
      <c r="MRX572" s="126"/>
      <c r="MRY572" s="126"/>
      <c r="MRZ572" s="126"/>
      <c r="MSA572" s="126"/>
      <c r="MSB572" s="126"/>
      <c r="MSC572" s="126"/>
      <c r="MSD572" s="126"/>
      <c r="MSE572" s="126"/>
      <c r="MSF572" s="126"/>
      <c r="MSG572" s="126"/>
      <c r="MSH572" s="126"/>
      <c r="MSI572" s="126"/>
      <c r="MSJ572" s="126"/>
      <c r="MSK572" s="126"/>
      <c r="MSL572" s="126"/>
      <c r="MSM572" s="126"/>
      <c r="MSN572" s="126"/>
      <c r="MSO572" s="126"/>
      <c r="MSP572" s="126"/>
      <c r="MSQ572" s="126"/>
      <c r="MSR572" s="126"/>
      <c r="MSS572" s="126"/>
      <c r="MST572" s="126"/>
      <c r="MSU572" s="126"/>
      <c r="MSV572" s="126"/>
      <c r="MSW572" s="126"/>
      <c r="MSX572" s="126"/>
      <c r="MSY572" s="126"/>
      <c r="MSZ572" s="126"/>
      <c r="MTA572" s="126"/>
      <c r="MTB572" s="126"/>
      <c r="MTC572" s="126"/>
      <c r="MTD572" s="126"/>
      <c r="MTE572" s="126"/>
      <c r="MTF572" s="126"/>
      <c r="MTG572" s="126"/>
      <c r="MTH572" s="126"/>
      <c r="MTI572" s="126"/>
      <c r="MTJ572" s="126"/>
      <c r="MTK572" s="126"/>
      <c r="MTL572" s="126"/>
      <c r="MTM572" s="126"/>
      <c r="MTN572" s="126"/>
      <c r="MTO572" s="126"/>
      <c r="MTP572" s="126"/>
      <c r="MTQ572" s="126"/>
      <c r="MTR572" s="126"/>
      <c r="MTS572" s="126"/>
      <c r="MTT572" s="126"/>
      <c r="MTU572" s="126"/>
      <c r="MTV572" s="126"/>
      <c r="MTW572" s="126"/>
      <c r="MTX572" s="126"/>
      <c r="MTY572" s="126"/>
      <c r="MTZ572" s="126"/>
      <c r="MUA572" s="126"/>
      <c r="MUB572" s="126"/>
      <c r="MUC572" s="126"/>
      <c r="MUD572" s="126"/>
      <c r="MUE572" s="126"/>
      <c r="MUF572" s="126"/>
      <c r="MUG572" s="126"/>
      <c r="MUH572" s="126"/>
      <c r="MUI572" s="126"/>
      <c r="MUJ572" s="126"/>
      <c r="MUK572" s="126"/>
      <c r="MUL572" s="126"/>
      <c r="MUM572" s="126"/>
      <c r="MUN572" s="126"/>
      <c r="MUO572" s="126"/>
      <c r="MUP572" s="126"/>
      <c r="MUQ572" s="126"/>
      <c r="MUR572" s="126"/>
      <c r="MUS572" s="126"/>
      <c r="MUT572" s="126"/>
      <c r="MUU572" s="126"/>
      <c r="MUV572" s="126"/>
      <c r="MUW572" s="126"/>
      <c r="MUX572" s="126"/>
      <c r="MUY572" s="126"/>
      <c r="MUZ572" s="126"/>
      <c r="MVA572" s="126"/>
      <c r="MVB572" s="126"/>
      <c r="MVC572" s="126"/>
      <c r="MVD572" s="126"/>
      <c r="MVE572" s="126"/>
      <c r="MVF572" s="126"/>
      <c r="MVG572" s="126"/>
      <c r="MVH572" s="126"/>
      <c r="MVI572" s="126"/>
      <c r="MVJ572" s="126"/>
      <c r="MVK572" s="126"/>
      <c r="MVL572" s="126"/>
      <c r="MVM572" s="126"/>
      <c r="MVN572" s="126"/>
      <c r="MVO572" s="126"/>
      <c r="MVP572" s="126"/>
      <c r="MVQ572" s="126"/>
      <c r="MVR572" s="126"/>
      <c r="MVS572" s="126"/>
      <c r="MVT572" s="126"/>
      <c r="MVU572" s="126"/>
      <c r="MVV572" s="126"/>
      <c r="MVW572" s="126"/>
      <c r="MVX572" s="126"/>
      <c r="MVY572" s="126"/>
      <c r="MVZ572" s="126"/>
      <c r="MWA572" s="126"/>
      <c r="MWB572" s="126"/>
      <c r="MWC572" s="126"/>
      <c r="MWD572" s="126"/>
      <c r="MWE572" s="126"/>
      <c r="MWF572" s="126"/>
      <c r="MWG572" s="126"/>
      <c r="MWH572" s="126"/>
      <c r="MWI572" s="126"/>
      <c r="MWJ572" s="126"/>
      <c r="MWK572" s="126"/>
      <c r="MWL572" s="126"/>
      <c r="MWM572" s="126"/>
      <c r="MWN572" s="126"/>
      <c r="MWO572" s="126"/>
      <c r="MWP572" s="126"/>
      <c r="MWQ572" s="126"/>
      <c r="MWR572" s="126"/>
      <c r="MWS572" s="126"/>
      <c r="MWT572" s="126"/>
      <c r="MWU572" s="126"/>
      <c r="MWV572" s="126"/>
      <c r="MWW572" s="126"/>
      <c r="MWX572" s="126"/>
      <c r="MWY572" s="126"/>
      <c r="MWZ572" s="126"/>
      <c r="MXA572" s="126"/>
      <c r="MXB572" s="126"/>
      <c r="MXC572" s="126"/>
      <c r="MXD572" s="126"/>
      <c r="MXE572" s="126"/>
      <c r="MXF572" s="126"/>
      <c r="MXG572" s="126"/>
      <c r="MXH572" s="126"/>
      <c r="MXI572" s="126"/>
      <c r="MXJ572" s="126"/>
      <c r="MXK572" s="126"/>
      <c r="MXL572" s="126"/>
      <c r="MXM572" s="126"/>
      <c r="MXN572" s="126"/>
      <c r="MXO572" s="126"/>
      <c r="MXP572" s="126"/>
      <c r="MXQ572" s="126"/>
      <c r="MXR572" s="126"/>
      <c r="MXS572" s="126"/>
      <c r="MXT572" s="126"/>
      <c r="MXU572" s="126"/>
      <c r="MXV572" s="126"/>
      <c r="MXW572" s="126"/>
      <c r="MXX572" s="126"/>
      <c r="MXY572" s="126"/>
      <c r="MXZ572" s="126"/>
      <c r="MYA572" s="126"/>
      <c r="MYB572" s="126"/>
      <c r="MYC572" s="126"/>
      <c r="MYD572" s="126"/>
      <c r="MYE572" s="126"/>
      <c r="MYF572" s="126"/>
      <c r="MYG572" s="126"/>
      <c r="MYH572" s="126"/>
      <c r="MYI572" s="126"/>
      <c r="MYJ572" s="126"/>
      <c r="MYK572" s="126"/>
      <c r="MYL572" s="126"/>
      <c r="MYM572" s="126"/>
      <c r="MYN572" s="126"/>
      <c r="MYO572" s="126"/>
      <c r="MYP572" s="126"/>
      <c r="MYQ572" s="126"/>
      <c r="MYR572" s="126"/>
      <c r="MYS572" s="126"/>
      <c r="MYT572" s="126"/>
      <c r="MYU572" s="126"/>
      <c r="MYV572" s="126"/>
      <c r="MYW572" s="126"/>
      <c r="MYX572" s="126"/>
      <c r="MYY572" s="126"/>
      <c r="MYZ572" s="126"/>
      <c r="MZA572" s="126"/>
      <c r="MZB572" s="126"/>
      <c r="MZC572" s="126"/>
      <c r="MZD572" s="126"/>
      <c r="MZE572" s="126"/>
      <c r="MZF572" s="126"/>
      <c r="MZG572" s="126"/>
      <c r="MZH572" s="126"/>
      <c r="MZI572" s="126"/>
      <c r="MZJ572" s="126"/>
      <c r="MZK572" s="126"/>
      <c r="MZL572" s="126"/>
      <c r="MZM572" s="126"/>
      <c r="MZN572" s="126"/>
      <c r="MZO572" s="126"/>
      <c r="MZP572" s="126"/>
      <c r="MZQ572" s="126"/>
      <c r="MZR572" s="126"/>
      <c r="MZS572" s="126"/>
      <c r="MZT572" s="126"/>
      <c r="MZU572" s="126"/>
      <c r="MZV572" s="126"/>
      <c r="MZW572" s="126"/>
      <c r="MZX572" s="126"/>
      <c r="MZY572" s="126"/>
      <c r="MZZ572" s="126"/>
      <c r="NAA572" s="126"/>
      <c r="NAB572" s="126"/>
      <c r="NAC572" s="126"/>
      <c r="NAD572" s="126"/>
      <c r="NAE572" s="126"/>
      <c r="NAF572" s="126"/>
      <c r="NAG572" s="126"/>
      <c r="NAH572" s="126"/>
      <c r="NAI572" s="126"/>
      <c r="NAJ572" s="126"/>
      <c r="NAK572" s="126"/>
      <c r="NAL572" s="126"/>
      <c r="NAM572" s="126"/>
      <c r="NAN572" s="126"/>
      <c r="NAO572" s="126"/>
      <c r="NAP572" s="126"/>
      <c r="NAQ572" s="126"/>
      <c r="NAR572" s="126"/>
      <c r="NAS572" s="126"/>
      <c r="NAT572" s="126"/>
      <c r="NAU572" s="126"/>
      <c r="NAV572" s="126"/>
      <c r="NAW572" s="126"/>
      <c r="NAX572" s="126"/>
      <c r="NAY572" s="126"/>
      <c r="NAZ572" s="126"/>
      <c r="NBA572" s="126"/>
      <c r="NBB572" s="126"/>
      <c r="NBC572" s="126"/>
      <c r="NBD572" s="126"/>
      <c r="NBE572" s="126"/>
      <c r="NBF572" s="126"/>
      <c r="NBG572" s="126"/>
      <c r="NBH572" s="126"/>
      <c r="NBI572" s="126"/>
      <c r="NBJ572" s="126"/>
      <c r="NBK572" s="126"/>
      <c r="NBL572" s="126"/>
      <c r="NBM572" s="126"/>
      <c r="NBN572" s="126"/>
      <c r="NBO572" s="126"/>
      <c r="NBP572" s="126"/>
      <c r="NBQ572" s="126"/>
      <c r="NBR572" s="126"/>
      <c r="NBS572" s="126"/>
      <c r="NBT572" s="126"/>
      <c r="NBU572" s="126"/>
      <c r="NBV572" s="126"/>
      <c r="NBW572" s="126"/>
      <c r="NBX572" s="126"/>
      <c r="NBY572" s="126"/>
      <c r="NBZ572" s="126"/>
      <c r="NCA572" s="126"/>
      <c r="NCB572" s="126"/>
      <c r="NCC572" s="126"/>
      <c r="NCD572" s="126"/>
      <c r="NCE572" s="126"/>
      <c r="NCF572" s="126"/>
      <c r="NCG572" s="126"/>
      <c r="NCH572" s="126"/>
      <c r="NCI572" s="126"/>
      <c r="NCJ572" s="126"/>
      <c r="NCK572" s="126"/>
      <c r="NCL572" s="126"/>
      <c r="NCM572" s="126"/>
      <c r="NCN572" s="126"/>
      <c r="NCO572" s="126"/>
      <c r="NCP572" s="126"/>
      <c r="NCQ572" s="126"/>
      <c r="NCR572" s="126"/>
      <c r="NCS572" s="126"/>
      <c r="NCT572" s="126"/>
      <c r="NCU572" s="126"/>
      <c r="NCV572" s="126"/>
      <c r="NCW572" s="126"/>
      <c r="NCX572" s="126"/>
      <c r="NCY572" s="126"/>
      <c r="NCZ572" s="126"/>
      <c r="NDA572" s="126"/>
      <c r="NDB572" s="126"/>
      <c r="NDC572" s="126"/>
      <c r="NDD572" s="126"/>
      <c r="NDE572" s="126"/>
      <c r="NDF572" s="126"/>
      <c r="NDG572" s="126"/>
      <c r="NDH572" s="126"/>
      <c r="NDI572" s="126"/>
      <c r="NDJ572" s="126"/>
      <c r="NDK572" s="126"/>
      <c r="NDL572" s="126"/>
      <c r="NDM572" s="126"/>
      <c r="NDN572" s="126"/>
      <c r="NDO572" s="126"/>
      <c r="NDP572" s="126"/>
      <c r="NDQ572" s="126"/>
      <c r="NDR572" s="126"/>
      <c r="NDS572" s="126"/>
      <c r="NDT572" s="126"/>
      <c r="NDU572" s="126"/>
      <c r="NDV572" s="126"/>
      <c r="NDW572" s="126"/>
      <c r="NDX572" s="126"/>
      <c r="NDY572" s="126"/>
      <c r="NDZ572" s="126"/>
      <c r="NEA572" s="126"/>
      <c r="NEB572" s="126"/>
      <c r="NEC572" s="126"/>
      <c r="NED572" s="126"/>
      <c r="NEE572" s="126"/>
      <c r="NEF572" s="126"/>
      <c r="NEG572" s="126"/>
      <c r="NEH572" s="126"/>
      <c r="NEI572" s="126"/>
      <c r="NEJ572" s="126"/>
      <c r="NEK572" s="126"/>
      <c r="NEL572" s="126"/>
      <c r="NEM572" s="126"/>
      <c r="NEN572" s="126"/>
      <c r="NEO572" s="126"/>
      <c r="NEP572" s="126"/>
      <c r="NEQ572" s="126"/>
      <c r="NER572" s="126"/>
      <c r="NES572" s="126"/>
      <c r="NET572" s="126"/>
      <c r="NEU572" s="126"/>
      <c r="NEV572" s="126"/>
      <c r="NEW572" s="126"/>
      <c r="NEX572" s="126"/>
      <c r="NEY572" s="126"/>
      <c r="NEZ572" s="126"/>
      <c r="NFA572" s="126"/>
      <c r="NFB572" s="126"/>
      <c r="NFC572" s="126"/>
      <c r="NFD572" s="126"/>
      <c r="NFE572" s="126"/>
      <c r="NFF572" s="126"/>
      <c r="NFG572" s="126"/>
      <c r="NFH572" s="126"/>
      <c r="NFI572" s="126"/>
      <c r="NFJ572" s="126"/>
      <c r="NFK572" s="126"/>
      <c r="NFL572" s="126"/>
      <c r="NFM572" s="126"/>
      <c r="NFN572" s="126"/>
      <c r="NFO572" s="126"/>
      <c r="NFP572" s="126"/>
      <c r="NFQ572" s="126"/>
      <c r="NFR572" s="126"/>
      <c r="NFS572" s="126"/>
      <c r="NFT572" s="126"/>
      <c r="NFU572" s="126"/>
      <c r="NFV572" s="126"/>
      <c r="NFW572" s="126"/>
      <c r="NFX572" s="126"/>
      <c r="NFY572" s="126"/>
      <c r="NFZ572" s="126"/>
      <c r="NGA572" s="126"/>
      <c r="NGB572" s="126"/>
      <c r="NGC572" s="126"/>
      <c r="NGD572" s="126"/>
      <c r="NGE572" s="126"/>
      <c r="NGF572" s="126"/>
      <c r="NGG572" s="126"/>
      <c r="NGH572" s="126"/>
      <c r="NGI572" s="126"/>
      <c r="NGJ572" s="126"/>
      <c r="NGK572" s="126"/>
      <c r="NGL572" s="126"/>
      <c r="NGM572" s="126"/>
      <c r="NGN572" s="126"/>
      <c r="NGO572" s="126"/>
      <c r="NGP572" s="126"/>
      <c r="NGQ572" s="126"/>
      <c r="NGR572" s="126"/>
      <c r="NGS572" s="126"/>
      <c r="NGT572" s="126"/>
      <c r="NGU572" s="126"/>
      <c r="NGV572" s="126"/>
      <c r="NGW572" s="126"/>
      <c r="NGX572" s="126"/>
      <c r="NGY572" s="126"/>
      <c r="NGZ572" s="126"/>
      <c r="NHA572" s="126"/>
      <c r="NHB572" s="126"/>
      <c r="NHC572" s="126"/>
      <c r="NHD572" s="126"/>
      <c r="NHE572" s="126"/>
      <c r="NHF572" s="126"/>
      <c r="NHG572" s="126"/>
      <c r="NHH572" s="126"/>
      <c r="NHI572" s="126"/>
      <c r="NHJ572" s="126"/>
      <c r="NHK572" s="126"/>
      <c r="NHL572" s="126"/>
      <c r="NHM572" s="126"/>
      <c r="NHN572" s="126"/>
      <c r="NHO572" s="126"/>
      <c r="NHP572" s="126"/>
      <c r="NHQ572" s="126"/>
      <c r="NHR572" s="126"/>
      <c r="NHS572" s="126"/>
      <c r="NHT572" s="126"/>
      <c r="NHU572" s="126"/>
      <c r="NHV572" s="126"/>
      <c r="NHW572" s="126"/>
      <c r="NHX572" s="126"/>
      <c r="NHY572" s="126"/>
      <c r="NHZ572" s="126"/>
      <c r="NIA572" s="126"/>
      <c r="NIB572" s="126"/>
      <c r="NIC572" s="126"/>
      <c r="NID572" s="126"/>
      <c r="NIE572" s="126"/>
      <c r="NIF572" s="126"/>
      <c r="NIG572" s="126"/>
      <c r="NIH572" s="126"/>
      <c r="NII572" s="126"/>
      <c r="NIJ572" s="126"/>
      <c r="NIK572" s="126"/>
      <c r="NIL572" s="126"/>
      <c r="NIM572" s="126"/>
      <c r="NIN572" s="126"/>
      <c r="NIO572" s="126"/>
      <c r="NIP572" s="126"/>
      <c r="NIQ572" s="126"/>
      <c r="NIR572" s="126"/>
      <c r="NIS572" s="126"/>
      <c r="NIT572" s="126"/>
      <c r="NIU572" s="126"/>
      <c r="NIV572" s="126"/>
      <c r="NIW572" s="126"/>
      <c r="NIX572" s="126"/>
      <c r="NIY572" s="126"/>
      <c r="NIZ572" s="126"/>
      <c r="NJA572" s="126"/>
      <c r="NJB572" s="126"/>
      <c r="NJC572" s="126"/>
      <c r="NJD572" s="126"/>
      <c r="NJE572" s="126"/>
      <c r="NJF572" s="126"/>
      <c r="NJG572" s="126"/>
      <c r="NJH572" s="126"/>
      <c r="NJI572" s="126"/>
      <c r="NJJ572" s="126"/>
      <c r="NJK572" s="126"/>
      <c r="NJL572" s="126"/>
      <c r="NJM572" s="126"/>
      <c r="NJN572" s="126"/>
      <c r="NJO572" s="126"/>
      <c r="NJP572" s="126"/>
      <c r="NJQ572" s="126"/>
      <c r="NJR572" s="126"/>
      <c r="NJS572" s="126"/>
      <c r="NJT572" s="126"/>
      <c r="NJU572" s="126"/>
      <c r="NJV572" s="126"/>
      <c r="NJW572" s="126"/>
      <c r="NJX572" s="126"/>
      <c r="NJY572" s="126"/>
      <c r="NJZ572" s="126"/>
      <c r="NKA572" s="126"/>
      <c r="NKB572" s="126"/>
      <c r="NKC572" s="126"/>
      <c r="NKD572" s="126"/>
      <c r="NKE572" s="126"/>
      <c r="NKF572" s="126"/>
      <c r="NKG572" s="126"/>
      <c r="NKH572" s="126"/>
      <c r="NKI572" s="126"/>
      <c r="NKJ572" s="126"/>
      <c r="NKK572" s="126"/>
      <c r="NKL572" s="126"/>
      <c r="NKM572" s="126"/>
      <c r="NKN572" s="126"/>
      <c r="NKO572" s="126"/>
      <c r="NKP572" s="126"/>
      <c r="NKQ572" s="126"/>
      <c r="NKR572" s="126"/>
      <c r="NKS572" s="126"/>
      <c r="NKT572" s="126"/>
      <c r="NKU572" s="126"/>
      <c r="NKV572" s="126"/>
      <c r="NKW572" s="126"/>
      <c r="NKX572" s="126"/>
      <c r="NKY572" s="126"/>
      <c r="NKZ572" s="126"/>
      <c r="NLA572" s="126"/>
      <c r="NLB572" s="126"/>
      <c r="NLC572" s="126"/>
      <c r="NLD572" s="126"/>
      <c r="NLE572" s="126"/>
      <c r="NLF572" s="126"/>
      <c r="NLG572" s="126"/>
      <c r="NLH572" s="126"/>
      <c r="NLI572" s="126"/>
      <c r="NLJ572" s="126"/>
      <c r="NLK572" s="126"/>
      <c r="NLL572" s="126"/>
      <c r="NLM572" s="126"/>
      <c r="NLN572" s="126"/>
      <c r="NLO572" s="126"/>
      <c r="NLP572" s="126"/>
      <c r="NLQ572" s="126"/>
      <c r="NLR572" s="126"/>
      <c r="NLS572" s="126"/>
      <c r="NLT572" s="126"/>
      <c r="NLU572" s="126"/>
      <c r="NLV572" s="126"/>
      <c r="NLW572" s="126"/>
      <c r="NLX572" s="126"/>
      <c r="NLY572" s="126"/>
      <c r="NLZ572" s="126"/>
      <c r="NMA572" s="126"/>
      <c r="NMB572" s="126"/>
      <c r="NMC572" s="126"/>
      <c r="NMD572" s="126"/>
      <c r="NME572" s="126"/>
      <c r="NMF572" s="126"/>
      <c r="NMG572" s="126"/>
      <c r="NMH572" s="126"/>
      <c r="NMI572" s="126"/>
      <c r="NMJ572" s="126"/>
      <c r="NMK572" s="126"/>
      <c r="NML572" s="126"/>
      <c r="NMM572" s="126"/>
      <c r="NMN572" s="126"/>
      <c r="NMO572" s="126"/>
      <c r="NMP572" s="126"/>
      <c r="NMQ572" s="126"/>
      <c r="NMR572" s="126"/>
      <c r="NMS572" s="126"/>
      <c r="NMT572" s="126"/>
      <c r="NMU572" s="126"/>
      <c r="NMV572" s="126"/>
      <c r="NMW572" s="126"/>
      <c r="NMX572" s="126"/>
      <c r="NMY572" s="126"/>
      <c r="NMZ572" s="126"/>
      <c r="NNA572" s="126"/>
      <c r="NNB572" s="126"/>
      <c r="NNC572" s="126"/>
      <c r="NND572" s="126"/>
      <c r="NNE572" s="126"/>
      <c r="NNF572" s="126"/>
      <c r="NNG572" s="126"/>
      <c r="NNH572" s="126"/>
      <c r="NNI572" s="126"/>
      <c r="NNJ572" s="126"/>
      <c r="NNK572" s="126"/>
      <c r="NNL572" s="126"/>
      <c r="NNM572" s="126"/>
      <c r="NNN572" s="126"/>
      <c r="NNO572" s="126"/>
      <c r="NNP572" s="126"/>
      <c r="NNQ572" s="126"/>
      <c r="NNR572" s="126"/>
      <c r="NNS572" s="126"/>
      <c r="NNT572" s="126"/>
      <c r="NNU572" s="126"/>
      <c r="NNV572" s="126"/>
      <c r="NNW572" s="126"/>
      <c r="NNX572" s="126"/>
      <c r="NNY572" s="126"/>
      <c r="NNZ572" s="126"/>
      <c r="NOA572" s="126"/>
      <c r="NOB572" s="126"/>
      <c r="NOC572" s="126"/>
      <c r="NOD572" s="126"/>
      <c r="NOE572" s="126"/>
      <c r="NOF572" s="126"/>
      <c r="NOG572" s="126"/>
      <c r="NOH572" s="126"/>
      <c r="NOI572" s="126"/>
      <c r="NOJ572" s="126"/>
      <c r="NOK572" s="126"/>
      <c r="NOL572" s="126"/>
      <c r="NOM572" s="126"/>
      <c r="NON572" s="126"/>
      <c r="NOO572" s="126"/>
      <c r="NOP572" s="126"/>
      <c r="NOQ572" s="126"/>
      <c r="NOR572" s="126"/>
      <c r="NOS572" s="126"/>
      <c r="NOT572" s="126"/>
      <c r="NOU572" s="126"/>
      <c r="NOV572" s="126"/>
      <c r="NOW572" s="126"/>
      <c r="NOX572" s="126"/>
      <c r="NOY572" s="126"/>
      <c r="NOZ572" s="126"/>
      <c r="NPA572" s="126"/>
      <c r="NPB572" s="126"/>
      <c r="NPC572" s="126"/>
      <c r="NPD572" s="126"/>
      <c r="NPE572" s="126"/>
      <c r="NPF572" s="126"/>
      <c r="NPG572" s="126"/>
      <c r="NPH572" s="126"/>
      <c r="NPI572" s="126"/>
      <c r="NPJ572" s="126"/>
      <c r="NPK572" s="126"/>
      <c r="NPL572" s="126"/>
      <c r="NPM572" s="126"/>
      <c r="NPN572" s="126"/>
      <c r="NPO572" s="126"/>
      <c r="NPP572" s="126"/>
      <c r="NPQ572" s="126"/>
      <c r="NPR572" s="126"/>
      <c r="NPS572" s="126"/>
      <c r="NPT572" s="126"/>
      <c r="NPU572" s="126"/>
      <c r="NPV572" s="126"/>
      <c r="NPW572" s="126"/>
      <c r="NPX572" s="126"/>
      <c r="NPY572" s="126"/>
      <c r="NPZ572" s="126"/>
      <c r="NQA572" s="126"/>
      <c r="NQB572" s="126"/>
      <c r="NQC572" s="126"/>
      <c r="NQD572" s="126"/>
      <c r="NQE572" s="126"/>
      <c r="NQF572" s="126"/>
      <c r="NQG572" s="126"/>
      <c r="NQH572" s="126"/>
      <c r="NQI572" s="126"/>
      <c r="NQJ572" s="126"/>
      <c r="NQK572" s="126"/>
      <c r="NQL572" s="126"/>
      <c r="NQM572" s="126"/>
      <c r="NQN572" s="126"/>
      <c r="NQO572" s="126"/>
      <c r="NQP572" s="126"/>
      <c r="NQQ572" s="126"/>
      <c r="NQR572" s="126"/>
      <c r="NQS572" s="126"/>
      <c r="NQT572" s="126"/>
      <c r="NQU572" s="126"/>
      <c r="NQV572" s="126"/>
      <c r="NQW572" s="126"/>
      <c r="NQX572" s="126"/>
      <c r="NQY572" s="126"/>
      <c r="NQZ572" s="126"/>
      <c r="NRA572" s="126"/>
      <c r="NRB572" s="126"/>
      <c r="NRC572" s="126"/>
      <c r="NRD572" s="126"/>
      <c r="NRE572" s="126"/>
      <c r="NRF572" s="126"/>
      <c r="NRG572" s="126"/>
      <c r="NRH572" s="126"/>
      <c r="NRI572" s="126"/>
      <c r="NRJ572" s="126"/>
      <c r="NRK572" s="126"/>
      <c r="NRL572" s="126"/>
      <c r="NRM572" s="126"/>
      <c r="NRN572" s="126"/>
      <c r="NRO572" s="126"/>
      <c r="NRP572" s="126"/>
      <c r="NRQ572" s="126"/>
      <c r="NRR572" s="126"/>
      <c r="NRS572" s="126"/>
      <c r="NRT572" s="126"/>
      <c r="NRU572" s="126"/>
      <c r="NRV572" s="126"/>
      <c r="NRW572" s="126"/>
      <c r="NRX572" s="126"/>
      <c r="NRY572" s="126"/>
      <c r="NRZ572" s="126"/>
      <c r="NSA572" s="126"/>
      <c r="NSB572" s="126"/>
      <c r="NSC572" s="126"/>
      <c r="NSD572" s="126"/>
      <c r="NSE572" s="126"/>
      <c r="NSF572" s="126"/>
      <c r="NSG572" s="126"/>
      <c r="NSH572" s="126"/>
      <c r="NSI572" s="126"/>
      <c r="NSJ572" s="126"/>
      <c r="NSK572" s="126"/>
      <c r="NSL572" s="126"/>
      <c r="NSM572" s="126"/>
      <c r="NSN572" s="126"/>
      <c r="NSO572" s="126"/>
      <c r="NSP572" s="126"/>
      <c r="NSQ572" s="126"/>
      <c r="NSR572" s="126"/>
      <c r="NSS572" s="126"/>
      <c r="NST572" s="126"/>
      <c r="NSU572" s="126"/>
      <c r="NSV572" s="126"/>
      <c r="NSW572" s="126"/>
      <c r="NSX572" s="126"/>
      <c r="NSY572" s="126"/>
      <c r="NSZ572" s="126"/>
      <c r="NTA572" s="126"/>
      <c r="NTB572" s="126"/>
      <c r="NTC572" s="126"/>
      <c r="NTD572" s="126"/>
      <c r="NTE572" s="126"/>
      <c r="NTF572" s="126"/>
      <c r="NTG572" s="126"/>
      <c r="NTH572" s="126"/>
      <c r="NTI572" s="126"/>
      <c r="NTJ572" s="126"/>
      <c r="NTK572" s="126"/>
      <c r="NTL572" s="126"/>
      <c r="NTM572" s="126"/>
      <c r="NTN572" s="126"/>
      <c r="NTO572" s="126"/>
      <c r="NTP572" s="126"/>
      <c r="NTQ572" s="126"/>
      <c r="NTR572" s="126"/>
      <c r="NTS572" s="126"/>
      <c r="NTT572" s="126"/>
      <c r="NTU572" s="126"/>
      <c r="NTV572" s="126"/>
      <c r="NTW572" s="126"/>
      <c r="NTX572" s="126"/>
      <c r="NTY572" s="126"/>
      <c r="NTZ572" s="126"/>
      <c r="NUA572" s="126"/>
      <c r="NUB572" s="126"/>
      <c r="NUC572" s="126"/>
      <c r="NUD572" s="126"/>
      <c r="NUE572" s="126"/>
      <c r="NUF572" s="126"/>
      <c r="NUG572" s="126"/>
      <c r="NUH572" s="126"/>
      <c r="NUI572" s="126"/>
      <c r="NUJ572" s="126"/>
      <c r="NUK572" s="126"/>
      <c r="NUL572" s="126"/>
      <c r="NUM572" s="126"/>
      <c r="NUN572" s="126"/>
      <c r="NUO572" s="126"/>
      <c r="NUP572" s="126"/>
      <c r="NUQ572" s="126"/>
      <c r="NUR572" s="126"/>
      <c r="NUS572" s="126"/>
      <c r="NUT572" s="126"/>
      <c r="NUU572" s="126"/>
      <c r="NUV572" s="126"/>
      <c r="NUW572" s="126"/>
      <c r="NUX572" s="126"/>
      <c r="NUY572" s="126"/>
      <c r="NUZ572" s="126"/>
      <c r="NVA572" s="126"/>
      <c r="NVB572" s="126"/>
      <c r="NVC572" s="126"/>
      <c r="NVD572" s="126"/>
      <c r="NVE572" s="126"/>
      <c r="NVF572" s="126"/>
      <c r="NVG572" s="126"/>
      <c r="NVH572" s="126"/>
      <c r="NVI572" s="126"/>
      <c r="NVJ572" s="126"/>
      <c r="NVK572" s="126"/>
      <c r="NVL572" s="126"/>
      <c r="NVM572" s="126"/>
      <c r="NVN572" s="126"/>
      <c r="NVO572" s="126"/>
      <c r="NVP572" s="126"/>
      <c r="NVQ572" s="126"/>
      <c r="NVR572" s="126"/>
      <c r="NVS572" s="126"/>
      <c r="NVT572" s="126"/>
      <c r="NVU572" s="126"/>
      <c r="NVV572" s="126"/>
      <c r="NVW572" s="126"/>
      <c r="NVX572" s="126"/>
      <c r="NVY572" s="126"/>
      <c r="NVZ572" s="126"/>
      <c r="NWA572" s="126"/>
      <c r="NWB572" s="126"/>
      <c r="NWC572" s="126"/>
      <c r="NWD572" s="126"/>
      <c r="NWE572" s="126"/>
      <c r="NWF572" s="126"/>
      <c r="NWG572" s="126"/>
      <c r="NWH572" s="126"/>
      <c r="NWI572" s="126"/>
      <c r="NWJ572" s="126"/>
      <c r="NWK572" s="126"/>
      <c r="NWL572" s="126"/>
      <c r="NWM572" s="126"/>
      <c r="NWN572" s="126"/>
      <c r="NWO572" s="126"/>
      <c r="NWP572" s="126"/>
      <c r="NWQ572" s="126"/>
      <c r="NWR572" s="126"/>
      <c r="NWS572" s="126"/>
      <c r="NWT572" s="126"/>
      <c r="NWU572" s="126"/>
      <c r="NWV572" s="126"/>
      <c r="NWW572" s="126"/>
      <c r="NWX572" s="126"/>
      <c r="NWY572" s="126"/>
      <c r="NWZ572" s="126"/>
      <c r="NXA572" s="126"/>
      <c r="NXB572" s="126"/>
      <c r="NXC572" s="126"/>
      <c r="NXD572" s="126"/>
      <c r="NXE572" s="126"/>
      <c r="NXF572" s="126"/>
      <c r="NXG572" s="126"/>
      <c r="NXH572" s="126"/>
      <c r="NXI572" s="126"/>
      <c r="NXJ572" s="126"/>
      <c r="NXK572" s="126"/>
      <c r="NXL572" s="126"/>
      <c r="NXM572" s="126"/>
      <c r="NXN572" s="126"/>
      <c r="NXO572" s="126"/>
      <c r="NXP572" s="126"/>
      <c r="NXQ572" s="126"/>
      <c r="NXR572" s="126"/>
      <c r="NXS572" s="126"/>
      <c r="NXT572" s="126"/>
      <c r="NXU572" s="126"/>
      <c r="NXV572" s="126"/>
      <c r="NXW572" s="126"/>
      <c r="NXX572" s="126"/>
      <c r="NXY572" s="126"/>
      <c r="NXZ572" s="126"/>
      <c r="NYA572" s="126"/>
      <c r="NYB572" s="126"/>
      <c r="NYC572" s="126"/>
      <c r="NYD572" s="126"/>
      <c r="NYE572" s="126"/>
      <c r="NYF572" s="126"/>
      <c r="NYG572" s="126"/>
      <c r="NYH572" s="126"/>
      <c r="NYI572" s="126"/>
      <c r="NYJ572" s="126"/>
      <c r="NYK572" s="126"/>
      <c r="NYL572" s="126"/>
      <c r="NYM572" s="126"/>
      <c r="NYN572" s="126"/>
      <c r="NYO572" s="126"/>
      <c r="NYP572" s="126"/>
      <c r="NYQ572" s="126"/>
      <c r="NYR572" s="126"/>
      <c r="NYS572" s="126"/>
      <c r="NYT572" s="126"/>
      <c r="NYU572" s="126"/>
      <c r="NYV572" s="126"/>
      <c r="NYW572" s="126"/>
      <c r="NYX572" s="126"/>
      <c r="NYY572" s="126"/>
      <c r="NYZ572" s="126"/>
      <c r="NZA572" s="126"/>
      <c r="NZB572" s="126"/>
      <c r="NZC572" s="126"/>
      <c r="NZD572" s="126"/>
      <c r="NZE572" s="126"/>
      <c r="NZF572" s="126"/>
      <c r="NZG572" s="126"/>
      <c r="NZH572" s="126"/>
      <c r="NZI572" s="126"/>
      <c r="NZJ572" s="126"/>
      <c r="NZK572" s="126"/>
      <c r="NZL572" s="126"/>
      <c r="NZM572" s="126"/>
      <c r="NZN572" s="126"/>
      <c r="NZO572" s="126"/>
      <c r="NZP572" s="126"/>
      <c r="NZQ572" s="126"/>
      <c r="NZR572" s="126"/>
      <c r="NZS572" s="126"/>
      <c r="NZT572" s="126"/>
      <c r="NZU572" s="126"/>
      <c r="NZV572" s="126"/>
      <c r="NZW572" s="126"/>
      <c r="NZX572" s="126"/>
      <c r="NZY572" s="126"/>
      <c r="NZZ572" s="126"/>
      <c r="OAA572" s="126"/>
      <c r="OAB572" s="126"/>
      <c r="OAC572" s="126"/>
      <c r="OAD572" s="126"/>
      <c r="OAE572" s="126"/>
      <c r="OAF572" s="126"/>
      <c r="OAG572" s="126"/>
      <c r="OAH572" s="126"/>
      <c r="OAI572" s="126"/>
      <c r="OAJ572" s="126"/>
      <c r="OAK572" s="126"/>
      <c r="OAL572" s="126"/>
      <c r="OAM572" s="126"/>
      <c r="OAN572" s="126"/>
      <c r="OAO572" s="126"/>
      <c r="OAP572" s="126"/>
      <c r="OAQ572" s="126"/>
      <c r="OAR572" s="126"/>
      <c r="OAS572" s="126"/>
      <c r="OAT572" s="126"/>
      <c r="OAU572" s="126"/>
      <c r="OAV572" s="126"/>
      <c r="OAW572" s="126"/>
      <c r="OAX572" s="126"/>
      <c r="OAY572" s="126"/>
      <c r="OAZ572" s="126"/>
      <c r="OBA572" s="126"/>
      <c r="OBB572" s="126"/>
      <c r="OBC572" s="126"/>
      <c r="OBD572" s="126"/>
      <c r="OBE572" s="126"/>
      <c r="OBF572" s="126"/>
      <c r="OBG572" s="126"/>
      <c r="OBH572" s="126"/>
      <c r="OBI572" s="126"/>
      <c r="OBJ572" s="126"/>
      <c r="OBK572" s="126"/>
      <c r="OBL572" s="126"/>
      <c r="OBM572" s="126"/>
      <c r="OBN572" s="126"/>
      <c r="OBO572" s="126"/>
      <c r="OBP572" s="126"/>
      <c r="OBQ572" s="126"/>
      <c r="OBR572" s="126"/>
      <c r="OBS572" s="126"/>
      <c r="OBT572" s="126"/>
      <c r="OBU572" s="126"/>
      <c r="OBV572" s="126"/>
      <c r="OBW572" s="126"/>
      <c r="OBX572" s="126"/>
      <c r="OBY572" s="126"/>
      <c r="OBZ572" s="126"/>
      <c r="OCA572" s="126"/>
      <c r="OCB572" s="126"/>
      <c r="OCC572" s="126"/>
      <c r="OCD572" s="126"/>
      <c r="OCE572" s="126"/>
      <c r="OCF572" s="126"/>
      <c r="OCG572" s="126"/>
      <c r="OCH572" s="126"/>
      <c r="OCI572" s="126"/>
      <c r="OCJ572" s="126"/>
      <c r="OCK572" s="126"/>
      <c r="OCL572" s="126"/>
      <c r="OCM572" s="126"/>
      <c r="OCN572" s="126"/>
      <c r="OCO572" s="126"/>
      <c r="OCP572" s="126"/>
      <c r="OCQ572" s="126"/>
      <c r="OCR572" s="126"/>
      <c r="OCS572" s="126"/>
      <c r="OCT572" s="126"/>
      <c r="OCU572" s="126"/>
      <c r="OCV572" s="126"/>
      <c r="OCW572" s="126"/>
      <c r="OCX572" s="126"/>
      <c r="OCY572" s="126"/>
      <c r="OCZ572" s="126"/>
      <c r="ODA572" s="126"/>
      <c r="ODB572" s="126"/>
      <c r="ODC572" s="126"/>
      <c r="ODD572" s="126"/>
      <c r="ODE572" s="126"/>
      <c r="ODF572" s="126"/>
      <c r="ODG572" s="126"/>
      <c r="ODH572" s="126"/>
      <c r="ODI572" s="126"/>
      <c r="ODJ572" s="126"/>
      <c r="ODK572" s="126"/>
      <c r="ODL572" s="126"/>
      <c r="ODM572" s="126"/>
      <c r="ODN572" s="126"/>
      <c r="ODO572" s="126"/>
      <c r="ODP572" s="126"/>
      <c r="ODQ572" s="126"/>
      <c r="ODR572" s="126"/>
      <c r="ODS572" s="126"/>
      <c r="ODT572" s="126"/>
      <c r="ODU572" s="126"/>
      <c r="ODV572" s="126"/>
      <c r="ODW572" s="126"/>
      <c r="ODX572" s="126"/>
      <c r="ODY572" s="126"/>
      <c r="ODZ572" s="126"/>
      <c r="OEA572" s="126"/>
      <c r="OEB572" s="126"/>
      <c r="OEC572" s="126"/>
      <c r="OED572" s="126"/>
      <c r="OEE572" s="126"/>
      <c r="OEF572" s="126"/>
      <c r="OEG572" s="126"/>
      <c r="OEH572" s="126"/>
      <c r="OEI572" s="126"/>
      <c r="OEJ572" s="126"/>
      <c r="OEK572" s="126"/>
      <c r="OEL572" s="126"/>
      <c r="OEM572" s="126"/>
      <c r="OEN572" s="126"/>
      <c r="OEO572" s="126"/>
      <c r="OEP572" s="126"/>
      <c r="OEQ572" s="126"/>
      <c r="OER572" s="126"/>
      <c r="OES572" s="126"/>
      <c r="OET572" s="126"/>
      <c r="OEU572" s="126"/>
      <c r="OEV572" s="126"/>
      <c r="OEW572" s="126"/>
      <c r="OEX572" s="126"/>
      <c r="OEY572" s="126"/>
      <c r="OEZ572" s="126"/>
      <c r="OFA572" s="126"/>
      <c r="OFB572" s="126"/>
      <c r="OFC572" s="126"/>
      <c r="OFD572" s="126"/>
      <c r="OFE572" s="126"/>
      <c r="OFF572" s="126"/>
      <c r="OFG572" s="126"/>
      <c r="OFH572" s="126"/>
      <c r="OFI572" s="126"/>
      <c r="OFJ572" s="126"/>
      <c r="OFK572" s="126"/>
      <c r="OFL572" s="126"/>
      <c r="OFM572" s="126"/>
      <c r="OFN572" s="126"/>
      <c r="OFO572" s="126"/>
      <c r="OFP572" s="126"/>
      <c r="OFQ572" s="126"/>
      <c r="OFR572" s="126"/>
      <c r="OFS572" s="126"/>
      <c r="OFT572" s="126"/>
      <c r="OFU572" s="126"/>
      <c r="OFV572" s="126"/>
      <c r="OFW572" s="126"/>
      <c r="OFX572" s="126"/>
      <c r="OFY572" s="126"/>
      <c r="OFZ572" s="126"/>
      <c r="OGA572" s="126"/>
      <c r="OGB572" s="126"/>
      <c r="OGC572" s="126"/>
      <c r="OGD572" s="126"/>
      <c r="OGE572" s="126"/>
      <c r="OGF572" s="126"/>
      <c r="OGG572" s="126"/>
      <c r="OGH572" s="126"/>
      <c r="OGI572" s="126"/>
      <c r="OGJ572" s="126"/>
      <c r="OGK572" s="126"/>
      <c r="OGL572" s="126"/>
      <c r="OGM572" s="126"/>
      <c r="OGN572" s="126"/>
      <c r="OGO572" s="126"/>
      <c r="OGP572" s="126"/>
      <c r="OGQ572" s="126"/>
      <c r="OGR572" s="126"/>
      <c r="OGS572" s="126"/>
      <c r="OGT572" s="126"/>
      <c r="OGU572" s="126"/>
      <c r="OGV572" s="126"/>
      <c r="OGW572" s="126"/>
      <c r="OGX572" s="126"/>
      <c r="OGY572" s="126"/>
      <c r="OGZ572" s="126"/>
      <c r="OHA572" s="126"/>
      <c r="OHB572" s="126"/>
      <c r="OHC572" s="126"/>
      <c r="OHD572" s="126"/>
      <c r="OHE572" s="126"/>
      <c r="OHF572" s="126"/>
      <c r="OHG572" s="126"/>
      <c r="OHH572" s="126"/>
      <c r="OHI572" s="126"/>
      <c r="OHJ572" s="126"/>
      <c r="OHK572" s="126"/>
      <c r="OHL572" s="126"/>
      <c r="OHM572" s="126"/>
      <c r="OHN572" s="126"/>
      <c r="OHO572" s="126"/>
      <c r="OHP572" s="126"/>
      <c r="OHQ572" s="126"/>
      <c r="OHR572" s="126"/>
      <c r="OHS572" s="126"/>
      <c r="OHT572" s="126"/>
      <c r="OHU572" s="126"/>
      <c r="OHV572" s="126"/>
      <c r="OHW572" s="126"/>
      <c r="OHX572" s="126"/>
      <c r="OHY572" s="126"/>
      <c r="OHZ572" s="126"/>
      <c r="OIA572" s="126"/>
      <c r="OIB572" s="126"/>
      <c r="OIC572" s="126"/>
      <c r="OID572" s="126"/>
      <c r="OIE572" s="126"/>
      <c r="OIF572" s="126"/>
      <c r="OIG572" s="126"/>
      <c r="OIH572" s="126"/>
      <c r="OII572" s="126"/>
      <c r="OIJ572" s="126"/>
      <c r="OIK572" s="126"/>
      <c r="OIL572" s="126"/>
      <c r="OIM572" s="126"/>
      <c r="OIN572" s="126"/>
      <c r="OIO572" s="126"/>
      <c r="OIP572" s="126"/>
      <c r="OIQ572" s="126"/>
      <c r="OIR572" s="126"/>
      <c r="OIS572" s="126"/>
      <c r="OIT572" s="126"/>
      <c r="OIU572" s="126"/>
      <c r="OIV572" s="126"/>
      <c r="OIW572" s="126"/>
      <c r="OIX572" s="126"/>
      <c r="OIY572" s="126"/>
      <c r="OIZ572" s="126"/>
      <c r="OJA572" s="126"/>
      <c r="OJB572" s="126"/>
      <c r="OJC572" s="126"/>
      <c r="OJD572" s="126"/>
      <c r="OJE572" s="126"/>
      <c r="OJF572" s="126"/>
      <c r="OJG572" s="126"/>
      <c r="OJH572" s="126"/>
      <c r="OJI572" s="126"/>
      <c r="OJJ572" s="126"/>
      <c r="OJK572" s="126"/>
      <c r="OJL572" s="126"/>
      <c r="OJM572" s="126"/>
      <c r="OJN572" s="126"/>
      <c r="OJO572" s="126"/>
      <c r="OJP572" s="126"/>
      <c r="OJQ572" s="126"/>
      <c r="OJR572" s="126"/>
      <c r="OJS572" s="126"/>
      <c r="OJT572" s="126"/>
      <c r="OJU572" s="126"/>
      <c r="OJV572" s="126"/>
      <c r="OJW572" s="126"/>
      <c r="OJX572" s="126"/>
      <c r="OJY572" s="126"/>
      <c r="OJZ572" s="126"/>
      <c r="OKA572" s="126"/>
      <c r="OKB572" s="126"/>
      <c r="OKC572" s="126"/>
      <c r="OKD572" s="126"/>
      <c r="OKE572" s="126"/>
      <c r="OKF572" s="126"/>
      <c r="OKG572" s="126"/>
      <c r="OKH572" s="126"/>
      <c r="OKI572" s="126"/>
      <c r="OKJ572" s="126"/>
      <c r="OKK572" s="126"/>
      <c r="OKL572" s="126"/>
      <c r="OKM572" s="126"/>
      <c r="OKN572" s="126"/>
      <c r="OKO572" s="126"/>
      <c r="OKP572" s="126"/>
      <c r="OKQ572" s="126"/>
      <c r="OKR572" s="126"/>
      <c r="OKS572" s="126"/>
      <c r="OKT572" s="126"/>
      <c r="OKU572" s="126"/>
      <c r="OKV572" s="126"/>
      <c r="OKW572" s="126"/>
      <c r="OKX572" s="126"/>
      <c r="OKY572" s="126"/>
      <c r="OKZ572" s="126"/>
      <c r="OLA572" s="126"/>
      <c r="OLB572" s="126"/>
      <c r="OLC572" s="126"/>
      <c r="OLD572" s="126"/>
      <c r="OLE572" s="126"/>
      <c r="OLF572" s="126"/>
      <c r="OLG572" s="126"/>
      <c r="OLH572" s="126"/>
      <c r="OLI572" s="126"/>
      <c r="OLJ572" s="126"/>
      <c r="OLK572" s="126"/>
      <c r="OLL572" s="126"/>
      <c r="OLM572" s="126"/>
      <c r="OLN572" s="126"/>
      <c r="OLO572" s="126"/>
      <c r="OLP572" s="126"/>
      <c r="OLQ572" s="126"/>
      <c r="OLR572" s="126"/>
      <c r="OLS572" s="126"/>
      <c r="OLT572" s="126"/>
      <c r="OLU572" s="126"/>
      <c r="OLV572" s="126"/>
      <c r="OLW572" s="126"/>
      <c r="OLX572" s="126"/>
      <c r="OLY572" s="126"/>
      <c r="OLZ572" s="126"/>
      <c r="OMA572" s="126"/>
      <c r="OMB572" s="126"/>
      <c r="OMC572" s="126"/>
      <c r="OMD572" s="126"/>
      <c r="OME572" s="126"/>
      <c r="OMF572" s="126"/>
      <c r="OMG572" s="126"/>
      <c r="OMH572" s="126"/>
      <c r="OMI572" s="126"/>
      <c r="OMJ572" s="126"/>
      <c r="OMK572" s="126"/>
      <c r="OML572" s="126"/>
      <c r="OMM572" s="126"/>
      <c r="OMN572" s="126"/>
      <c r="OMO572" s="126"/>
      <c r="OMP572" s="126"/>
      <c r="OMQ572" s="126"/>
      <c r="OMR572" s="126"/>
      <c r="OMS572" s="126"/>
      <c r="OMT572" s="126"/>
      <c r="OMU572" s="126"/>
      <c r="OMV572" s="126"/>
      <c r="OMW572" s="126"/>
      <c r="OMX572" s="126"/>
      <c r="OMY572" s="126"/>
      <c r="OMZ572" s="126"/>
      <c r="ONA572" s="126"/>
      <c r="ONB572" s="126"/>
      <c r="ONC572" s="126"/>
      <c r="OND572" s="126"/>
      <c r="ONE572" s="126"/>
      <c r="ONF572" s="126"/>
      <c r="ONG572" s="126"/>
      <c r="ONH572" s="126"/>
      <c r="ONI572" s="126"/>
      <c r="ONJ572" s="126"/>
      <c r="ONK572" s="126"/>
      <c r="ONL572" s="126"/>
      <c r="ONM572" s="126"/>
      <c r="ONN572" s="126"/>
      <c r="ONO572" s="126"/>
      <c r="ONP572" s="126"/>
      <c r="ONQ572" s="126"/>
      <c r="ONR572" s="126"/>
      <c r="ONS572" s="126"/>
      <c r="ONT572" s="126"/>
      <c r="ONU572" s="126"/>
      <c r="ONV572" s="126"/>
      <c r="ONW572" s="126"/>
      <c r="ONX572" s="126"/>
      <c r="ONY572" s="126"/>
      <c r="ONZ572" s="126"/>
      <c r="OOA572" s="126"/>
      <c r="OOB572" s="126"/>
      <c r="OOC572" s="126"/>
      <c r="OOD572" s="126"/>
      <c r="OOE572" s="126"/>
      <c r="OOF572" s="126"/>
      <c r="OOG572" s="126"/>
      <c r="OOH572" s="126"/>
      <c r="OOI572" s="126"/>
      <c r="OOJ572" s="126"/>
      <c r="OOK572" s="126"/>
      <c r="OOL572" s="126"/>
      <c r="OOM572" s="126"/>
      <c r="OON572" s="126"/>
      <c r="OOO572" s="126"/>
      <c r="OOP572" s="126"/>
      <c r="OOQ572" s="126"/>
      <c r="OOR572" s="126"/>
      <c r="OOS572" s="126"/>
      <c r="OOT572" s="126"/>
      <c r="OOU572" s="126"/>
      <c r="OOV572" s="126"/>
      <c r="OOW572" s="126"/>
      <c r="OOX572" s="126"/>
      <c r="OOY572" s="126"/>
      <c r="OOZ572" s="126"/>
      <c r="OPA572" s="126"/>
      <c r="OPB572" s="126"/>
      <c r="OPC572" s="126"/>
      <c r="OPD572" s="126"/>
      <c r="OPE572" s="126"/>
      <c r="OPF572" s="126"/>
      <c r="OPG572" s="126"/>
      <c r="OPH572" s="126"/>
      <c r="OPI572" s="126"/>
      <c r="OPJ572" s="126"/>
      <c r="OPK572" s="126"/>
      <c r="OPL572" s="126"/>
      <c r="OPM572" s="126"/>
      <c r="OPN572" s="126"/>
      <c r="OPO572" s="126"/>
      <c r="OPP572" s="126"/>
      <c r="OPQ572" s="126"/>
      <c r="OPR572" s="126"/>
      <c r="OPS572" s="126"/>
      <c r="OPT572" s="126"/>
      <c r="OPU572" s="126"/>
      <c r="OPV572" s="126"/>
      <c r="OPW572" s="126"/>
      <c r="OPX572" s="126"/>
      <c r="OPY572" s="126"/>
      <c r="OPZ572" s="126"/>
      <c r="OQA572" s="126"/>
      <c r="OQB572" s="126"/>
      <c r="OQC572" s="126"/>
      <c r="OQD572" s="126"/>
      <c r="OQE572" s="126"/>
      <c r="OQF572" s="126"/>
      <c r="OQG572" s="126"/>
      <c r="OQH572" s="126"/>
      <c r="OQI572" s="126"/>
      <c r="OQJ572" s="126"/>
      <c r="OQK572" s="126"/>
      <c r="OQL572" s="126"/>
      <c r="OQM572" s="126"/>
      <c r="OQN572" s="126"/>
      <c r="OQO572" s="126"/>
      <c r="OQP572" s="126"/>
      <c r="OQQ572" s="126"/>
      <c r="OQR572" s="126"/>
      <c r="OQS572" s="126"/>
      <c r="OQT572" s="126"/>
      <c r="OQU572" s="126"/>
      <c r="OQV572" s="126"/>
      <c r="OQW572" s="126"/>
      <c r="OQX572" s="126"/>
      <c r="OQY572" s="126"/>
      <c r="OQZ572" s="126"/>
      <c r="ORA572" s="126"/>
      <c r="ORB572" s="126"/>
      <c r="ORC572" s="126"/>
      <c r="ORD572" s="126"/>
      <c r="ORE572" s="126"/>
      <c r="ORF572" s="126"/>
      <c r="ORG572" s="126"/>
      <c r="ORH572" s="126"/>
      <c r="ORI572" s="126"/>
      <c r="ORJ572" s="126"/>
      <c r="ORK572" s="126"/>
      <c r="ORL572" s="126"/>
      <c r="ORM572" s="126"/>
      <c r="ORN572" s="126"/>
      <c r="ORO572" s="126"/>
      <c r="ORP572" s="126"/>
      <c r="ORQ572" s="126"/>
      <c r="ORR572" s="126"/>
      <c r="ORS572" s="126"/>
      <c r="ORT572" s="126"/>
      <c r="ORU572" s="126"/>
      <c r="ORV572" s="126"/>
      <c r="ORW572" s="126"/>
      <c r="ORX572" s="126"/>
      <c r="ORY572" s="126"/>
      <c r="ORZ572" s="126"/>
      <c r="OSA572" s="126"/>
      <c r="OSB572" s="126"/>
      <c r="OSC572" s="126"/>
      <c r="OSD572" s="126"/>
      <c r="OSE572" s="126"/>
      <c r="OSF572" s="126"/>
      <c r="OSG572" s="126"/>
      <c r="OSH572" s="126"/>
      <c r="OSI572" s="126"/>
      <c r="OSJ572" s="126"/>
      <c r="OSK572" s="126"/>
      <c r="OSL572" s="126"/>
      <c r="OSM572" s="126"/>
      <c r="OSN572" s="126"/>
      <c r="OSO572" s="126"/>
      <c r="OSP572" s="126"/>
      <c r="OSQ572" s="126"/>
      <c r="OSR572" s="126"/>
      <c r="OSS572" s="126"/>
      <c r="OST572" s="126"/>
      <c r="OSU572" s="126"/>
      <c r="OSV572" s="126"/>
      <c r="OSW572" s="126"/>
      <c r="OSX572" s="126"/>
      <c r="OSY572" s="126"/>
      <c r="OSZ572" s="126"/>
      <c r="OTA572" s="126"/>
      <c r="OTB572" s="126"/>
      <c r="OTC572" s="126"/>
      <c r="OTD572" s="126"/>
      <c r="OTE572" s="126"/>
      <c r="OTF572" s="126"/>
      <c r="OTG572" s="126"/>
      <c r="OTH572" s="126"/>
      <c r="OTI572" s="126"/>
      <c r="OTJ572" s="126"/>
      <c r="OTK572" s="126"/>
      <c r="OTL572" s="126"/>
      <c r="OTM572" s="126"/>
      <c r="OTN572" s="126"/>
      <c r="OTO572" s="126"/>
      <c r="OTP572" s="126"/>
      <c r="OTQ572" s="126"/>
      <c r="OTR572" s="126"/>
      <c r="OTS572" s="126"/>
      <c r="OTT572" s="126"/>
      <c r="OTU572" s="126"/>
      <c r="OTV572" s="126"/>
      <c r="OTW572" s="126"/>
      <c r="OTX572" s="126"/>
      <c r="OTY572" s="126"/>
      <c r="OTZ572" s="126"/>
      <c r="OUA572" s="126"/>
      <c r="OUB572" s="126"/>
      <c r="OUC572" s="126"/>
      <c r="OUD572" s="126"/>
      <c r="OUE572" s="126"/>
      <c r="OUF572" s="126"/>
      <c r="OUG572" s="126"/>
      <c r="OUH572" s="126"/>
      <c r="OUI572" s="126"/>
      <c r="OUJ572" s="126"/>
      <c r="OUK572" s="126"/>
      <c r="OUL572" s="126"/>
      <c r="OUM572" s="126"/>
      <c r="OUN572" s="126"/>
      <c r="OUO572" s="126"/>
      <c r="OUP572" s="126"/>
      <c r="OUQ572" s="126"/>
      <c r="OUR572" s="126"/>
      <c r="OUS572" s="126"/>
      <c r="OUT572" s="126"/>
      <c r="OUU572" s="126"/>
      <c r="OUV572" s="126"/>
      <c r="OUW572" s="126"/>
      <c r="OUX572" s="126"/>
      <c r="OUY572" s="126"/>
      <c r="OUZ572" s="126"/>
      <c r="OVA572" s="126"/>
      <c r="OVB572" s="126"/>
      <c r="OVC572" s="126"/>
      <c r="OVD572" s="126"/>
      <c r="OVE572" s="126"/>
      <c r="OVF572" s="126"/>
      <c r="OVG572" s="126"/>
      <c r="OVH572" s="126"/>
      <c r="OVI572" s="126"/>
      <c r="OVJ572" s="126"/>
      <c r="OVK572" s="126"/>
      <c r="OVL572" s="126"/>
      <c r="OVM572" s="126"/>
      <c r="OVN572" s="126"/>
      <c r="OVO572" s="126"/>
      <c r="OVP572" s="126"/>
      <c r="OVQ572" s="126"/>
      <c r="OVR572" s="126"/>
      <c r="OVS572" s="126"/>
      <c r="OVT572" s="126"/>
      <c r="OVU572" s="126"/>
      <c r="OVV572" s="126"/>
      <c r="OVW572" s="126"/>
      <c r="OVX572" s="126"/>
      <c r="OVY572" s="126"/>
      <c r="OVZ572" s="126"/>
      <c r="OWA572" s="126"/>
      <c r="OWB572" s="126"/>
      <c r="OWC572" s="126"/>
      <c r="OWD572" s="126"/>
      <c r="OWE572" s="126"/>
      <c r="OWF572" s="126"/>
      <c r="OWG572" s="126"/>
      <c r="OWH572" s="126"/>
      <c r="OWI572" s="126"/>
      <c r="OWJ572" s="126"/>
      <c r="OWK572" s="126"/>
      <c r="OWL572" s="126"/>
      <c r="OWM572" s="126"/>
      <c r="OWN572" s="126"/>
      <c r="OWO572" s="126"/>
      <c r="OWP572" s="126"/>
      <c r="OWQ572" s="126"/>
      <c r="OWR572" s="126"/>
      <c r="OWS572" s="126"/>
      <c r="OWT572" s="126"/>
      <c r="OWU572" s="126"/>
      <c r="OWV572" s="126"/>
      <c r="OWW572" s="126"/>
      <c r="OWX572" s="126"/>
      <c r="OWY572" s="126"/>
      <c r="OWZ572" s="126"/>
      <c r="OXA572" s="126"/>
      <c r="OXB572" s="126"/>
      <c r="OXC572" s="126"/>
      <c r="OXD572" s="126"/>
      <c r="OXE572" s="126"/>
      <c r="OXF572" s="126"/>
      <c r="OXG572" s="126"/>
      <c r="OXH572" s="126"/>
      <c r="OXI572" s="126"/>
      <c r="OXJ572" s="126"/>
      <c r="OXK572" s="126"/>
      <c r="OXL572" s="126"/>
      <c r="OXM572" s="126"/>
      <c r="OXN572" s="126"/>
      <c r="OXO572" s="126"/>
      <c r="OXP572" s="126"/>
      <c r="OXQ572" s="126"/>
      <c r="OXR572" s="126"/>
      <c r="OXS572" s="126"/>
      <c r="OXT572" s="126"/>
      <c r="OXU572" s="126"/>
      <c r="OXV572" s="126"/>
      <c r="OXW572" s="126"/>
      <c r="OXX572" s="126"/>
      <c r="OXY572" s="126"/>
      <c r="OXZ572" s="126"/>
      <c r="OYA572" s="126"/>
      <c r="OYB572" s="126"/>
      <c r="OYC572" s="126"/>
      <c r="OYD572" s="126"/>
      <c r="OYE572" s="126"/>
      <c r="OYF572" s="126"/>
      <c r="OYG572" s="126"/>
      <c r="OYH572" s="126"/>
      <c r="OYI572" s="126"/>
      <c r="OYJ572" s="126"/>
      <c r="OYK572" s="126"/>
      <c r="OYL572" s="126"/>
      <c r="OYM572" s="126"/>
      <c r="OYN572" s="126"/>
      <c r="OYO572" s="126"/>
      <c r="OYP572" s="126"/>
      <c r="OYQ572" s="126"/>
      <c r="OYR572" s="126"/>
      <c r="OYS572" s="126"/>
      <c r="OYT572" s="126"/>
      <c r="OYU572" s="126"/>
      <c r="OYV572" s="126"/>
      <c r="OYW572" s="126"/>
      <c r="OYX572" s="126"/>
      <c r="OYY572" s="126"/>
      <c r="OYZ572" s="126"/>
      <c r="OZA572" s="126"/>
      <c r="OZB572" s="126"/>
      <c r="OZC572" s="126"/>
      <c r="OZD572" s="126"/>
      <c r="OZE572" s="126"/>
      <c r="OZF572" s="126"/>
      <c r="OZG572" s="126"/>
      <c r="OZH572" s="126"/>
      <c r="OZI572" s="126"/>
      <c r="OZJ572" s="126"/>
      <c r="OZK572" s="126"/>
      <c r="OZL572" s="126"/>
      <c r="OZM572" s="126"/>
      <c r="OZN572" s="126"/>
      <c r="OZO572" s="126"/>
      <c r="OZP572" s="126"/>
      <c r="OZQ572" s="126"/>
      <c r="OZR572" s="126"/>
      <c r="OZS572" s="126"/>
      <c r="OZT572" s="126"/>
      <c r="OZU572" s="126"/>
      <c r="OZV572" s="126"/>
      <c r="OZW572" s="126"/>
      <c r="OZX572" s="126"/>
      <c r="OZY572" s="126"/>
      <c r="OZZ572" s="126"/>
      <c r="PAA572" s="126"/>
      <c r="PAB572" s="126"/>
      <c r="PAC572" s="126"/>
      <c r="PAD572" s="126"/>
      <c r="PAE572" s="126"/>
      <c r="PAF572" s="126"/>
      <c r="PAG572" s="126"/>
      <c r="PAH572" s="126"/>
      <c r="PAI572" s="126"/>
      <c r="PAJ572" s="126"/>
      <c r="PAK572" s="126"/>
      <c r="PAL572" s="126"/>
      <c r="PAM572" s="126"/>
      <c r="PAN572" s="126"/>
      <c r="PAO572" s="126"/>
      <c r="PAP572" s="126"/>
      <c r="PAQ572" s="126"/>
      <c r="PAR572" s="126"/>
      <c r="PAS572" s="126"/>
      <c r="PAT572" s="126"/>
      <c r="PAU572" s="126"/>
      <c r="PAV572" s="126"/>
      <c r="PAW572" s="126"/>
      <c r="PAX572" s="126"/>
      <c r="PAY572" s="126"/>
      <c r="PAZ572" s="126"/>
      <c r="PBA572" s="126"/>
      <c r="PBB572" s="126"/>
      <c r="PBC572" s="126"/>
      <c r="PBD572" s="126"/>
      <c r="PBE572" s="126"/>
      <c r="PBF572" s="126"/>
      <c r="PBG572" s="126"/>
      <c r="PBH572" s="126"/>
      <c r="PBI572" s="126"/>
      <c r="PBJ572" s="126"/>
      <c r="PBK572" s="126"/>
      <c r="PBL572" s="126"/>
      <c r="PBM572" s="126"/>
      <c r="PBN572" s="126"/>
      <c r="PBO572" s="126"/>
      <c r="PBP572" s="126"/>
      <c r="PBQ572" s="126"/>
      <c r="PBR572" s="126"/>
      <c r="PBS572" s="126"/>
      <c r="PBT572" s="126"/>
      <c r="PBU572" s="126"/>
      <c r="PBV572" s="126"/>
      <c r="PBW572" s="126"/>
      <c r="PBX572" s="126"/>
      <c r="PBY572" s="126"/>
      <c r="PBZ572" s="126"/>
      <c r="PCA572" s="126"/>
      <c r="PCB572" s="126"/>
      <c r="PCC572" s="126"/>
      <c r="PCD572" s="126"/>
      <c r="PCE572" s="126"/>
      <c r="PCF572" s="126"/>
      <c r="PCG572" s="126"/>
      <c r="PCH572" s="126"/>
      <c r="PCI572" s="126"/>
      <c r="PCJ572" s="126"/>
      <c r="PCK572" s="126"/>
      <c r="PCL572" s="126"/>
      <c r="PCM572" s="126"/>
      <c r="PCN572" s="126"/>
      <c r="PCO572" s="126"/>
      <c r="PCP572" s="126"/>
      <c r="PCQ572" s="126"/>
      <c r="PCR572" s="126"/>
      <c r="PCS572" s="126"/>
      <c r="PCT572" s="126"/>
      <c r="PCU572" s="126"/>
      <c r="PCV572" s="126"/>
      <c r="PCW572" s="126"/>
      <c r="PCX572" s="126"/>
      <c r="PCY572" s="126"/>
      <c r="PCZ572" s="126"/>
      <c r="PDA572" s="126"/>
      <c r="PDB572" s="126"/>
      <c r="PDC572" s="126"/>
      <c r="PDD572" s="126"/>
      <c r="PDE572" s="126"/>
      <c r="PDF572" s="126"/>
      <c r="PDG572" s="126"/>
      <c r="PDH572" s="126"/>
      <c r="PDI572" s="126"/>
      <c r="PDJ572" s="126"/>
      <c r="PDK572" s="126"/>
      <c r="PDL572" s="126"/>
      <c r="PDM572" s="126"/>
      <c r="PDN572" s="126"/>
      <c r="PDO572" s="126"/>
      <c r="PDP572" s="126"/>
      <c r="PDQ572" s="126"/>
      <c r="PDR572" s="126"/>
      <c r="PDS572" s="126"/>
      <c r="PDT572" s="126"/>
      <c r="PDU572" s="126"/>
      <c r="PDV572" s="126"/>
      <c r="PDW572" s="126"/>
      <c r="PDX572" s="126"/>
      <c r="PDY572" s="126"/>
      <c r="PDZ572" s="126"/>
      <c r="PEA572" s="126"/>
      <c r="PEB572" s="126"/>
      <c r="PEC572" s="126"/>
      <c r="PED572" s="126"/>
      <c r="PEE572" s="126"/>
      <c r="PEF572" s="126"/>
      <c r="PEG572" s="126"/>
      <c r="PEH572" s="126"/>
      <c r="PEI572" s="126"/>
      <c r="PEJ572" s="126"/>
      <c r="PEK572" s="126"/>
      <c r="PEL572" s="126"/>
      <c r="PEM572" s="126"/>
      <c r="PEN572" s="126"/>
      <c r="PEO572" s="126"/>
      <c r="PEP572" s="126"/>
      <c r="PEQ572" s="126"/>
      <c r="PER572" s="126"/>
      <c r="PES572" s="126"/>
      <c r="PET572" s="126"/>
      <c r="PEU572" s="126"/>
      <c r="PEV572" s="126"/>
      <c r="PEW572" s="126"/>
      <c r="PEX572" s="126"/>
      <c r="PEY572" s="126"/>
      <c r="PEZ572" s="126"/>
      <c r="PFA572" s="126"/>
      <c r="PFB572" s="126"/>
      <c r="PFC572" s="126"/>
      <c r="PFD572" s="126"/>
      <c r="PFE572" s="126"/>
      <c r="PFF572" s="126"/>
      <c r="PFG572" s="126"/>
      <c r="PFH572" s="126"/>
      <c r="PFI572" s="126"/>
      <c r="PFJ572" s="126"/>
      <c r="PFK572" s="126"/>
      <c r="PFL572" s="126"/>
      <c r="PFM572" s="126"/>
      <c r="PFN572" s="126"/>
      <c r="PFO572" s="126"/>
      <c r="PFP572" s="126"/>
      <c r="PFQ572" s="126"/>
      <c r="PFR572" s="126"/>
      <c r="PFS572" s="126"/>
      <c r="PFT572" s="126"/>
      <c r="PFU572" s="126"/>
      <c r="PFV572" s="126"/>
      <c r="PFW572" s="126"/>
      <c r="PFX572" s="126"/>
      <c r="PFY572" s="126"/>
      <c r="PFZ572" s="126"/>
      <c r="PGA572" s="126"/>
      <c r="PGB572" s="126"/>
      <c r="PGC572" s="126"/>
      <c r="PGD572" s="126"/>
      <c r="PGE572" s="126"/>
      <c r="PGF572" s="126"/>
      <c r="PGG572" s="126"/>
      <c r="PGH572" s="126"/>
      <c r="PGI572" s="126"/>
      <c r="PGJ572" s="126"/>
      <c r="PGK572" s="126"/>
      <c r="PGL572" s="126"/>
      <c r="PGM572" s="126"/>
      <c r="PGN572" s="126"/>
      <c r="PGO572" s="126"/>
      <c r="PGP572" s="126"/>
      <c r="PGQ572" s="126"/>
      <c r="PGR572" s="126"/>
      <c r="PGS572" s="126"/>
      <c r="PGT572" s="126"/>
      <c r="PGU572" s="126"/>
      <c r="PGV572" s="126"/>
      <c r="PGW572" s="126"/>
      <c r="PGX572" s="126"/>
      <c r="PGY572" s="126"/>
      <c r="PGZ572" s="126"/>
      <c r="PHA572" s="126"/>
      <c r="PHB572" s="126"/>
      <c r="PHC572" s="126"/>
      <c r="PHD572" s="126"/>
      <c r="PHE572" s="126"/>
      <c r="PHF572" s="126"/>
      <c r="PHG572" s="126"/>
      <c r="PHH572" s="126"/>
      <c r="PHI572" s="126"/>
      <c r="PHJ572" s="126"/>
      <c r="PHK572" s="126"/>
      <c r="PHL572" s="126"/>
      <c r="PHM572" s="126"/>
      <c r="PHN572" s="126"/>
      <c r="PHO572" s="126"/>
      <c r="PHP572" s="126"/>
      <c r="PHQ572" s="126"/>
      <c r="PHR572" s="126"/>
      <c r="PHS572" s="126"/>
      <c r="PHT572" s="126"/>
      <c r="PHU572" s="126"/>
      <c r="PHV572" s="126"/>
      <c r="PHW572" s="126"/>
      <c r="PHX572" s="126"/>
      <c r="PHY572" s="126"/>
      <c r="PHZ572" s="126"/>
      <c r="PIA572" s="126"/>
      <c r="PIB572" s="126"/>
      <c r="PIC572" s="126"/>
      <c r="PID572" s="126"/>
      <c r="PIE572" s="126"/>
      <c r="PIF572" s="126"/>
      <c r="PIG572" s="126"/>
      <c r="PIH572" s="126"/>
      <c r="PII572" s="126"/>
      <c r="PIJ572" s="126"/>
      <c r="PIK572" s="126"/>
      <c r="PIL572" s="126"/>
      <c r="PIM572" s="126"/>
      <c r="PIN572" s="126"/>
      <c r="PIO572" s="126"/>
      <c r="PIP572" s="126"/>
      <c r="PIQ572" s="126"/>
      <c r="PIR572" s="126"/>
      <c r="PIS572" s="126"/>
      <c r="PIT572" s="126"/>
      <c r="PIU572" s="126"/>
      <c r="PIV572" s="126"/>
      <c r="PIW572" s="126"/>
      <c r="PIX572" s="126"/>
      <c r="PIY572" s="126"/>
      <c r="PIZ572" s="126"/>
      <c r="PJA572" s="126"/>
      <c r="PJB572" s="126"/>
      <c r="PJC572" s="126"/>
      <c r="PJD572" s="126"/>
      <c r="PJE572" s="126"/>
      <c r="PJF572" s="126"/>
      <c r="PJG572" s="126"/>
      <c r="PJH572" s="126"/>
      <c r="PJI572" s="126"/>
      <c r="PJJ572" s="126"/>
      <c r="PJK572" s="126"/>
      <c r="PJL572" s="126"/>
      <c r="PJM572" s="126"/>
      <c r="PJN572" s="126"/>
      <c r="PJO572" s="126"/>
      <c r="PJP572" s="126"/>
      <c r="PJQ572" s="126"/>
      <c r="PJR572" s="126"/>
      <c r="PJS572" s="126"/>
      <c r="PJT572" s="126"/>
      <c r="PJU572" s="126"/>
      <c r="PJV572" s="126"/>
      <c r="PJW572" s="126"/>
      <c r="PJX572" s="126"/>
      <c r="PJY572" s="126"/>
      <c r="PJZ572" s="126"/>
      <c r="PKA572" s="126"/>
      <c r="PKB572" s="126"/>
      <c r="PKC572" s="126"/>
      <c r="PKD572" s="126"/>
      <c r="PKE572" s="126"/>
      <c r="PKF572" s="126"/>
      <c r="PKG572" s="126"/>
      <c r="PKH572" s="126"/>
      <c r="PKI572" s="126"/>
      <c r="PKJ572" s="126"/>
      <c r="PKK572" s="126"/>
      <c r="PKL572" s="126"/>
      <c r="PKM572" s="126"/>
      <c r="PKN572" s="126"/>
      <c r="PKO572" s="126"/>
      <c r="PKP572" s="126"/>
      <c r="PKQ572" s="126"/>
      <c r="PKR572" s="126"/>
      <c r="PKS572" s="126"/>
      <c r="PKT572" s="126"/>
      <c r="PKU572" s="126"/>
      <c r="PKV572" s="126"/>
      <c r="PKW572" s="126"/>
      <c r="PKX572" s="126"/>
      <c r="PKY572" s="126"/>
      <c r="PKZ572" s="126"/>
      <c r="PLA572" s="126"/>
      <c r="PLB572" s="126"/>
      <c r="PLC572" s="126"/>
      <c r="PLD572" s="126"/>
      <c r="PLE572" s="126"/>
      <c r="PLF572" s="126"/>
      <c r="PLG572" s="126"/>
      <c r="PLH572" s="126"/>
      <c r="PLI572" s="126"/>
      <c r="PLJ572" s="126"/>
      <c r="PLK572" s="126"/>
      <c r="PLL572" s="126"/>
      <c r="PLM572" s="126"/>
      <c r="PLN572" s="126"/>
      <c r="PLO572" s="126"/>
      <c r="PLP572" s="126"/>
      <c r="PLQ572" s="126"/>
      <c r="PLR572" s="126"/>
      <c r="PLS572" s="126"/>
      <c r="PLT572" s="126"/>
      <c r="PLU572" s="126"/>
      <c r="PLV572" s="126"/>
      <c r="PLW572" s="126"/>
      <c r="PLX572" s="126"/>
      <c r="PLY572" s="126"/>
      <c r="PLZ572" s="126"/>
      <c r="PMA572" s="126"/>
      <c r="PMB572" s="126"/>
      <c r="PMC572" s="126"/>
      <c r="PMD572" s="126"/>
      <c r="PME572" s="126"/>
      <c r="PMF572" s="126"/>
      <c r="PMG572" s="126"/>
      <c r="PMH572" s="126"/>
      <c r="PMI572" s="126"/>
      <c r="PMJ572" s="126"/>
      <c r="PMK572" s="126"/>
      <c r="PML572" s="126"/>
      <c r="PMM572" s="126"/>
      <c r="PMN572" s="126"/>
      <c r="PMO572" s="126"/>
      <c r="PMP572" s="126"/>
      <c r="PMQ572" s="126"/>
      <c r="PMR572" s="126"/>
      <c r="PMS572" s="126"/>
      <c r="PMT572" s="126"/>
      <c r="PMU572" s="126"/>
      <c r="PMV572" s="126"/>
      <c r="PMW572" s="126"/>
      <c r="PMX572" s="126"/>
      <c r="PMY572" s="126"/>
      <c r="PMZ572" s="126"/>
      <c r="PNA572" s="126"/>
      <c r="PNB572" s="126"/>
      <c r="PNC572" s="126"/>
      <c r="PND572" s="126"/>
      <c r="PNE572" s="126"/>
      <c r="PNF572" s="126"/>
      <c r="PNG572" s="126"/>
      <c r="PNH572" s="126"/>
      <c r="PNI572" s="126"/>
      <c r="PNJ572" s="126"/>
      <c r="PNK572" s="126"/>
      <c r="PNL572" s="126"/>
      <c r="PNM572" s="126"/>
      <c r="PNN572" s="126"/>
      <c r="PNO572" s="126"/>
      <c r="PNP572" s="126"/>
      <c r="PNQ572" s="126"/>
      <c r="PNR572" s="126"/>
      <c r="PNS572" s="126"/>
      <c r="PNT572" s="126"/>
      <c r="PNU572" s="126"/>
      <c r="PNV572" s="126"/>
      <c r="PNW572" s="126"/>
      <c r="PNX572" s="126"/>
      <c r="PNY572" s="126"/>
      <c r="PNZ572" s="126"/>
      <c r="POA572" s="126"/>
      <c r="POB572" s="126"/>
      <c r="POC572" s="126"/>
      <c r="POD572" s="126"/>
      <c r="POE572" s="126"/>
      <c r="POF572" s="126"/>
      <c r="POG572" s="126"/>
      <c r="POH572" s="126"/>
      <c r="POI572" s="126"/>
      <c r="POJ572" s="126"/>
      <c r="POK572" s="126"/>
      <c r="POL572" s="126"/>
      <c r="POM572" s="126"/>
      <c r="PON572" s="126"/>
      <c r="POO572" s="126"/>
      <c r="POP572" s="126"/>
      <c r="POQ572" s="126"/>
      <c r="POR572" s="126"/>
      <c r="POS572" s="126"/>
      <c r="POT572" s="126"/>
      <c r="POU572" s="126"/>
      <c r="POV572" s="126"/>
      <c r="POW572" s="126"/>
      <c r="POX572" s="126"/>
      <c r="POY572" s="126"/>
      <c r="POZ572" s="126"/>
      <c r="PPA572" s="126"/>
      <c r="PPB572" s="126"/>
      <c r="PPC572" s="126"/>
      <c r="PPD572" s="126"/>
      <c r="PPE572" s="126"/>
      <c r="PPF572" s="126"/>
      <c r="PPG572" s="126"/>
      <c r="PPH572" s="126"/>
      <c r="PPI572" s="126"/>
      <c r="PPJ572" s="126"/>
      <c r="PPK572" s="126"/>
      <c r="PPL572" s="126"/>
      <c r="PPM572" s="126"/>
      <c r="PPN572" s="126"/>
      <c r="PPO572" s="126"/>
      <c r="PPP572" s="126"/>
      <c r="PPQ572" s="126"/>
      <c r="PPR572" s="126"/>
      <c r="PPS572" s="126"/>
      <c r="PPT572" s="126"/>
      <c r="PPU572" s="126"/>
      <c r="PPV572" s="126"/>
      <c r="PPW572" s="126"/>
      <c r="PPX572" s="126"/>
      <c r="PPY572" s="126"/>
      <c r="PPZ572" s="126"/>
      <c r="PQA572" s="126"/>
      <c r="PQB572" s="126"/>
      <c r="PQC572" s="126"/>
      <c r="PQD572" s="126"/>
      <c r="PQE572" s="126"/>
      <c r="PQF572" s="126"/>
      <c r="PQG572" s="126"/>
      <c r="PQH572" s="126"/>
      <c r="PQI572" s="126"/>
      <c r="PQJ572" s="126"/>
      <c r="PQK572" s="126"/>
      <c r="PQL572" s="126"/>
      <c r="PQM572" s="126"/>
      <c r="PQN572" s="126"/>
      <c r="PQO572" s="126"/>
      <c r="PQP572" s="126"/>
      <c r="PQQ572" s="126"/>
      <c r="PQR572" s="126"/>
      <c r="PQS572" s="126"/>
      <c r="PQT572" s="126"/>
      <c r="PQU572" s="126"/>
      <c r="PQV572" s="126"/>
      <c r="PQW572" s="126"/>
      <c r="PQX572" s="126"/>
      <c r="PQY572" s="126"/>
      <c r="PQZ572" s="126"/>
      <c r="PRA572" s="126"/>
      <c r="PRB572" s="126"/>
      <c r="PRC572" s="126"/>
      <c r="PRD572" s="126"/>
      <c r="PRE572" s="126"/>
      <c r="PRF572" s="126"/>
      <c r="PRG572" s="126"/>
      <c r="PRH572" s="126"/>
      <c r="PRI572" s="126"/>
      <c r="PRJ572" s="126"/>
      <c r="PRK572" s="126"/>
      <c r="PRL572" s="126"/>
      <c r="PRM572" s="126"/>
      <c r="PRN572" s="126"/>
      <c r="PRO572" s="126"/>
      <c r="PRP572" s="126"/>
      <c r="PRQ572" s="126"/>
      <c r="PRR572" s="126"/>
      <c r="PRS572" s="126"/>
      <c r="PRT572" s="126"/>
      <c r="PRU572" s="126"/>
      <c r="PRV572" s="126"/>
      <c r="PRW572" s="126"/>
      <c r="PRX572" s="126"/>
      <c r="PRY572" s="126"/>
      <c r="PRZ572" s="126"/>
      <c r="PSA572" s="126"/>
      <c r="PSB572" s="126"/>
      <c r="PSC572" s="126"/>
      <c r="PSD572" s="126"/>
      <c r="PSE572" s="126"/>
      <c r="PSF572" s="126"/>
      <c r="PSG572" s="126"/>
      <c r="PSH572" s="126"/>
      <c r="PSI572" s="126"/>
      <c r="PSJ572" s="126"/>
      <c r="PSK572" s="126"/>
      <c r="PSL572" s="126"/>
      <c r="PSM572" s="126"/>
      <c r="PSN572" s="126"/>
      <c r="PSO572" s="126"/>
      <c r="PSP572" s="126"/>
      <c r="PSQ572" s="126"/>
      <c r="PSR572" s="126"/>
      <c r="PSS572" s="126"/>
      <c r="PST572" s="126"/>
      <c r="PSU572" s="126"/>
      <c r="PSV572" s="126"/>
      <c r="PSW572" s="126"/>
      <c r="PSX572" s="126"/>
      <c r="PSY572" s="126"/>
      <c r="PSZ572" s="126"/>
      <c r="PTA572" s="126"/>
      <c r="PTB572" s="126"/>
      <c r="PTC572" s="126"/>
      <c r="PTD572" s="126"/>
      <c r="PTE572" s="126"/>
      <c r="PTF572" s="126"/>
      <c r="PTG572" s="126"/>
      <c r="PTH572" s="126"/>
      <c r="PTI572" s="126"/>
      <c r="PTJ572" s="126"/>
      <c r="PTK572" s="126"/>
      <c r="PTL572" s="126"/>
      <c r="PTM572" s="126"/>
      <c r="PTN572" s="126"/>
      <c r="PTO572" s="126"/>
      <c r="PTP572" s="126"/>
      <c r="PTQ572" s="126"/>
      <c r="PTR572" s="126"/>
      <c r="PTS572" s="126"/>
      <c r="PTT572" s="126"/>
      <c r="PTU572" s="126"/>
      <c r="PTV572" s="126"/>
      <c r="PTW572" s="126"/>
      <c r="PTX572" s="126"/>
      <c r="PTY572" s="126"/>
      <c r="PTZ572" s="126"/>
      <c r="PUA572" s="126"/>
      <c r="PUB572" s="126"/>
      <c r="PUC572" s="126"/>
      <c r="PUD572" s="126"/>
      <c r="PUE572" s="126"/>
      <c r="PUF572" s="126"/>
      <c r="PUG572" s="126"/>
      <c r="PUH572" s="126"/>
      <c r="PUI572" s="126"/>
      <c r="PUJ572" s="126"/>
      <c r="PUK572" s="126"/>
      <c r="PUL572" s="126"/>
      <c r="PUM572" s="126"/>
      <c r="PUN572" s="126"/>
      <c r="PUO572" s="126"/>
      <c r="PUP572" s="126"/>
      <c r="PUQ572" s="126"/>
      <c r="PUR572" s="126"/>
      <c r="PUS572" s="126"/>
      <c r="PUT572" s="126"/>
      <c r="PUU572" s="126"/>
      <c r="PUV572" s="126"/>
      <c r="PUW572" s="126"/>
      <c r="PUX572" s="126"/>
      <c r="PUY572" s="126"/>
      <c r="PUZ572" s="126"/>
      <c r="PVA572" s="126"/>
      <c r="PVB572" s="126"/>
      <c r="PVC572" s="126"/>
      <c r="PVD572" s="126"/>
      <c r="PVE572" s="126"/>
      <c r="PVF572" s="126"/>
      <c r="PVG572" s="126"/>
      <c r="PVH572" s="126"/>
      <c r="PVI572" s="126"/>
      <c r="PVJ572" s="126"/>
      <c r="PVK572" s="126"/>
      <c r="PVL572" s="126"/>
      <c r="PVM572" s="126"/>
      <c r="PVN572" s="126"/>
      <c r="PVO572" s="126"/>
      <c r="PVP572" s="126"/>
      <c r="PVQ572" s="126"/>
      <c r="PVR572" s="126"/>
      <c r="PVS572" s="126"/>
      <c r="PVT572" s="126"/>
      <c r="PVU572" s="126"/>
      <c r="PVV572" s="126"/>
      <c r="PVW572" s="126"/>
      <c r="PVX572" s="126"/>
      <c r="PVY572" s="126"/>
      <c r="PVZ572" s="126"/>
      <c r="PWA572" s="126"/>
      <c r="PWB572" s="126"/>
      <c r="PWC572" s="126"/>
      <c r="PWD572" s="126"/>
      <c r="PWE572" s="126"/>
      <c r="PWF572" s="126"/>
      <c r="PWG572" s="126"/>
      <c r="PWH572" s="126"/>
      <c r="PWI572" s="126"/>
      <c r="PWJ572" s="126"/>
      <c r="PWK572" s="126"/>
      <c r="PWL572" s="126"/>
      <c r="PWM572" s="126"/>
      <c r="PWN572" s="126"/>
      <c r="PWO572" s="126"/>
      <c r="PWP572" s="126"/>
      <c r="PWQ572" s="126"/>
      <c r="PWR572" s="126"/>
      <c r="PWS572" s="126"/>
      <c r="PWT572" s="126"/>
      <c r="PWU572" s="126"/>
      <c r="PWV572" s="126"/>
      <c r="PWW572" s="126"/>
      <c r="PWX572" s="126"/>
      <c r="PWY572" s="126"/>
      <c r="PWZ572" s="126"/>
      <c r="PXA572" s="126"/>
      <c r="PXB572" s="126"/>
      <c r="PXC572" s="126"/>
      <c r="PXD572" s="126"/>
      <c r="PXE572" s="126"/>
      <c r="PXF572" s="126"/>
      <c r="PXG572" s="126"/>
      <c r="PXH572" s="126"/>
      <c r="PXI572" s="126"/>
      <c r="PXJ572" s="126"/>
      <c r="PXK572" s="126"/>
      <c r="PXL572" s="126"/>
      <c r="PXM572" s="126"/>
      <c r="PXN572" s="126"/>
      <c r="PXO572" s="126"/>
      <c r="PXP572" s="126"/>
      <c r="PXQ572" s="126"/>
      <c r="PXR572" s="126"/>
      <c r="PXS572" s="126"/>
      <c r="PXT572" s="126"/>
      <c r="PXU572" s="126"/>
      <c r="PXV572" s="126"/>
      <c r="PXW572" s="126"/>
      <c r="PXX572" s="126"/>
      <c r="PXY572" s="126"/>
      <c r="PXZ572" s="126"/>
      <c r="PYA572" s="126"/>
      <c r="PYB572" s="126"/>
      <c r="PYC572" s="126"/>
      <c r="PYD572" s="126"/>
      <c r="PYE572" s="126"/>
      <c r="PYF572" s="126"/>
      <c r="PYG572" s="126"/>
      <c r="PYH572" s="126"/>
      <c r="PYI572" s="126"/>
      <c r="PYJ572" s="126"/>
      <c r="PYK572" s="126"/>
      <c r="PYL572" s="126"/>
      <c r="PYM572" s="126"/>
      <c r="PYN572" s="126"/>
      <c r="PYO572" s="126"/>
      <c r="PYP572" s="126"/>
      <c r="PYQ572" s="126"/>
      <c r="PYR572" s="126"/>
      <c r="PYS572" s="126"/>
      <c r="PYT572" s="126"/>
      <c r="PYU572" s="126"/>
      <c r="PYV572" s="126"/>
      <c r="PYW572" s="126"/>
      <c r="PYX572" s="126"/>
      <c r="PYY572" s="126"/>
      <c r="PYZ572" s="126"/>
      <c r="PZA572" s="126"/>
      <c r="PZB572" s="126"/>
      <c r="PZC572" s="126"/>
      <c r="PZD572" s="126"/>
      <c r="PZE572" s="126"/>
      <c r="PZF572" s="126"/>
      <c r="PZG572" s="126"/>
      <c r="PZH572" s="126"/>
      <c r="PZI572" s="126"/>
      <c r="PZJ572" s="126"/>
      <c r="PZK572" s="126"/>
      <c r="PZL572" s="126"/>
      <c r="PZM572" s="126"/>
      <c r="PZN572" s="126"/>
      <c r="PZO572" s="126"/>
      <c r="PZP572" s="126"/>
      <c r="PZQ572" s="126"/>
      <c r="PZR572" s="126"/>
      <c r="PZS572" s="126"/>
      <c r="PZT572" s="126"/>
      <c r="PZU572" s="126"/>
      <c r="PZV572" s="126"/>
      <c r="PZW572" s="126"/>
      <c r="PZX572" s="126"/>
      <c r="PZY572" s="126"/>
      <c r="PZZ572" s="126"/>
      <c r="QAA572" s="126"/>
      <c r="QAB572" s="126"/>
      <c r="QAC572" s="126"/>
      <c r="QAD572" s="126"/>
      <c r="QAE572" s="126"/>
      <c r="QAF572" s="126"/>
      <c r="QAG572" s="126"/>
      <c r="QAH572" s="126"/>
      <c r="QAI572" s="126"/>
      <c r="QAJ572" s="126"/>
      <c r="QAK572" s="126"/>
      <c r="QAL572" s="126"/>
      <c r="QAM572" s="126"/>
      <c r="QAN572" s="126"/>
      <c r="QAO572" s="126"/>
      <c r="QAP572" s="126"/>
      <c r="QAQ572" s="126"/>
      <c r="QAR572" s="126"/>
      <c r="QAS572" s="126"/>
      <c r="QAT572" s="126"/>
      <c r="QAU572" s="126"/>
      <c r="QAV572" s="126"/>
      <c r="QAW572" s="126"/>
      <c r="QAX572" s="126"/>
      <c r="QAY572" s="126"/>
      <c r="QAZ572" s="126"/>
      <c r="QBA572" s="126"/>
      <c r="QBB572" s="126"/>
      <c r="QBC572" s="126"/>
      <c r="QBD572" s="126"/>
      <c r="QBE572" s="126"/>
      <c r="QBF572" s="126"/>
      <c r="QBG572" s="126"/>
      <c r="QBH572" s="126"/>
      <c r="QBI572" s="126"/>
      <c r="QBJ572" s="126"/>
      <c r="QBK572" s="126"/>
      <c r="QBL572" s="126"/>
      <c r="QBM572" s="126"/>
      <c r="QBN572" s="126"/>
      <c r="QBO572" s="126"/>
      <c r="QBP572" s="126"/>
      <c r="QBQ572" s="126"/>
      <c r="QBR572" s="126"/>
      <c r="QBS572" s="126"/>
      <c r="QBT572" s="126"/>
      <c r="QBU572" s="126"/>
      <c r="QBV572" s="126"/>
      <c r="QBW572" s="126"/>
      <c r="QBX572" s="126"/>
      <c r="QBY572" s="126"/>
      <c r="QBZ572" s="126"/>
      <c r="QCA572" s="126"/>
      <c r="QCB572" s="126"/>
      <c r="QCC572" s="126"/>
      <c r="QCD572" s="126"/>
      <c r="QCE572" s="126"/>
      <c r="QCF572" s="126"/>
      <c r="QCG572" s="126"/>
      <c r="QCH572" s="126"/>
      <c r="QCI572" s="126"/>
      <c r="QCJ572" s="126"/>
      <c r="QCK572" s="126"/>
      <c r="QCL572" s="126"/>
      <c r="QCM572" s="126"/>
      <c r="QCN572" s="126"/>
      <c r="QCO572" s="126"/>
      <c r="QCP572" s="126"/>
      <c r="QCQ572" s="126"/>
      <c r="QCR572" s="126"/>
      <c r="QCS572" s="126"/>
      <c r="QCT572" s="126"/>
      <c r="QCU572" s="126"/>
      <c r="QCV572" s="126"/>
      <c r="QCW572" s="126"/>
      <c r="QCX572" s="126"/>
      <c r="QCY572" s="126"/>
      <c r="QCZ572" s="126"/>
      <c r="QDA572" s="126"/>
      <c r="QDB572" s="126"/>
      <c r="QDC572" s="126"/>
      <c r="QDD572" s="126"/>
      <c r="QDE572" s="126"/>
      <c r="QDF572" s="126"/>
      <c r="QDG572" s="126"/>
      <c r="QDH572" s="126"/>
      <c r="QDI572" s="126"/>
      <c r="QDJ572" s="126"/>
      <c r="QDK572" s="126"/>
      <c r="QDL572" s="126"/>
      <c r="QDM572" s="126"/>
      <c r="QDN572" s="126"/>
      <c r="QDO572" s="126"/>
      <c r="QDP572" s="126"/>
      <c r="QDQ572" s="126"/>
      <c r="QDR572" s="126"/>
      <c r="QDS572" s="126"/>
      <c r="QDT572" s="126"/>
      <c r="QDU572" s="126"/>
      <c r="QDV572" s="126"/>
      <c r="QDW572" s="126"/>
      <c r="QDX572" s="126"/>
      <c r="QDY572" s="126"/>
      <c r="QDZ572" s="126"/>
      <c r="QEA572" s="126"/>
      <c r="QEB572" s="126"/>
      <c r="QEC572" s="126"/>
      <c r="QED572" s="126"/>
      <c r="QEE572" s="126"/>
      <c r="QEF572" s="126"/>
      <c r="QEG572" s="126"/>
      <c r="QEH572" s="126"/>
      <c r="QEI572" s="126"/>
      <c r="QEJ572" s="126"/>
      <c r="QEK572" s="126"/>
      <c r="QEL572" s="126"/>
      <c r="QEM572" s="126"/>
      <c r="QEN572" s="126"/>
      <c r="QEO572" s="126"/>
      <c r="QEP572" s="126"/>
      <c r="QEQ572" s="126"/>
      <c r="QER572" s="126"/>
      <c r="QES572" s="126"/>
      <c r="QET572" s="126"/>
      <c r="QEU572" s="126"/>
      <c r="QEV572" s="126"/>
      <c r="QEW572" s="126"/>
      <c r="QEX572" s="126"/>
      <c r="QEY572" s="126"/>
      <c r="QEZ572" s="126"/>
      <c r="QFA572" s="126"/>
      <c r="QFB572" s="126"/>
      <c r="QFC572" s="126"/>
      <c r="QFD572" s="126"/>
      <c r="QFE572" s="126"/>
      <c r="QFF572" s="126"/>
      <c r="QFG572" s="126"/>
      <c r="QFH572" s="126"/>
      <c r="QFI572" s="126"/>
      <c r="QFJ572" s="126"/>
      <c r="QFK572" s="126"/>
      <c r="QFL572" s="126"/>
      <c r="QFM572" s="126"/>
      <c r="QFN572" s="126"/>
      <c r="QFO572" s="126"/>
      <c r="QFP572" s="126"/>
      <c r="QFQ572" s="126"/>
      <c r="QFR572" s="126"/>
      <c r="QFS572" s="126"/>
      <c r="QFT572" s="126"/>
      <c r="QFU572" s="126"/>
      <c r="QFV572" s="126"/>
      <c r="QFW572" s="126"/>
      <c r="QFX572" s="126"/>
      <c r="QFY572" s="126"/>
      <c r="QFZ572" s="126"/>
      <c r="QGA572" s="126"/>
      <c r="QGB572" s="126"/>
      <c r="QGC572" s="126"/>
      <c r="QGD572" s="126"/>
      <c r="QGE572" s="126"/>
      <c r="QGF572" s="126"/>
      <c r="QGG572" s="126"/>
      <c r="QGH572" s="126"/>
      <c r="QGI572" s="126"/>
      <c r="QGJ572" s="126"/>
      <c r="QGK572" s="126"/>
      <c r="QGL572" s="126"/>
      <c r="QGM572" s="126"/>
      <c r="QGN572" s="126"/>
      <c r="QGO572" s="126"/>
      <c r="QGP572" s="126"/>
      <c r="QGQ572" s="126"/>
      <c r="QGR572" s="126"/>
      <c r="QGS572" s="126"/>
      <c r="QGT572" s="126"/>
      <c r="QGU572" s="126"/>
      <c r="QGV572" s="126"/>
      <c r="QGW572" s="126"/>
      <c r="QGX572" s="126"/>
      <c r="QGY572" s="126"/>
      <c r="QGZ572" s="126"/>
      <c r="QHA572" s="126"/>
      <c r="QHB572" s="126"/>
      <c r="QHC572" s="126"/>
      <c r="QHD572" s="126"/>
      <c r="QHE572" s="126"/>
      <c r="QHF572" s="126"/>
      <c r="QHG572" s="126"/>
      <c r="QHH572" s="126"/>
      <c r="QHI572" s="126"/>
      <c r="QHJ572" s="126"/>
      <c r="QHK572" s="126"/>
      <c r="QHL572" s="126"/>
      <c r="QHM572" s="126"/>
      <c r="QHN572" s="126"/>
      <c r="QHO572" s="126"/>
      <c r="QHP572" s="126"/>
      <c r="QHQ572" s="126"/>
      <c r="QHR572" s="126"/>
      <c r="QHS572" s="126"/>
      <c r="QHT572" s="126"/>
      <c r="QHU572" s="126"/>
      <c r="QHV572" s="126"/>
      <c r="QHW572" s="126"/>
      <c r="QHX572" s="126"/>
      <c r="QHY572" s="126"/>
      <c r="QHZ572" s="126"/>
      <c r="QIA572" s="126"/>
      <c r="QIB572" s="126"/>
      <c r="QIC572" s="126"/>
      <c r="QID572" s="126"/>
      <c r="QIE572" s="126"/>
      <c r="QIF572" s="126"/>
      <c r="QIG572" s="126"/>
      <c r="QIH572" s="126"/>
      <c r="QII572" s="126"/>
      <c r="QIJ572" s="126"/>
      <c r="QIK572" s="126"/>
      <c r="QIL572" s="126"/>
      <c r="QIM572" s="126"/>
      <c r="QIN572" s="126"/>
      <c r="QIO572" s="126"/>
      <c r="QIP572" s="126"/>
      <c r="QIQ572" s="126"/>
      <c r="QIR572" s="126"/>
      <c r="QIS572" s="126"/>
      <c r="QIT572" s="126"/>
      <c r="QIU572" s="126"/>
      <c r="QIV572" s="126"/>
      <c r="QIW572" s="126"/>
      <c r="QIX572" s="126"/>
      <c r="QIY572" s="126"/>
      <c r="QIZ572" s="126"/>
      <c r="QJA572" s="126"/>
      <c r="QJB572" s="126"/>
      <c r="QJC572" s="126"/>
      <c r="QJD572" s="126"/>
      <c r="QJE572" s="126"/>
      <c r="QJF572" s="126"/>
      <c r="QJG572" s="126"/>
      <c r="QJH572" s="126"/>
      <c r="QJI572" s="126"/>
      <c r="QJJ572" s="126"/>
      <c r="QJK572" s="126"/>
      <c r="QJL572" s="126"/>
      <c r="QJM572" s="126"/>
      <c r="QJN572" s="126"/>
      <c r="QJO572" s="126"/>
      <c r="QJP572" s="126"/>
      <c r="QJQ572" s="126"/>
      <c r="QJR572" s="126"/>
      <c r="QJS572" s="126"/>
      <c r="QJT572" s="126"/>
      <c r="QJU572" s="126"/>
      <c r="QJV572" s="126"/>
      <c r="QJW572" s="126"/>
      <c r="QJX572" s="126"/>
      <c r="QJY572" s="126"/>
      <c r="QJZ572" s="126"/>
      <c r="QKA572" s="126"/>
      <c r="QKB572" s="126"/>
      <c r="QKC572" s="126"/>
      <c r="QKD572" s="126"/>
      <c r="QKE572" s="126"/>
      <c r="QKF572" s="126"/>
      <c r="QKG572" s="126"/>
      <c r="QKH572" s="126"/>
      <c r="QKI572" s="126"/>
      <c r="QKJ572" s="126"/>
      <c r="QKK572" s="126"/>
      <c r="QKL572" s="126"/>
      <c r="QKM572" s="126"/>
      <c r="QKN572" s="126"/>
      <c r="QKO572" s="126"/>
      <c r="QKP572" s="126"/>
      <c r="QKQ572" s="126"/>
      <c r="QKR572" s="126"/>
      <c r="QKS572" s="126"/>
      <c r="QKT572" s="126"/>
      <c r="QKU572" s="126"/>
      <c r="QKV572" s="126"/>
      <c r="QKW572" s="126"/>
      <c r="QKX572" s="126"/>
      <c r="QKY572" s="126"/>
      <c r="QKZ572" s="126"/>
      <c r="QLA572" s="126"/>
      <c r="QLB572" s="126"/>
      <c r="QLC572" s="126"/>
      <c r="QLD572" s="126"/>
      <c r="QLE572" s="126"/>
      <c r="QLF572" s="126"/>
      <c r="QLG572" s="126"/>
      <c r="QLH572" s="126"/>
      <c r="QLI572" s="126"/>
      <c r="QLJ572" s="126"/>
      <c r="QLK572" s="126"/>
      <c r="QLL572" s="126"/>
      <c r="QLM572" s="126"/>
      <c r="QLN572" s="126"/>
      <c r="QLO572" s="126"/>
      <c r="QLP572" s="126"/>
      <c r="QLQ572" s="126"/>
      <c r="QLR572" s="126"/>
      <c r="QLS572" s="126"/>
      <c r="QLT572" s="126"/>
      <c r="QLU572" s="126"/>
      <c r="QLV572" s="126"/>
      <c r="QLW572" s="126"/>
      <c r="QLX572" s="126"/>
      <c r="QLY572" s="126"/>
      <c r="QLZ572" s="126"/>
      <c r="QMA572" s="126"/>
      <c r="QMB572" s="126"/>
      <c r="QMC572" s="126"/>
      <c r="QMD572" s="126"/>
      <c r="QME572" s="126"/>
      <c r="QMF572" s="126"/>
      <c r="QMG572" s="126"/>
      <c r="QMH572" s="126"/>
      <c r="QMI572" s="126"/>
      <c r="QMJ572" s="126"/>
      <c r="QMK572" s="126"/>
      <c r="QML572" s="126"/>
      <c r="QMM572" s="126"/>
      <c r="QMN572" s="126"/>
      <c r="QMO572" s="126"/>
      <c r="QMP572" s="126"/>
      <c r="QMQ572" s="126"/>
      <c r="QMR572" s="126"/>
      <c r="QMS572" s="126"/>
      <c r="QMT572" s="126"/>
      <c r="QMU572" s="126"/>
      <c r="QMV572" s="126"/>
      <c r="QMW572" s="126"/>
      <c r="QMX572" s="126"/>
      <c r="QMY572" s="126"/>
      <c r="QMZ572" s="126"/>
      <c r="QNA572" s="126"/>
      <c r="QNB572" s="126"/>
      <c r="QNC572" s="126"/>
      <c r="QND572" s="126"/>
      <c r="QNE572" s="126"/>
      <c r="QNF572" s="126"/>
      <c r="QNG572" s="126"/>
      <c r="QNH572" s="126"/>
      <c r="QNI572" s="126"/>
      <c r="QNJ572" s="126"/>
      <c r="QNK572" s="126"/>
      <c r="QNL572" s="126"/>
      <c r="QNM572" s="126"/>
      <c r="QNN572" s="126"/>
      <c r="QNO572" s="126"/>
      <c r="QNP572" s="126"/>
      <c r="QNQ572" s="126"/>
      <c r="QNR572" s="126"/>
      <c r="QNS572" s="126"/>
      <c r="QNT572" s="126"/>
      <c r="QNU572" s="126"/>
      <c r="QNV572" s="126"/>
      <c r="QNW572" s="126"/>
      <c r="QNX572" s="126"/>
      <c r="QNY572" s="126"/>
      <c r="QNZ572" s="126"/>
      <c r="QOA572" s="126"/>
      <c r="QOB572" s="126"/>
      <c r="QOC572" s="126"/>
      <c r="QOD572" s="126"/>
      <c r="QOE572" s="126"/>
      <c r="QOF572" s="126"/>
      <c r="QOG572" s="126"/>
      <c r="QOH572" s="126"/>
      <c r="QOI572" s="126"/>
      <c r="QOJ572" s="126"/>
      <c r="QOK572" s="126"/>
      <c r="QOL572" s="126"/>
      <c r="QOM572" s="126"/>
      <c r="QON572" s="126"/>
      <c r="QOO572" s="126"/>
      <c r="QOP572" s="126"/>
      <c r="QOQ572" s="126"/>
      <c r="QOR572" s="126"/>
      <c r="QOS572" s="126"/>
      <c r="QOT572" s="126"/>
      <c r="QOU572" s="126"/>
      <c r="QOV572" s="126"/>
      <c r="QOW572" s="126"/>
      <c r="QOX572" s="126"/>
      <c r="QOY572" s="126"/>
      <c r="QOZ572" s="126"/>
      <c r="QPA572" s="126"/>
      <c r="QPB572" s="126"/>
      <c r="QPC572" s="126"/>
      <c r="QPD572" s="126"/>
      <c r="QPE572" s="126"/>
      <c r="QPF572" s="126"/>
      <c r="QPG572" s="126"/>
      <c r="QPH572" s="126"/>
      <c r="QPI572" s="126"/>
      <c r="QPJ572" s="126"/>
      <c r="QPK572" s="126"/>
      <c r="QPL572" s="126"/>
      <c r="QPM572" s="126"/>
      <c r="QPN572" s="126"/>
      <c r="QPO572" s="126"/>
      <c r="QPP572" s="126"/>
      <c r="QPQ572" s="126"/>
      <c r="QPR572" s="126"/>
      <c r="QPS572" s="126"/>
      <c r="QPT572" s="126"/>
      <c r="QPU572" s="126"/>
      <c r="QPV572" s="126"/>
      <c r="QPW572" s="126"/>
      <c r="QPX572" s="126"/>
      <c r="QPY572" s="126"/>
      <c r="QPZ572" s="126"/>
      <c r="QQA572" s="126"/>
      <c r="QQB572" s="126"/>
      <c r="QQC572" s="126"/>
      <c r="QQD572" s="126"/>
      <c r="QQE572" s="126"/>
      <c r="QQF572" s="126"/>
      <c r="QQG572" s="126"/>
      <c r="QQH572" s="126"/>
      <c r="QQI572" s="126"/>
      <c r="QQJ572" s="126"/>
      <c r="QQK572" s="126"/>
      <c r="QQL572" s="126"/>
      <c r="QQM572" s="126"/>
      <c r="QQN572" s="126"/>
      <c r="QQO572" s="126"/>
      <c r="QQP572" s="126"/>
      <c r="QQQ572" s="126"/>
      <c r="QQR572" s="126"/>
      <c r="QQS572" s="126"/>
      <c r="QQT572" s="126"/>
      <c r="QQU572" s="126"/>
      <c r="QQV572" s="126"/>
      <c r="QQW572" s="126"/>
      <c r="QQX572" s="126"/>
      <c r="QQY572" s="126"/>
      <c r="QQZ572" s="126"/>
      <c r="QRA572" s="126"/>
      <c r="QRB572" s="126"/>
      <c r="QRC572" s="126"/>
      <c r="QRD572" s="126"/>
      <c r="QRE572" s="126"/>
      <c r="QRF572" s="126"/>
      <c r="QRG572" s="126"/>
      <c r="QRH572" s="126"/>
      <c r="QRI572" s="126"/>
      <c r="QRJ572" s="126"/>
      <c r="QRK572" s="126"/>
      <c r="QRL572" s="126"/>
      <c r="QRM572" s="126"/>
      <c r="QRN572" s="126"/>
      <c r="QRO572" s="126"/>
      <c r="QRP572" s="126"/>
      <c r="QRQ572" s="126"/>
      <c r="QRR572" s="126"/>
      <c r="QRS572" s="126"/>
      <c r="QRT572" s="126"/>
      <c r="QRU572" s="126"/>
      <c r="QRV572" s="126"/>
      <c r="QRW572" s="126"/>
      <c r="QRX572" s="126"/>
      <c r="QRY572" s="126"/>
      <c r="QRZ572" s="126"/>
      <c r="QSA572" s="126"/>
      <c r="QSB572" s="126"/>
      <c r="QSC572" s="126"/>
      <c r="QSD572" s="126"/>
      <c r="QSE572" s="126"/>
      <c r="QSF572" s="126"/>
      <c r="QSG572" s="126"/>
      <c r="QSH572" s="126"/>
      <c r="QSI572" s="126"/>
      <c r="QSJ572" s="126"/>
      <c r="QSK572" s="126"/>
      <c r="QSL572" s="126"/>
      <c r="QSM572" s="126"/>
      <c r="QSN572" s="126"/>
      <c r="QSO572" s="126"/>
      <c r="QSP572" s="126"/>
      <c r="QSQ572" s="126"/>
      <c r="QSR572" s="126"/>
      <c r="QSS572" s="126"/>
      <c r="QST572" s="126"/>
      <c r="QSU572" s="126"/>
      <c r="QSV572" s="126"/>
      <c r="QSW572" s="126"/>
      <c r="QSX572" s="126"/>
      <c r="QSY572" s="126"/>
      <c r="QSZ572" s="126"/>
      <c r="QTA572" s="126"/>
      <c r="QTB572" s="126"/>
      <c r="QTC572" s="126"/>
      <c r="QTD572" s="126"/>
      <c r="QTE572" s="126"/>
      <c r="QTF572" s="126"/>
      <c r="QTG572" s="126"/>
      <c r="QTH572" s="126"/>
      <c r="QTI572" s="126"/>
      <c r="QTJ572" s="126"/>
      <c r="QTK572" s="126"/>
      <c r="QTL572" s="126"/>
      <c r="QTM572" s="126"/>
      <c r="QTN572" s="126"/>
      <c r="QTO572" s="126"/>
      <c r="QTP572" s="126"/>
      <c r="QTQ572" s="126"/>
      <c r="QTR572" s="126"/>
      <c r="QTS572" s="126"/>
      <c r="QTT572" s="126"/>
      <c r="QTU572" s="126"/>
      <c r="QTV572" s="126"/>
      <c r="QTW572" s="126"/>
      <c r="QTX572" s="126"/>
      <c r="QTY572" s="126"/>
      <c r="QTZ572" s="126"/>
      <c r="QUA572" s="126"/>
      <c r="QUB572" s="126"/>
      <c r="QUC572" s="126"/>
      <c r="QUD572" s="126"/>
      <c r="QUE572" s="126"/>
      <c r="QUF572" s="126"/>
      <c r="QUG572" s="126"/>
      <c r="QUH572" s="126"/>
      <c r="QUI572" s="126"/>
      <c r="QUJ572" s="126"/>
      <c r="QUK572" s="126"/>
      <c r="QUL572" s="126"/>
      <c r="QUM572" s="126"/>
      <c r="QUN572" s="126"/>
      <c r="QUO572" s="126"/>
      <c r="QUP572" s="126"/>
      <c r="QUQ572" s="126"/>
      <c r="QUR572" s="126"/>
      <c r="QUS572" s="126"/>
      <c r="QUT572" s="126"/>
      <c r="QUU572" s="126"/>
      <c r="QUV572" s="126"/>
      <c r="QUW572" s="126"/>
      <c r="QUX572" s="126"/>
      <c r="QUY572" s="126"/>
      <c r="QUZ572" s="126"/>
      <c r="QVA572" s="126"/>
      <c r="QVB572" s="126"/>
      <c r="QVC572" s="126"/>
      <c r="QVD572" s="126"/>
      <c r="QVE572" s="126"/>
      <c r="QVF572" s="126"/>
      <c r="QVG572" s="126"/>
      <c r="QVH572" s="126"/>
      <c r="QVI572" s="126"/>
      <c r="QVJ572" s="126"/>
      <c r="QVK572" s="126"/>
      <c r="QVL572" s="126"/>
      <c r="QVM572" s="126"/>
      <c r="QVN572" s="126"/>
      <c r="QVO572" s="126"/>
      <c r="QVP572" s="126"/>
      <c r="QVQ572" s="126"/>
      <c r="QVR572" s="126"/>
      <c r="QVS572" s="126"/>
      <c r="QVT572" s="126"/>
      <c r="QVU572" s="126"/>
      <c r="QVV572" s="126"/>
      <c r="QVW572" s="126"/>
      <c r="QVX572" s="126"/>
      <c r="QVY572" s="126"/>
      <c r="QVZ572" s="126"/>
      <c r="QWA572" s="126"/>
      <c r="QWB572" s="126"/>
      <c r="QWC572" s="126"/>
      <c r="QWD572" s="126"/>
      <c r="QWE572" s="126"/>
      <c r="QWF572" s="126"/>
      <c r="QWG572" s="126"/>
      <c r="QWH572" s="126"/>
      <c r="QWI572" s="126"/>
      <c r="QWJ572" s="126"/>
      <c r="QWK572" s="126"/>
      <c r="QWL572" s="126"/>
      <c r="QWM572" s="126"/>
      <c r="QWN572" s="126"/>
      <c r="QWO572" s="126"/>
      <c r="QWP572" s="126"/>
      <c r="QWQ572" s="126"/>
      <c r="QWR572" s="126"/>
      <c r="QWS572" s="126"/>
      <c r="QWT572" s="126"/>
      <c r="QWU572" s="126"/>
      <c r="QWV572" s="126"/>
      <c r="QWW572" s="126"/>
      <c r="QWX572" s="126"/>
      <c r="QWY572" s="126"/>
      <c r="QWZ572" s="126"/>
      <c r="QXA572" s="126"/>
      <c r="QXB572" s="126"/>
      <c r="QXC572" s="126"/>
      <c r="QXD572" s="126"/>
      <c r="QXE572" s="126"/>
      <c r="QXF572" s="126"/>
      <c r="QXG572" s="126"/>
      <c r="QXH572" s="126"/>
      <c r="QXI572" s="126"/>
      <c r="QXJ572" s="126"/>
      <c r="QXK572" s="126"/>
      <c r="QXL572" s="126"/>
      <c r="QXM572" s="126"/>
      <c r="QXN572" s="126"/>
      <c r="QXO572" s="126"/>
      <c r="QXP572" s="126"/>
      <c r="QXQ572" s="126"/>
      <c r="QXR572" s="126"/>
      <c r="QXS572" s="126"/>
      <c r="QXT572" s="126"/>
      <c r="QXU572" s="126"/>
      <c r="QXV572" s="126"/>
      <c r="QXW572" s="126"/>
      <c r="QXX572" s="126"/>
      <c r="QXY572" s="126"/>
      <c r="QXZ572" s="126"/>
      <c r="QYA572" s="126"/>
      <c r="QYB572" s="126"/>
      <c r="QYC572" s="126"/>
      <c r="QYD572" s="126"/>
      <c r="QYE572" s="126"/>
      <c r="QYF572" s="126"/>
      <c r="QYG572" s="126"/>
      <c r="QYH572" s="126"/>
      <c r="QYI572" s="126"/>
      <c r="QYJ572" s="126"/>
      <c r="QYK572" s="126"/>
      <c r="QYL572" s="126"/>
      <c r="QYM572" s="126"/>
      <c r="QYN572" s="126"/>
      <c r="QYO572" s="126"/>
      <c r="QYP572" s="126"/>
      <c r="QYQ572" s="126"/>
      <c r="QYR572" s="126"/>
      <c r="QYS572" s="126"/>
      <c r="QYT572" s="126"/>
      <c r="QYU572" s="126"/>
      <c r="QYV572" s="126"/>
      <c r="QYW572" s="126"/>
      <c r="QYX572" s="126"/>
      <c r="QYY572" s="126"/>
      <c r="QYZ572" s="126"/>
      <c r="QZA572" s="126"/>
      <c r="QZB572" s="126"/>
      <c r="QZC572" s="126"/>
      <c r="QZD572" s="126"/>
      <c r="QZE572" s="126"/>
      <c r="QZF572" s="126"/>
      <c r="QZG572" s="126"/>
      <c r="QZH572" s="126"/>
      <c r="QZI572" s="126"/>
      <c r="QZJ572" s="126"/>
      <c r="QZK572" s="126"/>
      <c r="QZL572" s="126"/>
      <c r="QZM572" s="126"/>
      <c r="QZN572" s="126"/>
      <c r="QZO572" s="126"/>
      <c r="QZP572" s="126"/>
      <c r="QZQ572" s="126"/>
      <c r="QZR572" s="126"/>
      <c r="QZS572" s="126"/>
      <c r="QZT572" s="126"/>
      <c r="QZU572" s="126"/>
      <c r="QZV572" s="126"/>
      <c r="QZW572" s="126"/>
      <c r="QZX572" s="126"/>
      <c r="QZY572" s="126"/>
      <c r="QZZ572" s="126"/>
      <c r="RAA572" s="126"/>
      <c r="RAB572" s="126"/>
      <c r="RAC572" s="126"/>
      <c r="RAD572" s="126"/>
      <c r="RAE572" s="126"/>
      <c r="RAF572" s="126"/>
      <c r="RAG572" s="126"/>
      <c r="RAH572" s="126"/>
      <c r="RAI572" s="126"/>
      <c r="RAJ572" s="126"/>
      <c r="RAK572" s="126"/>
      <c r="RAL572" s="126"/>
      <c r="RAM572" s="126"/>
      <c r="RAN572" s="126"/>
      <c r="RAO572" s="126"/>
      <c r="RAP572" s="126"/>
      <c r="RAQ572" s="126"/>
      <c r="RAR572" s="126"/>
      <c r="RAS572" s="126"/>
      <c r="RAT572" s="126"/>
      <c r="RAU572" s="126"/>
      <c r="RAV572" s="126"/>
      <c r="RAW572" s="126"/>
      <c r="RAX572" s="126"/>
      <c r="RAY572" s="126"/>
      <c r="RAZ572" s="126"/>
      <c r="RBA572" s="126"/>
      <c r="RBB572" s="126"/>
      <c r="RBC572" s="126"/>
      <c r="RBD572" s="126"/>
      <c r="RBE572" s="126"/>
      <c r="RBF572" s="126"/>
      <c r="RBG572" s="126"/>
      <c r="RBH572" s="126"/>
      <c r="RBI572" s="126"/>
      <c r="RBJ572" s="126"/>
      <c r="RBK572" s="126"/>
      <c r="RBL572" s="126"/>
      <c r="RBM572" s="126"/>
      <c r="RBN572" s="126"/>
      <c r="RBO572" s="126"/>
      <c r="RBP572" s="126"/>
      <c r="RBQ572" s="126"/>
      <c r="RBR572" s="126"/>
      <c r="RBS572" s="126"/>
      <c r="RBT572" s="126"/>
      <c r="RBU572" s="126"/>
      <c r="RBV572" s="126"/>
      <c r="RBW572" s="126"/>
      <c r="RBX572" s="126"/>
      <c r="RBY572" s="126"/>
      <c r="RBZ572" s="126"/>
      <c r="RCA572" s="126"/>
      <c r="RCB572" s="126"/>
      <c r="RCC572" s="126"/>
      <c r="RCD572" s="126"/>
      <c r="RCE572" s="126"/>
      <c r="RCF572" s="126"/>
      <c r="RCG572" s="126"/>
      <c r="RCH572" s="126"/>
      <c r="RCI572" s="126"/>
      <c r="RCJ572" s="126"/>
      <c r="RCK572" s="126"/>
      <c r="RCL572" s="126"/>
      <c r="RCM572" s="126"/>
      <c r="RCN572" s="126"/>
      <c r="RCO572" s="126"/>
      <c r="RCP572" s="126"/>
      <c r="RCQ572" s="126"/>
      <c r="RCR572" s="126"/>
      <c r="RCS572" s="126"/>
      <c r="RCT572" s="126"/>
      <c r="RCU572" s="126"/>
      <c r="RCV572" s="126"/>
      <c r="RCW572" s="126"/>
      <c r="RCX572" s="126"/>
      <c r="RCY572" s="126"/>
      <c r="RCZ572" s="126"/>
      <c r="RDA572" s="126"/>
      <c r="RDB572" s="126"/>
      <c r="RDC572" s="126"/>
      <c r="RDD572" s="126"/>
      <c r="RDE572" s="126"/>
      <c r="RDF572" s="126"/>
      <c r="RDG572" s="126"/>
      <c r="RDH572" s="126"/>
      <c r="RDI572" s="126"/>
      <c r="RDJ572" s="126"/>
      <c r="RDK572" s="126"/>
      <c r="RDL572" s="126"/>
      <c r="RDM572" s="126"/>
      <c r="RDN572" s="126"/>
      <c r="RDO572" s="126"/>
      <c r="RDP572" s="126"/>
      <c r="RDQ572" s="126"/>
      <c r="RDR572" s="126"/>
      <c r="RDS572" s="126"/>
      <c r="RDT572" s="126"/>
      <c r="RDU572" s="126"/>
      <c r="RDV572" s="126"/>
      <c r="RDW572" s="126"/>
      <c r="RDX572" s="126"/>
      <c r="RDY572" s="126"/>
      <c r="RDZ572" s="126"/>
      <c r="REA572" s="126"/>
      <c r="REB572" s="126"/>
      <c r="REC572" s="126"/>
      <c r="RED572" s="126"/>
      <c r="REE572" s="126"/>
      <c r="REF572" s="126"/>
      <c r="REG572" s="126"/>
      <c r="REH572" s="126"/>
      <c r="REI572" s="126"/>
      <c r="REJ572" s="126"/>
      <c r="REK572" s="126"/>
      <c r="REL572" s="126"/>
      <c r="REM572" s="126"/>
      <c r="REN572" s="126"/>
      <c r="REO572" s="126"/>
      <c r="REP572" s="126"/>
      <c r="REQ572" s="126"/>
      <c r="RER572" s="126"/>
      <c r="RES572" s="126"/>
      <c r="RET572" s="126"/>
      <c r="REU572" s="126"/>
      <c r="REV572" s="126"/>
      <c r="REW572" s="126"/>
      <c r="REX572" s="126"/>
      <c r="REY572" s="126"/>
      <c r="REZ572" s="126"/>
      <c r="RFA572" s="126"/>
      <c r="RFB572" s="126"/>
      <c r="RFC572" s="126"/>
      <c r="RFD572" s="126"/>
      <c r="RFE572" s="126"/>
      <c r="RFF572" s="126"/>
      <c r="RFG572" s="126"/>
      <c r="RFH572" s="126"/>
      <c r="RFI572" s="126"/>
      <c r="RFJ572" s="126"/>
      <c r="RFK572" s="126"/>
      <c r="RFL572" s="126"/>
      <c r="RFM572" s="126"/>
      <c r="RFN572" s="126"/>
      <c r="RFO572" s="126"/>
      <c r="RFP572" s="126"/>
      <c r="RFQ572" s="126"/>
      <c r="RFR572" s="126"/>
      <c r="RFS572" s="126"/>
      <c r="RFT572" s="126"/>
      <c r="RFU572" s="126"/>
      <c r="RFV572" s="126"/>
      <c r="RFW572" s="126"/>
      <c r="RFX572" s="126"/>
      <c r="RFY572" s="126"/>
      <c r="RFZ572" s="126"/>
      <c r="RGA572" s="126"/>
      <c r="RGB572" s="126"/>
      <c r="RGC572" s="126"/>
      <c r="RGD572" s="126"/>
      <c r="RGE572" s="126"/>
      <c r="RGF572" s="126"/>
      <c r="RGG572" s="126"/>
      <c r="RGH572" s="126"/>
      <c r="RGI572" s="126"/>
      <c r="RGJ572" s="126"/>
      <c r="RGK572" s="126"/>
      <c r="RGL572" s="126"/>
      <c r="RGM572" s="126"/>
      <c r="RGN572" s="126"/>
      <c r="RGO572" s="126"/>
      <c r="RGP572" s="126"/>
      <c r="RGQ572" s="126"/>
      <c r="RGR572" s="126"/>
      <c r="RGS572" s="126"/>
      <c r="RGT572" s="126"/>
      <c r="RGU572" s="126"/>
      <c r="RGV572" s="126"/>
      <c r="RGW572" s="126"/>
      <c r="RGX572" s="126"/>
      <c r="RGY572" s="126"/>
      <c r="RGZ572" s="126"/>
      <c r="RHA572" s="126"/>
      <c r="RHB572" s="126"/>
      <c r="RHC572" s="126"/>
      <c r="RHD572" s="126"/>
      <c r="RHE572" s="126"/>
      <c r="RHF572" s="126"/>
      <c r="RHG572" s="126"/>
      <c r="RHH572" s="126"/>
      <c r="RHI572" s="126"/>
      <c r="RHJ572" s="126"/>
      <c r="RHK572" s="126"/>
      <c r="RHL572" s="126"/>
      <c r="RHM572" s="126"/>
      <c r="RHN572" s="126"/>
      <c r="RHO572" s="126"/>
      <c r="RHP572" s="126"/>
      <c r="RHQ572" s="126"/>
      <c r="RHR572" s="126"/>
      <c r="RHS572" s="126"/>
      <c r="RHT572" s="126"/>
      <c r="RHU572" s="126"/>
      <c r="RHV572" s="126"/>
      <c r="RHW572" s="126"/>
      <c r="RHX572" s="126"/>
      <c r="RHY572" s="126"/>
      <c r="RHZ572" s="126"/>
      <c r="RIA572" s="126"/>
      <c r="RIB572" s="126"/>
      <c r="RIC572" s="126"/>
      <c r="RID572" s="126"/>
      <c r="RIE572" s="126"/>
      <c r="RIF572" s="126"/>
      <c r="RIG572" s="126"/>
      <c r="RIH572" s="126"/>
      <c r="RII572" s="126"/>
      <c r="RIJ572" s="126"/>
      <c r="RIK572" s="126"/>
      <c r="RIL572" s="126"/>
      <c r="RIM572" s="126"/>
      <c r="RIN572" s="126"/>
      <c r="RIO572" s="126"/>
      <c r="RIP572" s="126"/>
      <c r="RIQ572" s="126"/>
      <c r="RIR572" s="126"/>
      <c r="RIS572" s="126"/>
      <c r="RIT572" s="126"/>
      <c r="RIU572" s="126"/>
      <c r="RIV572" s="126"/>
      <c r="RIW572" s="126"/>
      <c r="RIX572" s="126"/>
      <c r="RIY572" s="126"/>
      <c r="RIZ572" s="126"/>
      <c r="RJA572" s="126"/>
      <c r="RJB572" s="126"/>
      <c r="RJC572" s="126"/>
      <c r="RJD572" s="126"/>
      <c r="RJE572" s="126"/>
      <c r="RJF572" s="126"/>
      <c r="RJG572" s="126"/>
      <c r="RJH572" s="126"/>
      <c r="RJI572" s="126"/>
      <c r="RJJ572" s="126"/>
      <c r="RJK572" s="126"/>
      <c r="RJL572" s="126"/>
      <c r="RJM572" s="126"/>
      <c r="RJN572" s="126"/>
      <c r="RJO572" s="126"/>
      <c r="RJP572" s="126"/>
      <c r="RJQ572" s="126"/>
      <c r="RJR572" s="126"/>
      <c r="RJS572" s="126"/>
      <c r="RJT572" s="126"/>
      <c r="RJU572" s="126"/>
      <c r="RJV572" s="126"/>
      <c r="RJW572" s="126"/>
      <c r="RJX572" s="126"/>
      <c r="RJY572" s="126"/>
      <c r="RJZ572" s="126"/>
      <c r="RKA572" s="126"/>
      <c r="RKB572" s="126"/>
      <c r="RKC572" s="126"/>
      <c r="RKD572" s="126"/>
      <c r="RKE572" s="126"/>
      <c r="RKF572" s="126"/>
      <c r="RKG572" s="126"/>
      <c r="RKH572" s="126"/>
      <c r="RKI572" s="126"/>
      <c r="RKJ572" s="126"/>
      <c r="RKK572" s="126"/>
      <c r="RKL572" s="126"/>
      <c r="RKM572" s="126"/>
      <c r="RKN572" s="126"/>
      <c r="RKO572" s="126"/>
      <c r="RKP572" s="126"/>
      <c r="RKQ572" s="126"/>
      <c r="RKR572" s="126"/>
      <c r="RKS572" s="126"/>
      <c r="RKT572" s="126"/>
      <c r="RKU572" s="126"/>
      <c r="RKV572" s="126"/>
      <c r="RKW572" s="126"/>
      <c r="RKX572" s="126"/>
      <c r="RKY572" s="126"/>
      <c r="RKZ572" s="126"/>
      <c r="RLA572" s="126"/>
      <c r="RLB572" s="126"/>
      <c r="RLC572" s="126"/>
      <c r="RLD572" s="126"/>
      <c r="RLE572" s="126"/>
      <c r="RLF572" s="126"/>
      <c r="RLG572" s="126"/>
      <c r="RLH572" s="126"/>
      <c r="RLI572" s="126"/>
      <c r="RLJ572" s="126"/>
      <c r="RLK572" s="126"/>
      <c r="RLL572" s="126"/>
      <c r="RLM572" s="126"/>
      <c r="RLN572" s="126"/>
      <c r="RLO572" s="126"/>
      <c r="RLP572" s="126"/>
      <c r="RLQ572" s="126"/>
      <c r="RLR572" s="126"/>
      <c r="RLS572" s="126"/>
      <c r="RLT572" s="126"/>
      <c r="RLU572" s="126"/>
      <c r="RLV572" s="126"/>
      <c r="RLW572" s="126"/>
      <c r="RLX572" s="126"/>
      <c r="RLY572" s="126"/>
      <c r="RLZ572" s="126"/>
      <c r="RMA572" s="126"/>
      <c r="RMB572" s="126"/>
      <c r="RMC572" s="126"/>
      <c r="RMD572" s="126"/>
      <c r="RME572" s="126"/>
      <c r="RMF572" s="126"/>
      <c r="RMG572" s="126"/>
      <c r="RMH572" s="126"/>
      <c r="RMI572" s="126"/>
      <c r="RMJ572" s="126"/>
      <c r="RMK572" s="126"/>
      <c r="RML572" s="126"/>
      <c r="RMM572" s="126"/>
      <c r="RMN572" s="126"/>
      <c r="RMO572" s="126"/>
      <c r="RMP572" s="126"/>
      <c r="RMQ572" s="126"/>
      <c r="RMR572" s="126"/>
      <c r="RMS572" s="126"/>
      <c r="RMT572" s="126"/>
      <c r="RMU572" s="126"/>
      <c r="RMV572" s="126"/>
      <c r="RMW572" s="126"/>
      <c r="RMX572" s="126"/>
      <c r="RMY572" s="126"/>
      <c r="RMZ572" s="126"/>
      <c r="RNA572" s="126"/>
      <c r="RNB572" s="126"/>
      <c r="RNC572" s="126"/>
      <c r="RND572" s="126"/>
      <c r="RNE572" s="126"/>
      <c r="RNF572" s="126"/>
      <c r="RNG572" s="126"/>
      <c r="RNH572" s="126"/>
      <c r="RNI572" s="126"/>
      <c r="RNJ572" s="126"/>
      <c r="RNK572" s="126"/>
      <c r="RNL572" s="126"/>
      <c r="RNM572" s="126"/>
      <c r="RNN572" s="126"/>
      <c r="RNO572" s="126"/>
      <c r="RNP572" s="126"/>
      <c r="RNQ572" s="126"/>
      <c r="RNR572" s="126"/>
      <c r="RNS572" s="126"/>
      <c r="RNT572" s="126"/>
      <c r="RNU572" s="126"/>
      <c r="RNV572" s="126"/>
      <c r="RNW572" s="126"/>
      <c r="RNX572" s="126"/>
      <c r="RNY572" s="126"/>
      <c r="RNZ572" s="126"/>
      <c r="ROA572" s="126"/>
      <c r="ROB572" s="126"/>
      <c r="ROC572" s="126"/>
      <c r="ROD572" s="126"/>
      <c r="ROE572" s="126"/>
      <c r="ROF572" s="126"/>
      <c r="ROG572" s="126"/>
      <c r="ROH572" s="126"/>
      <c r="ROI572" s="126"/>
      <c r="ROJ572" s="126"/>
      <c r="ROK572" s="126"/>
      <c r="ROL572" s="126"/>
      <c r="ROM572" s="126"/>
      <c r="RON572" s="126"/>
      <c r="ROO572" s="126"/>
      <c r="ROP572" s="126"/>
      <c r="ROQ572" s="126"/>
      <c r="ROR572" s="126"/>
      <c r="ROS572" s="126"/>
      <c r="ROT572" s="126"/>
      <c r="ROU572" s="126"/>
      <c r="ROV572" s="126"/>
      <c r="ROW572" s="126"/>
      <c r="ROX572" s="126"/>
      <c r="ROY572" s="126"/>
      <c r="ROZ572" s="126"/>
      <c r="RPA572" s="126"/>
      <c r="RPB572" s="126"/>
      <c r="RPC572" s="126"/>
      <c r="RPD572" s="126"/>
      <c r="RPE572" s="126"/>
      <c r="RPF572" s="126"/>
      <c r="RPG572" s="126"/>
      <c r="RPH572" s="126"/>
      <c r="RPI572" s="126"/>
      <c r="RPJ572" s="126"/>
      <c r="RPK572" s="126"/>
      <c r="RPL572" s="126"/>
      <c r="RPM572" s="126"/>
      <c r="RPN572" s="126"/>
      <c r="RPO572" s="126"/>
      <c r="RPP572" s="126"/>
      <c r="RPQ572" s="126"/>
      <c r="RPR572" s="126"/>
      <c r="RPS572" s="126"/>
      <c r="RPT572" s="126"/>
      <c r="RPU572" s="126"/>
      <c r="RPV572" s="126"/>
      <c r="RPW572" s="126"/>
      <c r="RPX572" s="126"/>
      <c r="RPY572" s="126"/>
      <c r="RPZ572" s="126"/>
      <c r="RQA572" s="126"/>
      <c r="RQB572" s="126"/>
      <c r="RQC572" s="126"/>
      <c r="RQD572" s="126"/>
      <c r="RQE572" s="126"/>
      <c r="RQF572" s="126"/>
      <c r="RQG572" s="126"/>
      <c r="RQH572" s="126"/>
      <c r="RQI572" s="126"/>
      <c r="RQJ572" s="126"/>
      <c r="RQK572" s="126"/>
      <c r="RQL572" s="126"/>
      <c r="RQM572" s="126"/>
      <c r="RQN572" s="126"/>
      <c r="RQO572" s="126"/>
      <c r="RQP572" s="126"/>
      <c r="RQQ572" s="126"/>
      <c r="RQR572" s="126"/>
      <c r="RQS572" s="126"/>
      <c r="RQT572" s="126"/>
      <c r="RQU572" s="126"/>
      <c r="RQV572" s="126"/>
      <c r="RQW572" s="126"/>
      <c r="RQX572" s="126"/>
      <c r="RQY572" s="126"/>
      <c r="RQZ572" s="126"/>
      <c r="RRA572" s="126"/>
      <c r="RRB572" s="126"/>
      <c r="RRC572" s="126"/>
      <c r="RRD572" s="126"/>
      <c r="RRE572" s="126"/>
      <c r="RRF572" s="126"/>
      <c r="RRG572" s="126"/>
      <c r="RRH572" s="126"/>
      <c r="RRI572" s="126"/>
      <c r="RRJ572" s="126"/>
      <c r="RRK572" s="126"/>
      <c r="RRL572" s="126"/>
      <c r="RRM572" s="126"/>
      <c r="RRN572" s="126"/>
      <c r="RRO572" s="126"/>
      <c r="RRP572" s="126"/>
      <c r="RRQ572" s="126"/>
      <c r="RRR572" s="126"/>
      <c r="RRS572" s="126"/>
      <c r="RRT572" s="126"/>
      <c r="RRU572" s="126"/>
      <c r="RRV572" s="126"/>
      <c r="RRW572" s="126"/>
      <c r="RRX572" s="126"/>
      <c r="RRY572" s="126"/>
      <c r="RRZ572" s="126"/>
      <c r="RSA572" s="126"/>
      <c r="RSB572" s="126"/>
      <c r="RSC572" s="126"/>
      <c r="RSD572" s="126"/>
      <c r="RSE572" s="126"/>
      <c r="RSF572" s="126"/>
      <c r="RSG572" s="126"/>
      <c r="RSH572" s="126"/>
      <c r="RSI572" s="126"/>
      <c r="RSJ572" s="126"/>
      <c r="RSK572" s="126"/>
      <c r="RSL572" s="126"/>
      <c r="RSM572" s="126"/>
      <c r="RSN572" s="126"/>
      <c r="RSO572" s="126"/>
      <c r="RSP572" s="126"/>
      <c r="RSQ572" s="126"/>
      <c r="RSR572" s="126"/>
      <c r="RSS572" s="126"/>
      <c r="RST572" s="126"/>
      <c r="RSU572" s="126"/>
      <c r="RSV572" s="126"/>
      <c r="RSW572" s="126"/>
      <c r="RSX572" s="126"/>
      <c r="RSY572" s="126"/>
      <c r="RSZ572" s="126"/>
      <c r="RTA572" s="126"/>
      <c r="RTB572" s="126"/>
      <c r="RTC572" s="126"/>
      <c r="RTD572" s="126"/>
      <c r="RTE572" s="126"/>
      <c r="RTF572" s="126"/>
      <c r="RTG572" s="126"/>
      <c r="RTH572" s="126"/>
      <c r="RTI572" s="126"/>
      <c r="RTJ572" s="126"/>
      <c r="RTK572" s="126"/>
      <c r="RTL572" s="126"/>
      <c r="RTM572" s="126"/>
      <c r="RTN572" s="126"/>
      <c r="RTO572" s="126"/>
      <c r="RTP572" s="126"/>
      <c r="RTQ572" s="126"/>
      <c r="RTR572" s="126"/>
      <c r="RTS572" s="126"/>
      <c r="RTT572" s="126"/>
      <c r="RTU572" s="126"/>
      <c r="RTV572" s="126"/>
      <c r="RTW572" s="126"/>
      <c r="RTX572" s="126"/>
      <c r="RTY572" s="126"/>
      <c r="RTZ572" s="126"/>
      <c r="RUA572" s="126"/>
      <c r="RUB572" s="126"/>
      <c r="RUC572" s="126"/>
      <c r="RUD572" s="126"/>
      <c r="RUE572" s="126"/>
      <c r="RUF572" s="126"/>
      <c r="RUG572" s="126"/>
      <c r="RUH572" s="126"/>
      <c r="RUI572" s="126"/>
      <c r="RUJ572" s="126"/>
      <c r="RUK572" s="126"/>
      <c r="RUL572" s="126"/>
      <c r="RUM572" s="126"/>
      <c r="RUN572" s="126"/>
      <c r="RUO572" s="126"/>
      <c r="RUP572" s="126"/>
      <c r="RUQ572" s="126"/>
      <c r="RUR572" s="126"/>
      <c r="RUS572" s="126"/>
      <c r="RUT572" s="126"/>
      <c r="RUU572" s="126"/>
      <c r="RUV572" s="126"/>
      <c r="RUW572" s="126"/>
      <c r="RUX572" s="126"/>
      <c r="RUY572" s="126"/>
      <c r="RUZ572" s="126"/>
      <c r="RVA572" s="126"/>
      <c r="RVB572" s="126"/>
      <c r="RVC572" s="126"/>
      <c r="RVD572" s="126"/>
      <c r="RVE572" s="126"/>
      <c r="RVF572" s="126"/>
      <c r="RVG572" s="126"/>
      <c r="RVH572" s="126"/>
      <c r="RVI572" s="126"/>
      <c r="RVJ572" s="126"/>
      <c r="RVK572" s="126"/>
      <c r="RVL572" s="126"/>
      <c r="RVM572" s="126"/>
      <c r="RVN572" s="126"/>
      <c r="RVO572" s="126"/>
      <c r="RVP572" s="126"/>
      <c r="RVQ572" s="126"/>
      <c r="RVR572" s="126"/>
      <c r="RVS572" s="126"/>
      <c r="RVT572" s="126"/>
      <c r="RVU572" s="126"/>
      <c r="RVV572" s="126"/>
      <c r="RVW572" s="126"/>
      <c r="RVX572" s="126"/>
      <c r="RVY572" s="126"/>
      <c r="RVZ572" s="126"/>
      <c r="RWA572" s="126"/>
      <c r="RWB572" s="126"/>
      <c r="RWC572" s="126"/>
      <c r="RWD572" s="126"/>
      <c r="RWE572" s="126"/>
      <c r="RWF572" s="126"/>
      <c r="RWG572" s="126"/>
      <c r="RWH572" s="126"/>
      <c r="RWI572" s="126"/>
      <c r="RWJ572" s="126"/>
      <c r="RWK572" s="126"/>
      <c r="RWL572" s="126"/>
      <c r="RWM572" s="126"/>
      <c r="RWN572" s="126"/>
      <c r="RWO572" s="126"/>
      <c r="RWP572" s="126"/>
      <c r="RWQ572" s="126"/>
      <c r="RWR572" s="126"/>
      <c r="RWS572" s="126"/>
      <c r="RWT572" s="126"/>
      <c r="RWU572" s="126"/>
      <c r="RWV572" s="126"/>
      <c r="RWW572" s="126"/>
      <c r="RWX572" s="126"/>
      <c r="RWY572" s="126"/>
      <c r="RWZ572" s="126"/>
      <c r="RXA572" s="126"/>
      <c r="RXB572" s="126"/>
      <c r="RXC572" s="126"/>
      <c r="RXD572" s="126"/>
      <c r="RXE572" s="126"/>
      <c r="RXF572" s="126"/>
      <c r="RXG572" s="126"/>
      <c r="RXH572" s="126"/>
      <c r="RXI572" s="126"/>
      <c r="RXJ572" s="126"/>
      <c r="RXK572" s="126"/>
      <c r="RXL572" s="126"/>
      <c r="RXM572" s="126"/>
      <c r="RXN572" s="126"/>
      <c r="RXO572" s="126"/>
      <c r="RXP572" s="126"/>
      <c r="RXQ572" s="126"/>
      <c r="RXR572" s="126"/>
      <c r="RXS572" s="126"/>
      <c r="RXT572" s="126"/>
      <c r="RXU572" s="126"/>
      <c r="RXV572" s="126"/>
      <c r="RXW572" s="126"/>
      <c r="RXX572" s="126"/>
      <c r="RXY572" s="126"/>
      <c r="RXZ572" s="126"/>
      <c r="RYA572" s="126"/>
      <c r="RYB572" s="126"/>
      <c r="RYC572" s="126"/>
      <c r="RYD572" s="126"/>
      <c r="RYE572" s="126"/>
      <c r="RYF572" s="126"/>
      <c r="RYG572" s="126"/>
      <c r="RYH572" s="126"/>
      <c r="RYI572" s="126"/>
      <c r="RYJ572" s="126"/>
      <c r="RYK572" s="126"/>
      <c r="RYL572" s="126"/>
      <c r="RYM572" s="126"/>
      <c r="RYN572" s="126"/>
      <c r="RYO572" s="126"/>
      <c r="RYP572" s="126"/>
      <c r="RYQ572" s="126"/>
      <c r="RYR572" s="126"/>
      <c r="RYS572" s="126"/>
      <c r="RYT572" s="126"/>
      <c r="RYU572" s="126"/>
      <c r="RYV572" s="126"/>
      <c r="RYW572" s="126"/>
      <c r="RYX572" s="126"/>
      <c r="RYY572" s="126"/>
      <c r="RYZ572" s="126"/>
      <c r="RZA572" s="126"/>
      <c r="RZB572" s="126"/>
      <c r="RZC572" s="126"/>
      <c r="RZD572" s="126"/>
      <c r="RZE572" s="126"/>
      <c r="RZF572" s="126"/>
      <c r="RZG572" s="126"/>
      <c r="RZH572" s="126"/>
      <c r="RZI572" s="126"/>
      <c r="RZJ572" s="126"/>
      <c r="RZK572" s="126"/>
      <c r="RZL572" s="126"/>
      <c r="RZM572" s="126"/>
      <c r="RZN572" s="126"/>
      <c r="RZO572" s="126"/>
      <c r="RZP572" s="126"/>
      <c r="RZQ572" s="126"/>
      <c r="RZR572" s="126"/>
      <c r="RZS572" s="126"/>
      <c r="RZT572" s="126"/>
      <c r="RZU572" s="126"/>
      <c r="RZV572" s="126"/>
      <c r="RZW572" s="126"/>
      <c r="RZX572" s="126"/>
      <c r="RZY572" s="126"/>
      <c r="RZZ572" s="126"/>
      <c r="SAA572" s="126"/>
      <c r="SAB572" s="126"/>
      <c r="SAC572" s="126"/>
      <c r="SAD572" s="126"/>
      <c r="SAE572" s="126"/>
      <c r="SAF572" s="126"/>
      <c r="SAG572" s="126"/>
      <c r="SAH572" s="126"/>
      <c r="SAI572" s="126"/>
      <c r="SAJ572" s="126"/>
      <c r="SAK572" s="126"/>
      <c r="SAL572" s="126"/>
      <c r="SAM572" s="126"/>
      <c r="SAN572" s="126"/>
      <c r="SAO572" s="126"/>
      <c r="SAP572" s="126"/>
      <c r="SAQ572" s="126"/>
      <c r="SAR572" s="126"/>
      <c r="SAS572" s="126"/>
      <c r="SAT572" s="126"/>
      <c r="SAU572" s="126"/>
      <c r="SAV572" s="126"/>
      <c r="SAW572" s="126"/>
      <c r="SAX572" s="126"/>
      <c r="SAY572" s="126"/>
      <c r="SAZ572" s="126"/>
      <c r="SBA572" s="126"/>
      <c r="SBB572" s="126"/>
      <c r="SBC572" s="126"/>
      <c r="SBD572" s="126"/>
      <c r="SBE572" s="126"/>
      <c r="SBF572" s="126"/>
      <c r="SBG572" s="126"/>
      <c r="SBH572" s="126"/>
      <c r="SBI572" s="126"/>
      <c r="SBJ572" s="126"/>
      <c r="SBK572" s="126"/>
      <c r="SBL572" s="126"/>
      <c r="SBM572" s="126"/>
      <c r="SBN572" s="126"/>
      <c r="SBO572" s="126"/>
      <c r="SBP572" s="126"/>
      <c r="SBQ572" s="126"/>
      <c r="SBR572" s="126"/>
      <c r="SBS572" s="126"/>
      <c r="SBT572" s="126"/>
      <c r="SBU572" s="126"/>
      <c r="SBV572" s="126"/>
      <c r="SBW572" s="126"/>
      <c r="SBX572" s="126"/>
      <c r="SBY572" s="126"/>
      <c r="SBZ572" s="126"/>
      <c r="SCA572" s="126"/>
      <c r="SCB572" s="126"/>
      <c r="SCC572" s="126"/>
      <c r="SCD572" s="126"/>
      <c r="SCE572" s="126"/>
      <c r="SCF572" s="126"/>
      <c r="SCG572" s="126"/>
      <c r="SCH572" s="126"/>
      <c r="SCI572" s="126"/>
      <c r="SCJ572" s="126"/>
      <c r="SCK572" s="126"/>
      <c r="SCL572" s="126"/>
      <c r="SCM572" s="126"/>
      <c r="SCN572" s="126"/>
      <c r="SCO572" s="126"/>
      <c r="SCP572" s="126"/>
      <c r="SCQ572" s="126"/>
      <c r="SCR572" s="126"/>
      <c r="SCS572" s="126"/>
      <c r="SCT572" s="126"/>
      <c r="SCU572" s="126"/>
      <c r="SCV572" s="126"/>
      <c r="SCW572" s="126"/>
      <c r="SCX572" s="126"/>
      <c r="SCY572" s="126"/>
      <c r="SCZ572" s="126"/>
      <c r="SDA572" s="126"/>
      <c r="SDB572" s="126"/>
      <c r="SDC572" s="126"/>
      <c r="SDD572" s="126"/>
      <c r="SDE572" s="126"/>
      <c r="SDF572" s="126"/>
      <c r="SDG572" s="126"/>
      <c r="SDH572" s="126"/>
      <c r="SDI572" s="126"/>
      <c r="SDJ572" s="126"/>
      <c r="SDK572" s="126"/>
      <c r="SDL572" s="126"/>
      <c r="SDM572" s="126"/>
      <c r="SDN572" s="126"/>
      <c r="SDO572" s="126"/>
      <c r="SDP572" s="126"/>
      <c r="SDQ572" s="126"/>
      <c r="SDR572" s="126"/>
      <c r="SDS572" s="126"/>
      <c r="SDT572" s="126"/>
      <c r="SDU572" s="126"/>
      <c r="SDV572" s="126"/>
      <c r="SDW572" s="126"/>
      <c r="SDX572" s="126"/>
      <c r="SDY572" s="126"/>
      <c r="SDZ572" s="126"/>
      <c r="SEA572" s="126"/>
      <c r="SEB572" s="126"/>
      <c r="SEC572" s="126"/>
      <c r="SED572" s="126"/>
      <c r="SEE572" s="126"/>
      <c r="SEF572" s="126"/>
      <c r="SEG572" s="126"/>
      <c r="SEH572" s="126"/>
      <c r="SEI572" s="126"/>
      <c r="SEJ572" s="126"/>
      <c r="SEK572" s="126"/>
      <c r="SEL572" s="126"/>
      <c r="SEM572" s="126"/>
      <c r="SEN572" s="126"/>
      <c r="SEO572" s="126"/>
      <c r="SEP572" s="126"/>
      <c r="SEQ572" s="126"/>
      <c r="SER572" s="126"/>
      <c r="SES572" s="126"/>
      <c r="SET572" s="126"/>
      <c r="SEU572" s="126"/>
      <c r="SEV572" s="126"/>
      <c r="SEW572" s="126"/>
      <c r="SEX572" s="126"/>
      <c r="SEY572" s="126"/>
      <c r="SEZ572" s="126"/>
      <c r="SFA572" s="126"/>
      <c r="SFB572" s="126"/>
      <c r="SFC572" s="126"/>
      <c r="SFD572" s="126"/>
      <c r="SFE572" s="126"/>
      <c r="SFF572" s="126"/>
      <c r="SFG572" s="126"/>
      <c r="SFH572" s="126"/>
      <c r="SFI572" s="126"/>
      <c r="SFJ572" s="126"/>
      <c r="SFK572" s="126"/>
      <c r="SFL572" s="126"/>
      <c r="SFM572" s="126"/>
      <c r="SFN572" s="126"/>
      <c r="SFO572" s="126"/>
      <c r="SFP572" s="126"/>
      <c r="SFQ572" s="126"/>
      <c r="SFR572" s="126"/>
      <c r="SFS572" s="126"/>
      <c r="SFT572" s="126"/>
      <c r="SFU572" s="126"/>
      <c r="SFV572" s="126"/>
      <c r="SFW572" s="126"/>
      <c r="SFX572" s="126"/>
      <c r="SFY572" s="126"/>
      <c r="SFZ572" s="126"/>
      <c r="SGA572" s="126"/>
      <c r="SGB572" s="126"/>
      <c r="SGC572" s="126"/>
      <c r="SGD572" s="126"/>
      <c r="SGE572" s="126"/>
      <c r="SGF572" s="126"/>
      <c r="SGG572" s="126"/>
      <c r="SGH572" s="126"/>
      <c r="SGI572" s="126"/>
      <c r="SGJ572" s="126"/>
      <c r="SGK572" s="126"/>
      <c r="SGL572" s="126"/>
      <c r="SGM572" s="126"/>
      <c r="SGN572" s="126"/>
      <c r="SGO572" s="126"/>
      <c r="SGP572" s="126"/>
      <c r="SGQ572" s="126"/>
      <c r="SGR572" s="126"/>
      <c r="SGS572" s="126"/>
      <c r="SGT572" s="126"/>
      <c r="SGU572" s="126"/>
      <c r="SGV572" s="126"/>
      <c r="SGW572" s="126"/>
      <c r="SGX572" s="126"/>
      <c r="SGY572" s="126"/>
      <c r="SGZ572" s="126"/>
      <c r="SHA572" s="126"/>
      <c r="SHB572" s="126"/>
      <c r="SHC572" s="126"/>
      <c r="SHD572" s="126"/>
      <c r="SHE572" s="126"/>
      <c r="SHF572" s="126"/>
      <c r="SHG572" s="126"/>
      <c r="SHH572" s="126"/>
      <c r="SHI572" s="126"/>
      <c r="SHJ572" s="126"/>
      <c r="SHK572" s="126"/>
      <c r="SHL572" s="126"/>
      <c r="SHM572" s="126"/>
      <c r="SHN572" s="126"/>
      <c r="SHO572" s="126"/>
      <c r="SHP572" s="126"/>
      <c r="SHQ572" s="126"/>
      <c r="SHR572" s="126"/>
      <c r="SHS572" s="126"/>
      <c r="SHT572" s="126"/>
      <c r="SHU572" s="126"/>
      <c r="SHV572" s="126"/>
      <c r="SHW572" s="126"/>
      <c r="SHX572" s="126"/>
      <c r="SHY572" s="126"/>
      <c r="SHZ572" s="126"/>
      <c r="SIA572" s="126"/>
      <c r="SIB572" s="126"/>
      <c r="SIC572" s="126"/>
      <c r="SID572" s="126"/>
      <c r="SIE572" s="126"/>
      <c r="SIF572" s="126"/>
      <c r="SIG572" s="126"/>
      <c r="SIH572" s="126"/>
      <c r="SII572" s="126"/>
      <c r="SIJ572" s="126"/>
      <c r="SIK572" s="126"/>
      <c r="SIL572" s="126"/>
      <c r="SIM572" s="126"/>
      <c r="SIN572" s="126"/>
      <c r="SIO572" s="126"/>
      <c r="SIP572" s="126"/>
      <c r="SIQ572" s="126"/>
      <c r="SIR572" s="126"/>
      <c r="SIS572" s="126"/>
      <c r="SIT572" s="126"/>
      <c r="SIU572" s="126"/>
      <c r="SIV572" s="126"/>
      <c r="SIW572" s="126"/>
      <c r="SIX572" s="126"/>
      <c r="SIY572" s="126"/>
      <c r="SIZ572" s="126"/>
      <c r="SJA572" s="126"/>
      <c r="SJB572" s="126"/>
      <c r="SJC572" s="126"/>
      <c r="SJD572" s="126"/>
      <c r="SJE572" s="126"/>
      <c r="SJF572" s="126"/>
      <c r="SJG572" s="126"/>
      <c r="SJH572" s="126"/>
      <c r="SJI572" s="126"/>
      <c r="SJJ572" s="126"/>
      <c r="SJK572" s="126"/>
      <c r="SJL572" s="126"/>
      <c r="SJM572" s="126"/>
      <c r="SJN572" s="126"/>
      <c r="SJO572" s="126"/>
      <c r="SJP572" s="126"/>
      <c r="SJQ572" s="126"/>
      <c r="SJR572" s="126"/>
      <c r="SJS572" s="126"/>
      <c r="SJT572" s="126"/>
      <c r="SJU572" s="126"/>
      <c r="SJV572" s="126"/>
      <c r="SJW572" s="126"/>
      <c r="SJX572" s="126"/>
      <c r="SJY572" s="126"/>
      <c r="SJZ572" s="126"/>
      <c r="SKA572" s="126"/>
      <c r="SKB572" s="126"/>
      <c r="SKC572" s="126"/>
      <c r="SKD572" s="126"/>
      <c r="SKE572" s="126"/>
      <c r="SKF572" s="126"/>
      <c r="SKG572" s="126"/>
      <c r="SKH572" s="126"/>
      <c r="SKI572" s="126"/>
      <c r="SKJ572" s="126"/>
      <c r="SKK572" s="126"/>
      <c r="SKL572" s="126"/>
      <c r="SKM572" s="126"/>
      <c r="SKN572" s="126"/>
      <c r="SKO572" s="126"/>
      <c r="SKP572" s="126"/>
      <c r="SKQ572" s="126"/>
      <c r="SKR572" s="126"/>
      <c r="SKS572" s="126"/>
      <c r="SKT572" s="126"/>
      <c r="SKU572" s="126"/>
      <c r="SKV572" s="126"/>
      <c r="SKW572" s="126"/>
      <c r="SKX572" s="126"/>
      <c r="SKY572" s="126"/>
      <c r="SKZ572" s="126"/>
      <c r="SLA572" s="126"/>
      <c r="SLB572" s="126"/>
      <c r="SLC572" s="126"/>
      <c r="SLD572" s="126"/>
      <c r="SLE572" s="126"/>
      <c r="SLF572" s="126"/>
      <c r="SLG572" s="126"/>
      <c r="SLH572" s="126"/>
      <c r="SLI572" s="126"/>
      <c r="SLJ572" s="126"/>
      <c r="SLK572" s="126"/>
      <c r="SLL572" s="126"/>
      <c r="SLM572" s="126"/>
      <c r="SLN572" s="126"/>
      <c r="SLO572" s="126"/>
      <c r="SLP572" s="126"/>
      <c r="SLQ572" s="126"/>
      <c r="SLR572" s="126"/>
      <c r="SLS572" s="126"/>
      <c r="SLT572" s="126"/>
      <c r="SLU572" s="126"/>
      <c r="SLV572" s="126"/>
      <c r="SLW572" s="126"/>
      <c r="SLX572" s="126"/>
      <c r="SLY572" s="126"/>
      <c r="SLZ572" s="126"/>
      <c r="SMA572" s="126"/>
      <c r="SMB572" s="126"/>
      <c r="SMC572" s="126"/>
      <c r="SMD572" s="126"/>
      <c r="SME572" s="126"/>
      <c r="SMF572" s="126"/>
      <c r="SMG572" s="126"/>
      <c r="SMH572" s="126"/>
      <c r="SMI572" s="126"/>
      <c r="SMJ572" s="126"/>
      <c r="SMK572" s="126"/>
      <c r="SML572" s="126"/>
      <c r="SMM572" s="126"/>
      <c r="SMN572" s="126"/>
      <c r="SMO572" s="126"/>
      <c r="SMP572" s="126"/>
      <c r="SMQ572" s="126"/>
      <c r="SMR572" s="126"/>
      <c r="SMS572" s="126"/>
      <c r="SMT572" s="126"/>
      <c r="SMU572" s="126"/>
      <c r="SMV572" s="126"/>
      <c r="SMW572" s="126"/>
      <c r="SMX572" s="126"/>
      <c r="SMY572" s="126"/>
      <c r="SMZ572" s="126"/>
      <c r="SNA572" s="126"/>
      <c r="SNB572" s="126"/>
      <c r="SNC572" s="126"/>
      <c r="SND572" s="126"/>
      <c r="SNE572" s="126"/>
      <c r="SNF572" s="126"/>
      <c r="SNG572" s="126"/>
      <c r="SNH572" s="126"/>
      <c r="SNI572" s="126"/>
      <c r="SNJ572" s="126"/>
      <c r="SNK572" s="126"/>
      <c r="SNL572" s="126"/>
      <c r="SNM572" s="126"/>
      <c r="SNN572" s="126"/>
      <c r="SNO572" s="126"/>
      <c r="SNP572" s="126"/>
      <c r="SNQ572" s="126"/>
      <c r="SNR572" s="126"/>
      <c r="SNS572" s="126"/>
      <c r="SNT572" s="126"/>
      <c r="SNU572" s="126"/>
      <c r="SNV572" s="126"/>
      <c r="SNW572" s="126"/>
      <c r="SNX572" s="126"/>
      <c r="SNY572" s="126"/>
      <c r="SNZ572" s="126"/>
      <c r="SOA572" s="126"/>
      <c r="SOB572" s="126"/>
      <c r="SOC572" s="126"/>
      <c r="SOD572" s="126"/>
      <c r="SOE572" s="126"/>
      <c r="SOF572" s="126"/>
      <c r="SOG572" s="126"/>
      <c r="SOH572" s="126"/>
      <c r="SOI572" s="126"/>
      <c r="SOJ572" s="126"/>
      <c r="SOK572" s="126"/>
      <c r="SOL572" s="126"/>
      <c r="SOM572" s="126"/>
      <c r="SON572" s="126"/>
      <c r="SOO572" s="126"/>
      <c r="SOP572" s="126"/>
      <c r="SOQ572" s="126"/>
      <c r="SOR572" s="126"/>
      <c r="SOS572" s="126"/>
      <c r="SOT572" s="126"/>
      <c r="SOU572" s="126"/>
      <c r="SOV572" s="126"/>
      <c r="SOW572" s="126"/>
      <c r="SOX572" s="126"/>
      <c r="SOY572" s="126"/>
      <c r="SOZ572" s="126"/>
      <c r="SPA572" s="126"/>
      <c r="SPB572" s="126"/>
      <c r="SPC572" s="126"/>
      <c r="SPD572" s="126"/>
      <c r="SPE572" s="126"/>
      <c r="SPF572" s="126"/>
      <c r="SPG572" s="126"/>
      <c r="SPH572" s="126"/>
      <c r="SPI572" s="126"/>
      <c r="SPJ572" s="126"/>
      <c r="SPK572" s="126"/>
      <c r="SPL572" s="126"/>
      <c r="SPM572" s="126"/>
      <c r="SPN572" s="126"/>
      <c r="SPO572" s="126"/>
      <c r="SPP572" s="126"/>
      <c r="SPQ572" s="126"/>
      <c r="SPR572" s="126"/>
      <c r="SPS572" s="126"/>
      <c r="SPT572" s="126"/>
      <c r="SPU572" s="126"/>
      <c r="SPV572" s="126"/>
      <c r="SPW572" s="126"/>
      <c r="SPX572" s="126"/>
      <c r="SPY572" s="126"/>
      <c r="SPZ572" s="126"/>
      <c r="SQA572" s="126"/>
      <c r="SQB572" s="126"/>
      <c r="SQC572" s="126"/>
      <c r="SQD572" s="126"/>
      <c r="SQE572" s="126"/>
      <c r="SQF572" s="126"/>
      <c r="SQG572" s="126"/>
      <c r="SQH572" s="126"/>
      <c r="SQI572" s="126"/>
      <c r="SQJ572" s="126"/>
      <c r="SQK572" s="126"/>
      <c r="SQL572" s="126"/>
      <c r="SQM572" s="126"/>
      <c r="SQN572" s="126"/>
      <c r="SQO572" s="126"/>
      <c r="SQP572" s="126"/>
      <c r="SQQ572" s="126"/>
      <c r="SQR572" s="126"/>
      <c r="SQS572" s="126"/>
      <c r="SQT572" s="126"/>
      <c r="SQU572" s="126"/>
      <c r="SQV572" s="126"/>
      <c r="SQW572" s="126"/>
      <c r="SQX572" s="126"/>
      <c r="SQY572" s="126"/>
      <c r="SQZ572" s="126"/>
      <c r="SRA572" s="126"/>
      <c r="SRB572" s="126"/>
      <c r="SRC572" s="126"/>
      <c r="SRD572" s="126"/>
      <c r="SRE572" s="126"/>
      <c r="SRF572" s="126"/>
      <c r="SRG572" s="126"/>
      <c r="SRH572" s="126"/>
      <c r="SRI572" s="126"/>
      <c r="SRJ572" s="126"/>
      <c r="SRK572" s="126"/>
      <c r="SRL572" s="126"/>
      <c r="SRM572" s="126"/>
      <c r="SRN572" s="126"/>
      <c r="SRO572" s="126"/>
      <c r="SRP572" s="126"/>
      <c r="SRQ572" s="126"/>
      <c r="SRR572" s="126"/>
      <c r="SRS572" s="126"/>
      <c r="SRT572" s="126"/>
      <c r="SRU572" s="126"/>
      <c r="SRV572" s="126"/>
      <c r="SRW572" s="126"/>
      <c r="SRX572" s="126"/>
      <c r="SRY572" s="126"/>
      <c r="SRZ572" s="126"/>
      <c r="SSA572" s="126"/>
      <c r="SSB572" s="126"/>
      <c r="SSC572" s="126"/>
      <c r="SSD572" s="126"/>
      <c r="SSE572" s="126"/>
      <c r="SSF572" s="126"/>
      <c r="SSG572" s="126"/>
      <c r="SSH572" s="126"/>
      <c r="SSI572" s="126"/>
      <c r="SSJ572" s="126"/>
      <c r="SSK572" s="126"/>
      <c r="SSL572" s="126"/>
      <c r="SSM572" s="126"/>
      <c r="SSN572" s="126"/>
      <c r="SSO572" s="126"/>
      <c r="SSP572" s="126"/>
      <c r="SSQ572" s="126"/>
      <c r="SSR572" s="126"/>
      <c r="SSS572" s="126"/>
      <c r="SST572" s="126"/>
      <c r="SSU572" s="126"/>
      <c r="SSV572" s="126"/>
      <c r="SSW572" s="126"/>
      <c r="SSX572" s="126"/>
      <c r="SSY572" s="126"/>
      <c r="SSZ572" s="126"/>
      <c r="STA572" s="126"/>
      <c r="STB572" s="126"/>
      <c r="STC572" s="126"/>
      <c r="STD572" s="126"/>
      <c r="STE572" s="126"/>
      <c r="STF572" s="126"/>
      <c r="STG572" s="126"/>
      <c r="STH572" s="126"/>
      <c r="STI572" s="126"/>
      <c r="STJ572" s="126"/>
      <c r="STK572" s="126"/>
      <c r="STL572" s="126"/>
      <c r="STM572" s="126"/>
      <c r="STN572" s="126"/>
      <c r="STO572" s="126"/>
      <c r="STP572" s="126"/>
      <c r="STQ572" s="126"/>
      <c r="STR572" s="126"/>
      <c r="STS572" s="126"/>
      <c r="STT572" s="126"/>
      <c r="STU572" s="126"/>
      <c r="STV572" s="126"/>
      <c r="STW572" s="126"/>
      <c r="STX572" s="126"/>
      <c r="STY572" s="126"/>
      <c r="STZ572" s="126"/>
      <c r="SUA572" s="126"/>
      <c r="SUB572" s="126"/>
      <c r="SUC572" s="126"/>
      <c r="SUD572" s="126"/>
      <c r="SUE572" s="126"/>
      <c r="SUF572" s="126"/>
      <c r="SUG572" s="126"/>
      <c r="SUH572" s="126"/>
      <c r="SUI572" s="126"/>
      <c r="SUJ572" s="126"/>
      <c r="SUK572" s="126"/>
      <c r="SUL572" s="126"/>
      <c r="SUM572" s="126"/>
      <c r="SUN572" s="126"/>
      <c r="SUO572" s="126"/>
      <c r="SUP572" s="126"/>
      <c r="SUQ572" s="126"/>
      <c r="SUR572" s="126"/>
      <c r="SUS572" s="126"/>
      <c r="SUT572" s="126"/>
      <c r="SUU572" s="126"/>
      <c r="SUV572" s="126"/>
      <c r="SUW572" s="126"/>
      <c r="SUX572" s="126"/>
      <c r="SUY572" s="126"/>
      <c r="SUZ572" s="126"/>
      <c r="SVA572" s="126"/>
      <c r="SVB572" s="126"/>
      <c r="SVC572" s="126"/>
      <c r="SVD572" s="126"/>
      <c r="SVE572" s="126"/>
      <c r="SVF572" s="126"/>
      <c r="SVG572" s="126"/>
      <c r="SVH572" s="126"/>
      <c r="SVI572" s="126"/>
      <c r="SVJ572" s="126"/>
      <c r="SVK572" s="126"/>
      <c r="SVL572" s="126"/>
      <c r="SVM572" s="126"/>
      <c r="SVN572" s="126"/>
      <c r="SVO572" s="126"/>
      <c r="SVP572" s="126"/>
      <c r="SVQ572" s="126"/>
      <c r="SVR572" s="126"/>
      <c r="SVS572" s="126"/>
      <c r="SVT572" s="126"/>
      <c r="SVU572" s="126"/>
      <c r="SVV572" s="126"/>
      <c r="SVW572" s="126"/>
      <c r="SVX572" s="126"/>
      <c r="SVY572" s="126"/>
      <c r="SVZ572" s="126"/>
      <c r="SWA572" s="126"/>
      <c r="SWB572" s="126"/>
      <c r="SWC572" s="126"/>
      <c r="SWD572" s="126"/>
      <c r="SWE572" s="126"/>
      <c r="SWF572" s="126"/>
      <c r="SWG572" s="126"/>
      <c r="SWH572" s="126"/>
      <c r="SWI572" s="126"/>
      <c r="SWJ572" s="126"/>
      <c r="SWK572" s="126"/>
      <c r="SWL572" s="126"/>
      <c r="SWM572" s="126"/>
      <c r="SWN572" s="126"/>
      <c r="SWO572" s="126"/>
      <c r="SWP572" s="126"/>
      <c r="SWQ572" s="126"/>
      <c r="SWR572" s="126"/>
      <c r="SWS572" s="126"/>
      <c r="SWT572" s="126"/>
      <c r="SWU572" s="126"/>
      <c r="SWV572" s="126"/>
      <c r="SWW572" s="126"/>
      <c r="SWX572" s="126"/>
      <c r="SWY572" s="126"/>
      <c r="SWZ572" s="126"/>
      <c r="SXA572" s="126"/>
      <c r="SXB572" s="126"/>
      <c r="SXC572" s="126"/>
      <c r="SXD572" s="126"/>
      <c r="SXE572" s="126"/>
      <c r="SXF572" s="126"/>
      <c r="SXG572" s="126"/>
      <c r="SXH572" s="126"/>
      <c r="SXI572" s="126"/>
      <c r="SXJ572" s="126"/>
      <c r="SXK572" s="126"/>
      <c r="SXL572" s="126"/>
      <c r="SXM572" s="126"/>
      <c r="SXN572" s="126"/>
      <c r="SXO572" s="126"/>
      <c r="SXP572" s="126"/>
      <c r="SXQ572" s="126"/>
      <c r="SXR572" s="126"/>
      <c r="SXS572" s="126"/>
      <c r="SXT572" s="126"/>
      <c r="SXU572" s="126"/>
      <c r="SXV572" s="126"/>
      <c r="SXW572" s="126"/>
      <c r="SXX572" s="126"/>
      <c r="SXY572" s="126"/>
      <c r="SXZ572" s="126"/>
      <c r="SYA572" s="126"/>
      <c r="SYB572" s="126"/>
      <c r="SYC572" s="126"/>
      <c r="SYD572" s="126"/>
      <c r="SYE572" s="126"/>
      <c r="SYF572" s="126"/>
      <c r="SYG572" s="126"/>
      <c r="SYH572" s="126"/>
      <c r="SYI572" s="126"/>
      <c r="SYJ572" s="126"/>
      <c r="SYK572" s="126"/>
      <c r="SYL572" s="126"/>
      <c r="SYM572" s="126"/>
      <c r="SYN572" s="126"/>
      <c r="SYO572" s="126"/>
      <c r="SYP572" s="126"/>
      <c r="SYQ572" s="126"/>
      <c r="SYR572" s="126"/>
      <c r="SYS572" s="126"/>
      <c r="SYT572" s="126"/>
      <c r="SYU572" s="126"/>
      <c r="SYV572" s="126"/>
      <c r="SYW572" s="126"/>
      <c r="SYX572" s="126"/>
      <c r="SYY572" s="126"/>
      <c r="SYZ572" s="126"/>
      <c r="SZA572" s="126"/>
      <c r="SZB572" s="126"/>
      <c r="SZC572" s="126"/>
      <c r="SZD572" s="126"/>
      <c r="SZE572" s="126"/>
      <c r="SZF572" s="126"/>
      <c r="SZG572" s="126"/>
      <c r="SZH572" s="126"/>
      <c r="SZI572" s="126"/>
      <c r="SZJ572" s="126"/>
      <c r="SZK572" s="126"/>
      <c r="SZL572" s="126"/>
      <c r="SZM572" s="126"/>
      <c r="SZN572" s="126"/>
      <c r="SZO572" s="126"/>
      <c r="SZP572" s="126"/>
      <c r="SZQ572" s="126"/>
      <c r="SZR572" s="126"/>
      <c r="SZS572" s="126"/>
      <c r="SZT572" s="126"/>
      <c r="SZU572" s="126"/>
      <c r="SZV572" s="126"/>
      <c r="SZW572" s="126"/>
      <c r="SZX572" s="126"/>
      <c r="SZY572" s="126"/>
      <c r="SZZ572" s="126"/>
      <c r="TAA572" s="126"/>
      <c r="TAB572" s="126"/>
      <c r="TAC572" s="126"/>
      <c r="TAD572" s="126"/>
      <c r="TAE572" s="126"/>
      <c r="TAF572" s="126"/>
      <c r="TAG572" s="126"/>
      <c r="TAH572" s="126"/>
      <c r="TAI572" s="126"/>
      <c r="TAJ572" s="126"/>
      <c r="TAK572" s="126"/>
      <c r="TAL572" s="126"/>
      <c r="TAM572" s="126"/>
      <c r="TAN572" s="126"/>
      <c r="TAO572" s="126"/>
      <c r="TAP572" s="126"/>
      <c r="TAQ572" s="126"/>
      <c r="TAR572" s="126"/>
      <c r="TAS572" s="126"/>
      <c r="TAT572" s="126"/>
      <c r="TAU572" s="126"/>
      <c r="TAV572" s="126"/>
      <c r="TAW572" s="126"/>
      <c r="TAX572" s="126"/>
      <c r="TAY572" s="126"/>
      <c r="TAZ572" s="126"/>
      <c r="TBA572" s="126"/>
      <c r="TBB572" s="126"/>
      <c r="TBC572" s="126"/>
      <c r="TBD572" s="126"/>
      <c r="TBE572" s="126"/>
      <c r="TBF572" s="126"/>
      <c r="TBG572" s="126"/>
      <c r="TBH572" s="126"/>
      <c r="TBI572" s="126"/>
      <c r="TBJ572" s="126"/>
      <c r="TBK572" s="126"/>
      <c r="TBL572" s="126"/>
      <c r="TBM572" s="126"/>
      <c r="TBN572" s="126"/>
      <c r="TBO572" s="126"/>
      <c r="TBP572" s="126"/>
      <c r="TBQ572" s="126"/>
      <c r="TBR572" s="126"/>
      <c r="TBS572" s="126"/>
      <c r="TBT572" s="126"/>
      <c r="TBU572" s="126"/>
      <c r="TBV572" s="126"/>
      <c r="TBW572" s="126"/>
      <c r="TBX572" s="126"/>
      <c r="TBY572" s="126"/>
      <c r="TBZ572" s="126"/>
      <c r="TCA572" s="126"/>
      <c r="TCB572" s="126"/>
      <c r="TCC572" s="126"/>
      <c r="TCD572" s="126"/>
      <c r="TCE572" s="126"/>
      <c r="TCF572" s="126"/>
      <c r="TCG572" s="126"/>
      <c r="TCH572" s="126"/>
      <c r="TCI572" s="126"/>
      <c r="TCJ572" s="126"/>
      <c r="TCK572" s="126"/>
      <c r="TCL572" s="126"/>
      <c r="TCM572" s="126"/>
      <c r="TCN572" s="126"/>
      <c r="TCO572" s="126"/>
      <c r="TCP572" s="126"/>
      <c r="TCQ572" s="126"/>
      <c r="TCR572" s="126"/>
      <c r="TCS572" s="126"/>
      <c r="TCT572" s="126"/>
      <c r="TCU572" s="126"/>
      <c r="TCV572" s="126"/>
      <c r="TCW572" s="126"/>
      <c r="TCX572" s="126"/>
      <c r="TCY572" s="126"/>
      <c r="TCZ572" s="126"/>
      <c r="TDA572" s="126"/>
      <c r="TDB572" s="126"/>
      <c r="TDC572" s="126"/>
      <c r="TDD572" s="126"/>
      <c r="TDE572" s="126"/>
      <c r="TDF572" s="126"/>
      <c r="TDG572" s="126"/>
      <c r="TDH572" s="126"/>
      <c r="TDI572" s="126"/>
      <c r="TDJ572" s="126"/>
      <c r="TDK572" s="126"/>
      <c r="TDL572" s="126"/>
      <c r="TDM572" s="126"/>
      <c r="TDN572" s="126"/>
      <c r="TDO572" s="126"/>
      <c r="TDP572" s="126"/>
      <c r="TDQ572" s="126"/>
      <c r="TDR572" s="126"/>
      <c r="TDS572" s="126"/>
      <c r="TDT572" s="126"/>
      <c r="TDU572" s="126"/>
      <c r="TDV572" s="126"/>
      <c r="TDW572" s="126"/>
      <c r="TDX572" s="126"/>
      <c r="TDY572" s="126"/>
      <c r="TDZ572" s="126"/>
      <c r="TEA572" s="126"/>
      <c r="TEB572" s="126"/>
      <c r="TEC572" s="126"/>
      <c r="TED572" s="126"/>
      <c r="TEE572" s="126"/>
      <c r="TEF572" s="126"/>
      <c r="TEG572" s="126"/>
      <c r="TEH572" s="126"/>
      <c r="TEI572" s="126"/>
      <c r="TEJ572" s="126"/>
      <c r="TEK572" s="126"/>
      <c r="TEL572" s="126"/>
      <c r="TEM572" s="126"/>
      <c r="TEN572" s="126"/>
      <c r="TEO572" s="126"/>
      <c r="TEP572" s="126"/>
      <c r="TEQ572" s="126"/>
      <c r="TER572" s="126"/>
      <c r="TES572" s="126"/>
      <c r="TET572" s="126"/>
      <c r="TEU572" s="126"/>
      <c r="TEV572" s="126"/>
      <c r="TEW572" s="126"/>
      <c r="TEX572" s="126"/>
      <c r="TEY572" s="126"/>
      <c r="TEZ572" s="126"/>
      <c r="TFA572" s="126"/>
      <c r="TFB572" s="126"/>
      <c r="TFC572" s="126"/>
      <c r="TFD572" s="126"/>
      <c r="TFE572" s="126"/>
      <c r="TFF572" s="126"/>
      <c r="TFG572" s="126"/>
      <c r="TFH572" s="126"/>
      <c r="TFI572" s="126"/>
      <c r="TFJ572" s="126"/>
      <c r="TFK572" s="126"/>
      <c r="TFL572" s="126"/>
      <c r="TFM572" s="126"/>
      <c r="TFN572" s="126"/>
      <c r="TFO572" s="126"/>
      <c r="TFP572" s="126"/>
      <c r="TFQ572" s="126"/>
      <c r="TFR572" s="126"/>
      <c r="TFS572" s="126"/>
      <c r="TFT572" s="126"/>
      <c r="TFU572" s="126"/>
      <c r="TFV572" s="126"/>
      <c r="TFW572" s="126"/>
      <c r="TFX572" s="126"/>
      <c r="TFY572" s="126"/>
      <c r="TFZ572" s="126"/>
      <c r="TGA572" s="126"/>
      <c r="TGB572" s="126"/>
      <c r="TGC572" s="126"/>
      <c r="TGD572" s="126"/>
      <c r="TGE572" s="126"/>
      <c r="TGF572" s="126"/>
      <c r="TGG572" s="126"/>
      <c r="TGH572" s="126"/>
      <c r="TGI572" s="126"/>
      <c r="TGJ572" s="126"/>
      <c r="TGK572" s="126"/>
      <c r="TGL572" s="126"/>
      <c r="TGM572" s="126"/>
      <c r="TGN572" s="126"/>
      <c r="TGO572" s="126"/>
      <c r="TGP572" s="126"/>
      <c r="TGQ572" s="126"/>
      <c r="TGR572" s="126"/>
      <c r="TGS572" s="126"/>
      <c r="TGT572" s="126"/>
      <c r="TGU572" s="126"/>
      <c r="TGV572" s="126"/>
      <c r="TGW572" s="126"/>
      <c r="TGX572" s="126"/>
      <c r="TGY572" s="126"/>
      <c r="TGZ572" s="126"/>
      <c r="THA572" s="126"/>
      <c r="THB572" s="126"/>
      <c r="THC572" s="126"/>
      <c r="THD572" s="126"/>
      <c r="THE572" s="126"/>
      <c r="THF572" s="126"/>
      <c r="THG572" s="126"/>
      <c r="THH572" s="126"/>
      <c r="THI572" s="126"/>
      <c r="THJ572" s="126"/>
      <c r="THK572" s="126"/>
      <c r="THL572" s="126"/>
      <c r="THM572" s="126"/>
      <c r="THN572" s="126"/>
      <c r="THO572" s="126"/>
      <c r="THP572" s="126"/>
      <c r="THQ572" s="126"/>
      <c r="THR572" s="126"/>
      <c r="THS572" s="126"/>
      <c r="THT572" s="126"/>
      <c r="THU572" s="126"/>
      <c r="THV572" s="126"/>
      <c r="THW572" s="126"/>
      <c r="THX572" s="126"/>
      <c r="THY572" s="126"/>
      <c r="THZ572" s="126"/>
      <c r="TIA572" s="126"/>
      <c r="TIB572" s="126"/>
      <c r="TIC572" s="126"/>
      <c r="TID572" s="126"/>
      <c r="TIE572" s="126"/>
      <c r="TIF572" s="126"/>
      <c r="TIG572" s="126"/>
      <c r="TIH572" s="126"/>
      <c r="TII572" s="126"/>
      <c r="TIJ572" s="126"/>
      <c r="TIK572" s="126"/>
      <c r="TIL572" s="126"/>
      <c r="TIM572" s="126"/>
      <c r="TIN572" s="126"/>
      <c r="TIO572" s="126"/>
      <c r="TIP572" s="126"/>
      <c r="TIQ572" s="126"/>
      <c r="TIR572" s="126"/>
      <c r="TIS572" s="126"/>
      <c r="TIT572" s="126"/>
      <c r="TIU572" s="126"/>
      <c r="TIV572" s="126"/>
      <c r="TIW572" s="126"/>
      <c r="TIX572" s="126"/>
      <c r="TIY572" s="126"/>
      <c r="TIZ572" s="126"/>
      <c r="TJA572" s="126"/>
      <c r="TJB572" s="126"/>
      <c r="TJC572" s="126"/>
      <c r="TJD572" s="126"/>
      <c r="TJE572" s="126"/>
      <c r="TJF572" s="126"/>
      <c r="TJG572" s="126"/>
      <c r="TJH572" s="126"/>
      <c r="TJI572" s="126"/>
      <c r="TJJ572" s="126"/>
      <c r="TJK572" s="126"/>
      <c r="TJL572" s="126"/>
      <c r="TJM572" s="126"/>
      <c r="TJN572" s="126"/>
      <c r="TJO572" s="126"/>
      <c r="TJP572" s="126"/>
      <c r="TJQ572" s="126"/>
      <c r="TJR572" s="126"/>
      <c r="TJS572" s="126"/>
      <c r="TJT572" s="126"/>
      <c r="TJU572" s="126"/>
      <c r="TJV572" s="126"/>
      <c r="TJW572" s="126"/>
      <c r="TJX572" s="126"/>
      <c r="TJY572" s="126"/>
      <c r="TJZ572" s="126"/>
      <c r="TKA572" s="126"/>
      <c r="TKB572" s="126"/>
      <c r="TKC572" s="126"/>
      <c r="TKD572" s="126"/>
      <c r="TKE572" s="126"/>
      <c r="TKF572" s="126"/>
      <c r="TKG572" s="126"/>
      <c r="TKH572" s="126"/>
      <c r="TKI572" s="126"/>
      <c r="TKJ572" s="126"/>
      <c r="TKK572" s="126"/>
      <c r="TKL572" s="126"/>
      <c r="TKM572" s="126"/>
      <c r="TKN572" s="126"/>
      <c r="TKO572" s="126"/>
      <c r="TKP572" s="126"/>
      <c r="TKQ572" s="126"/>
      <c r="TKR572" s="126"/>
      <c r="TKS572" s="126"/>
      <c r="TKT572" s="126"/>
      <c r="TKU572" s="126"/>
      <c r="TKV572" s="126"/>
      <c r="TKW572" s="126"/>
      <c r="TKX572" s="126"/>
      <c r="TKY572" s="126"/>
      <c r="TKZ572" s="126"/>
      <c r="TLA572" s="126"/>
      <c r="TLB572" s="126"/>
      <c r="TLC572" s="126"/>
      <c r="TLD572" s="126"/>
      <c r="TLE572" s="126"/>
      <c r="TLF572" s="126"/>
      <c r="TLG572" s="126"/>
      <c r="TLH572" s="126"/>
      <c r="TLI572" s="126"/>
      <c r="TLJ572" s="126"/>
      <c r="TLK572" s="126"/>
      <c r="TLL572" s="126"/>
      <c r="TLM572" s="126"/>
      <c r="TLN572" s="126"/>
      <c r="TLO572" s="126"/>
      <c r="TLP572" s="126"/>
      <c r="TLQ572" s="126"/>
      <c r="TLR572" s="126"/>
      <c r="TLS572" s="126"/>
      <c r="TLT572" s="126"/>
      <c r="TLU572" s="126"/>
      <c r="TLV572" s="126"/>
      <c r="TLW572" s="126"/>
      <c r="TLX572" s="126"/>
      <c r="TLY572" s="126"/>
      <c r="TLZ572" s="126"/>
      <c r="TMA572" s="126"/>
      <c r="TMB572" s="126"/>
      <c r="TMC572" s="126"/>
      <c r="TMD572" s="126"/>
      <c r="TME572" s="126"/>
      <c r="TMF572" s="126"/>
      <c r="TMG572" s="126"/>
      <c r="TMH572" s="126"/>
      <c r="TMI572" s="126"/>
      <c r="TMJ572" s="126"/>
      <c r="TMK572" s="126"/>
      <c r="TML572" s="126"/>
      <c r="TMM572" s="126"/>
      <c r="TMN572" s="126"/>
      <c r="TMO572" s="126"/>
      <c r="TMP572" s="126"/>
      <c r="TMQ572" s="126"/>
      <c r="TMR572" s="126"/>
      <c r="TMS572" s="126"/>
      <c r="TMT572" s="126"/>
      <c r="TMU572" s="126"/>
      <c r="TMV572" s="126"/>
      <c r="TMW572" s="126"/>
      <c r="TMX572" s="126"/>
      <c r="TMY572" s="126"/>
      <c r="TMZ572" s="126"/>
      <c r="TNA572" s="126"/>
      <c r="TNB572" s="126"/>
      <c r="TNC572" s="126"/>
      <c r="TND572" s="126"/>
      <c r="TNE572" s="126"/>
      <c r="TNF572" s="126"/>
      <c r="TNG572" s="126"/>
      <c r="TNH572" s="126"/>
      <c r="TNI572" s="126"/>
      <c r="TNJ572" s="126"/>
      <c r="TNK572" s="126"/>
      <c r="TNL572" s="126"/>
      <c r="TNM572" s="126"/>
      <c r="TNN572" s="126"/>
      <c r="TNO572" s="126"/>
      <c r="TNP572" s="126"/>
      <c r="TNQ572" s="126"/>
      <c r="TNR572" s="126"/>
      <c r="TNS572" s="126"/>
      <c r="TNT572" s="126"/>
      <c r="TNU572" s="126"/>
      <c r="TNV572" s="126"/>
      <c r="TNW572" s="126"/>
      <c r="TNX572" s="126"/>
      <c r="TNY572" s="126"/>
      <c r="TNZ572" s="126"/>
      <c r="TOA572" s="126"/>
      <c r="TOB572" s="126"/>
      <c r="TOC572" s="126"/>
      <c r="TOD572" s="126"/>
      <c r="TOE572" s="126"/>
      <c r="TOF572" s="126"/>
      <c r="TOG572" s="126"/>
      <c r="TOH572" s="126"/>
      <c r="TOI572" s="126"/>
      <c r="TOJ572" s="126"/>
      <c r="TOK572" s="126"/>
      <c r="TOL572" s="126"/>
      <c r="TOM572" s="126"/>
      <c r="TON572" s="126"/>
      <c r="TOO572" s="126"/>
      <c r="TOP572" s="126"/>
      <c r="TOQ572" s="126"/>
      <c r="TOR572" s="126"/>
      <c r="TOS572" s="126"/>
      <c r="TOT572" s="126"/>
      <c r="TOU572" s="126"/>
      <c r="TOV572" s="126"/>
      <c r="TOW572" s="126"/>
      <c r="TOX572" s="126"/>
      <c r="TOY572" s="126"/>
      <c r="TOZ572" s="126"/>
      <c r="TPA572" s="126"/>
      <c r="TPB572" s="126"/>
      <c r="TPC572" s="126"/>
      <c r="TPD572" s="126"/>
      <c r="TPE572" s="126"/>
      <c r="TPF572" s="126"/>
      <c r="TPG572" s="126"/>
      <c r="TPH572" s="126"/>
      <c r="TPI572" s="126"/>
      <c r="TPJ572" s="126"/>
      <c r="TPK572" s="126"/>
      <c r="TPL572" s="126"/>
      <c r="TPM572" s="126"/>
      <c r="TPN572" s="126"/>
      <c r="TPO572" s="126"/>
      <c r="TPP572" s="126"/>
      <c r="TPQ572" s="126"/>
      <c r="TPR572" s="126"/>
      <c r="TPS572" s="126"/>
      <c r="TPT572" s="126"/>
      <c r="TPU572" s="126"/>
      <c r="TPV572" s="126"/>
      <c r="TPW572" s="126"/>
      <c r="TPX572" s="126"/>
      <c r="TPY572" s="126"/>
      <c r="TPZ572" s="126"/>
      <c r="TQA572" s="126"/>
      <c r="TQB572" s="126"/>
      <c r="TQC572" s="126"/>
      <c r="TQD572" s="126"/>
      <c r="TQE572" s="126"/>
      <c r="TQF572" s="126"/>
      <c r="TQG572" s="126"/>
      <c r="TQH572" s="126"/>
      <c r="TQI572" s="126"/>
      <c r="TQJ572" s="126"/>
      <c r="TQK572" s="126"/>
      <c r="TQL572" s="126"/>
      <c r="TQM572" s="126"/>
      <c r="TQN572" s="126"/>
      <c r="TQO572" s="126"/>
      <c r="TQP572" s="126"/>
      <c r="TQQ572" s="126"/>
      <c r="TQR572" s="126"/>
      <c r="TQS572" s="126"/>
      <c r="TQT572" s="126"/>
      <c r="TQU572" s="126"/>
      <c r="TQV572" s="126"/>
      <c r="TQW572" s="126"/>
      <c r="TQX572" s="126"/>
      <c r="TQY572" s="126"/>
      <c r="TQZ572" s="126"/>
      <c r="TRA572" s="126"/>
      <c r="TRB572" s="126"/>
      <c r="TRC572" s="126"/>
      <c r="TRD572" s="126"/>
      <c r="TRE572" s="126"/>
      <c r="TRF572" s="126"/>
      <c r="TRG572" s="126"/>
      <c r="TRH572" s="126"/>
      <c r="TRI572" s="126"/>
      <c r="TRJ572" s="126"/>
      <c r="TRK572" s="126"/>
      <c r="TRL572" s="126"/>
      <c r="TRM572" s="126"/>
      <c r="TRN572" s="126"/>
      <c r="TRO572" s="126"/>
      <c r="TRP572" s="126"/>
      <c r="TRQ572" s="126"/>
      <c r="TRR572" s="126"/>
      <c r="TRS572" s="126"/>
      <c r="TRT572" s="126"/>
      <c r="TRU572" s="126"/>
      <c r="TRV572" s="126"/>
      <c r="TRW572" s="126"/>
      <c r="TRX572" s="126"/>
      <c r="TRY572" s="126"/>
      <c r="TRZ572" s="126"/>
      <c r="TSA572" s="126"/>
      <c r="TSB572" s="126"/>
      <c r="TSC572" s="126"/>
      <c r="TSD572" s="126"/>
      <c r="TSE572" s="126"/>
      <c r="TSF572" s="126"/>
      <c r="TSG572" s="126"/>
      <c r="TSH572" s="126"/>
      <c r="TSI572" s="126"/>
      <c r="TSJ572" s="126"/>
      <c r="TSK572" s="126"/>
      <c r="TSL572" s="126"/>
      <c r="TSM572" s="126"/>
      <c r="TSN572" s="126"/>
      <c r="TSO572" s="126"/>
      <c r="TSP572" s="126"/>
      <c r="TSQ572" s="126"/>
      <c r="TSR572" s="126"/>
      <c r="TSS572" s="126"/>
      <c r="TST572" s="126"/>
      <c r="TSU572" s="126"/>
      <c r="TSV572" s="126"/>
      <c r="TSW572" s="126"/>
      <c r="TSX572" s="126"/>
      <c r="TSY572" s="126"/>
      <c r="TSZ572" s="126"/>
      <c r="TTA572" s="126"/>
      <c r="TTB572" s="126"/>
      <c r="TTC572" s="126"/>
      <c r="TTD572" s="126"/>
      <c r="TTE572" s="126"/>
      <c r="TTF572" s="126"/>
      <c r="TTG572" s="126"/>
      <c r="TTH572" s="126"/>
      <c r="TTI572" s="126"/>
      <c r="TTJ572" s="126"/>
      <c r="TTK572" s="126"/>
      <c r="TTL572" s="126"/>
      <c r="TTM572" s="126"/>
      <c r="TTN572" s="126"/>
      <c r="TTO572" s="126"/>
      <c r="TTP572" s="126"/>
      <c r="TTQ572" s="126"/>
      <c r="TTR572" s="126"/>
      <c r="TTS572" s="126"/>
      <c r="TTT572" s="126"/>
      <c r="TTU572" s="126"/>
      <c r="TTV572" s="126"/>
      <c r="TTW572" s="126"/>
      <c r="TTX572" s="126"/>
      <c r="TTY572" s="126"/>
      <c r="TTZ572" s="126"/>
      <c r="TUA572" s="126"/>
      <c r="TUB572" s="126"/>
      <c r="TUC572" s="126"/>
      <c r="TUD572" s="126"/>
      <c r="TUE572" s="126"/>
      <c r="TUF572" s="126"/>
      <c r="TUG572" s="126"/>
      <c r="TUH572" s="126"/>
      <c r="TUI572" s="126"/>
      <c r="TUJ572" s="126"/>
      <c r="TUK572" s="126"/>
      <c r="TUL572" s="126"/>
      <c r="TUM572" s="126"/>
      <c r="TUN572" s="126"/>
      <c r="TUO572" s="126"/>
      <c r="TUP572" s="126"/>
      <c r="TUQ572" s="126"/>
      <c r="TUR572" s="126"/>
      <c r="TUS572" s="126"/>
      <c r="TUT572" s="126"/>
      <c r="TUU572" s="126"/>
      <c r="TUV572" s="126"/>
      <c r="TUW572" s="126"/>
      <c r="TUX572" s="126"/>
      <c r="TUY572" s="126"/>
      <c r="TUZ572" s="126"/>
      <c r="TVA572" s="126"/>
      <c r="TVB572" s="126"/>
      <c r="TVC572" s="126"/>
      <c r="TVD572" s="126"/>
      <c r="TVE572" s="126"/>
      <c r="TVF572" s="126"/>
      <c r="TVG572" s="126"/>
      <c r="TVH572" s="126"/>
      <c r="TVI572" s="126"/>
      <c r="TVJ572" s="126"/>
      <c r="TVK572" s="126"/>
      <c r="TVL572" s="126"/>
      <c r="TVM572" s="126"/>
      <c r="TVN572" s="126"/>
      <c r="TVO572" s="126"/>
      <c r="TVP572" s="126"/>
      <c r="TVQ572" s="126"/>
      <c r="TVR572" s="126"/>
      <c r="TVS572" s="126"/>
      <c r="TVT572" s="126"/>
      <c r="TVU572" s="126"/>
      <c r="TVV572" s="126"/>
      <c r="TVW572" s="126"/>
      <c r="TVX572" s="126"/>
      <c r="TVY572" s="126"/>
      <c r="TVZ572" s="126"/>
      <c r="TWA572" s="126"/>
      <c r="TWB572" s="126"/>
      <c r="TWC572" s="126"/>
      <c r="TWD572" s="126"/>
      <c r="TWE572" s="126"/>
      <c r="TWF572" s="126"/>
      <c r="TWG572" s="126"/>
      <c r="TWH572" s="126"/>
      <c r="TWI572" s="126"/>
      <c r="TWJ572" s="126"/>
      <c r="TWK572" s="126"/>
      <c r="TWL572" s="126"/>
      <c r="TWM572" s="126"/>
      <c r="TWN572" s="126"/>
      <c r="TWO572" s="126"/>
      <c r="TWP572" s="126"/>
      <c r="TWQ572" s="126"/>
      <c r="TWR572" s="126"/>
      <c r="TWS572" s="126"/>
      <c r="TWT572" s="126"/>
      <c r="TWU572" s="126"/>
      <c r="TWV572" s="126"/>
      <c r="TWW572" s="126"/>
      <c r="TWX572" s="126"/>
      <c r="TWY572" s="126"/>
      <c r="TWZ572" s="126"/>
      <c r="TXA572" s="126"/>
      <c r="TXB572" s="126"/>
      <c r="TXC572" s="126"/>
      <c r="TXD572" s="126"/>
      <c r="TXE572" s="126"/>
      <c r="TXF572" s="126"/>
      <c r="TXG572" s="126"/>
      <c r="TXH572" s="126"/>
      <c r="TXI572" s="126"/>
      <c r="TXJ572" s="126"/>
      <c r="TXK572" s="126"/>
      <c r="TXL572" s="126"/>
      <c r="TXM572" s="126"/>
      <c r="TXN572" s="126"/>
      <c r="TXO572" s="126"/>
      <c r="TXP572" s="126"/>
      <c r="TXQ572" s="126"/>
      <c r="TXR572" s="126"/>
      <c r="TXS572" s="126"/>
      <c r="TXT572" s="126"/>
      <c r="TXU572" s="126"/>
      <c r="TXV572" s="126"/>
      <c r="TXW572" s="126"/>
      <c r="TXX572" s="126"/>
      <c r="TXY572" s="126"/>
      <c r="TXZ572" s="126"/>
      <c r="TYA572" s="126"/>
      <c r="TYB572" s="126"/>
      <c r="TYC572" s="126"/>
      <c r="TYD572" s="126"/>
      <c r="TYE572" s="126"/>
      <c r="TYF572" s="126"/>
      <c r="TYG572" s="126"/>
      <c r="TYH572" s="126"/>
      <c r="TYI572" s="126"/>
      <c r="TYJ572" s="126"/>
      <c r="TYK572" s="126"/>
      <c r="TYL572" s="126"/>
      <c r="TYM572" s="126"/>
      <c r="TYN572" s="126"/>
      <c r="TYO572" s="126"/>
      <c r="TYP572" s="126"/>
      <c r="TYQ572" s="126"/>
      <c r="TYR572" s="126"/>
      <c r="TYS572" s="126"/>
      <c r="TYT572" s="126"/>
      <c r="TYU572" s="126"/>
      <c r="TYV572" s="126"/>
      <c r="TYW572" s="126"/>
      <c r="TYX572" s="126"/>
      <c r="TYY572" s="126"/>
      <c r="TYZ572" s="126"/>
      <c r="TZA572" s="126"/>
      <c r="TZB572" s="126"/>
      <c r="TZC572" s="126"/>
      <c r="TZD572" s="126"/>
      <c r="TZE572" s="126"/>
      <c r="TZF572" s="126"/>
      <c r="TZG572" s="126"/>
      <c r="TZH572" s="126"/>
      <c r="TZI572" s="126"/>
      <c r="TZJ572" s="126"/>
      <c r="TZK572" s="126"/>
      <c r="TZL572" s="126"/>
      <c r="TZM572" s="126"/>
      <c r="TZN572" s="126"/>
      <c r="TZO572" s="126"/>
      <c r="TZP572" s="126"/>
      <c r="TZQ572" s="126"/>
      <c r="TZR572" s="126"/>
      <c r="TZS572" s="126"/>
      <c r="TZT572" s="126"/>
      <c r="TZU572" s="126"/>
      <c r="TZV572" s="126"/>
      <c r="TZW572" s="126"/>
      <c r="TZX572" s="126"/>
      <c r="TZY572" s="126"/>
      <c r="TZZ572" s="126"/>
      <c r="UAA572" s="126"/>
      <c r="UAB572" s="126"/>
      <c r="UAC572" s="126"/>
      <c r="UAD572" s="126"/>
      <c r="UAE572" s="126"/>
      <c r="UAF572" s="126"/>
      <c r="UAG572" s="126"/>
      <c r="UAH572" s="126"/>
      <c r="UAI572" s="126"/>
      <c r="UAJ572" s="126"/>
      <c r="UAK572" s="126"/>
      <c r="UAL572" s="126"/>
      <c r="UAM572" s="126"/>
      <c r="UAN572" s="126"/>
      <c r="UAO572" s="126"/>
      <c r="UAP572" s="126"/>
      <c r="UAQ572" s="126"/>
      <c r="UAR572" s="126"/>
      <c r="UAS572" s="126"/>
      <c r="UAT572" s="126"/>
      <c r="UAU572" s="126"/>
      <c r="UAV572" s="126"/>
      <c r="UAW572" s="126"/>
      <c r="UAX572" s="126"/>
      <c r="UAY572" s="126"/>
      <c r="UAZ572" s="126"/>
      <c r="UBA572" s="126"/>
      <c r="UBB572" s="126"/>
      <c r="UBC572" s="126"/>
      <c r="UBD572" s="126"/>
      <c r="UBE572" s="126"/>
      <c r="UBF572" s="126"/>
      <c r="UBG572" s="126"/>
      <c r="UBH572" s="126"/>
      <c r="UBI572" s="126"/>
      <c r="UBJ572" s="126"/>
      <c r="UBK572" s="126"/>
      <c r="UBL572" s="126"/>
      <c r="UBM572" s="126"/>
      <c r="UBN572" s="126"/>
      <c r="UBO572" s="126"/>
      <c r="UBP572" s="126"/>
      <c r="UBQ572" s="126"/>
      <c r="UBR572" s="126"/>
      <c r="UBS572" s="126"/>
      <c r="UBT572" s="126"/>
      <c r="UBU572" s="126"/>
      <c r="UBV572" s="126"/>
      <c r="UBW572" s="126"/>
      <c r="UBX572" s="126"/>
      <c r="UBY572" s="126"/>
      <c r="UBZ572" s="126"/>
      <c r="UCA572" s="126"/>
      <c r="UCB572" s="126"/>
      <c r="UCC572" s="126"/>
      <c r="UCD572" s="126"/>
      <c r="UCE572" s="126"/>
      <c r="UCF572" s="126"/>
      <c r="UCG572" s="126"/>
      <c r="UCH572" s="126"/>
      <c r="UCI572" s="126"/>
      <c r="UCJ572" s="126"/>
      <c r="UCK572" s="126"/>
      <c r="UCL572" s="126"/>
      <c r="UCM572" s="126"/>
      <c r="UCN572" s="126"/>
      <c r="UCO572" s="126"/>
      <c r="UCP572" s="126"/>
      <c r="UCQ572" s="126"/>
      <c r="UCR572" s="126"/>
      <c r="UCS572" s="126"/>
      <c r="UCT572" s="126"/>
      <c r="UCU572" s="126"/>
      <c r="UCV572" s="126"/>
      <c r="UCW572" s="126"/>
      <c r="UCX572" s="126"/>
      <c r="UCY572" s="126"/>
      <c r="UCZ572" s="126"/>
      <c r="UDA572" s="126"/>
      <c r="UDB572" s="126"/>
      <c r="UDC572" s="126"/>
      <c r="UDD572" s="126"/>
      <c r="UDE572" s="126"/>
      <c r="UDF572" s="126"/>
      <c r="UDG572" s="126"/>
      <c r="UDH572" s="126"/>
      <c r="UDI572" s="126"/>
      <c r="UDJ572" s="126"/>
      <c r="UDK572" s="126"/>
      <c r="UDL572" s="126"/>
      <c r="UDM572" s="126"/>
      <c r="UDN572" s="126"/>
      <c r="UDO572" s="126"/>
      <c r="UDP572" s="126"/>
      <c r="UDQ572" s="126"/>
      <c r="UDR572" s="126"/>
      <c r="UDS572" s="126"/>
      <c r="UDT572" s="126"/>
      <c r="UDU572" s="126"/>
      <c r="UDV572" s="126"/>
      <c r="UDW572" s="126"/>
      <c r="UDX572" s="126"/>
      <c r="UDY572" s="126"/>
      <c r="UDZ572" s="126"/>
      <c r="UEA572" s="126"/>
      <c r="UEB572" s="126"/>
      <c r="UEC572" s="126"/>
      <c r="UED572" s="126"/>
      <c r="UEE572" s="126"/>
      <c r="UEF572" s="126"/>
      <c r="UEG572" s="126"/>
      <c r="UEH572" s="126"/>
      <c r="UEI572" s="126"/>
      <c r="UEJ572" s="126"/>
      <c r="UEK572" s="126"/>
      <c r="UEL572" s="126"/>
      <c r="UEM572" s="126"/>
      <c r="UEN572" s="126"/>
      <c r="UEO572" s="126"/>
      <c r="UEP572" s="126"/>
      <c r="UEQ572" s="126"/>
      <c r="UER572" s="126"/>
      <c r="UES572" s="126"/>
      <c r="UET572" s="126"/>
      <c r="UEU572" s="126"/>
      <c r="UEV572" s="126"/>
      <c r="UEW572" s="126"/>
      <c r="UEX572" s="126"/>
      <c r="UEY572" s="126"/>
      <c r="UEZ572" s="126"/>
      <c r="UFA572" s="126"/>
      <c r="UFB572" s="126"/>
      <c r="UFC572" s="126"/>
      <c r="UFD572" s="126"/>
      <c r="UFE572" s="126"/>
      <c r="UFF572" s="126"/>
      <c r="UFG572" s="126"/>
      <c r="UFH572" s="126"/>
      <c r="UFI572" s="126"/>
      <c r="UFJ572" s="126"/>
      <c r="UFK572" s="126"/>
      <c r="UFL572" s="126"/>
      <c r="UFM572" s="126"/>
      <c r="UFN572" s="126"/>
      <c r="UFO572" s="126"/>
      <c r="UFP572" s="126"/>
      <c r="UFQ572" s="126"/>
      <c r="UFR572" s="126"/>
      <c r="UFS572" s="126"/>
      <c r="UFT572" s="126"/>
      <c r="UFU572" s="126"/>
      <c r="UFV572" s="126"/>
      <c r="UFW572" s="126"/>
      <c r="UFX572" s="126"/>
      <c r="UFY572" s="126"/>
      <c r="UFZ572" s="126"/>
      <c r="UGA572" s="126"/>
      <c r="UGB572" s="126"/>
      <c r="UGC572" s="126"/>
      <c r="UGD572" s="126"/>
      <c r="UGE572" s="126"/>
      <c r="UGF572" s="126"/>
      <c r="UGG572" s="126"/>
      <c r="UGH572" s="126"/>
      <c r="UGI572" s="126"/>
      <c r="UGJ572" s="126"/>
      <c r="UGK572" s="126"/>
      <c r="UGL572" s="126"/>
      <c r="UGM572" s="126"/>
      <c r="UGN572" s="126"/>
      <c r="UGO572" s="126"/>
      <c r="UGP572" s="126"/>
      <c r="UGQ572" s="126"/>
      <c r="UGR572" s="126"/>
      <c r="UGS572" s="126"/>
      <c r="UGT572" s="126"/>
      <c r="UGU572" s="126"/>
      <c r="UGV572" s="126"/>
      <c r="UGW572" s="126"/>
      <c r="UGX572" s="126"/>
      <c r="UGY572" s="126"/>
      <c r="UGZ572" s="126"/>
      <c r="UHA572" s="126"/>
      <c r="UHB572" s="126"/>
      <c r="UHC572" s="126"/>
      <c r="UHD572" s="126"/>
      <c r="UHE572" s="126"/>
      <c r="UHF572" s="126"/>
      <c r="UHG572" s="126"/>
      <c r="UHH572" s="126"/>
      <c r="UHI572" s="126"/>
      <c r="UHJ572" s="126"/>
      <c r="UHK572" s="126"/>
      <c r="UHL572" s="126"/>
      <c r="UHM572" s="126"/>
      <c r="UHN572" s="126"/>
      <c r="UHO572" s="126"/>
      <c r="UHP572" s="126"/>
      <c r="UHQ572" s="126"/>
      <c r="UHR572" s="126"/>
      <c r="UHS572" s="126"/>
      <c r="UHT572" s="126"/>
      <c r="UHU572" s="126"/>
      <c r="UHV572" s="126"/>
      <c r="UHW572" s="126"/>
      <c r="UHX572" s="126"/>
      <c r="UHY572" s="126"/>
      <c r="UHZ572" s="126"/>
      <c r="UIA572" s="126"/>
      <c r="UIB572" s="126"/>
      <c r="UIC572" s="126"/>
      <c r="UID572" s="126"/>
      <c r="UIE572" s="126"/>
      <c r="UIF572" s="126"/>
      <c r="UIG572" s="126"/>
      <c r="UIH572" s="126"/>
      <c r="UII572" s="126"/>
      <c r="UIJ572" s="126"/>
      <c r="UIK572" s="126"/>
      <c r="UIL572" s="126"/>
      <c r="UIM572" s="126"/>
      <c r="UIN572" s="126"/>
      <c r="UIO572" s="126"/>
      <c r="UIP572" s="126"/>
      <c r="UIQ572" s="126"/>
      <c r="UIR572" s="126"/>
      <c r="UIS572" s="126"/>
      <c r="UIT572" s="126"/>
      <c r="UIU572" s="126"/>
      <c r="UIV572" s="126"/>
      <c r="UIW572" s="126"/>
      <c r="UIX572" s="126"/>
      <c r="UIY572" s="126"/>
      <c r="UIZ572" s="126"/>
      <c r="UJA572" s="126"/>
      <c r="UJB572" s="126"/>
      <c r="UJC572" s="126"/>
      <c r="UJD572" s="126"/>
      <c r="UJE572" s="126"/>
      <c r="UJF572" s="126"/>
      <c r="UJG572" s="126"/>
      <c r="UJH572" s="126"/>
      <c r="UJI572" s="126"/>
      <c r="UJJ572" s="126"/>
      <c r="UJK572" s="126"/>
      <c r="UJL572" s="126"/>
      <c r="UJM572" s="126"/>
      <c r="UJN572" s="126"/>
      <c r="UJO572" s="126"/>
      <c r="UJP572" s="126"/>
      <c r="UJQ572" s="126"/>
      <c r="UJR572" s="126"/>
      <c r="UJS572" s="126"/>
      <c r="UJT572" s="126"/>
      <c r="UJU572" s="126"/>
      <c r="UJV572" s="126"/>
      <c r="UJW572" s="126"/>
      <c r="UJX572" s="126"/>
      <c r="UJY572" s="126"/>
      <c r="UJZ572" s="126"/>
      <c r="UKA572" s="126"/>
      <c r="UKB572" s="126"/>
      <c r="UKC572" s="126"/>
      <c r="UKD572" s="126"/>
      <c r="UKE572" s="126"/>
      <c r="UKF572" s="126"/>
      <c r="UKG572" s="126"/>
      <c r="UKH572" s="126"/>
      <c r="UKI572" s="126"/>
      <c r="UKJ572" s="126"/>
      <c r="UKK572" s="126"/>
      <c r="UKL572" s="126"/>
      <c r="UKM572" s="126"/>
      <c r="UKN572" s="126"/>
      <c r="UKO572" s="126"/>
      <c r="UKP572" s="126"/>
      <c r="UKQ572" s="126"/>
      <c r="UKR572" s="126"/>
      <c r="UKS572" s="126"/>
      <c r="UKT572" s="126"/>
      <c r="UKU572" s="126"/>
      <c r="UKV572" s="126"/>
      <c r="UKW572" s="126"/>
      <c r="UKX572" s="126"/>
      <c r="UKY572" s="126"/>
      <c r="UKZ572" s="126"/>
      <c r="ULA572" s="126"/>
      <c r="ULB572" s="126"/>
      <c r="ULC572" s="126"/>
      <c r="ULD572" s="126"/>
      <c r="ULE572" s="126"/>
      <c r="ULF572" s="126"/>
      <c r="ULG572" s="126"/>
      <c r="ULH572" s="126"/>
      <c r="ULI572" s="126"/>
      <c r="ULJ572" s="126"/>
      <c r="ULK572" s="126"/>
      <c r="ULL572" s="126"/>
      <c r="ULM572" s="126"/>
      <c r="ULN572" s="126"/>
      <c r="ULO572" s="126"/>
      <c r="ULP572" s="126"/>
      <c r="ULQ572" s="126"/>
      <c r="ULR572" s="126"/>
      <c r="ULS572" s="126"/>
      <c r="ULT572" s="126"/>
      <c r="ULU572" s="126"/>
      <c r="ULV572" s="126"/>
      <c r="ULW572" s="126"/>
      <c r="ULX572" s="126"/>
      <c r="ULY572" s="126"/>
      <c r="ULZ572" s="126"/>
      <c r="UMA572" s="126"/>
      <c r="UMB572" s="126"/>
      <c r="UMC572" s="126"/>
      <c r="UMD572" s="126"/>
      <c r="UME572" s="126"/>
      <c r="UMF572" s="126"/>
      <c r="UMG572" s="126"/>
      <c r="UMH572" s="126"/>
      <c r="UMI572" s="126"/>
      <c r="UMJ572" s="126"/>
      <c r="UMK572" s="126"/>
      <c r="UML572" s="126"/>
      <c r="UMM572" s="126"/>
      <c r="UMN572" s="126"/>
      <c r="UMO572" s="126"/>
      <c r="UMP572" s="126"/>
      <c r="UMQ572" s="126"/>
      <c r="UMR572" s="126"/>
      <c r="UMS572" s="126"/>
      <c r="UMT572" s="126"/>
      <c r="UMU572" s="126"/>
      <c r="UMV572" s="126"/>
      <c r="UMW572" s="126"/>
      <c r="UMX572" s="126"/>
      <c r="UMY572" s="126"/>
      <c r="UMZ572" s="126"/>
      <c r="UNA572" s="126"/>
      <c r="UNB572" s="126"/>
      <c r="UNC572" s="126"/>
      <c r="UND572" s="126"/>
      <c r="UNE572" s="126"/>
      <c r="UNF572" s="126"/>
      <c r="UNG572" s="126"/>
      <c r="UNH572" s="126"/>
      <c r="UNI572" s="126"/>
      <c r="UNJ572" s="126"/>
      <c r="UNK572" s="126"/>
      <c r="UNL572" s="126"/>
      <c r="UNM572" s="126"/>
      <c r="UNN572" s="126"/>
      <c r="UNO572" s="126"/>
      <c r="UNP572" s="126"/>
      <c r="UNQ572" s="126"/>
      <c r="UNR572" s="126"/>
      <c r="UNS572" s="126"/>
      <c r="UNT572" s="126"/>
      <c r="UNU572" s="126"/>
      <c r="UNV572" s="126"/>
      <c r="UNW572" s="126"/>
      <c r="UNX572" s="126"/>
      <c r="UNY572" s="126"/>
      <c r="UNZ572" s="126"/>
      <c r="UOA572" s="126"/>
      <c r="UOB572" s="126"/>
      <c r="UOC572" s="126"/>
      <c r="UOD572" s="126"/>
      <c r="UOE572" s="126"/>
      <c r="UOF572" s="126"/>
      <c r="UOG572" s="126"/>
      <c r="UOH572" s="126"/>
      <c r="UOI572" s="126"/>
      <c r="UOJ572" s="126"/>
      <c r="UOK572" s="126"/>
      <c r="UOL572" s="126"/>
      <c r="UOM572" s="126"/>
      <c r="UON572" s="126"/>
      <c r="UOO572" s="126"/>
      <c r="UOP572" s="126"/>
      <c r="UOQ572" s="126"/>
      <c r="UOR572" s="126"/>
      <c r="UOS572" s="126"/>
      <c r="UOT572" s="126"/>
      <c r="UOU572" s="126"/>
      <c r="UOV572" s="126"/>
      <c r="UOW572" s="126"/>
      <c r="UOX572" s="126"/>
      <c r="UOY572" s="126"/>
      <c r="UOZ572" s="126"/>
      <c r="UPA572" s="126"/>
      <c r="UPB572" s="126"/>
      <c r="UPC572" s="126"/>
      <c r="UPD572" s="126"/>
      <c r="UPE572" s="126"/>
      <c r="UPF572" s="126"/>
      <c r="UPG572" s="126"/>
      <c r="UPH572" s="126"/>
      <c r="UPI572" s="126"/>
      <c r="UPJ572" s="126"/>
      <c r="UPK572" s="126"/>
      <c r="UPL572" s="126"/>
      <c r="UPM572" s="126"/>
      <c r="UPN572" s="126"/>
      <c r="UPO572" s="126"/>
      <c r="UPP572" s="126"/>
      <c r="UPQ572" s="126"/>
      <c r="UPR572" s="126"/>
      <c r="UPS572" s="126"/>
      <c r="UPT572" s="126"/>
      <c r="UPU572" s="126"/>
      <c r="UPV572" s="126"/>
      <c r="UPW572" s="126"/>
      <c r="UPX572" s="126"/>
      <c r="UPY572" s="126"/>
      <c r="UPZ572" s="126"/>
      <c r="UQA572" s="126"/>
      <c r="UQB572" s="126"/>
      <c r="UQC572" s="126"/>
      <c r="UQD572" s="126"/>
      <c r="UQE572" s="126"/>
      <c r="UQF572" s="126"/>
      <c r="UQG572" s="126"/>
      <c r="UQH572" s="126"/>
      <c r="UQI572" s="126"/>
      <c r="UQJ572" s="126"/>
      <c r="UQK572" s="126"/>
      <c r="UQL572" s="126"/>
      <c r="UQM572" s="126"/>
      <c r="UQN572" s="126"/>
      <c r="UQO572" s="126"/>
      <c r="UQP572" s="126"/>
      <c r="UQQ572" s="126"/>
      <c r="UQR572" s="126"/>
      <c r="UQS572" s="126"/>
      <c r="UQT572" s="126"/>
      <c r="UQU572" s="126"/>
      <c r="UQV572" s="126"/>
      <c r="UQW572" s="126"/>
      <c r="UQX572" s="126"/>
      <c r="UQY572" s="126"/>
      <c r="UQZ572" s="126"/>
      <c r="URA572" s="126"/>
      <c r="URB572" s="126"/>
      <c r="URC572" s="126"/>
      <c r="URD572" s="126"/>
      <c r="URE572" s="126"/>
      <c r="URF572" s="126"/>
      <c r="URG572" s="126"/>
      <c r="URH572" s="126"/>
      <c r="URI572" s="126"/>
      <c r="URJ572" s="126"/>
      <c r="URK572" s="126"/>
      <c r="URL572" s="126"/>
      <c r="URM572" s="126"/>
      <c r="URN572" s="126"/>
      <c r="URO572" s="126"/>
      <c r="URP572" s="126"/>
      <c r="URQ572" s="126"/>
      <c r="URR572" s="126"/>
      <c r="URS572" s="126"/>
      <c r="URT572" s="126"/>
      <c r="URU572" s="126"/>
      <c r="URV572" s="126"/>
      <c r="URW572" s="126"/>
      <c r="URX572" s="126"/>
      <c r="URY572" s="126"/>
      <c r="URZ572" s="126"/>
      <c r="USA572" s="126"/>
      <c r="USB572" s="126"/>
      <c r="USC572" s="126"/>
      <c r="USD572" s="126"/>
      <c r="USE572" s="126"/>
      <c r="USF572" s="126"/>
      <c r="USG572" s="126"/>
      <c r="USH572" s="126"/>
      <c r="USI572" s="126"/>
      <c r="USJ572" s="126"/>
      <c r="USK572" s="126"/>
      <c r="USL572" s="126"/>
      <c r="USM572" s="126"/>
      <c r="USN572" s="126"/>
      <c r="USO572" s="126"/>
      <c r="USP572" s="126"/>
      <c r="USQ572" s="126"/>
      <c r="USR572" s="126"/>
      <c r="USS572" s="126"/>
      <c r="UST572" s="126"/>
      <c r="USU572" s="126"/>
      <c r="USV572" s="126"/>
      <c r="USW572" s="126"/>
      <c r="USX572" s="126"/>
      <c r="USY572" s="126"/>
      <c r="USZ572" s="126"/>
      <c r="UTA572" s="126"/>
      <c r="UTB572" s="126"/>
      <c r="UTC572" s="126"/>
      <c r="UTD572" s="126"/>
      <c r="UTE572" s="126"/>
      <c r="UTF572" s="126"/>
      <c r="UTG572" s="126"/>
      <c r="UTH572" s="126"/>
      <c r="UTI572" s="126"/>
      <c r="UTJ572" s="126"/>
      <c r="UTK572" s="126"/>
      <c r="UTL572" s="126"/>
      <c r="UTM572" s="126"/>
      <c r="UTN572" s="126"/>
      <c r="UTO572" s="126"/>
      <c r="UTP572" s="126"/>
      <c r="UTQ572" s="126"/>
      <c r="UTR572" s="126"/>
      <c r="UTS572" s="126"/>
      <c r="UTT572" s="126"/>
      <c r="UTU572" s="126"/>
      <c r="UTV572" s="126"/>
      <c r="UTW572" s="126"/>
      <c r="UTX572" s="126"/>
      <c r="UTY572" s="126"/>
      <c r="UTZ572" s="126"/>
      <c r="UUA572" s="126"/>
      <c r="UUB572" s="126"/>
      <c r="UUC572" s="126"/>
      <c r="UUD572" s="126"/>
      <c r="UUE572" s="126"/>
      <c r="UUF572" s="126"/>
      <c r="UUG572" s="126"/>
      <c r="UUH572" s="126"/>
      <c r="UUI572" s="126"/>
      <c r="UUJ572" s="126"/>
      <c r="UUK572" s="126"/>
      <c r="UUL572" s="126"/>
      <c r="UUM572" s="126"/>
      <c r="UUN572" s="126"/>
      <c r="UUO572" s="126"/>
      <c r="UUP572" s="126"/>
      <c r="UUQ572" s="126"/>
      <c r="UUR572" s="126"/>
      <c r="UUS572" s="126"/>
      <c r="UUT572" s="126"/>
      <c r="UUU572" s="126"/>
      <c r="UUV572" s="126"/>
      <c r="UUW572" s="126"/>
      <c r="UUX572" s="126"/>
      <c r="UUY572" s="126"/>
      <c r="UUZ572" s="126"/>
      <c r="UVA572" s="126"/>
      <c r="UVB572" s="126"/>
      <c r="UVC572" s="126"/>
      <c r="UVD572" s="126"/>
      <c r="UVE572" s="126"/>
      <c r="UVF572" s="126"/>
      <c r="UVG572" s="126"/>
      <c r="UVH572" s="126"/>
      <c r="UVI572" s="126"/>
      <c r="UVJ572" s="126"/>
      <c r="UVK572" s="126"/>
      <c r="UVL572" s="126"/>
      <c r="UVM572" s="126"/>
      <c r="UVN572" s="126"/>
      <c r="UVO572" s="126"/>
      <c r="UVP572" s="126"/>
      <c r="UVQ572" s="126"/>
      <c r="UVR572" s="126"/>
      <c r="UVS572" s="126"/>
      <c r="UVT572" s="126"/>
      <c r="UVU572" s="126"/>
      <c r="UVV572" s="126"/>
      <c r="UVW572" s="126"/>
      <c r="UVX572" s="126"/>
      <c r="UVY572" s="126"/>
      <c r="UVZ572" s="126"/>
      <c r="UWA572" s="126"/>
      <c r="UWB572" s="126"/>
      <c r="UWC572" s="126"/>
      <c r="UWD572" s="126"/>
      <c r="UWE572" s="126"/>
      <c r="UWF572" s="126"/>
      <c r="UWG572" s="126"/>
      <c r="UWH572" s="126"/>
      <c r="UWI572" s="126"/>
      <c r="UWJ572" s="126"/>
      <c r="UWK572" s="126"/>
      <c r="UWL572" s="126"/>
      <c r="UWM572" s="126"/>
      <c r="UWN572" s="126"/>
      <c r="UWO572" s="126"/>
      <c r="UWP572" s="126"/>
      <c r="UWQ572" s="126"/>
      <c r="UWR572" s="126"/>
      <c r="UWS572" s="126"/>
      <c r="UWT572" s="126"/>
      <c r="UWU572" s="126"/>
      <c r="UWV572" s="126"/>
      <c r="UWW572" s="126"/>
      <c r="UWX572" s="126"/>
      <c r="UWY572" s="126"/>
      <c r="UWZ572" s="126"/>
      <c r="UXA572" s="126"/>
      <c r="UXB572" s="126"/>
      <c r="UXC572" s="126"/>
      <c r="UXD572" s="126"/>
      <c r="UXE572" s="126"/>
      <c r="UXF572" s="126"/>
      <c r="UXG572" s="126"/>
      <c r="UXH572" s="126"/>
      <c r="UXI572" s="126"/>
      <c r="UXJ572" s="126"/>
      <c r="UXK572" s="126"/>
      <c r="UXL572" s="126"/>
      <c r="UXM572" s="126"/>
      <c r="UXN572" s="126"/>
      <c r="UXO572" s="126"/>
      <c r="UXP572" s="126"/>
      <c r="UXQ572" s="126"/>
      <c r="UXR572" s="126"/>
      <c r="UXS572" s="126"/>
      <c r="UXT572" s="126"/>
      <c r="UXU572" s="126"/>
      <c r="UXV572" s="126"/>
      <c r="UXW572" s="126"/>
      <c r="UXX572" s="126"/>
      <c r="UXY572" s="126"/>
      <c r="UXZ572" s="126"/>
      <c r="UYA572" s="126"/>
      <c r="UYB572" s="126"/>
      <c r="UYC572" s="126"/>
      <c r="UYD572" s="126"/>
      <c r="UYE572" s="126"/>
      <c r="UYF572" s="126"/>
      <c r="UYG572" s="126"/>
      <c r="UYH572" s="126"/>
      <c r="UYI572" s="126"/>
      <c r="UYJ572" s="126"/>
      <c r="UYK572" s="126"/>
      <c r="UYL572" s="126"/>
      <c r="UYM572" s="126"/>
      <c r="UYN572" s="126"/>
      <c r="UYO572" s="126"/>
      <c r="UYP572" s="126"/>
      <c r="UYQ572" s="126"/>
      <c r="UYR572" s="126"/>
      <c r="UYS572" s="126"/>
      <c r="UYT572" s="126"/>
      <c r="UYU572" s="126"/>
      <c r="UYV572" s="126"/>
      <c r="UYW572" s="126"/>
      <c r="UYX572" s="126"/>
      <c r="UYY572" s="126"/>
      <c r="UYZ572" s="126"/>
      <c r="UZA572" s="126"/>
      <c r="UZB572" s="126"/>
      <c r="UZC572" s="126"/>
      <c r="UZD572" s="126"/>
      <c r="UZE572" s="126"/>
      <c r="UZF572" s="126"/>
      <c r="UZG572" s="126"/>
      <c r="UZH572" s="126"/>
      <c r="UZI572" s="126"/>
      <c r="UZJ572" s="126"/>
      <c r="UZK572" s="126"/>
      <c r="UZL572" s="126"/>
      <c r="UZM572" s="126"/>
      <c r="UZN572" s="126"/>
      <c r="UZO572" s="126"/>
      <c r="UZP572" s="126"/>
      <c r="UZQ572" s="126"/>
      <c r="UZR572" s="126"/>
      <c r="UZS572" s="126"/>
      <c r="UZT572" s="126"/>
      <c r="UZU572" s="126"/>
      <c r="UZV572" s="126"/>
      <c r="UZW572" s="126"/>
      <c r="UZX572" s="126"/>
      <c r="UZY572" s="126"/>
      <c r="UZZ572" s="126"/>
      <c r="VAA572" s="126"/>
      <c r="VAB572" s="126"/>
      <c r="VAC572" s="126"/>
      <c r="VAD572" s="126"/>
      <c r="VAE572" s="126"/>
      <c r="VAF572" s="126"/>
      <c r="VAG572" s="126"/>
      <c r="VAH572" s="126"/>
      <c r="VAI572" s="126"/>
      <c r="VAJ572" s="126"/>
      <c r="VAK572" s="126"/>
      <c r="VAL572" s="126"/>
      <c r="VAM572" s="126"/>
      <c r="VAN572" s="126"/>
      <c r="VAO572" s="126"/>
      <c r="VAP572" s="126"/>
      <c r="VAQ572" s="126"/>
      <c r="VAR572" s="126"/>
      <c r="VAS572" s="126"/>
      <c r="VAT572" s="126"/>
      <c r="VAU572" s="126"/>
      <c r="VAV572" s="126"/>
      <c r="VAW572" s="126"/>
      <c r="VAX572" s="126"/>
      <c r="VAY572" s="126"/>
      <c r="VAZ572" s="126"/>
      <c r="VBA572" s="126"/>
      <c r="VBB572" s="126"/>
      <c r="VBC572" s="126"/>
      <c r="VBD572" s="126"/>
      <c r="VBE572" s="126"/>
      <c r="VBF572" s="126"/>
      <c r="VBG572" s="126"/>
      <c r="VBH572" s="126"/>
      <c r="VBI572" s="126"/>
      <c r="VBJ572" s="126"/>
      <c r="VBK572" s="126"/>
      <c r="VBL572" s="126"/>
      <c r="VBM572" s="126"/>
      <c r="VBN572" s="126"/>
      <c r="VBO572" s="126"/>
      <c r="VBP572" s="126"/>
      <c r="VBQ572" s="126"/>
      <c r="VBR572" s="126"/>
      <c r="VBS572" s="126"/>
      <c r="VBT572" s="126"/>
      <c r="VBU572" s="126"/>
      <c r="VBV572" s="126"/>
      <c r="VBW572" s="126"/>
      <c r="VBX572" s="126"/>
      <c r="VBY572" s="126"/>
      <c r="VBZ572" s="126"/>
      <c r="VCA572" s="126"/>
      <c r="VCB572" s="126"/>
      <c r="VCC572" s="126"/>
      <c r="VCD572" s="126"/>
      <c r="VCE572" s="126"/>
      <c r="VCF572" s="126"/>
      <c r="VCG572" s="126"/>
      <c r="VCH572" s="126"/>
      <c r="VCI572" s="126"/>
      <c r="VCJ572" s="126"/>
      <c r="VCK572" s="126"/>
      <c r="VCL572" s="126"/>
      <c r="VCM572" s="126"/>
      <c r="VCN572" s="126"/>
      <c r="VCO572" s="126"/>
      <c r="VCP572" s="126"/>
      <c r="VCQ572" s="126"/>
      <c r="VCR572" s="126"/>
      <c r="VCS572" s="126"/>
      <c r="VCT572" s="126"/>
      <c r="VCU572" s="126"/>
      <c r="VCV572" s="126"/>
      <c r="VCW572" s="126"/>
      <c r="VCX572" s="126"/>
      <c r="VCY572" s="126"/>
      <c r="VCZ572" s="126"/>
      <c r="VDA572" s="126"/>
      <c r="VDB572" s="126"/>
      <c r="VDC572" s="126"/>
      <c r="VDD572" s="126"/>
      <c r="VDE572" s="126"/>
      <c r="VDF572" s="126"/>
      <c r="VDG572" s="126"/>
      <c r="VDH572" s="126"/>
      <c r="VDI572" s="126"/>
      <c r="VDJ572" s="126"/>
      <c r="VDK572" s="126"/>
      <c r="VDL572" s="126"/>
      <c r="VDM572" s="126"/>
      <c r="VDN572" s="126"/>
      <c r="VDO572" s="126"/>
      <c r="VDP572" s="126"/>
      <c r="VDQ572" s="126"/>
      <c r="VDR572" s="126"/>
      <c r="VDS572" s="126"/>
      <c r="VDT572" s="126"/>
      <c r="VDU572" s="126"/>
      <c r="VDV572" s="126"/>
      <c r="VDW572" s="126"/>
      <c r="VDX572" s="126"/>
      <c r="VDY572" s="126"/>
      <c r="VDZ572" s="126"/>
      <c r="VEA572" s="126"/>
      <c r="VEB572" s="126"/>
      <c r="VEC572" s="126"/>
      <c r="VED572" s="126"/>
      <c r="VEE572" s="126"/>
      <c r="VEF572" s="126"/>
      <c r="VEG572" s="126"/>
      <c r="VEH572" s="126"/>
      <c r="VEI572" s="126"/>
      <c r="VEJ572" s="126"/>
      <c r="VEK572" s="126"/>
      <c r="VEL572" s="126"/>
      <c r="VEM572" s="126"/>
      <c r="VEN572" s="126"/>
      <c r="VEO572" s="126"/>
      <c r="VEP572" s="126"/>
      <c r="VEQ572" s="126"/>
      <c r="VER572" s="126"/>
      <c r="VES572" s="126"/>
      <c r="VET572" s="126"/>
      <c r="VEU572" s="126"/>
      <c r="VEV572" s="126"/>
      <c r="VEW572" s="126"/>
      <c r="VEX572" s="126"/>
      <c r="VEY572" s="126"/>
      <c r="VEZ572" s="126"/>
      <c r="VFA572" s="126"/>
      <c r="VFB572" s="126"/>
      <c r="VFC572" s="126"/>
      <c r="VFD572" s="126"/>
      <c r="VFE572" s="126"/>
      <c r="VFF572" s="126"/>
      <c r="VFG572" s="126"/>
      <c r="VFH572" s="126"/>
      <c r="VFI572" s="126"/>
      <c r="VFJ572" s="126"/>
      <c r="VFK572" s="126"/>
      <c r="VFL572" s="126"/>
      <c r="VFM572" s="126"/>
      <c r="VFN572" s="126"/>
      <c r="VFO572" s="126"/>
      <c r="VFP572" s="126"/>
      <c r="VFQ572" s="126"/>
      <c r="VFR572" s="126"/>
      <c r="VFS572" s="126"/>
      <c r="VFT572" s="126"/>
      <c r="VFU572" s="126"/>
      <c r="VFV572" s="126"/>
      <c r="VFW572" s="126"/>
      <c r="VFX572" s="126"/>
      <c r="VFY572" s="126"/>
      <c r="VFZ572" s="126"/>
      <c r="VGA572" s="126"/>
      <c r="VGB572" s="126"/>
      <c r="VGC572" s="126"/>
      <c r="VGD572" s="126"/>
      <c r="VGE572" s="126"/>
      <c r="VGF572" s="126"/>
      <c r="VGG572" s="126"/>
      <c r="VGH572" s="126"/>
      <c r="VGI572" s="126"/>
      <c r="VGJ572" s="126"/>
      <c r="VGK572" s="126"/>
      <c r="VGL572" s="126"/>
      <c r="VGM572" s="126"/>
      <c r="VGN572" s="126"/>
      <c r="VGO572" s="126"/>
      <c r="VGP572" s="126"/>
      <c r="VGQ572" s="126"/>
      <c r="VGR572" s="126"/>
      <c r="VGS572" s="126"/>
      <c r="VGT572" s="126"/>
      <c r="VGU572" s="126"/>
      <c r="VGV572" s="126"/>
      <c r="VGW572" s="126"/>
      <c r="VGX572" s="126"/>
      <c r="VGY572" s="126"/>
      <c r="VGZ572" s="126"/>
      <c r="VHA572" s="126"/>
      <c r="VHB572" s="126"/>
      <c r="VHC572" s="126"/>
      <c r="VHD572" s="126"/>
      <c r="VHE572" s="126"/>
      <c r="VHF572" s="126"/>
      <c r="VHG572" s="126"/>
      <c r="VHH572" s="126"/>
      <c r="VHI572" s="126"/>
      <c r="VHJ572" s="126"/>
      <c r="VHK572" s="126"/>
      <c r="VHL572" s="126"/>
      <c r="VHM572" s="126"/>
      <c r="VHN572" s="126"/>
      <c r="VHO572" s="126"/>
      <c r="VHP572" s="126"/>
      <c r="VHQ572" s="126"/>
      <c r="VHR572" s="126"/>
      <c r="VHS572" s="126"/>
      <c r="VHT572" s="126"/>
      <c r="VHU572" s="126"/>
      <c r="VHV572" s="126"/>
      <c r="VHW572" s="126"/>
      <c r="VHX572" s="126"/>
      <c r="VHY572" s="126"/>
      <c r="VHZ572" s="126"/>
      <c r="VIA572" s="126"/>
      <c r="VIB572" s="126"/>
      <c r="VIC572" s="126"/>
      <c r="VID572" s="126"/>
      <c r="VIE572" s="126"/>
      <c r="VIF572" s="126"/>
      <c r="VIG572" s="126"/>
      <c r="VIH572" s="126"/>
      <c r="VII572" s="126"/>
      <c r="VIJ572" s="126"/>
      <c r="VIK572" s="126"/>
      <c r="VIL572" s="126"/>
      <c r="VIM572" s="126"/>
      <c r="VIN572" s="126"/>
      <c r="VIO572" s="126"/>
      <c r="VIP572" s="126"/>
      <c r="VIQ572" s="126"/>
      <c r="VIR572" s="126"/>
      <c r="VIS572" s="126"/>
      <c r="VIT572" s="126"/>
      <c r="VIU572" s="126"/>
      <c r="VIV572" s="126"/>
      <c r="VIW572" s="126"/>
      <c r="VIX572" s="126"/>
      <c r="VIY572" s="126"/>
      <c r="VIZ572" s="126"/>
      <c r="VJA572" s="126"/>
      <c r="VJB572" s="126"/>
      <c r="VJC572" s="126"/>
      <c r="VJD572" s="126"/>
      <c r="VJE572" s="126"/>
      <c r="VJF572" s="126"/>
      <c r="VJG572" s="126"/>
      <c r="VJH572" s="126"/>
      <c r="VJI572" s="126"/>
      <c r="VJJ572" s="126"/>
      <c r="VJK572" s="126"/>
      <c r="VJL572" s="126"/>
      <c r="VJM572" s="126"/>
      <c r="VJN572" s="126"/>
      <c r="VJO572" s="126"/>
      <c r="VJP572" s="126"/>
      <c r="VJQ572" s="126"/>
      <c r="VJR572" s="126"/>
      <c r="VJS572" s="126"/>
      <c r="VJT572" s="126"/>
      <c r="VJU572" s="126"/>
      <c r="VJV572" s="126"/>
      <c r="VJW572" s="126"/>
      <c r="VJX572" s="126"/>
      <c r="VJY572" s="126"/>
      <c r="VJZ572" s="126"/>
      <c r="VKA572" s="126"/>
      <c r="VKB572" s="126"/>
      <c r="VKC572" s="126"/>
      <c r="VKD572" s="126"/>
      <c r="VKE572" s="126"/>
      <c r="VKF572" s="126"/>
      <c r="VKG572" s="126"/>
      <c r="VKH572" s="126"/>
      <c r="VKI572" s="126"/>
      <c r="VKJ572" s="126"/>
      <c r="VKK572" s="126"/>
      <c r="VKL572" s="126"/>
      <c r="VKM572" s="126"/>
      <c r="VKN572" s="126"/>
      <c r="VKO572" s="126"/>
      <c r="VKP572" s="126"/>
      <c r="VKQ572" s="126"/>
      <c r="VKR572" s="126"/>
      <c r="VKS572" s="126"/>
      <c r="VKT572" s="126"/>
      <c r="VKU572" s="126"/>
      <c r="VKV572" s="126"/>
      <c r="VKW572" s="126"/>
      <c r="VKX572" s="126"/>
      <c r="VKY572" s="126"/>
      <c r="VKZ572" s="126"/>
      <c r="VLA572" s="126"/>
      <c r="VLB572" s="126"/>
      <c r="VLC572" s="126"/>
      <c r="VLD572" s="126"/>
      <c r="VLE572" s="126"/>
      <c r="VLF572" s="126"/>
      <c r="VLG572" s="126"/>
      <c r="VLH572" s="126"/>
      <c r="VLI572" s="126"/>
      <c r="VLJ572" s="126"/>
      <c r="VLK572" s="126"/>
      <c r="VLL572" s="126"/>
      <c r="VLM572" s="126"/>
      <c r="VLN572" s="126"/>
      <c r="VLO572" s="126"/>
      <c r="VLP572" s="126"/>
      <c r="VLQ572" s="126"/>
      <c r="VLR572" s="126"/>
      <c r="VLS572" s="126"/>
      <c r="VLT572" s="126"/>
      <c r="VLU572" s="126"/>
      <c r="VLV572" s="126"/>
      <c r="VLW572" s="126"/>
      <c r="VLX572" s="126"/>
      <c r="VLY572" s="126"/>
      <c r="VLZ572" s="126"/>
      <c r="VMA572" s="126"/>
      <c r="VMB572" s="126"/>
      <c r="VMC572" s="126"/>
      <c r="VMD572" s="126"/>
      <c r="VME572" s="126"/>
      <c r="VMF572" s="126"/>
      <c r="VMG572" s="126"/>
      <c r="VMH572" s="126"/>
      <c r="VMI572" s="126"/>
      <c r="VMJ572" s="126"/>
      <c r="VMK572" s="126"/>
      <c r="VML572" s="126"/>
      <c r="VMM572" s="126"/>
      <c r="VMN572" s="126"/>
      <c r="VMO572" s="126"/>
      <c r="VMP572" s="126"/>
      <c r="VMQ572" s="126"/>
      <c r="VMR572" s="126"/>
      <c r="VMS572" s="126"/>
      <c r="VMT572" s="126"/>
      <c r="VMU572" s="126"/>
      <c r="VMV572" s="126"/>
      <c r="VMW572" s="126"/>
      <c r="VMX572" s="126"/>
      <c r="VMY572" s="126"/>
      <c r="VMZ572" s="126"/>
      <c r="VNA572" s="126"/>
      <c r="VNB572" s="126"/>
      <c r="VNC572" s="126"/>
      <c r="VND572" s="126"/>
      <c r="VNE572" s="126"/>
      <c r="VNF572" s="126"/>
      <c r="VNG572" s="126"/>
      <c r="VNH572" s="126"/>
      <c r="VNI572" s="126"/>
      <c r="VNJ572" s="126"/>
      <c r="VNK572" s="126"/>
      <c r="VNL572" s="126"/>
      <c r="VNM572" s="126"/>
      <c r="VNN572" s="126"/>
      <c r="VNO572" s="126"/>
      <c r="VNP572" s="126"/>
      <c r="VNQ572" s="126"/>
      <c r="VNR572" s="126"/>
      <c r="VNS572" s="126"/>
      <c r="VNT572" s="126"/>
      <c r="VNU572" s="126"/>
      <c r="VNV572" s="126"/>
      <c r="VNW572" s="126"/>
      <c r="VNX572" s="126"/>
      <c r="VNY572" s="126"/>
      <c r="VNZ572" s="126"/>
      <c r="VOA572" s="126"/>
      <c r="VOB572" s="126"/>
      <c r="VOC572" s="126"/>
      <c r="VOD572" s="126"/>
      <c r="VOE572" s="126"/>
      <c r="VOF572" s="126"/>
      <c r="VOG572" s="126"/>
      <c r="VOH572" s="126"/>
      <c r="VOI572" s="126"/>
      <c r="VOJ572" s="126"/>
      <c r="VOK572" s="126"/>
      <c r="VOL572" s="126"/>
      <c r="VOM572" s="126"/>
      <c r="VON572" s="126"/>
      <c r="VOO572" s="126"/>
      <c r="VOP572" s="126"/>
      <c r="VOQ572" s="126"/>
      <c r="VOR572" s="126"/>
      <c r="VOS572" s="126"/>
      <c r="VOT572" s="126"/>
      <c r="VOU572" s="126"/>
      <c r="VOV572" s="126"/>
      <c r="VOW572" s="126"/>
      <c r="VOX572" s="126"/>
      <c r="VOY572" s="126"/>
      <c r="VOZ572" s="126"/>
      <c r="VPA572" s="126"/>
      <c r="VPB572" s="126"/>
      <c r="VPC572" s="126"/>
      <c r="VPD572" s="126"/>
      <c r="VPE572" s="126"/>
      <c r="VPF572" s="126"/>
      <c r="VPG572" s="126"/>
      <c r="VPH572" s="126"/>
      <c r="VPI572" s="126"/>
      <c r="VPJ572" s="126"/>
      <c r="VPK572" s="126"/>
      <c r="VPL572" s="126"/>
      <c r="VPM572" s="126"/>
      <c r="VPN572" s="126"/>
      <c r="VPO572" s="126"/>
      <c r="VPP572" s="126"/>
      <c r="VPQ572" s="126"/>
      <c r="VPR572" s="126"/>
      <c r="VPS572" s="126"/>
      <c r="VPT572" s="126"/>
      <c r="VPU572" s="126"/>
      <c r="VPV572" s="126"/>
      <c r="VPW572" s="126"/>
      <c r="VPX572" s="126"/>
      <c r="VPY572" s="126"/>
      <c r="VPZ572" s="126"/>
      <c r="VQA572" s="126"/>
      <c r="VQB572" s="126"/>
      <c r="VQC572" s="126"/>
      <c r="VQD572" s="126"/>
      <c r="VQE572" s="126"/>
      <c r="VQF572" s="126"/>
      <c r="VQG572" s="126"/>
      <c r="VQH572" s="126"/>
      <c r="VQI572" s="126"/>
      <c r="VQJ572" s="126"/>
      <c r="VQK572" s="126"/>
      <c r="VQL572" s="126"/>
      <c r="VQM572" s="126"/>
      <c r="VQN572" s="126"/>
      <c r="VQO572" s="126"/>
      <c r="VQP572" s="126"/>
      <c r="VQQ572" s="126"/>
      <c r="VQR572" s="126"/>
      <c r="VQS572" s="126"/>
      <c r="VQT572" s="126"/>
      <c r="VQU572" s="126"/>
      <c r="VQV572" s="126"/>
      <c r="VQW572" s="126"/>
      <c r="VQX572" s="126"/>
      <c r="VQY572" s="126"/>
      <c r="VQZ572" s="126"/>
      <c r="VRA572" s="126"/>
      <c r="VRB572" s="126"/>
      <c r="VRC572" s="126"/>
      <c r="VRD572" s="126"/>
      <c r="VRE572" s="126"/>
      <c r="VRF572" s="126"/>
      <c r="VRG572" s="126"/>
      <c r="VRH572" s="126"/>
      <c r="VRI572" s="126"/>
      <c r="VRJ572" s="126"/>
      <c r="VRK572" s="126"/>
      <c r="VRL572" s="126"/>
      <c r="VRM572" s="126"/>
      <c r="VRN572" s="126"/>
      <c r="VRO572" s="126"/>
      <c r="VRP572" s="126"/>
      <c r="VRQ572" s="126"/>
      <c r="VRR572" s="126"/>
      <c r="VRS572" s="126"/>
      <c r="VRT572" s="126"/>
      <c r="VRU572" s="126"/>
      <c r="VRV572" s="126"/>
      <c r="VRW572" s="126"/>
      <c r="VRX572" s="126"/>
      <c r="VRY572" s="126"/>
      <c r="VRZ572" s="126"/>
      <c r="VSA572" s="126"/>
      <c r="VSB572" s="126"/>
      <c r="VSC572" s="126"/>
      <c r="VSD572" s="126"/>
      <c r="VSE572" s="126"/>
      <c r="VSF572" s="126"/>
      <c r="VSG572" s="126"/>
      <c r="VSH572" s="126"/>
      <c r="VSI572" s="126"/>
      <c r="VSJ572" s="126"/>
      <c r="VSK572" s="126"/>
      <c r="VSL572" s="126"/>
      <c r="VSM572" s="126"/>
      <c r="VSN572" s="126"/>
      <c r="VSO572" s="126"/>
      <c r="VSP572" s="126"/>
      <c r="VSQ572" s="126"/>
      <c r="VSR572" s="126"/>
      <c r="VSS572" s="126"/>
      <c r="VST572" s="126"/>
      <c r="VSU572" s="126"/>
      <c r="VSV572" s="126"/>
      <c r="VSW572" s="126"/>
      <c r="VSX572" s="126"/>
      <c r="VSY572" s="126"/>
      <c r="VSZ572" s="126"/>
      <c r="VTA572" s="126"/>
      <c r="VTB572" s="126"/>
      <c r="VTC572" s="126"/>
      <c r="VTD572" s="126"/>
      <c r="VTE572" s="126"/>
      <c r="VTF572" s="126"/>
      <c r="VTG572" s="126"/>
      <c r="VTH572" s="126"/>
      <c r="VTI572" s="126"/>
      <c r="VTJ572" s="126"/>
      <c r="VTK572" s="126"/>
      <c r="VTL572" s="126"/>
      <c r="VTM572" s="126"/>
      <c r="VTN572" s="126"/>
      <c r="VTO572" s="126"/>
      <c r="VTP572" s="126"/>
      <c r="VTQ572" s="126"/>
      <c r="VTR572" s="126"/>
      <c r="VTS572" s="126"/>
      <c r="VTT572" s="126"/>
      <c r="VTU572" s="126"/>
      <c r="VTV572" s="126"/>
      <c r="VTW572" s="126"/>
      <c r="VTX572" s="126"/>
      <c r="VTY572" s="126"/>
      <c r="VTZ572" s="126"/>
      <c r="VUA572" s="126"/>
      <c r="VUB572" s="126"/>
      <c r="VUC572" s="126"/>
      <c r="VUD572" s="126"/>
      <c r="VUE572" s="126"/>
      <c r="VUF572" s="126"/>
      <c r="VUG572" s="126"/>
      <c r="VUH572" s="126"/>
      <c r="VUI572" s="126"/>
      <c r="VUJ572" s="126"/>
      <c r="VUK572" s="126"/>
      <c r="VUL572" s="126"/>
      <c r="VUM572" s="126"/>
      <c r="VUN572" s="126"/>
      <c r="VUO572" s="126"/>
      <c r="VUP572" s="126"/>
      <c r="VUQ572" s="126"/>
      <c r="VUR572" s="126"/>
      <c r="VUS572" s="126"/>
      <c r="VUT572" s="126"/>
      <c r="VUU572" s="126"/>
      <c r="VUV572" s="126"/>
      <c r="VUW572" s="126"/>
      <c r="VUX572" s="126"/>
      <c r="VUY572" s="126"/>
      <c r="VUZ572" s="126"/>
      <c r="VVA572" s="126"/>
      <c r="VVB572" s="126"/>
      <c r="VVC572" s="126"/>
      <c r="VVD572" s="126"/>
      <c r="VVE572" s="126"/>
      <c r="VVF572" s="126"/>
      <c r="VVG572" s="126"/>
      <c r="VVH572" s="126"/>
      <c r="VVI572" s="126"/>
      <c r="VVJ572" s="126"/>
      <c r="VVK572" s="126"/>
      <c r="VVL572" s="126"/>
      <c r="VVM572" s="126"/>
      <c r="VVN572" s="126"/>
      <c r="VVO572" s="126"/>
      <c r="VVP572" s="126"/>
      <c r="VVQ572" s="126"/>
      <c r="VVR572" s="126"/>
      <c r="VVS572" s="126"/>
      <c r="VVT572" s="126"/>
      <c r="VVU572" s="126"/>
      <c r="VVV572" s="126"/>
      <c r="VVW572" s="126"/>
      <c r="VVX572" s="126"/>
      <c r="VVY572" s="126"/>
      <c r="VVZ572" s="126"/>
      <c r="VWA572" s="126"/>
      <c r="VWB572" s="126"/>
      <c r="VWC572" s="126"/>
      <c r="VWD572" s="126"/>
      <c r="VWE572" s="126"/>
      <c r="VWF572" s="126"/>
      <c r="VWG572" s="126"/>
      <c r="VWH572" s="126"/>
      <c r="VWI572" s="126"/>
      <c r="VWJ572" s="126"/>
      <c r="VWK572" s="126"/>
      <c r="VWL572" s="126"/>
      <c r="VWM572" s="126"/>
      <c r="VWN572" s="126"/>
      <c r="VWO572" s="126"/>
      <c r="VWP572" s="126"/>
      <c r="VWQ572" s="126"/>
      <c r="VWR572" s="126"/>
      <c r="VWS572" s="126"/>
      <c r="VWT572" s="126"/>
      <c r="VWU572" s="126"/>
      <c r="VWV572" s="126"/>
      <c r="VWW572" s="126"/>
      <c r="VWX572" s="126"/>
      <c r="VWY572" s="126"/>
      <c r="VWZ572" s="126"/>
      <c r="VXA572" s="126"/>
      <c r="VXB572" s="126"/>
      <c r="VXC572" s="126"/>
      <c r="VXD572" s="126"/>
      <c r="VXE572" s="126"/>
      <c r="VXF572" s="126"/>
      <c r="VXG572" s="126"/>
      <c r="VXH572" s="126"/>
      <c r="VXI572" s="126"/>
      <c r="VXJ572" s="126"/>
      <c r="VXK572" s="126"/>
      <c r="VXL572" s="126"/>
      <c r="VXM572" s="126"/>
      <c r="VXN572" s="126"/>
      <c r="VXO572" s="126"/>
      <c r="VXP572" s="126"/>
      <c r="VXQ572" s="126"/>
      <c r="VXR572" s="126"/>
      <c r="VXS572" s="126"/>
      <c r="VXT572" s="126"/>
      <c r="VXU572" s="126"/>
      <c r="VXV572" s="126"/>
      <c r="VXW572" s="126"/>
      <c r="VXX572" s="126"/>
      <c r="VXY572" s="126"/>
      <c r="VXZ572" s="126"/>
      <c r="VYA572" s="126"/>
      <c r="VYB572" s="126"/>
      <c r="VYC572" s="126"/>
      <c r="VYD572" s="126"/>
      <c r="VYE572" s="126"/>
      <c r="VYF572" s="126"/>
      <c r="VYG572" s="126"/>
      <c r="VYH572" s="126"/>
      <c r="VYI572" s="126"/>
      <c r="VYJ572" s="126"/>
      <c r="VYK572" s="126"/>
      <c r="VYL572" s="126"/>
      <c r="VYM572" s="126"/>
      <c r="VYN572" s="126"/>
      <c r="VYO572" s="126"/>
      <c r="VYP572" s="126"/>
      <c r="VYQ572" s="126"/>
      <c r="VYR572" s="126"/>
      <c r="VYS572" s="126"/>
      <c r="VYT572" s="126"/>
      <c r="VYU572" s="126"/>
      <c r="VYV572" s="126"/>
      <c r="VYW572" s="126"/>
      <c r="VYX572" s="126"/>
      <c r="VYY572" s="126"/>
      <c r="VYZ572" s="126"/>
      <c r="VZA572" s="126"/>
      <c r="VZB572" s="126"/>
      <c r="VZC572" s="126"/>
      <c r="VZD572" s="126"/>
      <c r="VZE572" s="126"/>
      <c r="VZF572" s="126"/>
      <c r="VZG572" s="126"/>
      <c r="VZH572" s="126"/>
      <c r="VZI572" s="126"/>
      <c r="VZJ572" s="126"/>
      <c r="VZK572" s="126"/>
      <c r="VZL572" s="126"/>
      <c r="VZM572" s="126"/>
      <c r="VZN572" s="126"/>
      <c r="VZO572" s="126"/>
      <c r="VZP572" s="126"/>
      <c r="VZQ572" s="126"/>
      <c r="VZR572" s="126"/>
      <c r="VZS572" s="126"/>
      <c r="VZT572" s="126"/>
      <c r="VZU572" s="126"/>
      <c r="VZV572" s="126"/>
      <c r="VZW572" s="126"/>
      <c r="VZX572" s="126"/>
      <c r="VZY572" s="126"/>
      <c r="VZZ572" s="126"/>
      <c r="WAA572" s="126"/>
      <c r="WAB572" s="126"/>
      <c r="WAC572" s="126"/>
      <c r="WAD572" s="126"/>
      <c r="WAE572" s="126"/>
      <c r="WAF572" s="126"/>
      <c r="WAG572" s="126"/>
      <c r="WAH572" s="126"/>
      <c r="WAI572" s="126"/>
      <c r="WAJ572" s="126"/>
      <c r="WAK572" s="126"/>
      <c r="WAL572" s="126"/>
      <c r="WAM572" s="126"/>
      <c r="WAN572" s="126"/>
      <c r="WAO572" s="126"/>
      <c r="WAP572" s="126"/>
      <c r="WAQ572" s="126"/>
      <c r="WAR572" s="126"/>
      <c r="WAS572" s="126"/>
      <c r="WAT572" s="126"/>
      <c r="WAU572" s="126"/>
      <c r="WAV572" s="126"/>
      <c r="WAW572" s="126"/>
      <c r="WAX572" s="126"/>
      <c r="WAY572" s="126"/>
      <c r="WAZ572" s="126"/>
      <c r="WBA572" s="126"/>
      <c r="WBB572" s="126"/>
      <c r="WBC572" s="126"/>
      <c r="WBD572" s="126"/>
      <c r="WBE572" s="126"/>
      <c r="WBF572" s="126"/>
      <c r="WBG572" s="126"/>
      <c r="WBH572" s="126"/>
      <c r="WBI572" s="126"/>
      <c r="WBJ572" s="126"/>
      <c r="WBK572" s="126"/>
      <c r="WBL572" s="126"/>
      <c r="WBM572" s="126"/>
      <c r="WBN572" s="126"/>
      <c r="WBO572" s="126"/>
      <c r="WBP572" s="126"/>
      <c r="WBQ572" s="126"/>
      <c r="WBR572" s="126"/>
      <c r="WBS572" s="126"/>
      <c r="WBT572" s="126"/>
      <c r="WBU572" s="126"/>
      <c r="WBV572" s="126"/>
      <c r="WBW572" s="126"/>
      <c r="WBX572" s="126"/>
      <c r="WBY572" s="126"/>
      <c r="WBZ572" s="126"/>
      <c r="WCA572" s="126"/>
      <c r="WCB572" s="126"/>
      <c r="WCC572" s="126"/>
      <c r="WCD572" s="126"/>
      <c r="WCE572" s="126"/>
      <c r="WCF572" s="126"/>
      <c r="WCG572" s="126"/>
      <c r="WCH572" s="126"/>
      <c r="WCI572" s="126"/>
      <c r="WCJ572" s="126"/>
      <c r="WCK572" s="126"/>
      <c r="WCL572" s="126"/>
      <c r="WCM572" s="126"/>
      <c r="WCN572" s="126"/>
      <c r="WCO572" s="126"/>
      <c r="WCP572" s="126"/>
      <c r="WCQ572" s="126"/>
      <c r="WCR572" s="126"/>
      <c r="WCS572" s="126"/>
      <c r="WCT572" s="126"/>
      <c r="WCU572" s="126"/>
      <c r="WCV572" s="126"/>
      <c r="WCW572" s="126"/>
      <c r="WCX572" s="126"/>
      <c r="WCY572" s="126"/>
      <c r="WCZ572" s="126"/>
      <c r="WDA572" s="126"/>
      <c r="WDB572" s="126"/>
      <c r="WDC572" s="126"/>
      <c r="WDD572" s="126"/>
      <c r="WDE572" s="126"/>
      <c r="WDF572" s="126"/>
      <c r="WDG572" s="126"/>
      <c r="WDH572" s="126"/>
      <c r="WDI572" s="126"/>
      <c r="WDJ572" s="126"/>
      <c r="WDK572" s="126"/>
      <c r="WDL572" s="126"/>
      <c r="WDM572" s="126"/>
      <c r="WDN572" s="126"/>
      <c r="WDO572" s="126"/>
      <c r="WDP572" s="126"/>
      <c r="WDQ572" s="126"/>
      <c r="WDR572" s="126"/>
      <c r="WDS572" s="126"/>
      <c r="WDT572" s="126"/>
      <c r="WDU572" s="126"/>
      <c r="WDV572" s="126"/>
      <c r="WDW572" s="126"/>
      <c r="WDX572" s="126"/>
      <c r="WDY572" s="126"/>
      <c r="WDZ572" s="126"/>
      <c r="WEA572" s="126"/>
      <c r="WEB572" s="126"/>
      <c r="WEC572" s="126"/>
      <c r="WED572" s="126"/>
      <c r="WEE572" s="126"/>
      <c r="WEF572" s="126"/>
      <c r="WEG572" s="126"/>
      <c r="WEH572" s="126"/>
      <c r="WEI572" s="126"/>
      <c r="WEJ572" s="126"/>
      <c r="WEK572" s="126"/>
      <c r="WEL572" s="126"/>
      <c r="WEM572" s="126"/>
      <c r="WEN572" s="126"/>
      <c r="WEO572" s="126"/>
      <c r="WEP572" s="126"/>
      <c r="WEQ572" s="126"/>
      <c r="WER572" s="126"/>
      <c r="WES572" s="126"/>
      <c r="WET572" s="126"/>
      <c r="WEU572" s="126"/>
      <c r="WEV572" s="126"/>
      <c r="WEW572" s="126"/>
      <c r="WEX572" s="126"/>
      <c r="WEY572" s="126"/>
      <c r="WEZ572" s="126"/>
      <c r="WFA572" s="126"/>
      <c r="WFB572" s="126"/>
      <c r="WFC572" s="126"/>
      <c r="WFD572" s="126"/>
      <c r="WFE572" s="126"/>
      <c r="WFF572" s="126"/>
      <c r="WFG572" s="126"/>
      <c r="WFH572" s="126"/>
      <c r="WFI572" s="126"/>
      <c r="WFJ572" s="126"/>
      <c r="WFK572" s="126"/>
      <c r="WFL572" s="126"/>
      <c r="WFM572" s="126"/>
      <c r="WFN572" s="126"/>
      <c r="WFO572" s="126"/>
      <c r="WFP572" s="126"/>
      <c r="WFQ572" s="126"/>
      <c r="WFR572" s="126"/>
      <c r="WFS572" s="126"/>
      <c r="WFT572" s="126"/>
      <c r="WFU572" s="126"/>
      <c r="WFV572" s="126"/>
      <c r="WFW572" s="126"/>
      <c r="WFX572" s="126"/>
      <c r="WFY572" s="126"/>
      <c r="WFZ572" s="126"/>
      <c r="WGA572" s="126"/>
      <c r="WGB572" s="126"/>
      <c r="WGC572" s="126"/>
      <c r="WGD572" s="126"/>
      <c r="WGE572" s="126"/>
      <c r="WGF572" s="126"/>
      <c r="WGG572" s="126"/>
      <c r="WGH572" s="126"/>
      <c r="WGI572" s="126"/>
      <c r="WGJ572" s="126"/>
      <c r="WGK572" s="126"/>
      <c r="WGL572" s="126"/>
      <c r="WGM572" s="126"/>
      <c r="WGN572" s="126"/>
      <c r="WGO572" s="126"/>
      <c r="WGP572" s="126"/>
      <c r="WGQ572" s="126"/>
      <c r="WGR572" s="126"/>
      <c r="WGS572" s="126"/>
      <c r="WGT572" s="126"/>
      <c r="WGU572" s="126"/>
      <c r="WGV572" s="126"/>
      <c r="WGW572" s="126"/>
      <c r="WGX572" s="126"/>
      <c r="WGY572" s="126"/>
      <c r="WGZ572" s="126"/>
      <c r="WHA572" s="126"/>
      <c r="WHB572" s="126"/>
      <c r="WHC572" s="126"/>
      <c r="WHD572" s="126"/>
      <c r="WHE572" s="126"/>
      <c r="WHF572" s="126"/>
      <c r="WHG572" s="126"/>
      <c r="WHH572" s="126"/>
      <c r="WHI572" s="126"/>
      <c r="WHJ572" s="126"/>
      <c r="WHK572" s="126"/>
      <c r="WHL572" s="126"/>
      <c r="WHM572" s="126"/>
      <c r="WHN572" s="126"/>
      <c r="WHO572" s="126"/>
      <c r="WHP572" s="126"/>
      <c r="WHQ572" s="126"/>
      <c r="WHR572" s="126"/>
      <c r="WHS572" s="126"/>
      <c r="WHT572" s="126"/>
      <c r="WHU572" s="126"/>
      <c r="WHV572" s="126"/>
      <c r="WHW572" s="126"/>
      <c r="WHX572" s="126"/>
      <c r="WHY572" s="126"/>
      <c r="WHZ572" s="126"/>
      <c r="WIA572" s="126"/>
      <c r="WIB572" s="126"/>
      <c r="WIC572" s="126"/>
      <c r="WID572" s="126"/>
      <c r="WIE572" s="126"/>
      <c r="WIF572" s="126"/>
      <c r="WIG572" s="126"/>
      <c r="WIH572" s="126"/>
      <c r="WII572" s="126"/>
      <c r="WIJ572" s="126"/>
      <c r="WIK572" s="126"/>
      <c r="WIL572" s="126"/>
      <c r="WIM572" s="126"/>
      <c r="WIN572" s="126"/>
      <c r="WIO572" s="126"/>
      <c r="WIP572" s="126"/>
      <c r="WIQ572" s="126"/>
      <c r="WIR572" s="126"/>
      <c r="WIS572" s="126"/>
      <c r="WIT572" s="126"/>
      <c r="WIU572" s="126"/>
      <c r="WIV572" s="126"/>
      <c r="WIW572" s="126"/>
      <c r="WIX572" s="126"/>
      <c r="WIY572" s="126"/>
      <c r="WIZ572" s="126"/>
      <c r="WJA572" s="126"/>
      <c r="WJB572" s="126"/>
      <c r="WJC572" s="126"/>
      <c r="WJD572" s="126"/>
      <c r="WJE572" s="126"/>
      <c r="WJF572" s="126"/>
      <c r="WJG572" s="126"/>
      <c r="WJH572" s="126"/>
      <c r="WJI572" s="126"/>
      <c r="WJJ572" s="126"/>
      <c r="WJK572" s="126"/>
      <c r="WJL572" s="126"/>
      <c r="WJM572" s="126"/>
      <c r="WJN572" s="126"/>
      <c r="WJO572" s="126"/>
      <c r="WJP572" s="126"/>
      <c r="WJQ572" s="126"/>
      <c r="WJR572" s="126"/>
      <c r="WJS572" s="126"/>
      <c r="WJT572" s="126"/>
      <c r="WJU572" s="126"/>
      <c r="WJV572" s="126"/>
      <c r="WJW572" s="126"/>
      <c r="WJX572" s="126"/>
      <c r="WJY572" s="126"/>
      <c r="WJZ572" s="126"/>
      <c r="WKA572" s="126"/>
      <c r="WKB572" s="126"/>
      <c r="WKC572" s="126"/>
      <c r="WKD572" s="126"/>
      <c r="WKE572" s="126"/>
      <c r="WKF572" s="126"/>
      <c r="WKG572" s="126"/>
      <c r="WKH572" s="126"/>
      <c r="WKI572" s="126"/>
      <c r="WKJ572" s="126"/>
      <c r="WKK572" s="126"/>
      <c r="WKL572" s="126"/>
      <c r="WKM572" s="126"/>
      <c r="WKN572" s="126"/>
      <c r="WKO572" s="126"/>
      <c r="WKP572" s="126"/>
      <c r="WKQ572" s="126"/>
      <c r="WKR572" s="126"/>
      <c r="WKS572" s="126"/>
      <c r="WKT572" s="126"/>
      <c r="WKU572" s="126"/>
      <c r="WKV572" s="126"/>
      <c r="WKW572" s="126"/>
      <c r="WKX572" s="126"/>
      <c r="WKY572" s="126"/>
      <c r="WKZ572" s="126"/>
      <c r="WLA572" s="126"/>
      <c r="WLB572" s="126"/>
      <c r="WLC572" s="126"/>
      <c r="WLD572" s="126"/>
      <c r="WLE572" s="126"/>
      <c r="WLF572" s="126"/>
      <c r="WLG572" s="126"/>
      <c r="WLH572" s="126"/>
      <c r="WLI572" s="126"/>
      <c r="WLJ572" s="126"/>
      <c r="WLK572" s="126"/>
      <c r="WLL572" s="126"/>
      <c r="WLM572" s="126"/>
      <c r="WLN572" s="126"/>
      <c r="WLO572" s="126"/>
      <c r="WLP572" s="126"/>
      <c r="WLQ572" s="126"/>
      <c r="WLR572" s="126"/>
      <c r="WLS572" s="126"/>
      <c r="WLT572" s="126"/>
      <c r="WLU572" s="126"/>
      <c r="WLV572" s="126"/>
      <c r="WLW572" s="126"/>
      <c r="WLX572" s="126"/>
      <c r="WLY572" s="126"/>
      <c r="WLZ572" s="126"/>
      <c r="WMA572" s="126"/>
      <c r="WMB572" s="126"/>
      <c r="WMC572" s="126"/>
      <c r="WMD572" s="126"/>
      <c r="WME572" s="126"/>
      <c r="WMF572" s="126"/>
      <c r="WMG572" s="126"/>
      <c r="WMH572" s="126"/>
      <c r="WMI572" s="126"/>
      <c r="WMJ572" s="126"/>
      <c r="WMK572" s="126"/>
      <c r="WML572" s="126"/>
      <c r="WMM572" s="126"/>
      <c r="WMN572" s="126"/>
      <c r="WMO572" s="126"/>
      <c r="WMP572" s="126"/>
      <c r="WMQ572" s="126"/>
      <c r="WMR572" s="126"/>
      <c r="WMS572" s="126"/>
      <c r="WMT572" s="126"/>
      <c r="WMU572" s="126"/>
      <c r="WMV572" s="126"/>
      <c r="WMW572" s="126"/>
      <c r="WMX572" s="126"/>
      <c r="WMY572" s="126"/>
      <c r="WMZ572" s="126"/>
      <c r="WNA572" s="126"/>
      <c r="WNB572" s="126"/>
      <c r="WNC572" s="126"/>
      <c r="WND572" s="126"/>
      <c r="WNE572" s="126"/>
      <c r="WNF572" s="126"/>
      <c r="WNG572" s="126"/>
      <c r="WNH572" s="126"/>
      <c r="WNI572" s="126"/>
      <c r="WNJ572" s="126"/>
      <c r="WNK572" s="126"/>
      <c r="WNL572" s="126"/>
      <c r="WNM572" s="126"/>
      <c r="WNN572" s="126"/>
      <c r="WNO572" s="126"/>
      <c r="WNP572" s="126"/>
      <c r="WNQ572" s="126"/>
      <c r="WNR572" s="126"/>
      <c r="WNS572" s="126"/>
      <c r="WNT572" s="126"/>
      <c r="WNU572" s="126"/>
      <c r="WNV572" s="126"/>
      <c r="WNW572" s="126"/>
      <c r="WNX572" s="126"/>
      <c r="WNY572" s="126"/>
      <c r="WNZ572" s="126"/>
      <c r="WOA572" s="126"/>
      <c r="WOB572" s="126"/>
      <c r="WOC572" s="126"/>
      <c r="WOD572" s="126"/>
      <c r="WOE572" s="126"/>
      <c r="WOF572" s="126"/>
      <c r="WOG572" s="126"/>
      <c r="WOH572" s="126"/>
      <c r="WOI572" s="126"/>
      <c r="WOJ572" s="126"/>
      <c r="WOK572" s="126"/>
      <c r="WOL572" s="126"/>
      <c r="WOM572" s="126"/>
      <c r="WON572" s="126"/>
      <c r="WOO572" s="126"/>
      <c r="WOP572" s="126"/>
      <c r="WOQ572" s="126"/>
      <c r="WOR572" s="126"/>
      <c r="WOS572" s="126"/>
      <c r="WOT572" s="126"/>
      <c r="WOU572" s="126"/>
      <c r="WOV572" s="126"/>
      <c r="WOW572" s="126"/>
      <c r="WOX572" s="126"/>
      <c r="WOY572" s="126"/>
      <c r="WOZ572" s="126"/>
      <c r="WPA572" s="126"/>
      <c r="WPB572" s="126"/>
      <c r="WPC572" s="126"/>
      <c r="WPD572" s="126"/>
      <c r="WPE572" s="126"/>
      <c r="WPF572" s="126"/>
      <c r="WPG572" s="126"/>
      <c r="WPH572" s="126"/>
      <c r="WPI572" s="126"/>
      <c r="WPJ572" s="126"/>
      <c r="WPK572" s="126"/>
      <c r="WPL572" s="126"/>
      <c r="WPM572" s="126"/>
      <c r="WPN572" s="126"/>
      <c r="WPO572" s="126"/>
      <c r="WPP572" s="126"/>
      <c r="WPQ572" s="126"/>
      <c r="WPR572" s="126"/>
      <c r="WPS572" s="126"/>
      <c r="WPT572" s="126"/>
      <c r="WPU572" s="126"/>
      <c r="WPV572" s="126"/>
      <c r="WPW572" s="126"/>
      <c r="WPX572" s="126"/>
      <c r="WPY572" s="126"/>
      <c r="WPZ572" s="126"/>
      <c r="WQA572" s="126"/>
      <c r="WQB572" s="126"/>
      <c r="WQC572" s="126"/>
      <c r="WQD572" s="126"/>
      <c r="WQE572" s="126"/>
      <c r="WQF572" s="126"/>
      <c r="WQG572" s="126"/>
      <c r="WQH572" s="126"/>
      <c r="WQI572" s="126"/>
      <c r="WQJ572" s="126"/>
      <c r="WQK572" s="126"/>
      <c r="WQL572" s="126"/>
      <c r="WQM572" s="126"/>
      <c r="WQN572" s="126"/>
      <c r="WQO572" s="126"/>
      <c r="WQP572" s="126"/>
      <c r="WQQ572" s="126"/>
      <c r="WQR572" s="126"/>
      <c r="WQS572" s="126"/>
      <c r="WQT572" s="126"/>
      <c r="WQU572" s="126"/>
      <c r="WQV572" s="126"/>
      <c r="WQW572" s="126"/>
      <c r="WQX572" s="126"/>
      <c r="WQY572" s="126"/>
      <c r="WQZ572" s="126"/>
      <c r="WRA572" s="126"/>
      <c r="WRB572" s="126"/>
      <c r="WRC572" s="126"/>
      <c r="WRD572" s="126"/>
      <c r="WRE572" s="126"/>
      <c r="WRF572" s="126"/>
      <c r="WRG572" s="126"/>
      <c r="WRH572" s="126"/>
      <c r="WRI572" s="126"/>
      <c r="WRJ572" s="126"/>
      <c r="WRK572" s="126"/>
      <c r="WRL572" s="126"/>
      <c r="WRM572" s="126"/>
      <c r="WRN572" s="126"/>
      <c r="WRO572" s="126"/>
      <c r="WRP572" s="126"/>
      <c r="WRQ572" s="126"/>
      <c r="WRR572" s="126"/>
      <c r="WRS572" s="126"/>
      <c r="WRT572" s="126"/>
      <c r="WRU572" s="126"/>
      <c r="WRV572" s="126"/>
      <c r="WRW572" s="126"/>
      <c r="WRX572" s="126"/>
      <c r="WRY572" s="126"/>
      <c r="WRZ572" s="126"/>
      <c r="WSA572" s="126"/>
      <c r="WSB572" s="126"/>
      <c r="WSC572" s="126"/>
      <c r="WSD572" s="126"/>
      <c r="WSE572" s="126"/>
      <c r="WSF572" s="126"/>
      <c r="WSG572" s="126"/>
      <c r="WSH572" s="126"/>
      <c r="WSI572" s="126"/>
      <c r="WSJ572" s="126"/>
      <c r="WSK572" s="126"/>
      <c r="WSL572" s="126"/>
      <c r="WSM572" s="126"/>
      <c r="WSN572" s="126"/>
      <c r="WSO572" s="126"/>
      <c r="WSP572" s="126"/>
      <c r="WSQ572" s="126"/>
      <c r="WSR572" s="126"/>
      <c r="WSS572" s="126"/>
      <c r="WST572" s="126"/>
      <c r="WSU572" s="126"/>
      <c r="WSV572" s="126"/>
      <c r="WSW572" s="126"/>
      <c r="WSX572" s="126"/>
      <c r="WSY572" s="126"/>
      <c r="WSZ572" s="126"/>
      <c r="WTA572" s="126"/>
      <c r="WTB572" s="126"/>
      <c r="WTC572" s="126"/>
      <c r="WTD572" s="126"/>
      <c r="WTE572" s="126"/>
      <c r="WTF572" s="126"/>
      <c r="WTG572" s="126"/>
      <c r="WTH572" s="126"/>
      <c r="WTI572" s="126"/>
      <c r="WTJ572" s="126"/>
      <c r="WTK572" s="126"/>
      <c r="WTL572" s="126"/>
      <c r="WTM572" s="126"/>
      <c r="WTN572" s="126"/>
      <c r="WTO572" s="126"/>
      <c r="WTP572" s="126"/>
      <c r="WTQ572" s="126"/>
      <c r="WTR572" s="126"/>
      <c r="WTS572" s="126"/>
      <c r="WTT572" s="126"/>
      <c r="WTU572" s="126"/>
      <c r="WTV572" s="126"/>
      <c r="WTW572" s="126"/>
      <c r="WTX572" s="126"/>
      <c r="WTY572" s="126"/>
      <c r="WTZ572" s="126"/>
      <c r="WUA572" s="126"/>
      <c r="WUB572" s="126"/>
      <c r="WUC572" s="126"/>
      <c r="WUD572" s="126"/>
      <c r="WUE572" s="126"/>
      <c r="WUF572" s="126"/>
      <c r="WUG572" s="126"/>
      <c r="WUH572" s="126"/>
      <c r="WUI572" s="126"/>
      <c r="WUJ572" s="126"/>
      <c r="WUK572" s="126"/>
      <c r="WUL572" s="126"/>
      <c r="WUM572" s="126"/>
      <c r="WUN572" s="126"/>
      <c r="WUO572" s="126"/>
      <c r="WUP572" s="126"/>
      <c r="WUQ572" s="126"/>
      <c r="WUR572" s="126"/>
      <c r="WUS572" s="126"/>
      <c r="WUT572" s="126"/>
      <c r="WUU572" s="126"/>
      <c r="WUV572" s="126"/>
      <c r="WUW572" s="126"/>
      <c r="WUX572" s="126"/>
      <c r="WUY572" s="126"/>
      <c r="WUZ572" s="126"/>
      <c r="WVA572" s="126"/>
      <c r="WVB572" s="126"/>
      <c r="WVC572" s="126"/>
      <c r="WVD572" s="126"/>
      <c r="WVE572" s="126"/>
      <c r="WVF572" s="126"/>
      <c r="WVG572" s="126"/>
      <c r="WVH572" s="126"/>
      <c r="WVI572" s="126"/>
      <c r="WVJ572" s="126"/>
      <c r="WVK572" s="126"/>
      <c r="WVL572" s="126"/>
      <c r="WVM572" s="126"/>
      <c r="WVN572" s="126"/>
      <c r="WVO572" s="126"/>
      <c r="WVP572" s="126"/>
      <c r="WVQ572" s="126"/>
      <c r="WVR572" s="126"/>
      <c r="WVS572" s="126"/>
      <c r="WVT572" s="126"/>
      <c r="WVU572" s="126"/>
      <c r="WVV572" s="126"/>
      <c r="WVW572" s="126"/>
      <c r="WVX572" s="126"/>
      <c r="WVY572" s="126"/>
      <c r="WVZ572" s="126"/>
      <c r="WWA572" s="126"/>
      <c r="WWB572" s="126"/>
      <c r="WWC572" s="126"/>
      <c r="WWD572" s="126"/>
      <c r="WWE572" s="126"/>
      <c r="WWF572" s="126"/>
      <c r="WWG572" s="126"/>
      <c r="WWH572" s="126"/>
      <c r="WWI572" s="126"/>
      <c r="WWJ572" s="126"/>
      <c r="WWK572" s="126"/>
      <c r="WWL572" s="126"/>
      <c r="WWM572" s="126"/>
      <c r="WWN572" s="126"/>
      <c r="WWO572" s="126"/>
      <c r="WWP572" s="126"/>
      <c r="WWQ572" s="126"/>
      <c r="WWR572" s="126"/>
      <c r="WWS572" s="126"/>
      <c r="WWT572" s="126"/>
      <c r="WWU572" s="126"/>
      <c r="WWV572" s="126"/>
      <c r="WWW572" s="126"/>
      <c r="WWX572" s="126"/>
      <c r="WWY572" s="126"/>
      <c r="WWZ572" s="126"/>
      <c r="WXA572" s="126"/>
      <c r="WXB572" s="126"/>
      <c r="WXC572" s="126"/>
      <c r="WXD572" s="126"/>
      <c r="WXE572" s="126"/>
      <c r="WXF572" s="126"/>
      <c r="WXG572" s="126"/>
      <c r="WXH572" s="126"/>
      <c r="WXI572" s="126"/>
      <c r="WXJ572" s="126"/>
      <c r="WXK572" s="126"/>
      <c r="WXL572" s="126"/>
      <c r="WXM572" s="126"/>
      <c r="WXN572" s="126"/>
      <c r="WXO572" s="126"/>
      <c r="WXP572" s="126"/>
      <c r="WXQ572" s="126"/>
      <c r="WXR572" s="126"/>
      <c r="WXS572" s="126"/>
      <c r="WXT572" s="126"/>
      <c r="WXU572" s="126"/>
      <c r="WXV572" s="126"/>
      <c r="WXW572" s="126"/>
      <c r="WXX572" s="126"/>
      <c r="WXY572" s="126"/>
      <c r="WXZ572" s="126"/>
      <c r="WYA572" s="126"/>
      <c r="WYB572" s="126"/>
      <c r="WYC572" s="126"/>
      <c r="WYD572" s="126"/>
      <c r="WYE572" s="126"/>
      <c r="WYF572" s="126"/>
      <c r="WYG572" s="126"/>
      <c r="WYH572" s="126"/>
      <c r="WYI572" s="126"/>
      <c r="WYJ572" s="126"/>
      <c r="WYK572" s="126"/>
      <c r="WYL572" s="126"/>
      <c r="WYM572" s="126"/>
      <c r="WYN572" s="126"/>
      <c r="WYO572" s="126"/>
      <c r="WYP572" s="126"/>
      <c r="WYQ572" s="126"/>
      <c r="WYR572" s="126"/>
      <c r="WYS572" s="126"/>
      <c r="WYT572" s="126"/>
      <c r="WYU572" s="126"/>
      <c r="WYV572" s="126"/>
      <c r="WYW572" s="126"/>
      <c r="WYX572" s="126"/>
      <c r="WYY572" s="126"/>
      <c r="WYZ572" s="126"/>
      <c r="WZA572" s="126"/>
      <c r="WZB572" s="126"/>
      <c r="WZC572" s="126"/>
      <c r="WZD572" s="126"/>
      <c r="WZE572" s="126"/>
      <c r="WZF572" s="126"/>
      <c r="WZG572" s="126"/>
      <c r="WZH572" s="126"/>
      <c r="WZI572" s="126"/>
      <c r="WZJ572" s="126"/>
      <c r="WZK572" s="126"/>
      <c r="WZL572" s="126"/>
      <c r="WZM572" s="126"/>
      <c r="WZN572" s="126"/>
      <c r="WZO572" s="126"/>
      <c r="WZP572" s="126"/>
      <c r="WZQ572" s="126"/>
      <c r="WZR572" s="126"/>
      <c r="WZS572" s="126"/>
      <c r="WZT572" s="126"/>
      <c r="WZU572" s="126"/>
      <c r="WZV572" s="126"/>
      <c r="WZW572" s="126"/>
      <c r="WZX572" s="126"/>
      <c r="WZY572" s="126"/>
      <c r="WZZ572" s="126"/>
      <c r="XAA572" s="126"/>
      <c r="XAB572" s="126"/>
      <c r="XAC572" s="126"/>
      <c r="XAD572" s="126"/>
      <c r="XAE572" s="126"/>
      <c r="XAF572" s="126"/>
      <c r="XAG572" s="126"/>
      <c r="XAH572" s="126"/>
      <c r="XAI572" s="126"/>
      <c r="XAJ572" s="126"/>
      <c r="XAK572" s="126"/>
      <c r="XAL572" s="126"/>
      <c r="XAM572" s="126"/>
      <c r="XAN572" s="126"/>
      <c r="XAO572" s="126"/>
      <c r="XAP572" s="126"/>
      <c r="XAQ572" s="126"/>
      <c r="XAR572" s="126"/>
      <c r="XAS572" s="126"/>
      <c r="XAT572" s="126"/>
      <c r="XAU572" s="126"/>
      <c r="XAV572" s="126"/>
      <c r="XAW572" s="126"/>
      <c r="XAX572" s="126"/>
      <c r="XAY572" s="126"/>
      <c r="XAZ572" s="126"/>
      <c r="XBA572" s="126"/>
      <c r="XBB572" s="126"/>
      <c r="XBC572" s="126"/>
      <c r="XBD572" s="126"/>
      <c r="XBE572" s="126"/>
      <c r="XBF572" s="126"/>
      <c r="XBG572" s="126"/>
      <c r="XBH572" s="126"/>
      <c r="XBI572" s="126"/>
      <c r="XBJ572" s="126"/>
      <c r="XBK572" s="126"/>
      <c r="XBL572" s="126"/>
      <c r="XBM572" s="126"/>
      <c r="XBN572" s="126"/>
      <c r="XBO572" s="126"/>
      <c r="XBP572" s="126"/>
      <c r="XBQ572" s="126"/>
      <c r="XBR572" s="126"/>
      <c r="XBS572" s="126"/>
      <c r="XBT572" s="126"/>
      <c r="XBU572" s="126"/>
      <c r="XBV572" s="126"/>
      <c r="XBW572" s="126"/>
      <c r="XBX572" s="126"/>
      <c r="XBY572" s="126"/>
      <c r="XBZ572" s="126"/>
      <c r="XCA572" s="126"/>
      <c r="XCB572" s="126"/>
      <c r="XCC572" s="126"/>
      <c r="XCD572" s="126"/>
      <c r="XCE572" s="126"/>
      <c r="XCF572" s="126"/>
      <c r="XCG572" s="126"/>
      <c r="XCH572" s="126"/>
      <c r="XCI572" s="126"/>
      <c r="XCJ572" s="126"/>
      <c r="XCK572" s="126"/>
      <c r="XCL572" s="126"/>
      <c r="XCM572" s="126"/>
      <c r="XCN572" s="126"/>
      <c r="XCO572" s="126"/>
      <c r="XCP572" s="126"/>
      <c r="XCQ572" s="126"/>
      <c r="XCR572" s="126"/>
      <c r="XCS572" s="126"/>
      <c r="XCT572" s="126"/>
      <c r="XCU572" s="126"/>
      <c r="XCV572" s="126"/>
      <c r="XCW572" s="126"/>
      <c r="XCX572" s="126"/>
      <c r="XCY572" s="126"/>
      <c r="XCZ572" s="126"/>
      <c r="XDA572" s="126"/>
      <c r="XDB572" s="126"/>
      <c r="XDC572" s="126"/>
      <c r="XDD572" s="126"/>
      <c r="XDE572" s="126"/>
      <c r="XDF572" s="126"/>
      <c r="XDG572" s="126"/>
      <c r="XDH572" s="126"/>
      <c r="XDI572" s="126"/>
      <c r="XDJ572" s="126"/>
      <c r="XDK572" s="126"/>
      <c r="XDL572" s="126"/>
      <c r="XDM572" s="126"/>
      <c r="XDN572" s="126"/>
      <c r="XDO572" s="126"/>
      <c r="XDP572" s="126"/>
      <c r="XDQ572" s="126"/>
      <c r="XDR572" s="126"/>
      <c r="XDS572" s="126"/>
      <c r="XDT572" s="126"/>
      <c r="XDU572" s="126"/>
      <c r="XDV572" s="126"/>
      <c r="XDW572" s="126"/>
      <c r="XDX572" s="126"/>
      <c r="XDY572" s="126"/>
      <c r="XDZ572" s="126"/>
      <c r="XEA572" s="126"/>
      <c r="XEB572" s="126"/>
      <c r="XEC572" s="126"/>
      <c r="XED572" s="126"/>
      <c r="XEE572" s="126"/>
      <c r="XEF572" s="126"/>
      <c r="XEG572" s="126"/>
      <c r="XEH572" s="126"/>
      <c r="XEI572" s="126"/>
      <c r="XEJ572" s="126"/>
      <c r="XEK572" s="126"/>
      <c r="XEL572" s="126"/>
      <c r="XEM572" s="126"/>
      <c r="XEN572" s="126"/>
      <c r="XEO572" s="126"/>
      <c r="XEP572" s="126"/>
      <c r="XEQ572" s="126"/>
      <c r="XER572" s="126"/>
      <c r="XES572" s="126"/>
      <c r="XET572" s="126"/>
      <c r="XEU572" s="126"/>
      <c r="XEV572" s="126"/>
    </row>
    <row r="573" spans="1:16376" x14ac:dyDescent="0.25">
      <c r="A573" s="137">
        <v>5105117001</v>
      </c>
      <c r="B573" s="91" t="s">
        <v>1057</v>
      </c>
      <c r="C573" s="56">
        <f>IFERROR(VLOOKUP(A573,'SAP '!$A$8:$D$393,3,0),0)</f>
        <v>0</v>
      </c>
      <c r="D573" s="184">
        <f>IFERROR(VLOOKUP(A573,'SAP '!A:D,4,0),0)</f>
        <v>0</v>
      </c>
    </row>
    <row r="574" spans="1:16376" x14ac:dyDescent="0.25">
      <c r="A574" s="137">
        <v>5105118000</v>
      </c>
      <c r="B574" s="91" t="s">
        <v>698</v>
      </c>
      <c r="C574" s="56">
        <f>IFERROR(VLOOKUP(A574,'SAP '!$A$8:$D$393,3,0),0)</f>
        <v>3300</v>
      </c>
      <c r="D574" s="184">
        <f>IFERROR(VLOOKUP(A574,'SAP '!A:D,4,0),0)</f>
        <v>7960</v>
      </c>
    </row>
    <row r="575" spans="1:16376" x14ac:dyDescent="0.25">
      <c r="A575" s="137">
        <v>5105119000</v>
      </c>
      <c r="B575" s="91" t="s">
        <v>699</v>
      </c>
      <c r="C575" s="56">
        <f>IFERROR(VLOOKUP(A575,'SAP '!$A$8:$D$393,3,0),0)</f>
        <v>3850</v>
      </c>
      <c r="D575" s="184">
        <f>IFERROR(VLOOKUP(A575,'SAP '!A:D,4,0),0)</f>
        <v>5305</v>
      </c>
    </row>
    <row r="576" spans="1:16376" x14ac:dyDescent="0.25">
      <c r="A576" s="137">
        <v>5105119005</v>
      </c>
      <c r="B576" s="91" t="s">
        <v>700</v>
      </c>
      <c r="C576" s="56">
        <f>IFERROR(VLOOKUP(A576,'SAP '!$A$8:$D$393,3,0),0)</f>
        <v>6828718.1600000001</v>
      </c>
      <c r="D576" s="184">
        <f>IFERROR(VLOOKUP(A576,'SAP '!A:D,4,0),0)</f>
        <v>6672588.1200000001</v>
      </c>
    </row>
    <row r="577" spans="1:4" x14ac:dyDescent="0.25">
      <c r="A577" s="137">
        <v>5105120000</v>
      </c>
      <c r="B577" s="91" t="s">
        <v>701</v>
      </c>
      <c r="C577" s="56">
        <f>IFERROR(VLOOKUP(A577,'SAP '!$A$8:$D$393,3,0),0)</f>
        <v>14507686.970000001</v>
      </c>
      <c r="D577" s="184">
        <f>IFERROR(VLOOKUP(A577,'SAP '!A:D,4,0),0)</f>
        <v>12967014.09</v>
      </c>
    </row>
    <row r="578" spans="1:4" x14ac:dyDescent="0.25">
      <c r="A578" s="137">
        <v>5105120001</v>
      </c>
      <c r="B578" s="91" t="s">
        <v>702</v>
      </c>
      <c r="C578" s="56">
        <f>IFERROR(VLOOKUP(A578,'SAP '!$A$8:$D$393,3,0),0)</f>
        <v>16489.5</v>
      </c>
      <c r="D578" s="184">
        <f>IFERROR(VLOOKUP(A578,'SAP '!A:D,4,0),0)</f>
        <v>0</v>
      </c>
    </row>
    <row r="579" spans="1:4" x14ac:dyDescent="0.25">
      <c r="A579" s="137">
        <v>5105121000</v>
      </c>
      <c r="B579" s="91" t="s">
        <v>703</v>
      </c>
      <c r="C579" s="56">
        <f>IFERROR(VLOOKUP(A579,'SAP '!$A$8:$D$393,3,0),0)</f>
        <v>2389421.8199999998</v>
      </c>
      <c r="D579" s="184">
        <f>IFERROR(VLOOKUP(A579,'SAP '!A:D,4,0),0)</f>
        <v>2833335.31</v>
      </c>
    </row>
    <row r="580" spans="1:4" x14ac:dyDescent="0.25">
      <c r="A580" s="137">
        <v>5105122000</v>
      </c>
      <c r="B580" s="91" t="s">
        <v>704</v>
      </c>
      <c r="C580" s="56">
        <f>IFERROR(VLOOKUP(A580,'SAP '!$A$8:$D$393,3,0),0)</f>
        <v>122887.67999999999</v>
      </c>
      <c r="D580" s="184">
        <f>IFERROR(VLOOKUP(A580,'SAP '!A:D,4,0),0)</f>
        <v>220246</v>
      </c>
    </row>
    <row r="581" spans="1:4" x14ac:dyDescent="0.25">
      <c r="A581" s="137">
        <v>5105123000</v>
      </c>
      <c r="B581" s="91" t="s">
        <v>705</v>
      </c>
      <c r="C581" s="56">
        <f>IFERROR(VLOOKUP(A581,'SAP '!$A$8:$D$393,3,0),0)</f>
        <v>18000</v>
      </c>
      <c r="D581" s="184">
        <f>IFERROR(VLOOKUP(A581,'SAP '!A:D,4,0),0)</f>
        <v>38982</v>
      </c>
    </row>
    <row r="582" spans="1:4" x14ac:dyDescent="0.25">
      <c r="A582" s="137">
        <v>5105123002</v>
      </c>
      <c r="B582" s="91" t="s">
        <v>1058</v>
      </c>
      <c r="C582" s="56">
        <f>IFERROR(VLOOKUP(A582,'SAP '!$A$8:$D$393,3,0),0)</f>
        <v>0</v>
      </c>
      <c r="D582" s="184">
        <f>IFERROR(VLOOKUP(A582,'SAP '!A:D,4,0),0)</f>
        <v>0</v>
      </c>
    </row>
    <row r="583" spans="1:4" x14ac:dyDescent="0.25">
      <c r="A583" s="137">
        <v>5105124000</v>
      </c>
      <c r="B583" s="91" t="s">
        <v>706</v>
      </c>
      <c r="C583" s="56">
        <f>IFERROR(VLOOKUP(A583,'SAP '!$A$8:$D$393,3,0),0)</f>
        <v>0</v>
      </c>
      <c r="D583" s="184">
        <f>IFERROR(VLOOKUP(A583,'SAP '!A:D,4,0),0)</f>
        <v>0</v>
      </c>
    </row>
    <row r="584" spans="1:4" x14ac:dyDescent="0.25">
      <c r="A584" s="137">
        <v>5105125000</v>
      </c>
      <c r="B584" s="91" t="s">
        <v>707</v>
      </c>
      <c r="C584" s="56">
        <f>IFERROR(VLOOKUP(A584,'SAP '!$A$8:$D$393,3,0),0)</f>
        <v>10000</v>
      </c>
      <c r="D584" s="184">
        <f>IFERROR(VLOOKUP(A584,'SAP '!A:D,4,0),0)</f>
        <v>30000</v>
      </c>
    </row>
    <row r="585" spans="1:4" x14ac:dyDescent="0.25">
      <c r="A585" s="143">
        <v>5105125001</v>
      </c>
      <c r="B585" s="94" t="s">
        <v>223</v>
      </c>
      <c r="C585" s="56">
        <f>IFERROR(VLOOKUP(A585,'SAP '!$A$8:$D$393,3,0),0)</f>
        <v>50000</v>
      </c>
      <c r="D585" s="184">
        <f>IFERROR(VLOOKUP(A585,'SAP '!A:D,4,0),0)</f>
        <v>0</v>
      </c>
    </row>
    <row r="586" spans="1:4" x14ac:dyDescent="0.25">
      <c r="A586" s="137">
        <v>5105126000</v>
      </c>
      <c r="B586" s="91" t="s">
        <v>708</v>
      </c>
      <c r="C586" s="56">
        <f>IFERROR(VLOOKUP(A586,'SAP '!$A$8:$D$393,3,0),0)</f>
        <v>0</v>
      </c>
      <c r="D586" s="184">
        <f>IFERROR(VLOOKUP(A586,'SAP '!A:D,4,0),0)</f>
        <v>0</v>
      </c>
    </row>
    <row r="587" spans="1:4" x14ac:dyDescent="0.25">
      <c r="A587" s="137">
        <v>5105126002</v>
      </c>
      <c r="B587" s="91" t="s">
        <v>709</v>
      </c>
      <c r="C587" s="56">
        <f>IFERROR(VLOOKUP(A587,'SAP '!$A$8:$D$393,3,0),0)</f>
        <v>0</v>
      </c>
      <c r="D587" s="184">
        <f>IFERROR(VLOOKUP(A587,'SAP '!A:D,4,0),0)</f>
        <v>0</v>
      </c>
    </row>
    <row r="588" spans="1:4" x14ac:dyDescent="0.25">
      <c r="A588" s="137">
        <v>5105126004</v>
      </c>
      <c r="B588" s="91" t="s">
        <v>710</v>
      </c>
      <c r="C588" s="56">
        <f>IFERROR(VLOOKUP(A588,'SAP '!$A$8:$D$393,3,0),0)</f>
        <v>0</v>
      </c>
      <c r="D588" s="184">
        <f>IFERROR(VLOOKUP(A588,'SAP '!A:D,4,0),0)</f>
        <v>0</v>
      </c>
    </row>
    <row r="589" spans="1:4" x14ac:dyDescent="0.25">
      <c r="A589" s="137">
        <v>5105126007</v>
      </c>
      <c r="B589" s="91" t="s">
        <v>711</v>
      </c>
      <c r="C589" s="56">
        <f>IFERROR(VLOOKUP(A589,'SAP '!$A$8:$D$393,3,0),0)</f>
        <v>0</v>
      </c>
      <c r="D589" s="184">
        <f>IFERROR(VLOOKUP(A589,'SAP '!A:D,4,0),0)</f>
        <v>0.2</v>
      </c>
    </row>
    <row r="590" spans="1:4" x14ac:dyDescent="0.25">
      <c r="A590" s="137">
        <v>5105126999</v>
      </c>
      <c r="B590" s="91" t="s">
        <v>712</v>
      </c>
      <c r="C590" s="56">
        <f>IFERROR(VLOOKUP(A590,'SAP '!$A$8:$D$393,3,0),0)</f>
        <v>0</v>
      </c>
      <c r="D590" s="184">
        <f>IFERROR(VLOOKUP(A590,'SAP '!A:D,4,0),0)</f>
        <v>11402</v>
      </c>
    </row>
    <row r="591" spans="1:4" x14ac:dyDescent="0.25">
      <c r="A591" s="137">
        <v>5105128000</v>
      </c>
      <c r="B591" s="91" t="s">
        <v>713</v>
      </c>
      <c r="C591" s="56">
        <f>IFERROR(VLOOKUP(A591,'SAP '!$A$8:$D$393,3,0),0)</f>
        <v>0</v>
      </c>
      <c r="D591" s="184">
        <f>IFERROR(VLOOKUP(A591,'SAP '!A:D,4,0),0)</f>
        <v>0</v>
      </c>
    </row>
    <row r="592" spans="1:4" x14ac:dyDescent="0.25">
      <c r="A592" s="137">
        <v>5105130001</v>
      </c>
      <c r="B592" s="91" t="s">
        <v>714</v>
      </c>
      <c r="C592" s="56">
        <f>IFERROR(VLOOKUP(A592,'SAP '!$A$8:$D$393,3,0),0)</f>
        <v>124335</v>
      </c>
      <c r="D592" s="184">
        <f>IFERROR(VLOOKUP(A592,'SAP '!A:D,4,0),0)</f>
        <v>77555</v>
      </c>
    </row>
    <row r="593" spans="1:4" x14ac:dyDescent="0.25">
      <c r="A593" s="137">
        <v>5105132000</v>
      </c>
      <c r="B593" s="91" t="s">
        <v>230</v>
      </c>
      <c r="C593" s="56">
        <f>IFERROR(VLOOKUP(A593,'SAP '!$A$8:$D$393,3,0),0)</f>
        <v>0</v>
      </c>
      <c r="D593" s="184">
        <f>IFERROR(VLOOKUP(A593,'SAP '!A:D,4,0),0)</f>
        <v>0</v>
      </c>
    </row>
    <row r="594" spans="1:4" x14ac:dyDescent="0.25">
      <c r="A594" s="90">
        <v>5105116002</v>
      </c>
      <c r="B594" s="90" t="s">
        <v>185</v>
      </c>
      <c r="C594" s="56">
        <f>IFERROR(VLOOKUP(A594,'SAP '!$A$8:$D$393,3,0),0)</f>
        <v>0</v>
      </c>
      <c r="D594" s="184">
        <f>IFERROR(VLOOKUP(A594,'SAP '!A:D,4,0),0)</f>
        <v>0</v>
      </c>
    </row>
    <row r="595" spans="1:4" x14ac:dyDescent="0.25">
      <c r="A595" s="90">
        <v>5105119003</v>
      </c>
      <c r="B595" s="90" t="s">
        <v>186</v>
      </c>
      <c r="C595" s="56">
        <f>IFERROR(VLOOKUP(A595,'SAP '!$A$8:$D$393,3,0),0)</f>
        <v>0</v>
      </c>
      <c r="D595" s="184">
        <f>IFERROR(VLOOKUP(A595,'SAP '!A:D,4,0),0)</f>
        <v>0</v>
      </c>
    </row>
    <row r="596" spans="1:4" x14ac:dyDescent="0.25">
      <c r="A596" s="90">
        <v>5105126001</v>
      </c>
      <c r="B596" s="90" t="s">
        <v>187</v>
      </c>
      <c r="C596" s="56">
        <f>IFERROR(VLOOKUP(A596,'SAP '!$A$8:$D$393,3,0),0)</f>
        <v>0</v>
      </c>
      <c r="D596" s="184">
        <f>IFERROR(VLOOKUP(A596,'SAP '!A:D,4,0),0)</f>
        <v>256351.56</v>
      </c>
    </row>
    <row r="597" spans="1:4" x14ac:dyDescent="0.25">
      <c r="A597" s="90">
        <v>5105126003</v>
      </c>
      <c r="B597" s="90" t="s">
        <v>188</v>
      </c>
      <c r="C597" s="56">
        <f>IFERROR(VLOOKUP(A597,'SAP '!$A$8:$D$393,3,0),0)</f>
        <v>0</v>
      </c>
      <c r="D597" s="184">
        <f>IFERROR(VLOOKUP(A597,'SAP '!A:D,4,0),0)</f>
        <v>0</v>
      </c>
    </row>
    <row r="598" spans="1:4" x14ac:dyDescent="0.25">
      <c r="A598" s="90">
        <v>5105126005</v>
      </c>
      <c r="B598" s="90" t="s">
        <v>189</v>
      </c>
      <c r="C598" s="56">
        <f>IFERROR(VLOOKUP(A598,'SAP '!$A$8:$D$393,3,0),0)</f>
        <v>0</v>
      </c>
      <c r="D598" s="184">
        <f>IFERROR(VLOOKUP(A598,'SAP '!A:D,4,0),0)</f>
        <v>0</v>
      </c>
    </row>
    <row r="599" spans="1:4" x14ac:dyDescent="0.25">
      <c r="A599" s="90">
        <v>5105126006</v>
      </c>
      <c r="B599" s="90" t="s">
        <v>190</v>
      </c>
      <c r="C599" s="56">
        <f>IFERROR(VLOOKUP(A599,'SAP '!$A$8:$D$393,3,0),0)</f>
        <v>0</v>
      </c>
      <c r="D599" s="184">
        <f>IFERROR(VLOOKUP(A599,'SAP '!A:D,4,0),0)</f>
        <v>0</v>
      </c>
    </row>
    <row r="600" spans="1:4" x14ac:dyDescent="0.25">
      <c r="A600" s="90">
        <v>5108101000</v>
      </c>
      <c r="B600" s="90" t="s">
        <v>194</v>
      </c>
      <c r="C600" s="56">
        <f>IFERROR(VLOOKUP(A600,'SAP '!$A$8:$D$393,3,0),0)</f>
        <v>0</v>
      </c>
      <c r="D600" s="184">
        <f>IFERROR(VLOOKUP(A600,'SAP '!A:D,4,0),0)</f>
        <v>0</v>
      </c>
    </row>
    <row r="601" spans="1:4" x14ac:dyDescent="0.25">
      <c r="A601" s="90">
        <v>5108102000</v>
      </c>
      <c r="B601" s="90" t="s">
        <v>195</v>
      </c>
      <c r="C601" s="56">
        <f>IFERROR(VLOOKUP(A601,'SAP '!$A$8:$D$393,3,0),0)</f>
        <v>0</v>
      </c>
      <c r="D601" s="184">
        <f>IFERROR(VLOOKUP(A601,'SAP '!A:D,4,0),0)</f>
        <v>0</v>
      </c>
    </row>
    <row r="602" spans="1:4" x14ac:dyDescent="0.25">
      <c r="A602" s="90">
        <v>5105130000</v>
      </c>
      <c r="B602" s="90" t="s">
        <v>191</v>
      </c>
      <c r="C602" s="56">
        <f>IFERROR(VLOOKUP(A602,'SAP '!$A$8:$D$393,3,0),0)</f>
        <v>0</v>
      </c>
      <c r="D602" s="184">
        <f>IFERROR(VLOOKUP(A602,'SAP '!A:D,4,0),0)</f>
        <v>0</v>
      </c>
    </row>
    <row r="603" spans="1:4" x14ac:dyDescent="0.25">
      <c r="A603" s="137">
        <v>5106101000</v>
      </c>
      <c r="B603" s="91" t="s">
        <v>715</v>
      </c>
      <c r="C603" s="56">
        <f>IFERROR(VLOOKUP(A603,'SAP '!$A$8:$D$393,3,0),0)</f>
        <v>0</v>
      </c>
      <c r="D603" s="184">
        <f>IFERROR(VLOOKUP(A603,'SAP '!A:D,4,0),0)</f>
        <v>878424.66</v>
      </c>
    </row>
    <row r="604" spans="1:4" x14ac:dyDescent="0.25">
      <c r="A604" s="137">
        <v>5106102000</v>
      </c>
      <c r="B604" s="91" t="s">
        <v>716</v>
      </c>
      <c r="C604" s="56">
        <f>IFERROR(VLOOKUP(A604,'SAP '!$A$8:$D$393,3,0),0)</f>
        <v>2799.01</v>
      </c>
      <c r="D604" s="184">
        <f>IFERROR(VLOOKUP(A604,'SAP '!A:D,4,0),0)</f>
        <v>87916.19</v>
      </c>
    </row>
    <row r="605" spans="1:4" x14ac:dyDescent="0.25">
      <c r="A605" s="137">
        <v>5105107001</v>
      </c>
      <c r="B605" s="91" t="s">
        <v>717</v>
      </c>
      <c r="C605" s="56">
        <f>IFERROR(VLOOKUP(A605,'SAP '!$A$8:$D$393,3,0),0)</f>
        <v>0</v>
      </c>
      <c r="D605" s="184">
        <f>IFERROR(VLOOKUP(A605,'SAP '!A:D,4,0),0)</f>
        <v>329114.2</v>
      </c>
    </row>
    <row r="606" spans="1:4" x14ac:dyDescent="0.25">
      <c r="A606" s="137">
        <v>5105120002</v>
      </c>
      <c r="B606" s="91" t="s">
        <v>718</v>
      </c>
      <c r="C606" s="56">
        <f>IFERROR(VLOOKUP(A606,'SAP '!$A$8:$D$393,3,0),0)</f>
        <v>0</v>
      </c>
      <c r="D606" s="184">
        <f>IFERROR(VLOOKUP(A606,'SAP '!A:D,4,0),0)</f>
        <v>223979.37</v>
      </c>
    </row>
    <row r="607" spans="1:4" x14ac:dyDescent="0.25">
      <c r="A607" s="137">
        <v>5105120003</v>
      </c>
      <c r="B607" s="91" t="s">
        <v>719</v>
      </c>
      <c r="C607" s="56">
        <f>IFERROR(VLOOKUP(A607,'SAP '!$A$8:$D$393,3,0),0)</f>
        <v>7308576.7300000004</v>
      </c>
      <c r="D607" s="184">
        <f>IFERROR(VLOOKUP(A607,'SAP '!A:D,4,0),0)</f>
        <v>11587043.51</v>
      </c>
    </row>
    <row r="608" spans="1:4" x14ac:dyDescent="0.25">
      <c r="A608" s="137">
        <v>5105120004</v>
      </c>
      <c r="B608" s="91" t="s">
        <v>720</v>
      </c>
      <c r="C608" s="56">
        <f>IFERROR(VLOOKUP(A608,'SAP '!$A$8:$D$393,3,0),0)</f>
        <v>256976.39</v>
      </c>
      <c r="D608" s="184">
        <f>IFERROR(VLOOKUP(A608,'SAP '!A:D,4,0),0)</f>
        <v>600842.19999999995</v>
      </c>
    </row>
    <row r="609" spans="1:4" x14ac:dyDescent="0.25">
      <c r="A609" s="137">
        <v>5105120005</v>
      </c>
      <c r="B609" s="91" t="s">
        <v>721</v>
      </c>
      <c r="C609" s="56">
        <f>IFERROR(VLOOKUP(A609,'SAP '!$A$8:$D$393,3,0),0)</f>
        <v>427790.47</v>
      </c>
      <c r="D609" s="184">
        <f>IFERROR(VLOOKUP(A609,'SAP '!A:D,4,0),0)</f>
        <v>648278.01</v>
      </c>
    </row>
    <row r="610" spans="1:4" x14ac:dyDescent="0.25">
      <c r="A610" s="137">
        <v>5105120006</v>
      </c>
      <c r="B610" s="91" t="s">
        <v>722</v>
      </c>
      <c r="C610" s="56">
        <f>IFERROR(VLOOKUP(A610,'SAP '!$A$8:$D$393,3,0),0)</f>
        <v>78239.710000000006</v>
      </c>
      <c r="D610" s="184">
        <f>IFERROR(VLOOKUP(A610,'SAP '!A:D,4,0),0)</f>
        <v>643064.99</v>
      </c>
    </row>
    <row r="611" spans="1:4" x14ac:dyDescent="0.25">
      <c r="A611" s="137">
        <v>5105120007</v>
      </c>
      <c r="B611" s="91" t="s">
        <v>1059</v>
      </c>
      <c r="C611" s="56">
        <f>IFERROR(VLOOKUP(A611,'SAP '!$A$8:$D$393,3,0),0)</f>
        <v>0</v>
      </c>
      <c r="D611" s="184">
        <f>IFERROR(VLOOKUP(A611,'SAP '!A:D,4,0),0)</f>
        <v>0</v>
      </c>
    </row>
    <row r="612" spans="1:4" x14ac:dyDescent="0.25">
      <c r="A612" s="137">
        <v>5105120008</v>
      </c>
      <c r="B612" s="91" t="s">
        <v>723</v>
      </c>
      <c r="C612" s="56">
        <f>IFERROR(VLOOKUP(A612,'SAP '!$A$8:$D$393,3,0),0)</f>
        <v>164656.92000000001</v>
      </c>
      <c r="D612" s="184">
        <f>IFERROR(VLOOKUP(A612,'SAP '!A:D,4,0),0)</f>
        <v>55390.62</v>
      </c>
    </row>
    <row r="613" spans="1:4" x14ac:dyDescent="0.25">
      <c r="A613" s="137">
        <v>5107101000</v>
      </c>
      <c r="B613" s="91" t="s">
        <v>725</v>
      </c>
      <c r="C613" s="56">
        <f>IFERROR(VLOOKUP(A613,'SAP '!$A$8:$D$393,3,0),0)</f>
        <v>0</v>
      </c>
      <c r="D613" s="184">
        <f>IFERROR(VLOOKUP(A613,'SAP '!A:D,4,0),0)</f>
        <v>2170969</v>
      </c>
    </row>
    <row r="614" spans="1:4" x14ac:dyDescent="0.25">
      <c r="A614" s="137">
        <v>5107102000</v>
      </c>
      <c r="B614" s="91" t="s">
        <v>726</v>
      </c>
      <c r="C614" s="56">
        <f>IFERROR(VLOOKUP(A614,'SAP '!$A$8:$D$393,3,0),0)</f>
        <v>0</v>
      </c>
      <c r="D614" s="184">
        <f>IFERROR(VLOOKUP(A614,'SAP '!A:D,4,0),0)</f>
        <v>30651920</v>
      </c>
    </row>
    <row r="615" spans="1:4" x14ac:dyDescent="0.25">
      <c r="A615" s="137">
        <v>5107103000</v>
      </c>
      <c r="B615" s="91" t="s">
        <v>727</v>
      </c>
      <c r="C615" s="56">
        <f>IFERROR(VLOOKUP(A615,'SAP '!$A$8:$D$393,3,0),0)</f>
        <v>0</v>
      </c>
      <c r="D615" s="184">
        <f>IFERROR(VLOOKUP(A615,'SAP '!A:D,4,0),0)</f>
        <v>755763</v>
      </c>
    </row>
    <row r="616" spans="1:4" x14ac:dyDescent="0.25">
      <c r="A616" s="137">
        <v>5107103001</v>
      </c>
      <c r="B616" s="91" t="s">
        <v>728</v>
      </c>
      <c r="C616" s="56">
        <f>IFERROR(VLOOKUP(A616,'SAP '!$A$8:$D$393,3,0),0)</f>
        <v>0</v>
      </c>
      <c r="D616" s="184">
        <f>IFERROR(VLOOKUP(A616,'SAP '!A:D,4,0),0)</f>
        <v>128803</v>
      </c>
    </row>
    <row r="617" spans="1:4" x14ac:dyDescent="0.25">
      <c r="A617" s="137">
        <v>5107104000</v>
      </c>
      <c r="B617" s="91" t="s">
        <v>729</v>
      </c>
      <c r="C617" s="56">
        <f>IFERROR(VLOOKUP(A617,'SAP '!$A$8:$D$393,3,0),0)</f>
        <v>0</v>
      </c>
      <c r="D617" s="184">
        <f>IFERROR(VLOOKUP(A617,'SAP '!A:D,4,0),0)</f>
        <v>9763052</v>
      </c>
    </row>
    <row r="618" spans="1:4" x14ac:dyDescent="0.25">
      <c r="A618" s="137">
        <v>5107104001</v>
      </c>
      <c r="B618" s="91" t="s">
        <v>730</v>
      </c>
      <c r="C618" s="56">
        <f>IFERROR(VLOOKUP(A618,'SAP '!$A$8:$D$393,3,0),0)</f>
        <v>0</v>
      </c>
      <c r="D618" s="184">
        <f>IFERROR(VLOOKUP(A618,'SAP '!A:D,4,0),0)</f>
        <v>3517244</v>
      </c>
    </row>
    <row r="619" spans="1:4" x14ac:dyDescent="0.25">
      <c r="A619" s="137">
        <v>5107105000</v>
      </c>
      <c r="B619" s="91" t="s">
        <v>731</v>
      </c>
      <c r="C619" s="56">
        <f>IFERROR(VLOOKUP(A619,'SAP '!$A$8:$D$393,3,0),0)</f>
        <v>0</v>
      </c>
      <c r="D619" s="184">
        <f>IFERROR(VLOOKUP(A619,'SAP '!A:D,4,0),0)</f>
        <v>625517.13</v>
      </c>
    </row>
    <row r="620" spans="1:4" x14ac:dyDescent="0.25">
      <c r="A620" s="137">
        <v>5107106000</v>
      </c>
      <c r="B620" s="91" t="s">
        <v>732</v>
      </c>
      <c r="C620" s="56">
        <f>IFERROR(VLOOKUP(A620,'SAP '!$A$8:$D$393,3,0),0)</f>
        <v>0</v>
      </c>
      <c r="D620" s="184">
        <f>IFERROR(VLOOKUP(A620,'SAP '!A:D,4,0),0)</f>
        <v>650128</v>
      </c>
    </row>
    <row r="621" spans="1:4" x14ac:dyDescent="0.25">
      <c r="A621" s="137">
        <v>5107202000</v>
      </c>
      <c r="B621" s="91" t="s">
        <v>733</v>
      </c>
      <c r="C621" s="56">
        <f>IFERROR(VLOOKUP(A621,'SAP '!$A$8:$D$393,3,0),0)</f>
        <v>0</v>
      </c>
      <c r="D621" s="184">
        <f>IFERROR(VLOOKUP(A621,'SAP '!A:D,4,0),0)</f>
        <v>25619466</v>
      </c>
    </row>
    <row r="622" spans="1:4" x14ac:dyDescent="0.25">
      <c r="A622" s="90">
        <v>5107107000</v>
      </c>
      <c r="B622" s="90" t="s">
        <v>192</v>
      </c>
      <c r="C622" s="56">
        <f>IFERROR(VLOOKUP(A622,'SAP '!$A$8:$D$393,3,0),0)</f>
        <v>0</v>
      </c>
      <c r="D622" s="184">
        <f>IFERROR(VLOOKUP(A622,'SAP '!A:D,4,0),0)</f>
        <v>0</v>
      </c>
    </row>
    <row r="623" spans="1:4" x14ac:dyDescent="0.25">
      <c r="A623" s="90">
        <v>5107108000</v>
      </c>
      <c r="B623" s="90" t="s">
        <v>193</v>
      </c>
      <c r="C623" s="56">
        <f>IFERROR(VLOOKUP(A623,'SAP '!$A$8:$D$393,3,0),0)</f>
        <v>0</v>
      </c>
      <c r="D623" s="184">
        <f>IFERROR(VLOOKUP(A623,'SAP '!A:D,4,0),0)</f>
        <v>0</v>
      </c>
    </row>
    <row r="624" spans="1:4" x14ac:dyDescent="0.25">
      <c r="A624" s="137">
        <v>5111102000</v>
      </c>
      <c r="B624" s="91" t="s">
        <v>724</v>
      </c>
      <c r="C624" s="56">
        <f>IFERROR(VLOOKUP(A624,'SAP '!$A$8:$D$393,3,0),0)</f>
        <v>0</v>
      </c>
      <c r="D624" s="184">
        <f>IFERROR(VLOOKUP(A624,'SAP '!A:D,4,0),0)</f>
        <v>200319.04</v>
      </c>
    </row>
    <row r="625" spans="1:4" x14ac:dyDescent="0.25">
      <c r="A625" s="137">
        <v>5110101000</v>
      </c>
      <c r="B625" s="89" t="s">
        <v>1060</v>
      </c>
      <c r="C625" s="56">
        <f>IFERROR(VLOOKUP(A625,'SAP '!$A$8:$D$393,3,0),0)</f>
        <v>0</v>
      </c>
      <c r="D625" s="184">
        <f>IFERROR(VLOOKUP(A625,'SAP '!A:D,4,0),0)</f>
        <v>0</v>
      </c>
    </row>
    <row r="626" spans="1:4" x14ac:dyDescent="0.25">
      <c r="A626" s="90">
        <v>5110201000</v>
      </c>
      <c r="B626" s="90" t="s">
        <v>197</v>
      </c>
      <c r="C626" s="56">
        <f>IFERROR(VLOOKUP(A626,'SAP '!$A$8:$D$393,3,0),0)</f>
        <v>0</v>
      </c>
      <c r="D626" s="184">
        <f>IFERROR(VLOOKUP(A626,'SAP '!A:D,4,0),0)</f>
        <v>0</v>
      </c>
    </row>
    <row r="627" spans="1:4" x14ac:dyDescent="0.25">
      <c r="A627" s="90">
        <v>4102101000</v>
      </c>
      <c r="B627" s="90" t="s">
        <v>174</v>
      </c>
      <c r="C627" s="56">
        <f>IFERROR(VLOOKUP(A627,'SAP '!$A$8:$D$393,3,0),0)</f>
        <v>0</v>
      </c>
      <c r="D627" s="184">
        <f>IFERROR(VLOOKUP(A627,'SAP '!A:D,4,0),0)</f>
        <v>0</v>
      </c>
    </row>
    <row r="628" spans="1:4" x14ac:dyDescent="0.25">
      <c r="A628" s="90">
        <v>5110101001</v>
      </c>
      <c r="B628" s="90" t="s">
        <v>196</v>
      </c>
      <c r="C628" s="56">
        <f>IFERROR(VLOOKUP(A628,'SAP '!$A$8:$D$393,3,0),0)</f>
        <v>0</v>
      </c>
      <c r="D628" s="184">
        <f>IFERROR(VLOOKUP(A628,'SAP '!A:D,4,0),0)</f>
        <v>0</v>
      </c>
    </row>
    <row r="629" spans="1:4" x14ac:dyDescent="0.25">
      <c r="A629" s="90">
        <v>6103101000</v>
      </c>
      <c r="B629" s="90" t="s">
        <v>1074</v>
      </c>
      <c r="C629" s="56">
        <f>IFERROR(VLOOKUP(A629,'SAP '!$A$8:$D$393,3,0),0)</f>
        <v>0</v>
      </c>
      <c r="D629" s="184">
        <f>IFERROR(VLOOKUP(A629,'SAP '!A:D,4,0),0)</f>
        <v>0</v>
      </c>
    </row>
    <row r="630" spans="1:4" x14ac:dyDescent="0.25">
      <c r="A630" s="90">
        <v>6103101001</v>
      </c>
      <c r="B630" s="90" t="s">
        <v>1061</v>
      </c>
      <c r="C630" s="56">
        <f>IFERROR(VLOOKUP(A630,'SAP '!$A$8:$D$393,3,0),0)</f>
        <v>0</v>
      </c>
      <c r="D630" s="184">
        <f>IFERROR(VLOOKUP(A630,'SAP '!A:D,4,0),0)</f>
        <v>0</v>
      </c>
    </row>
    <row r="631" spans="1:4" x14ac:dyDescent="0.25">
      <c r="A631" s="90">
        <v>6109101000</v>
      </c>
      <c r="B631" s="90" t="s">
        <v>1062</v>
      </c>
      <c r="C631" s="56">
        <f>IFERROR(VLOOKUP(A631,'SAP '!$A$8:$D$393,3,0),0)</f>
        <v>0</v>
      </c>
      <c r="D631" s="184">
        <f>IFERROR(VLOOKUP(A631,'SAP '!A:D,4,0),0)</f>
        <v>0</v>
      </c>
    </row>
    <row r="632" spans="1:4" x14ac:dyDescent="0.25">
      <c r="C632" s="119">
        <f>SUM(C2:C631)</f>
        <v>-70351797.979999855</v>
      </c>
      <c r="D632" s="119">
        <f>SUM(D2:D631)</f>
        <v>2893574.769999248</v>
      </c>
    </row>
    <row r="633" spans="1:4" x14ac:dyDescent="0.25">
      <c r="C633" s="57">
        <f>'SAP '!C3</f>
        <v>-70351797.97999987</v>
      </c>
      <c r="D633" s="57">
        <v>2893574.7700004578</v>
      </c>
    </row>
    <row r="653" spans="2:2" x14ac:dyDescent="0.25">
      <c r="B653" s="95"/>
    </row>
  </sheetData>
  <autoFilter ref="A1:D652"/>
  <pageMargins left="0.7" right="0.7" top="0.75" bottom="0.75" header="0.3" footer="0.3"/>
  <pageSetup scale="8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B1:K76"/>
  <sheetViews>
    <sheetView showGridLines="0" view="pageBreakPreview" zoomScale="90" zoomScaleSheetLayoutView="90" workbookViewId="0">
      <selection activeCell="D5" sqref="D5"/>
    </sheetView>
  </sheetViews>
  <sheetFormatPr defaultColWidth="9.140625" defaultRowHeight="15.75" x14ac:dyDescent="0.25"/>
  <cols>
    <col min="1" max="1" width="4.28515625" style="5" customWidth="1"/>
    <col min="2" max="2" width="43.28515625" style="409" customWidth="1"/>
    <col min="3" max="3" width="10.85546875" style="409" customWidth="1"/>
    <col min="4" max="4" width="26.85546875" style="409" bestFit="1" customWidth="1"/>
    <col min="5" max="5" width="29.7109375" style="409" customWidth="1"/>
    <col min="6" max="6" width="18.7109375" style="5" hidden="1" customWidth="1"/>
    <col min="7" max="7" width="17.140625" style="5" customWidth="1"/>
    <col min="8" max="8" width="22.7109375" style="5" bestFit="1" customWidth="1"/>
    <col min="9" max="9" width="15" style="5" customWidth="1"/>
    <col min="10" max="10" width="10.42578125" style="5" bestFit="1" customWidth="1"/>
    <col min="11" max="11" width="17.28515625" style="5" bestFit="1" customWidth="1"/>
    <col min="12" max="16384" width="9.140625" style="5"/>
  </cols>
  <sheetData>
    <row r="1" spans="2:11" x14ac:dyDescent="0.25">
      <c r="B1" s="1604" t="s">
        <v>0</v>
      </c>
      <c r="C1" s="1605"/>
      <c r="D1" s="1605"/>
      <c r="E1" s="1606"/>
      <c r="H1" s="1015">
        <f>+D27-D56</f>
        <v>1869924632.750104</v>
      </c>
      <c r="I1" s="1015">
        <f>+E27-E56</f>
        <v>1393347381.4563508</v>
      </c>
    </row>
    <row r="2" spans="2:11" x14ac:dyDescent="0.25">
      <c r="B2" s="1613" t="s">
        <v>1079</v>
      </c>
      <c r="C2" s="1614"/>
      <c r="D2" s="1614"/>
      <c r="E2" s="1615"/>
      <c r="F2" s="17"/>
      <c r="G2" s="17"/>
      <c r="H2" s="237">
        <f>+'4CF'!D54</f>
        <v>0</v>
      </c>
      <c r="I2" s="237">
        <f>+'4CF'!F54</f>
        <v>0</v>
      </c>
    </row>
    <row r="3" spans="2:11" x14ac:dyDescent="0.25">
      <c r="B3" s="1280"/>
      <c r="C3" s="993"/>
      <c r="D3" s="993"/>
      <c r="E3" s="1281" t="s">
        <v>68</v>
      </c>
      <c r="F3" s="17"/>
      <c r="G3" s="17"/>
    </row>
    <row r="4" spans="2:11" s="6" customFormat="1" x14ac:dyDescent="0.25">
      <c r="B4" s="518" t="s">
        <v>22</v>
      </c>
      <c r="C4" s="519" t="s">
        <v>105</v>
      </c>
      <c r="D4" s="519" t="s">
        <v>2054</v>
      </c>
      <c r="E4" s="519" t="s">
        <v>2053</v>
      </c>
      <c r="F4" s="96" t="s">
        <v>286</v>
      </c>
      <c r="G4" s="33"/>
    </row>
    <row r="5" spans="2:11" x14ac:dyDescent="0.25">
      <c r="B5" s="520" t="s">
        <v>101</v>
      </c>
      <c r="C5" s="400"/>
      <c r="D5" s="1014"/>
      <c r="E5" s="477"/>
      <c r="F5" s="17"/>
      <c r="G5" s="17"/>
    </row>
    <row r="6" spans="2:11" x14ac:dyDescent="0.25">
      <c r="B6" s="521" t="s">
        <v>481</v>
      </c>
      <c r="C6" s="400"/>
      <c r="D6" s="478"/>
      <c r="E6" s="415"/>
      <c r="F6" s="17"/>
      <c r="G6" s="17"/>
    </row>
    <row r="7" spans="2:11" x14ac:dyDescent="0.25">
      <c r="B7" s="523" t="s">
        <v>542</v>
      </c>
      <c r="C7" s="524" t="s">
        <v>478</v>
      </c>
      <c r="D7" s="525">
        <f>'6N_PPE'!K20</f>
        <v>3405609251.0157127</v>
      </c>
      <c r="E7" s="525">
        <f>'6N_PPE'!L20</f>
        <v>3723329875.5200009</v>
      </c>
      <c r="F7" s="101">
        <v>3125892062.0500002</v>
      </c>
      <c r="G7" s="17"/>
      <c r="H7" s="18">
        <v>3723329874.3699999</v>
      </c>
      <c r="I7" s="198">
        <f>+H7-E7</f>
        <v>-1.150001049041748</v>
      </c>
    </row>
    <row r="8" spans="2:11" x14ac:dyDescent="0.25">
      <c r="B8" s="526" t="s">
        <v>242</v>
      </c>
      <c r="C8" s="524" t="s">
        <v>479</v>
      </c>
      <c r="D8" s="525">
        <f>'6N_PPE'!K24+'6N_PPE'!K25</f>
        <v>879124315.43065023</v>
      </c>
      <c r="E8" s="525">
        <f>'6N_PPE'!L24+'6N_PPE'!L25</f>
        <v>1087506398.48</v>
      </c>
      <c r="F8" s="101">
        <v>648791874.13999999</v>
      </c>
      <c r="G8" s="17"/>
      <c r="H8" s="5">
        <v>1087506398.48</v>
      </c>
      <c r="I8" s="198">
        <f t="shared" ref="I8:I56" si="0">+H8-E8</f>
        <v>0</v>
      </c>
    </row>
    <row r="9" spans="2:11" x14ac:dyDescent="0.25">
      <c r="B9" s="526" t="s">
        <v>23</v>
      </c>
      <c r="C9" s="524" t="s">
        <v>480</v>
      </c>
      <c r="D9" s="525">
        <f>'6N_PPE'!K29</f>
        <v>-2001021.5500000045</v>
      </c>
      <c r="E9" s="525">
        <f>'6N_PPE'!L29</f>
        <v>15077014.659999996</v>
      </c>
      <c r="F9" s="101">
        <v>157742055.81</v>
      </c>
      <c r="G9" s="34"/>
      <c r="H9" s="5">
        <v>15077014.659999996</v>
      </c>
      <c r="I9" s="198">
        <f t="shared" si="0"/>
        <v>0</v>
      </c>
    </row>
    <row r="10" spans="2:11" x14ac:dyDescent="0.25">
      <c r="B10" s="521" t="s">
        <v>1632</v>
      </c>
      <c r="C10" s="400"/>
      <c r="D10" s="478"/>
      <c r="E10" s="478"/>
      <c r="F10" s="101"/>
      <c r="G10" s="17"/>
      <c r="I10" s="198"/>
    </row>
    <row r="11" spans="2:11" x14ac:dyDescent="0.25">
      <c r="B11" s="527" t="s">
        <v>1357</v>
      </c>
      <c r="C11" s="524">
        <v>3</v>
      </c>
      <c r="D11" s="525">
        <f>'7N_3-12'!E11</f>
        <v>0</v>
      </c>
      <c r="E11" s="525">
        <f>'7N_3-12'!F11</f>
        <v>92308400</v>
      </c>
      <c r="F11" s="101">
        <v>92308400</v>
      </c>
      <c r="G11" s="17"/>
      <c r="H11" s="5">
        <v>92308400</v>
      </c>
      <c r="I11" s="198">
        <f t="shared" si="0"/>
        <v>0</v>
      </c>
    </row>
    <row r="12" spans="2:11" x14ac:dyDescent="0.25">
      <c r="B12" s="527" t="s">
        <v>1358</v>
      </c>
      <c r="C12" s="524">
        <v>4</v>
      </c>
      <c r="D12" s="525">
        <f>'7N_3-12'!E19</f>
        <v>4948289.43</v>
      </c>
      <c r="E12" s="525">
        <f>'7N_3-12'!F19</f>
        <v>124734293.09</v>
      </c>
      <c r="F12" s="98">
        <v>0</v>
      </c>
      <c r="G12" s="34"/>
      <c r="H12" s="5">
        <v>124734293.09</v>
      </c>
      <c r="I12" s="198">
        <f t="shared" si="0"/>
        <v>0</v>
      </c>
    </row>
    <row r="13" spans="2:11" x14ac:dyDescent="0.25">
      <c r="B13" s="527" t="s">
        <v>541</v>
      </c>
      <c r="C13" s="524">
        <v>5</v>
      </c>
      <c r="D13" s="525">
        <f>'7N_3-12'!E24</f>
        <v>18232155.149999999</v>
      </c>
      <c r="E13" s="525">
        <f>'7N_3-12'!F24</f>
        <v>9659868.5</v>
      </c>
      <c r="F13" s="101">
        <v>2171144</v>
      </c>
      <c r="G13" s="34"/>
      <c r="H13" s="5">
        <v>9659868.5</v>
      </c>
      <c r="I13" s="198">
        <f t="shared" si="0"/>
        <v>0</v>
      </c>
    </row>
    <row r="14" spans="2:11" x14ac:dyDescent="0.25">
      <c r="B14" s="526" t="s">
        <v>243</v>
      </c>
      <c r="C14" s="524">
        <v>6</v>
      </c>
      <c r="D14" s="525">
        <f>'7N_3-12'!E48</f>
        <v>-12950000</v>
      </c>
      <c r="E14" s="525">
        <f>'7N_3-12'!F48</f>
        <v>12950000</v>
      </c>
      <c r="F14" s="101">
        <v>38850000</v>
      </c>
      <c r="G14" s="17"/>
      <c r="H14" s="5">
        <v>12950000</v>
      </c>
      <c r="I14" s="198">
        <f t="shared" si="0"/>
        <v>0</v>
      </c>
    </row>
    <row r="15" spans="2:11" x14ac:dyDescent="0.25">
      <c r="B15" s="528" t="s">
        <v>482</v>
      </c>
      <c r="C15" s="522"/>
      <c r="D15" s="529">
        <f>SUM(D7:D14)</f>
        <v>4292962989.4763622</v>
      </c>
      <c r="E15" s="529">
        <f>SUM(E7:E14)+0.1</f>
        <v>5065565850.3500013</v>
      </c>
      <c r="F15" s="100">
        <f t="shared" ref="F15" si="1">SUM(F7:F14)</f>
        <v>4065755536</v>
      </c>
      <c r="G15" s="17"/>
      <c r="H15" s="18">
        <v>5065565849.1000004</v>
      </c>
      <c r="I15" s="198">
        <f>+H15-E15</f>
        <v>-1.2500009536743164</v>
      </c>
      <c r="K15" s="18"/>
    </row>
    <row r="16" spans="2:11" x14ac:dyDescent="0.25">
      <c r="B16" s="403"/>
      <c r="C16" s="400"/>
      <c r="D16" s="479"/>
      <c r="E16" s="479"/>
      <c r="F16" s="17"/>
      <c r="G16" s="17"/>
      <c r="I16" s="198">
        <f t="shared" si="0"/>
        <v>0</v>
      </c>
      <c r="K16" s="18"/>
    </row>
    <row r="17" spans="2:10" x14ac:dyDescent="0.25">
      <c r="B17" s="530" t="s">
        <v>483</v>
      </c>
      <c r="C17" s="400"/>
      <c r="D17" s="478"/>
      <c r="E17" s="415"/>
      <c r="F17" s="17"/>
      <c r="G17" s="17"/>
      <c r="I17" s="198">
        <f t="shared" si="0"/>
        <v>0</v>
      </c>
    </row>
    <row r="18" spans="2:10" x14ac:dyDescent="0.25">
      <c r="B18" s="527" t="s">
        <v>24</v>
      </c>
      <c r="C18" s="524">
        <v>7</v>
      </c>
      <c r="D18" s="525">
        <f>'7N_3-12'!E61</f>
        <v>-12460199.52</v>
      </c>
      <c r="E18" s="525">
        <f>'7N_3-12'!F61-0.13</f>
        <v>98690458.519999996</v>
      </c>
      <c r="F18" s="101">
        <v>68971055.260000005</v>
      </c>
      <c r="G18" s="34"/>
      <c r="H18" s="5">
        <v>107008946.13</v>
      </c>
      <c r="I18" s="198">
        <f t="shared" si="0"/>
        <v>8318487.6099999994</v>
      </c>
    </row>
    <row r="19" spans="2:10" x14ac:dyDescent="0.25">
      <c r="B19" s="521" t="s">
        <v>1632</v>
      </c>
      <c r="C19" s="400"/>
      <c r="D19" s="478"/>
      <c r="E19" s="478"/>
      <c r="F19" s="101"/>
      <c r="G19" s="17"/>
      <c r="I19" s="198"/>
    </row>
    <row r="20" spans="2:10" x14ac:dyDescent="0.25">
      <c r="B20" s="527" t="s">
        <v>1382</v>
      </c>
      <c r="C20" s="524">
        <v>8</v>
      </c>
      <c r="D20" s="525">
        <f>'7N_3-12'!E79</f>
        <v>32760174.199999996</v>
      </c>
      <c r="E20" s="525">
        <f>'7N_3-12'!F79</f>
        <v>158867562.09000003</v>
      </c>
      <c r="F20" s="101">
        <v>53207355.950000003</v>
      </c>
      <c r="G20" s="34"/>
      <c r="H20" s="18">
        <v>131277802.83999999</v>
      </c>
      <c r="I20" s="198">
        <f t="shared" si="0"/>
        <v>-27589759.250000045</v>
      </c>
    </row>
    <row r="21" spans="2:10" x14ac:dyDescent="0.25">
      <c r="B21" s="527" t="s">
        <v>1383</v>
      </c>
      <c r="C21" s="524">
        <v>9</v>
      </c>
      <c r="D21" s="525">
        <f>'7N_3-12'!E100</f>
        <v>265911140.67999995</v>
      </c>
      <c r="E21" s="525">
        <f>'7N_3-12'!F100</f>
        <v>321433180.03000003</v>
      </c>
      <c r="F21" s="101">
        <v>522619424.35000002</v>
      </c>
      <c r="G21" s="34"/>
      <c r="H21" s="18">
        <v>172043085.68000001</v>
      </c>
      <c r="I21" s="198">
        <f t="shared" si="0"/>
        <v>-149390094.35000002</v>
      </c>
      <c r="J21" s="10"/>
    </row>
    <row r="22" spans="2:10" x14ac:dyDescent="0.25">
      <c r="B22" s="527" t="s">
        <v>1384</v>
      </c>
      <c r="C22" s="524">
        <v>10</v>
      </c>
      <c r="D22" s="525">
        <f>'7N_3-12'!E110</f>
        <v>2007812.9</v>
      </c>
      <c r="E22" s="525">
        <f>'7N_3-12'!F110-0.46</f>
        <v>2860642</v>
      </c>
      <c r="F22" s="101">
        <v>2952433.1700000018</v>
      </c>
      <c r="G22" s="34"/>
      <c r="H22" s="18">
        <v>852829.55999999994</v>
      </c>
      <c r="I22" s="198">
        <f t="shared" si="0"/>
        <v>-2007812.44</v>
      </c>
    </row>
    <row r="23" spans="2:10" x14ac:dyDescent="0.25">
      <c r="B23" s="527" t="s">
        <v>246</v>
      </c>
      <c r="C23" s="524">
        <v>11</v>
      </c>
      <c r="D23" s="532">
        <f>'7N_3-12'!E129</f>
        <v>-218321870.97</v>
      </c>
      <c r="E23" s="532">
        <f>'7N_3-12'!F129</f>
        <v>29736239.919999998</v>
      </c>
      <c r="F23" s="101">
        <f>55536309.42-0.44</f>
        <v>55536308.980000004</v>
      </c>
      <c r="G23" s="34"/>
      <c r="H23" s="5">
        <v>19072940.310000002</v>
      </c>
      <c r="I23" s="198">
        <f t="shared" si="0"/>
        <v>-10663299.609999996</v>
      </c>
    </row>
    <row r="24" spans="2:10" x14ac:dyDescent="0.25">
      <c r="B24" s="527" t="s">
        <v>1348</v>
      </c>
      <c r="C24" s="524">
        <v>12</v>
      </c>
      <c r="D24" s="532">
        <f>'7N_3-12'!E141</f>
        <v>99285178.310000002</v>
      </c>
      <c r="E24" s="532">
        <f>'7N_3-12'!F141</f>
        <v>0</v>
      </c>
      <c r="F24" s="101"/>
      <c r="G24" s="17"/>
      <c r="I24" s="198"/>
    </row>
    <row r="25" spans="2:10" x14ac:dyDescent="0.25">
      <c r="B25" s="528" t="s">
        <v>484</v>
      </c>
      <c r="C25" s="533"/>
      <c r="D25" s="534">
        <f>SUM(D18:D24)</f>
        <v>169182235.59999993</v>
      </c>
      <c r="E25" s="535">
        <f t="shared" ref="E25:F25" si="2">SUM(E18:E23)</f>
        <v>611588082.56000006</v>
      </c>
      <c r="F25" s="102">
        <f t="shared" si="2"/>
        <v>703286577.71000004</v>
      </c>
      <c r="G25" s="17"/>
      <c r="H25" s="5">
        <v>430255604.51999998</v>
      </c>
      <c r="I25" s="198">
        <f t="shared" si="0"/>
        <v>-181332478.04000008</v>
      </c>
    </row>
    <row r="26" spans="2:10" x14ac:dyDescent="0.25">
      <c r="B26" s="404"/>
      <c r="C26" s="399"/>
      <c r="D26" s="480"/>
      <c r="E26" s="445"/>
      <c r="F26" s="17"/>
      <c r="G26" s="17"/>
      <c r="I26" s="198">
        <f t="shared" si="0"/>
        <v>0</v>
      </c>
    </row>
    <row r="27" spans="2:10" ht="16.5" thickBot="1" x14ac:dyDescent="0.3">
      <c r="B27" s="536" t="s">
        <v>485</v>
      </c>
      <c r="C27" s="533"/>
      <c r="D27" s="535">
        <f>D15+D25</f>
        <v>4462145225.0763626</v>
      </c>
      <c r="E27" s="535">
        <f>+E15+E25+0.35</f>
        <v>5677153933.2600021</v>
      </c>
      <c r="F27" s="103">
        <f>+F15+F25</f>
        <v>4769042113.71</v>
      </c>
      <c r="G27" s="17"/>
      <c r="H27" s="5">
        <v>5495821453.6200008</v>
      </c>
      <c r="I27" s="198">
        <f t="shared" si="0"/>
        <v>-181332479.6400013</v>
      </c>
    </row>
    <row r="28" spans="2:10" ht="16.5" thickTop="1" x14ac:dyDescent="0.25">
      <c r="B28" s="405"/>
      <c r="C28" s="399"/>
      <c r="D28" s="415"/>
      <c r="E28" s="415"/>
      <c r="F28" s="17"/>
      <c r="G28" s="17"/>
      <c r="I28" s="198">
        <f t="shared" si="0"/>
        <v>0</v>
      </c>
    </row>
    <row r="29" spans="2:10" x14ac:dyDescent="0.25">
      <c r="B29" s="537" t="s">
        <v>102</v>
      </c>
      <c r="C29" s="399"/>
      <c r="D29" s="415"/>
      <c r="E29" s="415"/>
      <c r="F29" s="17"/>
      <c r="G29" s="17"/>
      <c r="I29" s="198">
        <f t="shared" si="0"/>
        <v>0</v>
      </c>
    </row>
    <row r="30" spans="2:10" x14ac:dyDescent="0.25">
      <c r="B30" s="521" t="s">
        <v>111</v>
      </c>
      <c r="C30" s="399"/>
      <c r="D30" s="415"/>
      <c r="E30" s="415"/>
      <c r="F30" s="17"/>
      <c r="G30" s="17"/>
      <c r="I30" s="198">
        <f t="shared" si="0"/>
        <v>0</v>
      </c>
    </row>
    <row r="31" spans="2:10" x14ac:dyDescent="0.25">
      <c r="B31" s="539" t="s">
        <v>247</v>
      </c>
      <c r="C31" s="540">
        <v>13</v>
      </c>
      <c r="D31" s="541">
        <f>'8N_13'!D32</f>
        <v>854082000</v>
      </c>
      <c r="E31" s="542">
        <f>'8N_13'!F32</f>
        <v>854082000</v>
      </c>
      <c r="F31" s="101">
        <v>854082000</v>
      </c>
      <c r="G31" s="17"/>
      <c r="H31" s="5">
        <v>854082000</v>
      </c>
      <c r="I31" s="198">
        <f t="shared" si="0"/>
        <v>0</v>
      </c>
    </row>
    <row r="32" spans="2:10" x14ac:dyDescent="0.25">
      <c r="B32" s="527" t="s">
        <v>250</v>
      </c>
      <c r="C32" s="524"/>
      <c r="D32" s="525">
        <f>+'5SOCE'!D21+'5SOCE'!E21</f>
        <v>1394608645.1214767</v>
      </c>
      <c r="E32" s="525">
        <f>+'5SOCE'!D15+'5SOCE'!E15-0.28</f>
        <v>2213483987.8036513</v>
      </c>
      <c r="F32" s="101">
        <v>2860634104.71</v>
      </c>
      <c r="G32" s="17"/>
      <c r="H32" s="5">
        <v>3370263346.4400001</v>
      </c>
      <c r="I32" s="198">
        <f t="shared" si="0"/>
        <v>1156779358.6363487</v>
      </c>
    </row>
    <row r="33" spans="2:11" x14ac:dyDescent="0.25">
      <c r="B33" s="528" t="s">
        <v>486</v>
      </c>
      <c r="C33" s="543"/>
      <c r="D33" s="535">
        <f>D31+D32</f>
        <v>2248690645.1214767</v>
      </c>
      <c r="E33" s="535">
        <f>E31+E32</f>
        <v>3067565987.8036513</v>
      </c>
      <c r="F33" s="102">
        <f>SUM(F31:F32)</f>
        <v>3714716104.71</v>
      </c>
      <c r="G33" s="17"/>
      <c r="H33" s="5">
        <v>4224345346.4400001</v>
      </c>
      <c r="I33" s="198">
        <f t="shared" si="0"/>
        <v>1156779358.6363487</v>
      </c>
      <c r="K33" s="18"/>
    </row>
    <row r="34" spans="2:11" x14ac:dyDescent="0.25">
      <c r="B34" s="402"/>
      <c r="C34" s="406"/>
      <c r="D34" s="445"/>
      <c r="E34" s="445"/>
      <c r="F34" s="380"/>
      <c r="G34" s="17"/>
      <c r="I34" s="198"/>
      <c r="K34" s="18"/>
    </row>
    <row r="35" spans="2:11" x14ac:dyDescent="0.25">
      <c r="B35" s="544" t="s">
        <v>1401</v>
      </c>
      <c r="C35" s="538">
        <v>14</v>
      </c>
      <c r="D35" s="531">
        <f>'9N_14-21'!C15</f>
        <v>23323850.449999999</v>
      </c>
      <c r="E35" s="531">
        <f>'9N_14-21'!D15-0.4</f>
        <v>110957564.75</v>
      </c>
      <c r="F35" s="101">
        <v>99658861.449999988</v>
      </c>
      <c r="G35" s="9"/>
      <c r="H35" s="5">
        <v>88166156.739999995</v>
      </c>
      <c r="I35" s="198">
        <f>+H35-E35</f>
        <v>-22791408.010000005</v>
      </c>
      <c r="K35" s="10"/>
    </row>
    <row r="36" spans="2:11" x14ac:dyDescent="0.25">
      <c r="B36" s="408"/>
      <c r="C36" s="406"/>
      <c r="D36" s="445"/>
      <c r="E36" s="445"/>
      <c r="F36" s="17"/>
      <c r="G36" s="17"/>
      <c r="I36" s="198">
        <f t="shared" si="0"/>
        <v>0</v>
      </c>
      <c r="K36" s="18"/>
    </row>
    <row r="37" spans="2:11" x14ac:dyDescent="0.25">
      <c r="B37" s="530" t="s">
        <v>1402</v>
      </c>
      <c r="C37" s="399"/>
      <c r="D37" s="415"/>
      <c r="E37" s="415"/>
      <c r="F37" s="17"/>
      <c r="G37" s="17"/>
      <c r="I37" s="198">
        <f t="shared" si="0"/>
        <v>0</v>
      </c>
      <c r="K37" s="18"/>
    </row>
    <row r="38" spans="2:11" ht="6.75" customHeight="1" x14ac:dyDescent="0.25">
      <c r="B38" s="530"/>
      <c r="C38" s="399"/>
      <c r="D38" s="415"/>
      <c r="E38" s="415"/>
      <c r="F38" s="17"/>
      <c r="G38" s="17"/>
      <c r="I38" s="198"/>
      <c r="K38" s="18"/>
    </row>
    <row r="39" spans="2:11" x14ac:dyDescent="0.25">
      <c r="B39" s="521" t="s">
        <v>1633</v>
      </c>
      <c r="C39" s="414"/>
      <c r="D39" s="415"/>
      <c r="E39" s="415"/>
    </row>
    <row r="40" spans="2:11" x14ac:dyDescent="0.25">
      <c r="B40" s="527" t="s">
        <v>1430</v>
      </c>
      <c r="C40" s="524">
        <v>15</v>
      </c>
      <c r="D40" s="532">
        <f>'9N_14-21'!C31</f>
        <v>93930419.159999996</v>
      </c>
      <c r="E40" s="532">
        <f>'9N_14-21'!D31-0.01</f>
        <v>648615398</v>
      </c>
      <c r="F40" s="101">
        <v>434590512.71000004</v>
      </c>
      <c r="G40" s="17"/>
      <c r="H40" s="5">
        <v>648615398.00999999</v>
      </c>
      <c r="I40" s="198">
        <f t="shared" si="0"/>
        <v>9.9999904632568359E-3</v>
      </c>
    </row>
    <row r="41" spans="2:11" x14ac:dyDescent="0.25">
      <c r="B41" s="527" t="s">
        <v>1431</v>
      </c>
      <c r="C41" s="524">
        <v>16</v>
      </c>
      <c r="D41" s="532">
        <f>'9N_14-21'!C47</f>
        <v>-38850000</v>
      </c>
      <c r="E41" s="532">
        <f>'9N_14-21'!D47</f>
        <v>-38850000</v>
      </c>
      <c r="F41" s="101"/>
      <c r="G41" s="17"/>
      <c r="I41" s="198"/>
    </row>
    <row r="42" spans="2:11" x14ac:dyDescent="0.25">
      <c r="B42" s="527" t="s">
        <v>1524</v>
      </c>
      <c r="C42" s="524">
        <v>5</v>
      </c>
      <c r="D42" s="532">
        <v>0</v>
      </c>
      <c r="E42" s="532">
        <v>0</v>
      </c>
      <c r="F42" s="101">
        <v>0</v>
      </c>
      <c r="G42" s="17"/>
      <c r="H42" s="5">
        <v>0</v>
      </c>
      <c r="I42" s="198">
        <f t="shared" si="0"/>
        <v>0</v>
      </c>
    </row>
    <row r="43" spans="2:11" x14ac:dyDescent="0.25">
      <c r="B43" s="527" t="s">
        <v>251</v>
      </c>
      <c r="C43" s="524">
        <v>17</v>
      </c>
      <c r="D43" s="532">
        <f>'9N_14-21'!C66</f>
        <v>21359145.460000001</v>
      </c>
      <c r="E43" s="532">
        <f>'9N_14-21'!D66-0.4</f>
        <v>67340966</v>
      </c>
      <c r="F43" s="101">
        <v>21119476.84</v>
      </c>
      <c r="G43" s="17"/>
      <c r="H43" s="5">
        <v>67340966.400000006</v>
      </c>
      <c r="I43" s="198">
        <f t="shared" si="0"/>
        <v>0.40000000596046448</v>
      </c>
    </row>
    <row r="44" spans="2:11" x14ac:dyDescent="0.25">
      <c r="B44" s="528" t="s">
        <v>487</v>
      </c>
      <c r="C44" s="543"/>
      <c r="D44" s="535">
        <f>SUM(D40:D43)</f>
        <v>76439564.620000005</v>
      </c>
      <c r="E44" s="535">
        <f>SUM(E40:E43)</f>
        <v>677106364</v>
      </c>
      <c r="F44" s="102">
        <f>SUM(F35:F43)</f>
        <v>555368851</v>
      </c>
      <c r="G44" s="474"/>
      <c r="H44" s="5">
        <v>804122521.14999998</v>
      </c>
      <c r="I44" s="198">
        <f t="shared" si="0"/>
        <v>127016157.14999998</v>
      </c>
    </row>
    <row r="45" spans="2:11" x14ac:dyDescent="0.25">
      <c r="B45" s="403"/>
      <c r="C45" s="406"/>
      <c r="D45" s="445"/>
      <c r="E45" s="445"/>
      <c r="F45" s="17"/>
      <c r="G45" s="17"/>
      <c r="I45" s="198">
        <f t="shared" si="0"/>
        <v>0</v>
      </c>
    </row>
    <row r="46" spans="2:11" x14ac:dyDescent="0.25">
      <c r="B46" s="530" t="s">
        <v>1404</v>
      </c>
      <c r="C46" s="399"/>
      <c r="D46" s="415"/>
      <c r="E46" s="415"/>
      <c r="F46" s="17"/>
      <c r="G46" s="17"/>
      <c r="I46" s="198">
        <f t="shared" si="0"/>
        <v>0</v>
      </c>
    </row>
    <row r="47" spans="2:11" x14ac:dyDescent="0.25">
      <c r="B47" s="521" t="s">
        <v>1634</v>
      </c>
      <c r="C47" s="400"/>
      <c r="D47" s="415"/>
      <c r="E47" s="415"/>
      <c r="F47" s="101">
        <v>94636502</v>
      </c>
      <c r="G47" s="17"/>
      <c r="H47" s="5">
        <v>79636472.989999995</v>
      </c>
      <c r="I47" s="198">
        <f t="shared" si="0"/>
        <v>79636472.989999995</v>
      </c>
    </row>
    <row r="48" spans="2:11" x14ac:dyDescent="0.25">
      <c r="B48" s="527" t="s">
        <v>1437</v>
      </c>
      <c r="C48" s="524">
        <v>18</v>
      </c>
      <c r="D48" s="525">
        <f>'9N_14-21'!C85-0.34</f>
        <v>100540469.13000001</v>
      </c>
      <c r="E48" s="525">
        <f>'9N_14-21'!D85-0.43</f>
        <v>84834013.549999997</v>
      </c>
      <c r="F48" s="101">
        <v>85841463</v>
      </c>
      <c r="G48" s="34"/>
      <c r="H48" s="5">
        <v>95009736.709999993</v>
      </c>
      <c r="I48" s="198">
        <f t="shared" si="0"/>
        <v>10175723.159999996</v>
      </c>
    </row>
    <row r="49" spans="2:9" x14ac:dyDescent="0.25">
      <c r="B49" s="527" t="s">
        <v>1438</v>
      </c>
      <c r="C49" s="524">
        <v>19</v>
      </c>
      <c r="D49" s="525">
        <f>+'9N_14-21'!C94-0.1</f>
        <v>40271071.989999995</v>
      </c>
      <c r="E49" s="525">
        <f>+'9N_14-21'!D94</f>
        <v>45595336.299999997</v>
      </c>
      <c r="F49" s="101"/>
      <c r="G49" s="17"/>
      <c r="I49" s="198"/>
    </row>
    <row r="50" spans="2:9" x14ac:dyDescent="0.25">
      <c r="B50" s="527" t="s">
        <v>253</v>
      </c>
      <c r="C50" s="524">
        <v>20</v>
      </c>
      <c r="D50" s="525">
        <f>'9N_14-21'!C103-0.46</f>
        <v>-154350151.20521784</v>
      </c>
      <c r="E50" s="525">
        <f>'9N_14-21'!D103</f>
        <v>219436301.28999999</v>
      </c>
      <c r="F50" s="101">
        <v>174920289.46000001</v>
      </c>
      <c r="G50" s="474"/>
      <c r="H50" s="5">
        <v>219557051.28999999</v>
      </c>
      <c r="I50" s="198">
        <f t="shared" si="0"/>
        <v>120750</v>
      </c>
    </row>
    <row r="51" spans="2:9" x14ac:dyDescent="0.25">
      <c r="B51" s="527" t="s">
        <v>265</v>
      </c>
      <c r="C51" s="524">
        <v>21</v>
      </c>
      <c r="D51" s="525">
        <f>'9N_14-21'!C161-0.37</f>
        <v>257305142.41999999</v>
      </c>
      <c r="E51" s="525">
        <f>'9N_14-21'!D161</f>
        <v>78310984.109999999</v>
      </c>
      <c r="F51" s="101">
        <v>143558903.54000002</v>
      </c>
      <c r="G51" s="17"/>
      <c r="H51" s="5">
        <v>73150325.040000007</v>
      </c>
      <c r="I51" s="198">
        <f t="shared" si="0"/>
        <v>-5160659.0699999928</v>
      </c>
    </row>
    <row r="52" spans="2:9" x14ac:dyDescent="0.25">
      <c r="B52" s="528" t="s">
        <v>488</v>
      </c>
      <c r="C52" s="533"/>
      <c r="D52" s="534">
        <f>SUM(D47:D51)</f>
        <v>243766532.33478215</v>
      </c>
      <c r="E52" s="534">
        <f>SUM(E47:E51)</f>
        <v>428176635.25</v>
      </c>
      <c r="F52" s="102">
        <f>SUM(F47:F51)</f>
        <v>498957158.00000006</v>
      </c>
      <c r="G52" s="17"/>
      <c r="H52" s="5">
        <v>467353586.03000003</v>
      </c>
      <c r="I52" s="198">
        <f t="shared" si="0"/>
        <v>39176950.780000031</v>
      </c>
    </row>
    <row r="53" spans="2:9" x14ac:dyDescent="0.25">
      <c r="B53" s="403"/>
      <c r="C53" s="399"/>
      <c r="D53" s="480"/>
      <c r="E53" s="480"/>
      <c r="F53" s="17"/>
      <c r="G53" s="17"/>
      <c r="I53" s="198">
        <f t="shared" si="0"/>
        <v>0</v>
      </c>
    </row>
    <row r="54" spans="2:9" x14ac:dyDescent="0.25">
      <c r="B54" s="528" t="s">
        <v>1403</v>
      </c>
      <c r="C54" s="543"/>
      <c r="D54" s="534">
        <f>D44+D52+D35-0.1</f>
        <v>343529947.30478209</v>
      </c>
      <c r="E54" s="534">
        <f>E44+E52+E35</f>
        <v>1216240564</v>
      </c>
      <c r="F54" s="102">
        <f>F44+F52</f>
        <v>1054326009</v>
      </c>
      <c r="G54" s="17"/>
      <c r="H54" s="5">
        <v>1271476107.1800001</v>
      </c>
      <c r="I54" s="198">
        <f t="shared" si="0"/>
        <v>55235543.180000067</v>
      </c>
    </row>
    <row r="55" spans="2:9" x14ac:dyDescent="0.25">
      <c r="B55" s="404"/>
      <c r="C55" s="406"/>
      <c r="D55" s="480"/>
      <c r="E55" s="480"/>
      <c r="F55" s="17"/>
      <c r="G55" s="17"/>
      <c r="I55" s="198">
        <f t="shared" si="0"/>
        <v>0</v>
      </c>
    </row>
    <row r="56" spans="2:9" ht="16.5" thickBot="1" x14ac:dyDescent="0.3">
      <c r="B56" s="545" t="s">
        <v>489</v>
      </c>
      <c r="C56" s="546"/>
      <c r="D56" s="535">
        <f>D33+D54-0.1</f>
        <v>2592220592.3262587</v>
      </c>
      <c r="E56" s="535">
        <f>E33+E54</f>
        <v>4283806551.8036513</v>
      </c>
      <c r="F56" s="103">
        <f>F33+F54</f>
        <v>4769042113.71</v>
      </c>
      <c r="G56" s="17"/>
      <c r="H56" s="5">
        <v>5495821453.6199999</v>
      </c>
      <c r="I56" s="198">
        <f t="shared" si="0"/>
        <v>1212014901.8163486</v>
      </c>
    </row>
    <row r="57" spans="2:9" ht="16.5" thickTop="1" x14ac:dyDescent="0.25">
      <c r="B57" s="1282" t="s">
        <v>496</v>
      </c>
      <c r="C57" s="547">
        <v>1</v>
      </c>
      <c r="D57" s="813"/>
      <c r="E57" s="1283"/>
      <c r="F57" s="97"/>
      <c r="G57" s="17"/>
    </row>
    <row r="58" spans="2:9" x14ac:dyDescent="0.25">
      <c r="B58" s="1607" t="s">
        <v>104</v>
      </c>
      <c r="C58" s="1608"/>
      <c r="D58" s="1608"/>
      <c r="E58" s="1609"/>
      <c r="F58" s="17"/>
      <c r="G58" s="17"/>
    </row>
    <row r="59" spans="2:9" x14ac:dyDescent="0.25">
      <c r="B59" s="1607" t="s">
        <v>602</v>
      </c>
      <c r="C59" s="1610"/>
      <c r="D59" s="1610"/>
      <c r="E59" s="1611"/>
    </row>
    <row r="60" spans="2:9" x14ac:dyDescent="0.25">
      <c r="B60" s="1612"/>
      <c r="C60" s="1610"/>
      <c r="D60" s="1610"/>
      <c r="E60" s="1611"/>
    </row>
    <row r="61" spans="2:9" x14ac:dyDescent="0.25">
      <c r="B61" s="544" t="s">
        <v>1124</v>
      </c>
      <c r="C61" s="548"/>
      <c r="D61" s="1026"/>
      <c r="E61" s="1284" t="s">
        <v>491</v>
      </c>
    </row>
    <row r="62" spans="2:9" x14ac:dyDescent="0.25">
      <c r="B62" s="722" t="s">
        <v>490</v>
      </c>
      <c r="C62" s="549"/>
      <c r="D62" s="549"/>
      <c r="E62" s="1285"/>
    </row>
    <row r="63" spans="2:9" x14ac:dyDescent="0.25">
      <c r="B63" s="722" t="s">
        <v>1629</v>
      </c>
      <c r="C63" s="549"/>
      <c r="D63" s="1027"/>
      <c r="E63" s="1285"/>
    </row>
    <row r="64" spans="2:9" x14ac:dyDescent="0.25">
      <c r="B64" s="722"/>
      <c r="C64" s="549"/>
      <c r="D64" s="549"/>
      <c r="E64" s="1286"/>
    </row>
    <row r="65" spans="2:5" x14ac:dyDescent="0.25">
      <c r="B65" s="537"/>
      <c r="C65" s="743"/>
      <c r="D65" s="743"/>
      <c r="E65" s="1287" t="s">
        <v>71</v>
      </c>
    </row>
    <row r="66" spans="2:5" x14ac:dyDescent="0.25">
      <c r="B66" s="1288"/>
      <c r="C66" s="743"/>
      <c r="D66" s="743"/>
      <c r="E66" s="1289"/>
    </row>
    <row r="67" spans="2:5" x14ac:dyDescent="0.25">
      <c r="B67" s="544" t="s">
        <v>1125</v>
      </c>
      <c r="C67" s="228"/>
      <c r="D67" s="228"/>
      <c r="E67" s="744"/>
    </row>
    <row r="68" spans="2:5" x14ac:dyDescent="0.25">
      <c r="B68" s="722" t="s">
        <v>70</v>
      </c>
      <c r="C68" s="228"/>
      <c r="D68" s="228"/>
      <c r="E68" s="1286"/>
    </row>
    <row r="69" spans="2:5" x14ac:dyDescent="0.25">
      <c r="B69" s="1290" t="s">
        <v>1470</v>
      </c>
      <c r="C69" s="228"/>
      <c r="D69" s="228"/>
      <c r="E69" s="1291" t="s">
        <v>103</v>
      </c>
    </row>
    <row r="70" spans="2:5" x14ac:dyDescent="0.25">
      <c r="B70" s="1292"/>
      <c r="C70" s="228"/>
      <c r="D70" s="228"/>
      <c r="E70" s="1293"/>
    </row>
    <row r="71" spans="2:5" x14ac:dyDescent="0.25">
      <c r="B71" s="1288" t="s">
        <v>1630</v>
      </c>
      <c r="C71" s="228"/>
      <c r="D71" s="228"/>
      <c r="E71" s="1294"/>
    </row>
    <row r="72" spans="2:5" x14ac:dyDescent="0.25">
      <c r="B72" s="1295" t="s">
        <v>1631</v>
      </c>
      <c r="C72" s="1296"/>
      <c r="D72" s="1296"/>
      <c r="E72" s="1297"/>
    </row>
    <row r="73" spans="2:5" x14ac:dyDescent="0.25">
      <c r="B73" s="550"/>
      <c r="D73" s="410"/>
    </row>
    <row r="74" spans="2:5" x14ac:dyDescent="0.25">
      <c r="D74" s="410"/>
    </row>
    <row r="75" spans="2:5" x14ac:dyDescent="0.25">
      <c r="B75" s="411"/>
      <c r="D75" s="412"/>
    </row>
    <row r="76" spans="2:5" x14ac:dyDescent="0.25">
      <c r="D76" s="413"/>
    </row>
  </sheetData>
  <mergeCells count="5">
    <mergeCell ref="B1:E1"/>
    <mergeCell ref="B58:E58"/>
    <mergeCell ref="B59:E59"/>
    <mergeCell ref="B60:E60"/>
    <mergeCell ref="B2:E2"/>
  </mergeCells>
  <pageMargins left="0.95" right="0.26" top="0.56000000000000005" bottom="0.2" header="0.05" footer="0.05"/>
  <pageSetup scale="6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72"/>
  <sheetViews>
    <sheetView showGridLines="0" view="pageBreakPreview" topLeftCell="A43" zoomScale="90" zoomScaleNormal="90" zoomScaleSheetLayoutView="90" zoomScalePageLayoutView="90" workbookViewId="0">
      <selection activeCell="A5" sqref="A5"/>
    </sheetView>
  </sheetViews>
  <sheetFormatPr defaultColWidth="9.140625" defaultRowHeight="15.75" x14ac:dyDescent="0.25"/>
  <cols>
    <col min="1" max="1" width="39.5703125" style="86" customWidth="1"/>
    <col min="2" max="2" width="57.42578125" style="397" customWidth="1"/>
    <col min="3" max="3" width="8.85546875" style="397" customWidth="1"/>
    <col min="4" max="4" width="21.85546875" style="398" customWidth="1"/>
    <col min="5" max="5" width="23" style="398" customWidth="1"/>
    <col min="6" max="6" width="17.28515625" style="86" hidden="1" customWidth="1"/>
    <col min="7" max="7" width="18.7109375" style="86" bestFit="1" customWidth="1"/>
    <col min="8" max="8" width="22.28515625" style="86" bestFit="1" customWidth="1"/>
    <col min="9" max="9" width="19.85546875" style="86" bestFit="1" customWidth="1"/>
    <col min="10" max="10" width="15.42578125" style="86" bestFit="1" customWidth="1"/>
    <col min="11" max="16384" width="9.140625" style="86"/>
  </cols>
  <sheetData>
    <row r="1" spans="2:9" x14ac:dyDescent="0.25">
      <c r="B1" s="1616" t="str">
        <f>'2SFP'!B1</f>
        <v>BHUTAN TELECOM LIMITED</v>
      </c>
      <c r="C1" s="1617"/>
      <c r="D1" s="1617"/>
      <c r="E1" s="1618"/>
    </row>
    <row r="2" spans="2:9" ht="15.75" customHeight="1" x14ac:dyDescent="0.25">
      <c r="B2" s="1619" t="s">
        <v>2051</v>
      </c>
      <c r="C2" s="1620"/>
      <c r="D2" s="1620"/>
      <c r="E2" s="1621"/>
    </row>
    <row r="3" spans="2:9" x14ac:dyDescent="0.25">
      <c r="B3" s="1298"/>
      <c r="C3" s="626"/>
      <c r="D3" s="626"/>
      <c r="E3" s="1299" t="str">
        <f>'2SFP'!E3</f>
        <v>Amount in Nu.</v>
      </c>
    </row>
    <row r="4" spans="2:9" ht="31.5" x14ac:dyDescent="0.25">
      <c r="B4" s="518" t="str">
        <f>'2SFP'!B4</f>
        <v>Particulars</v>
      </c>
      <c r="C4" s="519" t="str">
        <f>'2SFP'!C4</f>
        <v>Note no.</v>
      </c>
      <c r="D4" s="519" t="str">
        <f>'2SFP'!D4</f>
        <v>As at 31st January, 2019</v>
      </c>
      <c r="E4" s="519" t="s">
        <v>2052</v>
      </c>
      <c r="F4" s="28"/>
    </row>
    <row r="5" spans="2:9" x14ac:dyDescent="0.25">
      <c r="B5" s="627" t="s">
        <v>1126</v>
      </c>
      <c r="C5" s="628"/>
      <c r="D5" s="629"/>
      <c r="E5" s="630"/>
    </row>
    <row r="6" spans="2:9" x14ac:dyDescent="0.25">
      <c r="B6" s="632" t="s">
        <v>1128</v>
      </c>
      <c r="C6" s="633">
        <v>22</v>
      </c>
      <c r="D6" s="634">
        <f>+'10N_22-33'!E58</f>
        <v>320863203.83999991</v>
      </c>
      <c r="E6" s="634">
        <f>+'10N_22-33'!F58</f>
        <v>307049422.14000005</v>
      </c>
      <c r="F6" s="186">
        <f>(D6-E6)/E6</f>
        <v>4.4988789113243915E-2</v>
      </c>
      <c r="G6" s="144"/>
      <c r="H6" s="163"/>
      <c r="I6" s="163"/>
    </row>
    <row r="7" spans="2:9" x14ac:dyDescent="0.25">
      <c r="B7" s="632" t="s">
        <v>1127</v>
      </c>
      <c r="C7" s="633">
        <v>23</v>
      </c>
      <c r="D7" s="634">
        <f>'10N_22-33'!E93</f>
        <v>360296.7</v>
      </c>
      <c r="E7" s="634">
        <f>'10N_22-33'!F93</f>
        <v>283671.41999999993</v>
      </c>
      <c r="F7" s="186">
        <f>(D7-E7)/E7</f>
        <v>0.27011984499531222</v>
      </c>
      <c r="G7" s="144"/>
      <c r="H7" s="163"/>
      <c r="I7" s="163"/>
    </row>
    <row r="8" spans="2:9" x14ac:dyDescent="0.25">
      <c r="B8" s="393"/>
      <c r="C8" s="390"/>
      <c r="D8" s="635">
        <f>SUM(D6:D7)</f>
        <v>321223500.5399999</v>
      </c>
      <c r="E8" s="635">
        <f>SUM(E6:E7)</f>
        <v>307333093.56000006</v>
      </c>
      <c r="F8" s="163">
        <v>1526691253.72</v>
      </c>
      <c r="G8" s="186">
        <f>(D8-E8)/E8</f>
        <v>4.5196587256842363E-2</v>
      </c>
      <c r="H8" s="144"/>
    </row>
    <row r="9" spans="2:9" x14ac:dyDescent="0.25">
      <c r="B9" s="389"/>
      <c r="C9" s="390"/>
      <c r="D9" s="492"/>
      <c r="E9" s="493"/>
    </row>
    <row r="10" spans="2:9" x14ac:dyDescent="0.25">
      <c r="B10" s="627" t="s">
        <v>1132</v>
      </c>
      <c r="C10" s="390"/>
      <c r="D10" s="491"/>
      <c r="E10" s="494"/>
    </row>
    <row r="11" spans="2:9" x14ac:dyDescent="0.25">
      <c r="B11" s="632" t="s">
        <v>1133</v>
      </c>
      <c r="C11" s="633">
        <v>24</v>
      </c>
      <c r="D11" s="634">
        <f>'10N_22-33'!E128</f>
        <v>27160760.579999998</v>
      </c>
      <c r="E11" s="634">
        <f>'10N_22-33'!F128</f>
        <v>33804213.5</v>
      </c>
      <c r="F11" s="186">
        <f>(D11-E11)/E11</f>
        <v>-0.19652736248396968</v>
      </c>
      <c r="H11" s="144"/>
      <c r="I11" s="144"/>
    </row>
    <row r="12" spans="2:9" x14ac:dyDescent="0.25">
      <c r="B12" s="632" t="s">
        <v>1137</v>
      </c>
      <c r="C12" s="633">
        <v>25</v>
      </c>
      <c r="D12" s="634">
        <f>'10N_22-33'!E136</f>
        <v>3516156.6500000004</v>
      </c>
      <c r="E12" s="634">
        <f>'10N_22-33'!F136</f>
        <v>2043427</v>
      </c>
      <c r="F12" s="186">
        <f t="shared" ref="F12:F22" si="0">(D12-E12)/E12</f>
        <v>0.72071556752455579</v>
      </c>
      <c r="G12" s="1583"/>
      <c r="H12" s="144"/>
      <c r="I12" s="144"/>
    </row>
    <row r="13" spans="2:9" x14ac:dyDescent="0.25">
      <c r="B13" s="632" t="s">
        <v>1134</v>
      </c>
      <c r="C13" s="633">
        <v>26</v>
      </c>
      <c r="D13" s="634">
        <f>'10N_22-33'!E161</f>
        <v>20921310.490000002</v>
      </c>
      <c r="E13" s="634">
        <f>'10N_22-33'!F161</f>
        <v>18643874.350000001</v>
      </c>
      <c r="F13" s="186">
        <f t="shared" si="0"/>
        <v>0.1221546604126304</v>
      </c>
      <c r="H13" s="163">
        <v>0</v>
      </c>
      <c r="I13" s="144"/>
    </row>
    <row r="14" spans="2:9" x14ac:dyDescent="0.25">
      <c r="B14" s="632" t="s">
        <v>1135</v>
      </c>
      <c r="C14" s="633">
        <v>27</v>
      </c>
      <c r="D14" s="634">
        <f>'10N_22-33'!E174-0.3</f>
        <v>14558059.67</v>
      </c>
      <c r="E14" s="634">
        <f>'10N_22-33'!F174</f>
        <v>13179715.59</v>
      </c>
      <c r="F14" s="186">
        <f t="shared" si="0"/>
        <v>0.10458071500767492</v>
      </c>
      <c r="G14" s="144"/>
      <c r="H14" s="163"/>
      <c r="I14" s="144"/>
    </row>
    <row r="15" spans="2:9" x14ac:dyDescent="0.25">
      <c r="B15" s="632" t="s">
        <v>1141</v>
      </c>
      <c r="C15" s="633">
        <v>28</v>
      </c>
      <c r="D15" s="1589">
        <v>75432024.7773927</v>
      </c>
      <c r="E15" s="634">
        <f>'10N_22-33'!F197</f>
        <v>73882862.129999995</v>
      </c>
      <c r="F15" s="186"/>
      <c r="G15" s="144"/>
      <c r="H15" s="163"/>
      <c r="I15" s="144"/>
    </row>
    <row r="16" spans="2:9" x14ac:dyDescent="0.25">
      <c r="B16" s="632" t="s">
        <v>1138</v>
      </c>
      <c r="C16" s="633">
        <v>29</v>
      </c>
      <c r="D16" s="634">
        <f>'10N_22-33'!E207</f>
        <v>2799.01</v>
      </c>
      <c r="E16" s="634">
        <f>'10N_22-33'!F207</f>
        <v>966340.85000000009</v>
      </c>
      <c r="F16" s="186"/>
      <c r="H16" s="163"/>
      <c r="I16" s="144"/>
    </row>
    <row r="17" spans="2:9" x14ac:dyDescent="0.25">
      <c r="B17" s="632" t="s">
        <v>1136</v>
      </c>
      <c r="C17" s="633">
        <v>30</v>
      </c>
      <c r="D17" s="634">
        <f>'10N_22-33'!E280</f>
        <v>2020396.28</v>
      </c>
      <c r="E17" s="634">
        <f>'10N_22-33'!F280</f>
        <v>1657198.5499999998</v>
      </c>
      <c r="F17" s="186"/>
      <c r="G17" s="144"/>
      <c r="H17" s="163"/>
      <c r="I17" s="144"/>
    </row>
    <row r="18" spans="2:9" x14ac:dyDescent="0.25">
      <c r="B18" s="392"/>
      <c r="C18" s="390"/>
      <c r="D18" s="491"/>
      <c r="E18" s="491"/>
      <c r="F18" s="186"/>
      <c r="G18" s="144"/>
      <c r="H18" s="163"/>
      <c r="I18" s="144"/>
    </row>
    <row r="19" spans="2:9" x14ac:dyDescent="0.25">
      <c r="B19" s="392"/>
      <c r="C19" s="390"/>
      <c r="D19" s="635">
        <f>SUM(D11:D17)</f>
        <v>143611507.45739269</v>
      </c>
      <c r="E19" s="635">
        <f>SUM(E11:E17)</f>
        <v>144177631.97</v>
      </c>
      <c r="F19" s="186"/>
      <c r="G19" s="186">
        <f>(D19-E19)/E19</f>
        <v>-3.9265765769069053E-3</v>
      </c>
      <c r="H19" s="163"/>
      <c r="I19" s="144"/>
    </row>
    <row r="20" spans="2:9" x14ac:dyDescent="0.25">
      <c r="B20" s="392"/>
      <c r="C20" s="390"/>
      <c r="D20" s="492"/>
      <c r="E20" s="492"/>
      <c r="F20" s="186"/>
      <c r="G20" s="144"/>
      <c r="H20" s="163"/>
      <c r="I20" s="144"/>
    </row>
    <row r="21" spans="2:9" ht="31.5" hidden="1" x14ac:dyDescent="0.25">
      <c r="B21" s="394" t="s">
        <v>1142</v>
      </c>
      <c r="C21" s="390"/>
      <c r="D21" s="492">
        <f>D8-D19</f>
        <v>177611993.08260721</v>
      </c>
      <c r="E21" s="492">
        <f>E8-E19</f>
        <v>163155461.59000006</v>
      </c>
      <c r="F21" s="186"/>
      <c r="G21" s="144"/>
      <c r="H21" s="163"/>
      <c r="I21" s="144"/>
    </row>
    <row r="22" spans="2:9" hidden="1" x14ac:dyDescent="0.25">
      <c r="B22" s="392"/>
      <c r="C22" s="390"/>
      <c r="D22" s="491"/>
      <c r="E22" s="495"/>
      <c r="F22" s="186" t="e">
        <f t="shared" si="0"/>
        <v>#DIV/0!</v>
      </c>
      <c r="H22" s="163"/>
      <c r="I22" s="144"/>
    </row>
    <row r="23" spans="2:9" hidden="1" x14ac:dyDescent="0.25">
      <c r="B23" s="395"/>
      <c r="C23" s="390"/>
      <c r="D23" s="441">
        <f>SUM(D22:D22)</f>
        <v>0</v>
      </c>
      <c r="E23" s="441">
        <f>SUM(E22:E22)</f>
        <v>0</v>
      </c>
      <c r="G23" s="196"/>
      <c r="H23" s="196"/>
    </row>
    <row r="24" spans="2:9" hidden="1" x14ac:dyDescent="0.25">
      <c r="B24" s="389"/>
      <c r="C24" s="390"/>
      <c r="D24" s="492"/>
      <c r="E24" s="494"/>
    </row>
    <row r="25" spans="2:9" x14ac:dyDescent="0.25">
      <c r="B25" s="636" t="s">
        <v>492</v>
      </c>
      <c r="C25" s="628"/>
      <c r="D25" s="635">
        <f>+D21</f>
        <v>177611993.08260721</v>
      </c>
      <c r="E25" s="635">
        <f>+E21</f>
        <v>163155461.59000006</v>
      </c>
      <c r="G25" s="144"/>
      <c r="H25" s="144"/>
      <c r="I25" s="144"/>
    </row>
    <row r="26" spans="2:9" x14ac:dyDescent="0.25">
      <c r="B26" s="636" t="s">
        <v>551</v>
      </c>
      <c r="C26" s="628">
        <v>31</v>
      </c>
      <c r="D26" s="629"/>
      <c r="E26" s="630"/>
      <c r="G26" s="144"/>
      <c r="H26" s="144"/>
    </row>
    <row r="27" spans="2:9" x14ac:dyDescent="0.25">
      <c r="B27" s="632" t="s">
        <v>1143</v>
      </c>
      <c r="C27" s="633"/>
      <c r="D27" s="634">
        <f>+'10N_22-33'!E290</f>
        <v>0</v>
      </c>
      <c r="E27" s="634">
        <v>0</v>
      </c>
      <c r="G27" s="144"/>
      <c r="H27" s="144"/>
    </row>
    <row r="28" spans="2:9" x14ac:dyDescent="0.25">
      <c r="B28" s="632" t="s">
        <v>553</v>
      </c>
      <c r="C28" s="637" t="s">
        <v>98</v>
      </c>
      <c r="D28" s="1588">
        <f>Tax!E44</f>
        <v>53301597.924782164</v>
      </c>
      <c r="E28" s="1587">
        <f>G28</f>
        <v>48963173.386932895</v>
      </c>
      <c r="G28" s="144">
        <f>D28/D25*E25</f>
        <v>48963173.386932895</v>
      </c>
    </row>
    <row r="29" spans="2:9" x14ac:dyDescent="0.25">
      <c r="B29" s="632" t="s">
        <v>552</v>
      </c>
      <c r="C29" s="633"/>
      <c r="D29" s="639">
        <f>'10N_22-33'!E287</f>
        <v>0</v>
      </c>
      <c r="E29" s="639">
        <f>-SUM('10N_22-33'!F287:F288)</f>
        <v>0.33</v>
      </c>
    </row>
    <row r="30" spans="2:9" x14ac:dyDescent="0.25">
      <c r="B30" s="627" t="s">
        <v>497</v>
      </c>
      <c r="C30" s="628"/>
      <c r="D30" s="640">
        <f>SUM(D27:D29)</f>
        <v>53301597.924782164</v>
      </c>
      <c r="E30" s="640">
        <f>SUM(E27:E29)</f>
        <v>48963173.716932893</v>
      </c>
      <c r="G30" s="144"/>
    </row>
    <row r="31" spans="2:9" x14ac:dyDescent="0.25">
      <c r="B31" s="641"/>
      <c r="C31" s="628"/>
      <c r="D31" s="630"/>
      <c r="E31" s="630"/>
    </row>
    <row r="32" spans="2:9" x14ac:dyDescent="0.25">
      <c r="B32" s="636" t="s">
        <v>493</v>
      </c>
      <c r="C32" s="642"/>
      <c r="D32" s="640">
        <f>D25-D30</f>
        <v>124310395.15782505</v>
      </c>
      <c r="E32" s="640">
        <f>E25-E30</f>
        <v>114192287.87306717</v>
      </c>
      <c r="G32" s="186">
        <f>(D32-E32)/E32</f>
        <v>8.8605872368586538E-2</v>
      </c>
      <c r="H32" s="286"/>
    </row>
    <row r="33" spans="1:10" x14ac:dyDescent="0.25">
      <c r="B33" s="643"/>
      <c r="C33" s="642"/>
      <c r="D33" s="630"/>
      <c r="E33" s="630"/>
    </row>
    <row r="34" spans="1:10" x14ac:dyDescent="0.25">
      <c r="B34" s="644" t="s">
        <v>494</v>
      </c>
      <c r="C34" s="628"/>
      <c r="D34" s="629"/>
      <c r="E34" s="630"/>
    </row>
    <row r="35" spans="1:10" x14ac:dyDescent="0.25">
      <c r="B35" s="645" t="s">
        <v>81</v>
      </c>
      <c r="C35" s="633"/>
      <c r="D35" s="634">
        <f>'10N_22-33'!E293</f>
        <v>0</v>
      </c>
      <c r="E35" s="634">
        <f>'10N_22-33'!F293</f>
        <v>0</v>
      </c>
    </row>
    <row r="36" spans="1:10" ht="15.75" customHeight="1" x14ac:dyDescent="0.25">
      <c r="B36" s="645" t="s">
        <v>600</v>
      </c>
      <c r="C36" s="633"/>
      <c r="D36" s="634">
        <f>-D35*30%</f>
        <v>0</v>
      </c>
      <c r="E36" s="634">
        <v>0</v>
      </c>
    </row>
    <row r="37" spans="1:10" x14ac:dyDescent="0.25">
      <c r="B37" s="645" t="s">
        <v>554</v>
      </c>
      <c r="C37" s="633"/>
      <c r="D37" s="809">
        <f>D35+D36</f>
        <v>0</v>
      </c>
      <c r="E37" s="809">
        <f>E35-E36</f>
        <v>0</v>
      </c>
    </row>
    <row r="38" spans="1:10" x14ac:dyDescent="0.25">
      <c r="B38" s="646" t="s">
        <v>495</v>
      </c>
      <c r="C38" s="647"/>
      <c r="D38" s="635">
        <f>D32-D37+0.02</f>
        <v>124310395.17782505</v>
      </c>
      <c r="E38" s="635">
        <f>E32-E37</f>
        <v>114192287.87306717</v>
      </c>
    </row>
    <row r="39" spans="1:10" x14ac:dyDescent="0.25">
      <c r="A39" s="157"/>
      <c r="B39" s="1300" t="s">
        <v>49</v>
      </c>
      <c r="C39" s="648">
        <v>33</v>
      </c>
      <c r="D39" s="649">
        <f>'10N_22-33'!E302</f>
        <v>145.54854821647695</v>
      </c>
      <c r="E39" s="1301">
        <f>'10N_22-33'!F302</f>
        <v>133.70178492588204</v>
      </c>
      <c r="F39" s="157"/>
    </row>
    <row r="40" spans="1:10" x14ac:dyDescent="0.25">
      <c r="B40" s="631" t="str">
        <f>'2SFP'!B57</f>
        <v>Summary of significant accounting policies</v>
      </c>
      <c r="C40" s="650">
        <f>'2SFP'!C57</f>
        <v>1</v>
      </c>
      <c r="D40" s="648"/>
      <c r="E40" s="660"/>
      <c r="J40" s="163"/>
    </row>
    <row r="41" spans="1:10" s="87" customFormat="1" x14ac:dyDescent="0.25">
      <c r="B41" s="722" t="str">
        <f>'2SFP'!B58</f>
        <v>The above accompanying notes are an integral part of the financial statements</v>
      </c>
      <c r="C41" s="549"/>
      <c r="D41" s="549"/>
      <c r="E41" s="1286"/>
      <c r="J41" s="164"/>
    </row>
    <row r="42" spans="1:10" s="87" customFormat="1" x14ac:dyDescent="0.25">
      <c r="B42" s="722" t="s">
        <v>601</v>
      </c>
      <c r="C42" s="549"/>
      <c r="D42" s="549"/>
      <c r="E42" s="1286"/>
    </row>
    <row r="43" spans="1:10" x14ac:dyDescent="0.25">
      <c r="B43" s="392"/>
      <c r="C43" s="226"/>
      <c r="D43" s="650"/>
      <c r="E43" s="1302"/>
      <c r="F43" s="654"/>
      <c r="G43" s="654"/>
    </row>
    <row r="44" spans="1:10" x14ac:dyDescent="0.25">
      <c r="B44" s="627" t="str">
        <f>'2SFP'!B61</f>
        <v>For GSA &amp; Associates.</v>
      </c>
      <c r="C44" s="650"/>
      <c r="D44" s="656" t="str">
        <f>'2SFP'!E61</f>
        <v>for and on behalf of board of directors</v>
      </c>
      <c r="E44" s="1303"/>
      <c r="F44" s="654"/>
      <c r="G44" s="654"/>
    </row>
    <row r="45" spans="1:10" x14ac:dyDescent="0.25">
      <c r="B45" s="631" t="str">
        <f>'2SFP'!B62</f>
        <v>Chartered accountants</v>
      </c>
      <c r="C45" s="650"/>
      <c r="D45" s="650"/>
      <c r="E45" s="1303"/>
      <c r="F45" s="654"/>
      <c r="G45" s="654"/>
    </row>
    <row r="46" spans="1:10" x14ac:dyDescent="0.25">
      <c r="B46" s="631" t="str">
        <f>'2SFP'!B63</f>
        <v>(Firm Reg. No. 000257N)</v>
      </c>
      <c r="C46" s="650"/>
      <c r="D46" s="650"/>
      <c r="E46" s="1303"/>
      <c r="F46" s="654"/>
      <c r="G46" s="654"/>
    </row>
    <row r="47" spans="1:10" x14ac:dyDescent="0.25">
      <c r="B47" s="631"/>
      <c r="C47" s="650"/>
      <c r="D47" s="650"/>
      <c r="E47" s="1303"/>
      <c r="F47" s="654"/>
      <c r="G47" s="654"/>
    </row>
    <row r="48" spans="1:10" x14ac:dyDescent="0.25">
      <c r="B48" s="631"/>
      <c r="C48" s="650"/>
      <c r="D48" s="653" t="str">
        <f>'2SFP'!E65</f>
        <v>Chairman</v>
      </c>
      <c r="E48" s="1303"/>
      <c r="F48" s="654"/>
      <c r="G48" s="654"/>
    </row>
    <row r="49" spans="2:7" x14ac:dyDescent="0.25">
      <c r="B49" s="392"/>
      <c r="C49" s="226"/>
      <c r="D49" s="650"/>
      <c r="E49" s="1303"/>
      <c r="F49" s="654"/>
      <c r="G49" s="654"/>
    </row>
    <row r="50" spans="2:7" x14ac:dyDescent="0.25">
      <c r="B50" s="627" t="str">
        <f>'2SFP'!B67</f>
        <v>Tanuj Chugh</v>
      </c>
      <c r="C50" s="226"/>
      <c r="D50" s="650"/>
      <c r="E50" s="1303"/>
      <c r="F50" s="654"/>
      <c r="G50" s="654"/>
    </row>
    <row r="51" spans="2:7" x14ac:dyDescent="0.25">
      <c r="B51" s="631" t="str">
        <f>'2SFP'!B68</f>
        <v>Partner</v>
      </c>
      <c r="C51" s="650"/>
      <c r="D51" s="650"/>
      <c r="E51" s="1303"/>
      <c r="F51" s="654"/>
      <c r="G51" s="654"/>
    </row>
    <row r="52" spans="2:7" x14ac:dyDescent="0.25">
      <c r="B52" s="631" t="str">
        <f>'2SFP'!B69</f>
        <v>M. No. 529619</v>
      </c>
      <c r="C52" s="650"/>
      <c r="D52" s="655" t="str">
        <f>'2SFP'!E69</f>
        <v>Chief Executive Officer</v>
      </c>
      <c r="E52" s="1303"/>
      <c r="F52" s="654"/>
      <c r="G52" s="654"/>
    </row>
    <row r="53" spans="2:7" x14ac:dyDescent="0.25">
      <c r="B53" s="631" t="str">
        <f>'2SFP'!B71</f>
        <v xml:space="preserve">Place: </v>
      </c>
      <c r="C53" s="650"/>
      <c r="D53" s="650"/>
      <c r="E53" s="1302"/>
      <c r="F53" s="654"/>
      <c r="G53" s="654"/>
    </row>
    <row r="54" spans="2:7" x14ac:dyDescent="0.25">
      <c r="B54" s="1521" t="str">
        <f>'2SFP'!B72</f>
        <v xml:space="preserve">Date: </v>
      </c>
      <c r="C54" s="1522"/>
      <c r="D54" s="1522"/>
      <c r="E54" s="1523"/>
      <c r="F54" s="654"/>
      <c r="G54" s="654"/>
    </row>
    <row r="55" spans="2:7" x14ac:dyDescent="0.25">
      <c r="B55" s="632"/>
      <c r="C55" s="652"/>
      <c r="D55" s="652"/>
      <c r="E55" s="1304"/>
    </row>
    <row r="56" spans="2:7" x14ac:dyDescent="0.25">
      <c r="B56" s="392"/>
      <c r="C56" s="226"/>
      <c r="D56" s="226"/>
      <c r="E56" s="1304"/>
    </row>
    <row r="57" spans="2:7" x14ac:dyDescent="0.25">
      <c r="B57" s="392" t="s">
        <v>238</v>
      </c>
      <c r="C57" s="226"/>
      <c r="D57" s="1305">
        <f>(D32/'2SFP'!D33)</f>
        <v>5.5281234627589104E-2</v>
      </c>
      <c r="E57" s="1304"/>
    </row>
    <row r="58" spans="2:7" x14ac:dyDescent="0.25">
      <c r="B58" s="392" t="s">
        <v>239</v>
      </c>
      <c r="C58" s="226"/>
      <c r="D58" s="1306">
        <f>(D8/660)/1000000</f>
        <v>0.48670227354545437</v>
      </c>
      <c r="E58" s="1304"/>
    </row>
    <row r="59" spans="2:7" x14ac:dyDescent="0.25">
      <c r="B59" s="1307"/>
      <c r="C59" s="1308"/>
      <c r="D59" s="1309"/>
      <c r="E59" s="1303"/>
    </row>
    <row r="60" spans="2:7" x14ac:dyDescent="0.25">
      <c r="B60" s="1307"/>
      <c r="C60" s="1308"/>
      <c r="D60" s="1309"/>
      <c r="E60" s="1303"/>
    </row>
    <row r="61" spans="2:7" x14ac:dyDescent="0.25">
      <c r="B61" s="1307"/>
      <c r="C61" s="1308"/>
      <c r="D61" s="1309"/>
      <c r="E61" s="1303"/>
    </row>
    <row r="62" spans="2:7" x14ac:dyDescent="0.25">
      <c r="B62" s="1307"/>
      <c r="C62" s="1308"/>
      <c r="D62" s="1309"/>
      <c r="E62" s="1303"/>
    </row>
    <row r="63" spans="2:7" x14ac:dyDescent="0.25">
      <c r="B63" s="1307"/>
      <c r="C63" s="1308"/>
      <c r="D63" s="1309"/>
      <c r="E63" s="1303"/>
    </row>
    <row r="64" spans="2:7" x14ac:dyDescent="0.25">
      <c r="B64" s="1307"/>
      <c r="C64" s="1308"/>
      <c r="D64" s="1309"/>
      <c r="E64" s="1303"/>
    </row>
    <row r="65" spans="2:5" x14ac:dyDescent="0.25">
      <c r="B65" s="1307"/>
      <c r="C65" s="1308"/>
      <c r="D65" s="1309"/>
      <c r="E65" s="1303"/>
    </row>
    <row r="66" spans="2:5" x14ac:dyDescent="0.25">
      <c r="B66" s="1307"/>
      <c r="C66" s="1308"/>
      <c r="D66" s="1309"/>
      <c r="E66" s="1303"/>
    </row>
    <row r="67" spans="2:5" x14ac:dyDescent="0.25">
      <c r="B67" s="1307"/>
      <c r="C67" s="1308"/>
      <c r="D67" s="1309"/>
      <c r="E67" s="1303"/>
    </row>
    <row r="68" spans="2:5" x14ac:dyDescent="0.25">
      <c r="B68" s="1307"/>
      <c r="C68" s="1308"/>
      <c r="D68" s="1309"/>
      <c r="E68" s="1303"/>
    </row>
    <row r="69" spans="2:5" x14ac:dyDescent="0.25">
      <c r="B69" s="1307"/>
      <c r="C69" s="1308"/>
      <c r="D69" s="1309"/>
      <c r="E69" s="1303"/>
    </row>
    <row r="70" spans="2:5" x14ac:dyDescent="0.25">
      <c r="B70" s="1307"/>
      <c r="C70" s="1308"/>
      <c r="D70" s="1309"/>
      <c r="E70" s="1303"/>
    </row>
    <row r="71" spans="2:5" x14ac:dyDescent="0.25">
      <c r="B71" s="1307"/>
      <c r="C71" s="1308"/>
      <c r="D71" s="1309"/>
      <c r="E71" s="1303"/>
    </row>
    <row r="72" spans="2:5" x14ac:dyDescent="0.25">
      <c r="B72" s="1310"/>
      <c r="C72" s="1311"/>
      <c r="D72" s="1312"/>
      <c r="E72" s="1313"/>
    </row>
  </sheetData>
  <sortState ref="B16:F23">
    <sortCondition ref="B16"/>
  </sortState>
  <mergeCells count="2">
    <mergeCell ref="B1:E1"/>
    <mergeCell ref="B2:E2"/>
  </mergeCells>
  <pageMargins left="0.95" right="0.26" top="0.56000000000000005" bottom="0.2" header="0.05" footer="0.05"/>
  <pageSetup scale="81"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72"/>
  <sheetViews>
    <sheetView showGridLines="0" view="pageBreakPreview" zoomScale="90" zoomScaleSheetLayoutView="90" workbookViewId="0">
      <selection activeCell="C7" sqref="C7"/>
    </sheetView>
  </sheetViews>
  <sheetFormatPr defaultColWidth="9.140625" defaultRowHeight="15.75" x14ac:dyDescent="0.25"/>
  <cols>
    <col min="1" max="1" width="3.42578125" style="27" customWidth="1"/>
    <col min="2" max="2" width="48.42578125" style="84" customWidth="1"/>
    <col min="3" max="3" width="17.85546875" style="27" bestFit="1" customWidth="1"/>
    <col min="4" max="4" width="19.28515625" style="84" bestFit="1" customWidth="1"/>
    <col min="5" max="5" width="18.140625" style="84" customWidth="1"/>
    <col min="6" max="6" width="19.28515625" style="27" customWidth="1"/>
    <col min="7" max="7" width="13.28515625" style="27" bestFit="1" customWidth="1"/>
    <col min="8" max="8" width="15.7109375" style="27" bestFit="1" customWidth="1"/>
    <col min="9" max="10" width="8.85546875" style="27" bestFit="1" customWidth="1"/>
    <col min="11" max="11" width="11.7109375" style="27" bestFit="1" customWidth="1"/>
    <col min="12" max="16384" width="9.140625" style="27"/>
  </cols>
  <sheetData>
    <row r="1" spans="2:11" ht="15" customHeight="1" x14ac:dyDescent="0.25">
      <c r="B1" s="1616" t="str">
        <f>'2SFP'!B1</f>
        <v>BHUTAN TELECOM LIMITED</v>
      </c>
      <c r="C1" s="1617"/>
      <c r="D1" s="1617"/>
      <c r="E1" s="1617"/>
      <c r="F1" s="1618"/>
    </row>
    <row r="2" spans="2:11" ht="16.5" customHeight="1" x14ac:dyDescent="0.25">
      <c r="B2" s="1622" t="s">
        <v>1083</v>
      </c>
      <c r="C2" s="1623"/>
      <c r="D2" s="1623"/>
      <c r="E2" s="1623"/>
      <c r="F2" s="1624"/>
      <c r="G2" s="73"/>
      <c r="H2" s="74"/>
      <c r="I2" s="73"/>
      <c r="J2" s="73"/>
      <c r="K2" s="73"/>
    </row>
    <row r="3" spans="2:11" x14ac:dyDescent="0.25">
      <c r="B3" s="1298"/>
      <c r="C3" s="994"/>
      <c r="D3" s="626"/>
      <c r="E3" s="626"/>
      <c r="F3" s="1314" t="str">
        <f>'2SFP'!E3</f>
        <v>Amount in Nu.</v>
      </c>
      <c r="G3" s="73"/>
      <c r="H3" s="74"/>
      <c r="I3" s="73"/>
      <c r="J3" s="73"/>
      <c r="K3" s="73"/>
    </row>
    <row r="4" spans="2:11" s="11" customFormat="1" ht="44.25" customHeight="1" x14ac:dyDescent="0.25">
      <c r="B4" s="657" t="s">
        <v>22</v>
      </c>
      <c r="C4" s="657" t="s">
        <v>73</v>
      </c>
      <c r="D4" s="657" t="s">
        <v>74</v>
      </c>
      <c r="E4" s="658" t="s">
        <v>72</v>
      </c>
      <c r="F4" s="519" t="s">
        <v>39</v>
      </c>
      <c r="G4" s="75"/>
      <c r="H4" s="75"/>
      <c r="I4" s="75"/>
      <c r="J4" s="75"/>
      <c r="K4" s="75"/>
    </row>
    <row r="5" spans="2:11" x14ac:dyDescent="0.25">
      <c r="B5" s="659" t="s">
        <v>570</v>
      </c>
      <c r="C5" s="664">
        <v>854082000</v>
      </c>
      <c r="D5" s="665">
        <v>2823656987.1100001</v>
      </c>
      <c r="E5" s="665">
        <v>405489602</v>
      </c>
      <c r="F5" s="663">
        <f>C5+D5+E5</f>
        <v>4083228589.1100001</v>
      </c>
      <c r="G5" s="76"/>
      <c r="H5" s="77"/>
      <c r="I5" s="76"/>
      <c r="J5" s="76"/>
      <c r="K5" s="78"/>
    </row>
    <row r="6" spans="2:11" x14ac:dyDescent="0.25">
      <c r="B6" s="668" t="s">
        <v>1270</v>
      </c>
      <c r="C6" s="638">
        <v>0</v>
      </c>
      <c r="D6" s="662">
        <f>-AE!E38</f>
        <v>-44096955.799999997</v>
      </c>
      <c r="E6" s="662">
        <v>0</v>
      </c>
      <c r="F6" s="663">
        <f>+C6+D6+E6</f>
        <v>-44096955.799999997</v>
      </c>
      <c r="G6" s="76"/>
      <c r="H6" s="77"/>
      <c r="I6" s="76"/>
      <c r="J6" s="76"/>
      <c r="K6" s="78"/>
    </row>
    <row r="7" spans="2:11" hidden="1" x14ac:dyDescent="0.25">
      <c r="B7" s="661" t="s">
        <v>1274</v>
      </c>
      <c r="C7" s="638"/>
      <c r="D7" s="662">
        <f>AE!F51</f>
        <v>0</v>
      </c>
      <c r="E7" s="662"/>
      <c r="F7" s="663"/>
      <c r="G7" s="76"/>
      <c r="H7" s="77"/>
      <c r="I7" s="76"/>
      <c r="J7" s="76"/>
      <c r="K7" s="78"/>
    </row>
    <row r="8" spans="2:11" x14ac:dyDescent="0.25">
      <c r="B8" s="668" t="s">
        <v>1314</v>
      </c>
      <c r="C8" s="638">
        <v>0</v>
      </c>
      <c r="D8" s="662">
        <f>-AE!E111</f>
        <v>-19435675</v>
      </c>
      <c r="E8" s="662">
        <v>0</v>
      </c>
      <c r="F8" s="663">
        <f t="shared" ref="F8:F9" si="0">+C8+D8+E8</f>
        <v>-19435675</v>
      </c>
      <c r="G8" s="76"/>
      <c r="H8" s="77"/>
      <c r="I8" s="76"/>
      <c r="J8" s="76"/>
      <c r="K8" s="78"/>
    </row>
    <row r="9" spans="2:11" x14ac:dyDescent="0.25">
      <c r="B9" s="668" t="s">
        <v>1347</v>
      </c>
      <c r="C9" s="638">
        <v>0</v>
      </c>
      <c r="D9" s="662">
        <f>-AE!E133-AE!E153</f>
        <v>-378578992.64941537</v>
      </c>
      <c r="E9" s="662">
        <v>0</v>
      </c>
      <c r="F9" s="663">
        <f t="shared" si="0"/>
        <v>-378578992.64941537</v>
      </c>
      <c r="G9" s="76"/>
      <c r="H9" s="77"/>
      <c r="I9" s="76"/>
      <c r="J9" s="76"/>
      <c r="K9" s="78"/>
    </row>
    <row r="10" spans="2:11" x14ac:dyDescent="0.25">
      <c r="B10" s="666" t="s">
        <v>1269</v>
      </c>
      <c r="C10" s="1012">
        <f t="shared" ref="C10" si="1">SUM(C5:C9)-0.17</f>
        <v>854081999.83000004</v>
      </c>
      <c r="D10" s="1012">
        <f>SUM(D5:D9)-0.17</f>
        <v>2381545363.4905844</v>
      </c>
      <c r="E10" s="1012">
        <f t="shared" ref="E10:F10" si="2">SUM(E5:E9)-0.17</f>
        <v>405489601.82999998</v>
      </c>
      <c r="F10" s="1012">
        <f t="shared" si="2"/>
        <v>3641116965.4905844</v>
      </c>
      <c r="G10" s="76"/>
      <c r="H10" s="77"/>
      <c r="I10" s="76"/>
      <c r="J10" s="76"/>
      <c r="K10" s="78"/>
    </row>
    <row r="11" spans="2:11" x14ac:dyDescent="0.25">
      <c r="B11" s="667" t="s">
        <v>229</v>
      </c>
      <c r="C11" s="638">
        <v>0</v>
      </c>
      <c r="D11" s="662">
        <v>0</v>
      </c>
      <c r="E11" s="662">
        <v>0</v>
      </c>
      <c r="F11" s="663">
        <f>C11+D11+E11</f>
        <v>0</v>
      </c>
      <c r="G11" s="76"/>
      <c r="H11" s="77"/>
      <c r="I11" s="76"/>
      <c r="J11" s="76"/>
      <c r="K11" s="78"/>
    </row>
    <row r="12" spans="2:11" x14ac:dyDescent="0.25">
      <c r="B12" s="668" t="s">
        <v>1471</v>
      </c>
      <c r="C12" s="638">
        <v>0</v>
      </c>
      <c r="D12" s="662">
        <f>+'3SOCI'!E38</f>
        <v>114192287.87306717</v>
      </c>
      <c r="E12" s="662">
        <v>0</v>
      </c>
      <c r="F12" s="663">
        <f>C12+D12+E12</f>
        <v>114192287.87306717</v>
      </c>
      <c r="G12" s="76"/>
      <c r="H12" s="77"/>
      <c r="I12" s="76"/>
      <c r="J12" s="76"/>
      <c r="K12" s="79"/>
    </row>
    <row r="13" spans="2:11" ht="19.5" customHeight="1" x14ac:dyDescent="0.25">
      <c r="B13" s="668" t="s">
        <v>1472</v>
      </c>
      <c r="C13" s="638">
        <v>0</v>
      </c>
      <c r="D13" s="662">
        <v>-372199941.63</v>
      </c>
      <c r="E13" s="662">
        <v>-313181202</v>
      </c>
      <c r="F13" s="663">
        <f>C13+D13+E13</f>
        <v>-685381143.63</v>
      </c>
      <c r="G13" s="78"/>
      <c r="H13" s="80"/>
      <c r="I13" s="78"/>
      <c r="J13" s="78"/>
      <c r="K13" s="78"/>
    </row>
    <row r="14" spans="2:11" x14ac:dyDescent="0.25">
      <c r="B14" s="668" t="s">
        <v>1473</v>
      </c>
      <c r="C14" s="638">
        <v>0</v>
      </c>
      <c r="D14" s="662">
        <v>-2362121</v>
      </c>
      <c r="E14" s="662">
        <v>0</v>
      </c>
      <c r="F14" s="663">
        <f>C14+D14+E14</f>
        <v>-2362121</v>
      </c>
      <c r="G14" s="76"/>
      <c r="H14" s="77"/>
      <c r="I14" s="76"/>
      <c r="J14" s="76"/>
      <c r="K14" s="81"/>
    </row>
    <row r="15" spans="2:11" x14ac:dyDescent="0.25">
      <c r="B15" s="669" t="s">
        <v>237</v>
      </c>
      <c r="C15" s="670">
        <f>C10+C12+C13+C14</f>
        <v>854081999.83000004</v>
      </c>
      <c r="D15" s="670">
        <f>D10+D12+D13+D14-0.48</f>
        <v>2121175588.2536516</v>
      </c>
      <c r="E15" s="670">
        <f t="shared" ref="E15" si="3">E10+E12+E13+E14</f>
        <v>92308399.829999983</v>
      </c>
      <c r="F15" s="670">
        <f>F10+F12+F13+F14-0.48</f>
        <v>3067565988.2536516</v>
      </c>
      <c r="G15" s="76"/>
      <c r="H15" s="77"/>
      <c r="I15" s="76"/>
      <c r="J15" s="76"/>
      <c r="K15" s="81"/>
    </row>
    <row r="16" spans="2:11" ht="17.25" customHeight="1" x14ac:dyDescent="0.25">
      <c r="B16" s="659" t="s">
        <v>571</v>
      </c>
      <c r="C16" s="496"/>
      <c r="D16" s="497">
        <v>0</v>
      </c>
      <c r="E16" s="497">
        <v>0</v>
      </c>
      <c r="F16" s="391">
        <f>C16+D16+E16</f>
        <v>0</v>
      </c>
      <c r="G16" s="76"/>
      <c r="H16" s="77"/>
      <c r="I16" s="76"/>
      <c r="J16" s="76"/>
      <c r="K16" s="81"/>
    </row>
    <row r="17" spans="1:11" x14ac:dyDescent="0.25">
      <c r="B17" s="672" t="s">
        <v>1471</v>
      </c>
      <c r="C17" s="638"/>
      <c r="D17" s="662">
        <f>'3SOCI'!D38</f>
        <v>124310395.17782505</v>
      </c>
      <c r="E17" s="662">
        <v>0</v>
      </c>
      <c r="F17" s="663">
        <f>C17+D17+E17</f>
        <v>124310395.17782505</v>
      </c>
      <c r="G17" s="82"/>
      <c r="H17" s="83"/>
      <c r="I17" s="82"/>
      <c r="J17" s="82"/>
      <c r="K17" s="82"/>
    </row>
    <row r="18" spans="1:11" x14ac:dyDescent="0.25">
      <c r="A18" s="61"/>
      <c r="B18" s="672" t="s">
        <v>1474</v>
      </c>
      <c r="C18" s="638"/>
      <c r="D18" s="532">
        <f>-375796080*2</f>
        <v>-751592160</v>
      </c>
      <c r="E18" s="662">
        <v>-92308400</v>
      </c>
      <c r="F18" s="663">
        <f>C18+D18+E18</f>
        <v>-843900560</v>
      </c>
      <c r="G18" s="82"/>
      <c r="H18" s="82"/>
      <c r="I18" s="82"/>
      <c r="J18" s="82"/>
      <c r="K18" s="82"/>
    </row>
    <row r="19" spans="1:11" hidden="1" x14ac:dyDescent="0.25">
      <c r="A19" s="61"/>
      <c r="B19" s="672" t="s">
        <v>1353</v>
      </c>
      <c r="C19" s="638"/>
      <c r="D19" s="532">
        <f>-AE!F57</f>
        <v>0</v>
      </c>
      <c r="E19" s="662"/>
      <c r="F19" s="663"/>
      <c r="G19" s="82"/>
      <c r="H19" s="82"/>
      <c r="I19" s="82"/>
      <c r="J19" s="82"/>
      <c r="K19" s="82"/>
    </row>
    <row r="20" spans="1:11" x14ac:dyDescent="0.25">
      <c r="A20" s="28"/>
      <c r="B20" s="672" t="s">
        <v>1475</v>
      </c>
      <c r="C20" s="638"/>
      <c r="D20" s="662">
        <f>-AE!E173</f>
        <v>-99285178.310000002</v>
      </c>
      <c r="E20" s="662">
        <v>0</v>
      </c>
      <c r="F20" s="663">
        <f>SUM(C20:E20)</f>
        <v>-99285178.310000002</v>
      </c>
      <c r="G20" s="73"/>
      <c r="H20" s="73"/>
      <c r="I20" s="73"/>
      <c r="J20" s="73"/>
      <c r="K20" s="73"/>
    </row>
    <row r="21" spans="1:11" x14ac:dyDescent="0.25">
      <c r="B21" s="669" t="s">
        <v>572</v>
      </c>
      <c r="C21" s="640">
        <f>C15</f>
        <v>854081999.83000004</v>
      </c>
      <c r="D21" s="670">
        <f>D15+D17+D18+D20+D19</f>
        <v>1394608645.1214767</v>
      </c>
      <c r="E21" s="670">
        <v>0</v>
      </c>
      <c r="F21" s="671">
        <f>C21+D21+E21</f>
        <v>2248690644.9514766</v>
      </c>
      <c r="G21" s="73"/>
      <c r="H21" s="73"/>
      <c r="I21" s="73"/>
      <c r="J21" s="73"/>
      <c r="K21" s="73"/>
    </row>
    <row r="22" spans="1:11" s="70" customFormat="1" x14ac:dyDescent="0.25">
      <c r="A22" s="3"/>
      <c r="B22" s="1315"/>
      <c r="C22" s="1029"/>
      <c r="D22" s="1030"/>
      <c r="E22" s="1031">
        <f>SUM(D21:E21)</f>
        <v>1394608645.1214767</v>
      </c>
      <c r="F22" s="1316"/>
    </row>
    <row r="23" spans="1:11" x14ac:dyDescent="0.25">
      <c r="A23" s="3"/>
      <c r="B23" s="1315"/>
      <c r="C23" s="1032"/>
      <c r="D23" s="1033"/>
      <c r="E23" s="1034"/>
      <c r="F23" s="1317"/>
    </row>
    <row r="24" spans="1:11" x14ac:dyDescent="0.25">
      <c r="A24" s="3"/>
      <c r="B24" s="1315"/>
      <c r="C24" s="1032"/>
      <c r="D24" s="1034"/>
      <c r="E24" s="1033"/>
      <c r="F24" s="1318"/>
    </row>
    <row r="25" spans="1:11" s="654" customFormat="1" ht="16.5" x14ac:dyDescent="0.25">
      <c r="A25" s="1016"/>
      <c r="B25" s="1319" t="str">
        <f>'2SFP'!B61</f>
        <v>For GSA &amp; Associates.</v>
      </c>
      <c r="C25" s="1035"/>
      <c r="D25" s="1036" t="str">
        <f>'2SFP'!E61</f>
        <v>for and on behalf of board of directors</v>
      </c>
      <c r="E25" s="1037"/>
      <c r="F25" s="1320"/>
    </row>
    <row r="26" spans="1:11" s="654" customFormat="1" x14ac:dyDescent="0.25">
      <c r="A26" s="1016"/>
      <c r="B26" s="1321" t="str">
        <f>'2SFP'!B62</f>
        <v>Chartered accountants</v>
      </c>
      <c r="C26" s="1035"/>
      <c r="D26" s="1038"/>
      <c r="E26" s="1037"/>
      <c r="F26" s="1320"/>
    </row>
    <row r="27" spans="1:11" s="654" customFormat="1" x14ac:dyDescent="0.25">
      <c r="A27" s="1016"/>
      <c r="B27" s="1321" t="str">
        <f>'2SFP'!B63</f>
        <v>(Firm Reg. No. 000257N)</v>
      </c>
      <c r="C27" s="1035"/>
      <c r="D27" s="1038"/>
      <c r="E27" s="1037"/>
      <c r="F27" s="1322"/>
    </row>
    <row r="28" spans="1:11" s="654" customFormat="1" x14ac:dyDescent="0.25">
      <c r="A28" s="1016"/>
      <c r="B28" s="1321"/>
      <c r="C28" s="1035"/>
      <c r="D28" s="1038"/>
      <c r="E28" s="1037"/>
      <c r="F28" s="1322"/>
    </row>
    <row r="29" spans="1:11" s="654" customFormat="1" x14ac:dyDescent="0.25">
      <c r="A29" s="1016"/>
      <c r="B29" s="1321"/>
      <c r="C29" s="1035"/>
      <c r="D29" s="1038"/>
      <c r="E29" s="1037"/>
      <c r="F29" s="1320"/>
    </row>
    <row r="30" spans="1:11" s="654" customFormat="1" ht="16.5" x14ac:dyDescent="0.25">
      <c r="A30" s="1016"/>
      <c r="B30" s="1321"/>
      <c r="C30" s="1035"/>
      <c r="D30" s="1017" t="str">
        <f>'4CF'!E68</f>
        <v>Chairman</v>
      </c>
      <c r="E30" s="1037"/>
      <c r="F30" s="1320"/>
    </row>
    <row r="31" spans="1:11" s="654" customFormat="1" ht="16.5" x14ac:dyDescent="0.25">
      <c r="A31" s="1016"/>
      <c r="B31" s="1319" t="str">
        <f>'2SFP'!B67</f>
        <v>Tanuj Chugh</v>
      </c>
      <c r="C31" s="1035"/>
      <c r="D31" s="1038"/>
      <c r="E31" s="1037"/>
      <c r="F31" s="1322"/>
    </row>
    <row r="32" spans="1:11" s="654" customFormat="1" x14ac:dyDescent="0.25">
      <c r="A32" s="1016"/>
      <c r="B32" s="1321" t="str">
        <f>'2SFP'!B68</f>
        <v>Partner</v>
      </c>
      <c r="C32" s="1035"/>
      <c r="D32" s="1038"/>
      <c r="E32" s="1037"/>
      <c r="F32" s="1322"/>
    </row>
    <row r="33" spans="1:6" s="654" customFormat="1" x14ac:dyDescent="0.25">
      <c r="A33" s="1016"/>
      <c r="B33" s="1321" t="str">
        <f>'2SFP'!B69</f>
        <v>M. No. 529619</v>
      </c>
      <c r="C33" s="1035"/>
      <c r="D33" s="1039"/>
      <c r="E33" s="1037"/>
      <c r="F33" s="1320"/>
    </row>
    <row r="34" spans="1:6" s="654" customFormat="1" x14ac:dyDescent="0.25">
      <c r="B34" s="1321"/>
      <c r="C34" s="1037"/>
      <c r="D34" s="1040"/>
      <c r="E34" s="1037"/>
      <c r="F34" s="1323"/>
    </row>
    <row r="35" spans="1:6" s="654" customFormat="1" ht="16.5" x14ac:dyDescent="0.25">
      <c r="B35" s="1321" t="str">
        <f>'2SFP'!B71</f>
        <v xml:space="preserve">Place: </v>
      </c>
      <c r="C35" s="1037"/>
      <c r="D35" s="1018" t="str">
        <f>'4CF'!E72</f>
        <v>Chief Executive Officer</v>
      </c>
      <c r="E35" s="1037"/>
      <c r="F35" s="1323"/>
    </row>
    <row r="36" spans="1:6" s="654" customFormat="1" x14ac:dyDescent="0.25">
      <c r="B36" s="1321" t="str">
        <f>'2SFP'!B72</f>
        <v xml:space="preserve">Date: </v>
      </c>
      <c r="C36" s="1037"/>
      <c r="D36" s="1040"/>
      <c r="E36" s="1040"/>
      <c r="F36" s="1323"/>
    </row>
    <row r="37" spans="1:6" s="654" customFormat="1" x14ac:dyDescent="0.25">
      <c r="B37" s="1324"/>
      <c r="C37" s="1037"/>
      <c r="D37" s="1040"/>
      <c r="E37" s="1040"/>
      <c r="F37" s="1323"/>
    </row>
    <row r="38" spans="1:6" x14ac:dyDescent="0.25">
      <c r="B38" s="1544"/>
      <c r="C38" s="1328"/>
      <c r="D38" s="1329"/>
      <c r="E38" s="1329"/>
      <c r="F38" s="1330"/>
    </row>
    <row r="39" spans="1:6" x14ac:dyDescent="0.25">
      <c r="B39" s="1315"/>
      <c r="C39" s="73"/>
      <c r="D39" s="1193"/>
      <c r="E39" s="1193"/>
      <c r="F39" s="1325"/>
    </row>
    <row r="40" spans="1:6" x14ac:dyDescent="0.25">
      <c r="B40" s="1326"/>
      <c r="C40" s="73"/>
      <c r="D40" s="1193"/>
      <c r="E40" s="1193"/>
      <c r="F40" s="1325"/>
    </row>
    <row r="41" spans="1:6" x14ac:dyDescent="0.25">
      <c r="B41" s="1326"/>
      <c r="C41" s="73"/>
      <c r="D41" s="1193"/>
      <c r="E41" s="1193"/>
      <c r="F41" s="1325"/>
    </row>
    <row r="42" spans="1:6" x14ac:dyDescent="0.25">
      <c r="B42" s="1326"/>
      <c r="C42" s="73"/>
      <c r="D42" s="1193"/>
      <c r="E42" s="1193"/>
      <c r="F42" s="1325"/>
    </row>
    <row r="43" spans="1:6" x14ac:dyDescent="0.25">
      <c r="B43" s="1326"/>
      <c r="C43" s="73"/>
      <c r="D43" s="1193"/>
      <c r="E43" s="1193"/>
      <c r="F43" s="1325"/>
    </row>
    <row r="44" spans="1:6" x14ac:dyDescent="0.25">
      <c r="B44" s="1326"/>
      <c r="C44" s="73"/>
      <c r="D44" s="1193"/>
      <c r="E44" s="1193"/>
      <c r="F44" s="1325"/>
    </row>
    <row r="45" spans="1:6" x14ac:dyDescent="0.25">
      <c r="B45" s="1326"/>
      <c r="C45" s="73"/>
      <c r="D45" s="1193"/>
      <c r="E45" s="1193"/>
      <c r="F45" s="1325"/>
    </row>
    <row r="46" spans="1:6" x14ac:dyDescent="0.25">
      <c r="B46" s="1326"/>
      <c r="C46" s="73"/>
      <c r="D46" s="1193"/>
      <c r="E46" s="1193"/>
      <c r="F46" s="1325"/>
    </row>
    <row r="47" spans="1:6" x14ac:dyDescent="0.25">
      <c r="B47" s="1326"/>
      <c r="C47" s="73"/>
      <c r="D47" s="1193"/>
      <c r="E47" s="1193"/>
      <c r="F47" s="1325"/>
    </row>
    <row r="48" spans="1:6" x14ac:dyDescent="0.25">
      <c r="B48" s="1326"/>
      <c r="C48" s="73"/>
      <c r="D48" s="1193"/>
      <c r="E48" s="1193"/>
      <c r="F48" s="1325"/>
    </row>
    <row r="49" spans="2:6" x14ac:dyDescent="0.25">
      <c r="B49" s="1326"/>
      <c r="C49" s="73"/>
      <c r="D49" s="1193"/>
      <c r="E49" s="1193"/>
      <c r="F49" s="1325"/>
    </row>
    <row r="50" spans="2:6" x14ac:dyDescent="0.25">
      <c r="B50" s="1326"/>
      <c r="C50" s="73"/>
      <c r="D50" s="1193"/>
      <c r="E50" s="1193"/>
      <c r="F50" s="1325"/>
    </row>
    <row r="51" spans="2:6" x14ac:dyDescent="0.25">
      <c r="B51" s="1326"/>
      <c r="C51" s="73"/>
      <c r="D51" s="1193"/>
      <c r="E51" s="1193"/>
      <c r="F51" s="1325"/>
    </row>
    <row r="52" spans="2:6" x14ac:dyDescent="0.25">
      <c r="B52" s="1326"/>
      <c r="C52" s="73"/>
      <c r="D52" s="1193"/>
      <c r="E52" s="1193"/>
      <c r="F52" s="1325"/>
    </row>
    <row r="53" spans="2:6" x14ac:dyDescent="0.25">
      <c r="B53" s="1326"/>
      <c r="C53" s="73"/>
      <c r="D53" s="1193"/>
      <c r="E53" s="1193"/>
      <c r="F53" s="1325"/>
    </row>
    <row r="54" spans="2:6" x14ac:dyDescent="0.25">
      <c r="B54" s="1326"/>
      <c r="C54" s="73"/>
      <c r="D54" s="1193"/>
      <c r="E54" s="1193"/>
      <c r="F54" s="1325"/>
    </row>
    <row r="55" spans="2:6" x14ac:dyDescent="0.25">
      <c r="B55" s="1326"/>
      <c r="C55" s="73"/>
      <c r="D55" s="1193"/>
      <c r="E55" s="1193"/>
      <c r="F55" s="1325"/>
    </row>
    <row r="56" spans="2:6" x14ac:dyDescent="0.25">
      <c r="B56" s="1326"/>
      <c r="C56" s="73"/>
      <c r="D56" s="1193"/>
      <c r="E56" s="1193"/>
      <c r="F56" s="1325"/>
    </row>
    <row r="57" spans="2:6" x14ac:dyDescent="0.25">
      <c r="B57" s="1326"/>
      <c r="C57" s="73"/>
      <c r="D57" s="1193"/>
      <c r="E57" s="1193"/>
      <c r="F57" s="1325"/>
    </row>
    <row r="58" spans="2:6" x14ac:dyDescent="0.25">
      <c r="B58" s="1326"/>
      <c r="C58" s="73"/>
      <c r="D58" s="1193"/>
      <c r="E58" s="1193"/>
      <c r="F58" s="1325"/>
    </row>
    <row r="59" spans="2:6" x14ac:dyDescent="0.25">
      <c r="B59" s="1326"/>
      <c r="C59" s="73"/>
      <c r="D59" s="1193"/>
      <c r="E59" s="1193"/>
      <c r="F59" s="1325"/>
    </row>
    <row r="60" spans="2:6" x14ac:dyDescent="0.25">
      <c r="B60" s="1326"/>
      <c r="C60" s="73"/>
      <c r="D60" s="1193"/>
      <c r="E60" s="1193"/>
      <c r="F60" s="1325"/>
    </row>
    <row r="61" spans="2:6" x14ac:dyDescent="0.25">
      <c r="B61" s="1326"/>
      <c r="C61" s="73"/>
      <c r="D61" s="1193"/>
      <c r="E61" s="1193"/>
      <c r="F61" s="1325"/>
    </row>
    <row r="62" spans="2:6" x14ac:dyDescent="0.25">
      <c r="B62" s="1326"/>
      <c r="C62" s="73"/>
      <c r="D62" s="1193"/>
      <c r="E62" s="1193"/>
      <c r="F62" s="1325"/>
    </row>
    <row r="63" spans="2:6" x14ac:dyDescent="0.25">
      <c r="B63" s="1326"/>
      <c r="C63" s="73"/>
      <c r="D63" s="1193"/>
      <c r="E63" s="1193"/>
      <c r="F63" s="1325"/>
    </row>
    <row r="64" spans="2:6" x14ac:dyDescent="0.25">
      <c r="B64" s="1326"/>
      <c r="C64" s="73"/>
      <c r="D64" s="1193"/>
      <c r="E64" s="1193"/>
      <c r="F64" s="1325"/>
    </row>
    <row r="65" spans="2:6" x14ac:dyDescent="0.25">
      <c r="B65" s="1326"/>
      <c r="C65" s="73"/>
      <c r="D65" s="1193"/>
      <c r="E65" s="1193"/>
      <c r="F65" s="1325"/>
    </row>
    <row r="66" spans="2:6" x14ac:dyDescent="0.25">
      <c r="B66" s="1326"/>
      <c r="C66" s="73"/>
      <c r="D66" s="1193"/>
      <c r="E66" s="1193"/>
      <c r="F66" s="1325"/>
    </row>
    <row r="67" spans="2:6" x14ac:dyDescent="0.25">
      <c r="B67" s="1326"/>
      <c r="C67" s="73"/>
      <c r="D67" s="1193"/>
      <c r="E67" s="1193"/>
      <c r="F67" s="1325"/>
    </row>
    <row r="68" spans="2:6" x14ac:dyDescent="0.25">
      <c r="B68" s="1326"/>
      <c r="C68" s="73"/>
      <c r="D68" s="1193"/>
      <c r="E68" s="1193"/>
      <c r="F68" s="1325"/>
    </row>
    <row r="69" spans="2:6" x14ac:dyDescent="0.25">
      <c r="B69" s="1326"/>
      <c r="C69" s="73"/>
      <c r="D69" s="1193"/>
      <c r="E69" s="1193"/>
      <c r="F69" s="1325"/>
    </row>
    <row r="70" spans="2:6" x14ac:dyDescent="0.25">
      <c r="B70" s="1326"/>
      <c r="C70" s="73"/>
      <c r="D70" s="1193"/>
      <c r="E70" s="1193"/>
      <c r="F70" s="1325"/>
    </row>
    <row r="71" spans="2:6" x14ac:dyDescent="0.25">
      <c r="B71" s="1326"/>
      <c r="C71" s="73"/>
      <c r="D71" s="1193"/>
      <c r="E71" s="1193"/>
      <c r="F71" s="1325"/>
    </row>
    <row r="72" spans="2:6" x14ac:dyDescent="0.25">
      <c r="B72" s="1327"/>
      <c r="C72" s="1328"/>
      <c r="D72" s="1329"/>
      <c r="E72" s="1329"/>
      <c r="F72" s="1330"/>
    </row>
  </sheetData>
  <mergeCells count="2">
    <mergeCell ref="B2:F2"/>
    <mergeCell ref="B1:F1"/>
  </mergeCells>
  <pageMargins left="0.95" right="0.51" top="0.56000000000000005" bottom="0.2" header="0.05" footer="0.05"/>
  <pageSetup scale="7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O89"/>
  <sheetViews>
    <sheetView showGridLines="0" view="pageBreakPreview" topLeftCell="B1" zoomScale="90" zoomScaleSheetLayoutView="90" workbookViewId="0">
      <selection activeCell="C7" sqref="C7"/>
    </sheetView>
  </sheetViews>
  <sheetFormatPr defaultColWidth="8.85546875" defaultRowHeight="15.75" x14ac:dyDescent="0.25"/>
  <cols>
    <col min="1" max="1" width="0.140625" style="19" hidden="1" customWidth="1"/>
    <col min="2" max="2" width="59.28515625" style="419" customWidth="1"/>
    <col min="3" max="3" width="19.42578125" style="490" bestFit="1" customWidth="1"/>
    <col min="4" max="4" width="21.28515625" style="490" customWidth="1"/>
    <col min="5" max="5" width="19.7109375" style="490" customWidth="1"/>
    <col min="6" max="6" width="24.7109375" style="490" customWidth="1"/>
    <col min="7" max="7" width="19.7109375" style="19" bestFit="1" customWidth="1"/>
    <col min="8" max="8" width="19.42578125" style="19" bestFit="1" customWidth="1"/>
    <col min="9" max="10" width="8.85546875" style="19"/>
    <col min="11" max="11" width="20.140625" style="19" bestFit="1" customWidth="1"/>
    <col min="12" max="12" width="14.85546875" style="19" bestFit="1" customWidth="1"/>
    <col min="13" max="13" width="2.140625" style="19" customWidth="1"/>
    <col min="14" max="14" width="18.28515625" style="19" bestFit="1" customWidth="1"/>
    <col min="15" max="15" width="12.85546875" style="19" bestFit="1" customWidth="1"/>
    <col min="16" max="247" width="8.85546875" style="19"/>
    <col min="248" max="248" width="62.7109375" style="19" bestFit="1" customWidth="1"/>
    <col min="249" max="249" width="19" style="19" bestFit="1" customWidth="1"/>
    <col min="250" max="250" width="23.42578125" style="19" bestFit="1" customWidth="1"/>
    <col min="251" max="251" width="8.85546875" style="19"/>
    <col min="252" max="252" width="43.140625" style="19" bestFit="1" customWidth="1"/>
    <col min="253" max="253" width="18.7109375" style="19" bestFit="1" customWidth="1"/>
    <col min="254" max="254" width="19.85546875" style="19" bestFit="1" customWidth="1"/>
    <col min="255" max="255" width="19.42578125" style="19" bestFit="1" customWidth="1"/>
    <col min="256" max="503" width="8.85546875" style="19"/>
    <col min="504" max="504" width="62.7109375" style="19" bestFit="1" customWidth="1"/>
    <col min="505" max="505" width="19" style="19" bestFit="1" customWidth="1"/>
    <col min="506" max="506" width="23.42578125" style="19" bestFit="1" customWidth="1"/>
    <col min="507" max="507" width="8.85546875" style="19"/>
    <col min="508" max="508" width="43.140625" style="19" bestFit="1" customWidth="1"/>
    <col min="509" max="509" width="18.7109375" style="19" bestFit="1" customWidth="1"/>
    <col min="510" max="510" width="19.85546875" style="19" bestFit="1" customWidth="1"/>
    <col min="511" max="511" width="19.42578125" style="19" bestFit="1" customWidth="1"/>
    <col min="512" max="759" width="8.85546875" style="19"/>
    <col min="760" max="760" width="62.7109375" style="19" bestFit="1" customWidth="1"/>
    <col min="761" max="761" width="19" style="19" bestFit="1" customWidth="1"/>
    <col min="762" max="762" width="23.42578125" style="19" bestFit="1" customWidth="1"/>
    <col min="763" max="763" width="8.85546875" style="19"/>
    <col min="764" max="764" width="43.140625" style="19" bestFit="1" customWidth="1"/>
    <col min="765" max="765" width="18.7109375" style="19" bestFit="1" customWidth="1"/>
    <col min="766" max="766" width="19.85546875" style="19" bestFit="1" customWidth="1"/>
    <col min="767" max="767" width="19.42578125" style="19" bestFit="1" customWidth="1"/>
    <col min="768" max="1015" width="8.85546875" style="19"/>
    <col min="1016" max="1016" width="62.7109375" style="19" bestFit="1" customWidth="1"/>
    <col min="1017" max="1017" width="19" style="19" bestFit="1" customWidth="1"/>
    <col min="1018" max="1018" width="23.42578125" style="19" bestFit="1" customWidth="1"/>
    <col min="1019" max="1019" width="8.85546875" style="19"/>
    <col min="1020" max="1020" width="43.140625" style="19" bestFit="1" customWidth="1"/>
    <col min="1021" max="1021" width="18.7109375" style="19" bestFit="1" customWidth="1"/>
    <col min="1022" max="1022" width="19.85546875" style="19" bestFit="1" customWidth="1"/>
    <col min="1023" max="1023" width="19.42578125" style="19" bestFit="1" customWidth="1"/>
    <col min="1024" max="1271" width="8.85546875" style="19"/>
    <col min="1272" max="1272" width="62.7109375" style="19" bestFit="1" customWidth="1"/>
    <col min="1273" max="1273" width="19" style="19" bestFit="1" customWidth="1"/>
    <col min="1274" max="1274" width="23.42578125" style="19" bestFit="1" customWidth="1"/>
    <col min="1275" max="1275" width="8.85546875" style="19"/>
    <col min="1276" max="1276" width="43.140625" style="19" bestFit="1" customWidth="1"/>
    <col min="1277" max="1277" width="18.7109375" style="19" bestFit="1" customWidth="1"/>
    <col min="1278" max="1278" width="19.85546875" style="19" bestFit="1" customWidth="1"/>
    <col min="1279" max="1279" width="19.42578125" style="19" bestFit="1" customWidth="1"/>
    <col min="1280" max="1527" width="8.85546875" style="19"/>
    <col min="1528" max="1528" width="62.7109375" style="19" bestFit="1" customWidth="1"/>
    <col min="1529" max="1529" width="19" style="19" bestFit="1" customWidth="1"/>
    <col min="1530" max="1530" width="23.42578125" style="19" bestFit="1" customWidth="1"/>
    <col min="1531" max="1531" width="8.85546875" style="19"/>
    <col min="1532" max="1532" width="43.140625" style="19" bestFit="1" customWidth="1"/>
    <col min="1533" max="1533" width="18.7109375" style="19" bestFit="1" customWidth="1"/>
    <col min="1534" max="1534" width="19.85546875" style="19" bestFit="1" customWidth="1"/>
    <col min="1535" max="1535" width="19.42578125" style="19" bestFit="1" customWidth="1"/>
    <col min="1536" max="1783" width="8.85546875" style="19"/>
    <col min="1784" max="1784" width="62.7109375" style="19" bestFit="1" customWidth="1"/>
    <col min="1785" max="1785" width="19" style="19" bestFit="1" customWidth="1"/>
    <col min="1786" max="1786" width="23.42578125" style="19" bestFit="1" customWidth="1"/>
    <col min="1787" max="1787" width="8.85546875" style="19"/>
    <col min="1788" max="1788" width="43.140625" style="19" bestFit="1" customWidth="1"/>
    <col min="1789" max="1789" width="18.7109375" style="19" bestFit="1" customWidth="1"/>
    <col min="1790" max="1790" width="19.85546875" style="19" bestFit="1" customWidth="1"/>
    <col min="1791" max="1791" width="19.42578125" style="19" bestFit="1" customWidth="1"/>
    <col min="1792" max="2039" width="8.85546875" style="19"/>
    <col min="2040" max="2040" width="62.7109375" style="19" bestFit="1" customWidth="1"/>
    <col min="2041" max="2041" width="19" style="19" bestFit="1" customWidth="1"/>
    <col min="2042" max="2042" width="23.42578125" style="19" bestFit="1" customWidth="1"/>
    <col min="2043" max="2043" width="8.85546875" style="19"/>
    <col min="2044" max="2044" width="43.140625" style="19" bestFit="1" customWidth="1"/>
    <col min="2045" max="2045" width="18.7109375" style="19" bestFit="1" customWidth="1"/>
    <col min="2046" max="2046" width="19.85546875" style="19" bestFit="1" customWidth="1"/>
    <col min="2047" max="2047" width="19.42578125" style="19" bestFit="1" customWidth="1"/>
    <col min="2048" max="2295" width="8.85546875" style="19"/>
    <col min="2296" max="2296" width="62.7109375" style="19" bestFit="1" customWidth="1"/>
    <col min="2297" max="2297" width="19" style="19" bestFit="1" customWidth="1"/>
    <col min="2298" max="2298" width="23.42578125" style="19" bestFit="1" customWidth="1"/>
    <col min="2299" max="2299" width="8.85546875" style="19"/>
    <col min="2300" max="2300" width="43.140625" style="19" bestFit="1" customWidth="1"/>
    <col min="2301" max="2301" width="18.7109375" style="19" bestFit="1" customWidth="1"/>
    <col min="2302" max="2302" width="19.85546875" style="19" bestFit="1" customWidth="1"/>
    <col min="2303" max="2303" width="19.42578125" style="19" bestFit="1" customWidth="1"/>
    <col min="2304" max="2551" width="8.85546875" style="19"/>
    <col min="2552" max="2552" width="62.7109375" style="19" bestFit="1" customWidth="1"/>
    <col min="2553" max="2553" width="19" style="19" bestFit="1" customWidth="1"/>
    <col min="2554" max="2554" width="23.42578125" style="19" bestFit="1" customWidth="1"/>
    <col min="2555" max="2555" width="8.85546875" style="19"/>
    <col min="2556" max="2556" width="43.140625" style="19" bestFit="1" customWidth="1"/>
    <col min="2557" max="2557" width="18.7109375" style="19" bestFit="1" customWidth="1"/>
    <col min="2558" max="2558" width="19.85546875" style="19" bestFit="1" customWidth="1"/>
    <col min="2559" max="2559" width="19.42578125" style="19" bestFit="1" customWidth="1"/>
    <col min="2560" max="2807" width="8.85546875" style="19"/>
    <col min="2808" max="2808" width="62.7109375" style="19" bestFit="1" customWidth="1"/>
    <col min="2809" max="2809" width="19" style="19" bestFit="1" customWidth="1"/>
    <col min="2810" max="2810" width="23.42578125" style="19" bestFit="1" customWidth="1"/>
    <col min="2811" max="2811" width="8.85546875" style="19"/>
    <col min="2812" max="2812" width="43.140625" style="19" bestFit="1" customWidth="1"/>
    <col min="2813" max="2813" width="18.7109375" style="19" bestFit="1" customWidth="1"/>
    <col min="2814" max="2814" width="19.85546875" style="19" bestFit="1" customWidth="1"/>
    <col min="2815" max="2815" width="19.42578125" style="19" bestFit="1" customWidth="1"/>
    <col min="2816" max="3063" width="8.85546875" style="19"/>
    <col min="3064" max="3064" width="62.7109375" style="19" bestFit="1" customWidth="1"/>
    <col min="3065" max="3065" width="19" style="19" bestFit="1" customWidth="1"/>
    <col min="3066" max="3066" width="23.42578125" style="19" bestFit="1" customWidth="1"/>
    <col min="3067" max="3067" width="8.85546875" style="19"/>
    <col min="3068" max="3068" width="43.140625" style="19" bestFit="1" customWidth="1"/>
    <col min="3069" max="3069" width="18.7109375" style="19" bestFit="1" customWidth="1"/>
    <col min="3070" max="3070" width="19.85546875" style="19" bestFit="1" customWidth="1"/>
    <col min="3071" max="3071" width="19.42578125" style="19" bestFit="1" customWidth="1"/>
    <col min="3072" max="3319" width="8.85546875" style="19"/>
    <col min="3320" max="3320" width="62.7109375" style="19" bestFit="1" customWidth="1"/>
    <col min="3321" max="3321" width="19" style="19" bestFit="1" customWidth="1"/>
    <col min="3322" max="3322" width="23.42578125" style="19" bestFit="1" customWidth="1"/>
    <col min="3323" max="3323" width="8.85546875" style="19"/>
    <col min="3324" max="3324" width="43.140625" style="19" bestFit="1" customWidth="1"/>
    <col min="3325" max="3325" width="18.7109375" style="19" bestFit="1" customWidth="1"/>
    <col min="3326" max="3326" width="19.85546875" style="19" bestFit="1" customWidth="1"/>
    <col min="3327" max="3327" width="19.42578125" style="19" bestFit="1" customWidth="1"/>
    <col min="3328" max="3575" width="8.85546875" style="19"/>
    <col min="3576" max="3576" width="62.7109375" style="19" bestFit="1" customWidth="1"/>
    <col min="3577" max="3577" width="19" style="19" bestFit="1" customWidth="1"/>
    <col min="3578" max="3578" width="23.42578125" style="19" bestFit="1" customWidth="1"/>
    <col min="3579" max="3579" width="8.85546875" style="19"/>
    <col min="3580" max="3580" width="43.140625" style="19" bestFit="1" customWidth="1"/>
    <col min="3581" max="3581" width="18.7109375" style="19" bestFit="1" customWidth="1"/>
    <col min="3582" max="3582" width="19.85546875" style="19" bestFit="1" customWidth="1"/>
    <col min="3583" max="3583" width="19.42578125" style="19" bestFit="1" customWidth="1"/>
    <col min="3584" max="3831" width="8.85546875" style="19"/>
    <col min="3832" max="3832" width="62.7109375" style="19" bestFit="1" customWidth="1"/>
    <col min="3833" max="3833" width="19" style="19" bestFit="1" customWidth="1"/>
    <col min="3834" max="3834" width="23.42578125" style="19" bestFit="1" customWidth="1"/>
    <col min="3835" max="3835" width="8.85546875" style="19"/>
    <col min="3836" max="3836" width="43.140625" style="19" bestFit="1" customWidth="1"/>
    <col min="3837" max="3837" width="18.7109375" style="19" bestFit="1" customWidth="1"/>
    <col min="3838" max="3838" width="19.85546875" style="19" bestFit="1" customWidth="1"/>
    <col min="3839" max="3839" width="19.42578125" style="19" bestFit="1" customWidth="1"/>
    <col min="3840" max="4087" width="8.85546875" style="19"/>
    <col min="4088" max="4088" width="62.7109375" style="19" bestFit="1" customWidth="1"/>
    <col min="4089" max="4089" width="19" style="19" bestFit="1" customWidth="1"/>
    <col min="4090" max="4090" width="23.42578125" style="19" bestFit="1" customWidth="1"/>
    <col min="4091" max="4091" width="8.85546875" style="19"/>
    <col min="4092" max="4092" width="43.140625" style="19" bestFit="1" customWidth="1"/>
    <col min="4093" max="4093" width="18.7109375" style="19" bestFit="1" customWidth="1"/>
    <col min="4094" max="4094" width="19.85546875" style="19" bestFit="1" customWidth="1"/>
    <col min="4095" max="4095" width="19.42578125" style="19" bestFit="1" customWidth="1"/>
    <col min="4096" max="4343" width="8.85546875" style="19"/>
    <col min="4344" max="4344" width="62.7109375" style="19" bestFit="1" customWidth="1"/>
    <col min="4345" max="4345" width="19" style="19" bestFit="1" customWidth="1"/>
    <col min="4346" max="4346" width="23.42578125" style="19" bestFit="1" customWidth="1"/>
    <col min="4347" max="4347" width="8.85546875" style="19"/>
    <col min="4348" max="4348" width="43.140625" style="19" bestFit="1" customWidth="1"/>
    <col min="4349" max="4349" width="18.7109375" style="19" bestFit="1" customWidth="1"/>
    <col min="4350" max="4350" width="19.85546875" style="19" bestFit="1" customWidth="1"/>
    <col min="4351" max="4351" width="19.42578125" style="19" bestFit="1" customWidth="1"/>
    <col min="4352" max="4599" width="8.85546875" style="19"/>
    <col min="4600" max="4600" width="62.7109375" style="19" bestFit="1" customWidth="1"/>
    <col min="4601" max="4601" width="19" style="19" bestFit="1" customWidth="1"/>
    <col min="4602" max="4602" width="23.42578125" style="19" bestFit="1" customWidth="1"/>
    <col min="4603" max="4603" width="8.85546875" style="19"/>
    <col min="4604" max="4604" width="43.140625" style="19" bestFit="1" customWidth="1"/>
    <col min="4605" max="4605" width="18.7109375" style="19" bestFit="1" customWidth="1"/>
    <col min="4606" max="4606" width="19.85546875" style="19" bestFit="1" customWidth="1"/>
    <col min="4607" max="4607" width="19.42578125" style="19" bestFit="1" customWidth="1"/>
    <col min="4608" max="4855" width="8.85546875" style="19"/>
    <col min="4856" max="4856" width="62.7109375" style="19" bestFit="1" customWidth="1"/>
    <col min="4857" max="4857" width="19" style="19" bestFit="1" customWidth="1"/>
    <col min="4858" max="4858" width="23.42578125" style="19" bestFit="1" customWidth="1"/>
    <col min="4859" max="4859" width="8.85546875" style="19"/>
    <col min="4860" max="4860" width="43.140625" style="19" bestFit="1" customWidth="1"/>
    <col min="4861" max="4861" width="18.7109375" style="19" bestFit="1" customWidth="1"/>
    <col min="4862" max="4862" width="19.85546875" style="19" bestFit="1" customWidth="1"/>
    <col min="4863" max="4863" width="19.42578125" style="19" bestFit="1" customWidth="1"/>
    <col min="4864" max="5111" width="8.85546875" style="19"/>
    <col min="5112" max="5112" width="62.7109375" style="19" bestFit="1" customWidth="1"/>
    <col min="5113" max="5113" width="19" style="19" bestFit="1" customWidth="1"/>
    <col min="5114" max="5114" width="23.42578125" style="19" bestFit="1" customWidth="1"/>
    <col min="5115" max="5115" width="8.85546875" style="19"/>
    <col min="5116" max="5116" width="43.140625" style="19" bestFit="1" customWidth="1"/>
    <col min="5117" max="5117" width="18.7109375" style="19" bestFit="1" customWidth="1"/>
    <col min="5118" max="5118" width="19.85546875" style="19" bestFit="1" customWidth="1"/>
    <col min="5119" max="5119" width="19.42578125" style="19" bestFit="1" customWidth="1"/>
    <col min="5120" max="5367" width="8.85546875" style="19"/>
    <col min="5368" max="5368" width="62.7109375" style="19" bestFit="1" customWidth="1"/>
    <col min="5369" max="5369" width="19" style="19" bestFit="1" customWidth="1"/>
    <col min="5370" max="5370" width="23.42578125" style="19" bestFit="1" customWidth="1"/>
    <col min="5371" max="5371" width="8.85546875" style="19"/>
    <col min="5372" max="5372" width="43.140625" style="19" bestFit="1" customWidth="1"/>
    <col min="5373" max="5373" width="18.7109375" style="19" bestFit="1" customWidth="1"/>
    <col min="5374" max="5374" width="19.85546875" style="19" bestFit="1" customWidth="1"/>
    <col min="5375" max="5375" width="19.42578125" style="19" bestFit="1" customWidth="1"/>
    <col min="5376" max="5623" width="8.85546875" style="19"/>
    <col min="5624" max="5624" width="62.7109375" style="19" bestFit="1" customWidth="1"/>
    <col min="5625" max="5625" width="19" style="19" bestFit="1" customWidth="1"/>
    <col min="5626" max="5626" width="23.42578125" style="19" bestFit="1" customWidth="1"/>
    <col min="5627" max="5627" width="8.85546875" style="19"/>
    <col min="5628" max="5628" width="43.140625" style="19" bestFit="1" customWidth="1"/>
    <col min="5629" max="5629" width="18.7109375" style="19" bestFit="1" customWidth="1"/>
    <col min="5630" max="5630" width="19.85546875" style="19" bestFit="1" customWidth="1"/>
    <col min="5631" max="5631" width="19.42578125" style="19" bestFit="1" customWidth="1"/>
    <col min="5632" max="5879" width="8.85546875" style="19"/>
    <col min="5880" max="5880" width="62.7109375" style="19" bestFit="1" customWidth="1"/>
    <col min="5881" max="5881" width="19" style="19" bestFit="1" customWidth="1"/>
    <col min="5882" max="5882" width="23.42578125" style="19" bestFit="1" customWidth="1"/>
    <col min="5883" max="5883" width="8.85546875" style="19"/>
    <col min="5884" max="5884" width="43.140625" style="19" bestFit="1" customWidth="1"/>
    <col min="5885" max="5885" width="18.7109375" style="19" bestFit="1" customWidth="1"/>
    <col min="5886" max="5886" width="19.85546875" style="19" bestFit="1" customWidth="1"/>
    <col min="5887" max="5887" width="19.42578125" style="19" bestFit="1" customWidth="1"/>
    <col min="5888" max="6135" width="8.85546875" style="19"/>
    <col min="6136" max="6136" width="62.7109375" style="19" bestFit="1" customWidth="1"/>
    <col min="6137" max="6137" width="19" style="19" bestFit="1" customWidth="1"/>
    <col min="6138" max="6138" width="23.42578125" style="19" bestFit="1" customWidth="1"/>
    <col min="6139" max="6139" width="8.85546875" style="19"/>
    <col min="6140" max="6140" width="43.140625" style="19" bestFit="1" customWidth="1"/>
    <col min="6141" max="6141" width="18.7109375" style="19" bestFit="1" customWidth="1"/>
    <col min="6142" max="6142" width="19.85546875" style="19" bestFit="1" customWidth="1"/>
    <col min="6143" max="6143" width="19.42578125" style="19" bestFit="1" customWidth="1"/>
    <col min="6144" max="6391" width="8.85546875" style="19"/>
    <col min="6392" max="6392" width="62.7109375" style="19" bestFit="1" customWidth="1"/>
    <col min="6393" max="6393" width="19" style="19" bestFit="1" customWidth="1"/>
    <col min="6394" max="6394" width="23.42578125" style="19" bestFit="1" customWidth="1"/>
    <col min="6395" max="6395" width="8.85546875" style="19"/>
    <col min="6396" max="6396" width="43.140625" style="19" bestFit="1" customWidth="1"/>
    <col min="6397" max="6397" width="18.7109375" style="19" bestFit="1" customWidth="1"/>
    <col min="6398" max="6398" width="19.85546875" style="19" bestFit="1" customWidth="1"/>
    <col min="6399" max="6399" width="19.42578125" style="19" bestFit="1" customWidth="1"/>
    <col min="6400" max="6647" width="8.85546875" style="19"/>
    <col min="6648" max="6648" width="62.7109375" style="19" bestFit="1" customWidth="1"/>
    <col min="6649" max="6649" width="19" style="19" bestFit="1" customWidth="1"/>
    <col min="6650" max="6650" width="23.42578125" style="19" bestFit="1" customWidth="1"/>
    <col min="6651" max="6651" width="8.85546875" style="19"/>
    <col min="6652" max="6652" width="43.140625" style="19" bestFit="1" customWidth="1"/>
    <col min="6653" max="6653" width="18.7109375" style="19" bestFit="1" customWidth="1"/>
    <col min="6654" max="6654" width="19.85546875" style="19" bestFit="1" customWidth="1"/>
    <col min="6655" max="6655" width="19.42578125" style="19" bestFit="1" customWidth="1"/>
    <col min="6656" max="6903" width="8.85546875" style="19"/>
    <col min="6904" max="6904" width="62.7109375" style="19" bestFit="1" customWidth="1"/>
    <col min="6905" max="6905" width="19" style="19" bestFit="1" customWidth="1"/>
    <col min="6906" max="6906" width="23.42578125" style="19" bestFit="1" customWidth="1"/>
    <col min="6907" max="6907" width="8.85546875" style="19"/>
    <col min="6908" max="6908" width="43.140625" style="19" bestFit="1" customWidth="1"/>
    <col min="6909" max="6909" width="18.7109375" style="19" bestFit="1" customWidth="1"/>
    <col min="6910" max="6910" width="19.85546875" style="19" bestFit="1" customWidth="1"/>
    <col min="6911" max="6911" width="19.42578125" style="19" bestFit="1" customWidth="1"/>
    <col min="6912" max="7159" width="8.85546875" style="19"/>
    <col min="7160" max="7160" width="62.7109375" style="19" bestFit="1" customWidth="1"/>
    <col min="7161" max="7161" width="19" style="19" bestFit="1" customWidth="1"/>
    <col min="7162" max="7162" width="23.42578125" style="19" bestFit="1" customWidth="1"/>
    <col min="7163" max="7163" width="8.85546875" style="19"/>
    <col min="7164" max="7164" width="43.140625" style="19" bestFit="1" customWidth="1"/>
    <col min="7165" max="7165" width="18.7109375" style="19" bestFit="1" customWidth="1"/>
    <col min="7166" max="7166" width="19.85546875" style="19" bestFit="1" customWidth="1"/>
    <col min="7167" max="7167" width="19.42578125" style="19" bestFit="1" customWidth="1"/>
    <col min="7168" max="7415" width="8.85546875" style="19"/>
    <col min="7416" max="7416" width="62.7109375" style="19" bestFit="1" customWidth="1"/>
    <col min="7417" max="7417" width="19" style="19" bestFit="1" customWidth="1"/>
    <col min="7418" max="7418" width="23.42578125" style="19" bestFit="1" customWidth="1"/>
    <col min="7419" max="7419" width="8.85546875" style="19"/>
    <col min="7420" max="7420" width="43.140625" style="19" bestFit="1" customWidth="1"/>
    <col min="7421" max="7421" width="18.7109375" style="19" bestFit="1" customWidth="1"/>
    <col min="7422" max="7422" width="19.85546875" style="19" bestFit="1" customWidth="1"/>
    <col min="7423" max="7423" width="19.42578125" style="19" bestFit="1" customWidth="1"/>
    <col min="7424" max="7671" width="8.85546875" style="19"/>
    <col min="7672" max="7672" width="62.7109375" style="19" bestFit="1" customWidth="1"/>
    <col min="7673" max="7673" width="19" style="19" bestFit="1" customWidth="1"/>
    <col min="7674" max="7674" width="23.42578125" style="19" bestFit="1" customWidth="1"/>
    <col min="7675" max="7675" width="8.85546875" style="19"/>
    <col min="7676" max="7676" width="43.140625" style="19" bestFit="1" customWidth="1"/>
    <col min="7677" max="7677" width="18.7109375" style="19" bestFit="1" customWidth="1"/>
    <col min="7678" max="7678" width="19.85546875" style="19" bestFit="1" customWidth="1"/>
    <col min="7679" max="7679" width="19.42578125" style="19" bestFit="1" customWidth="1"/>
    <col min="7680" max="7927" width="8.85546875" style="19"/>
    <col min="7928" max="7928" width="62.7109375" style="19" bestFit="1" customWidth="1"/>
    <col min="7929" max="7929" width="19" style="19" bestFit="1" customWidth="1"/>
    <col min="7930" max="7930" width="23.42578125" style="19" bestFit="1" customWidth="1"/>
    <col min="7931" max="7931" width="8.85546875" style="19"/>
    <col min="7932" max="7932" width="43.140625" style="19" bestFit="1" customWidth="1"/>
    <col min="7933" max="7933" width="18.7109375" style="19" bestFit="1" customWidth="1"/>
    <col min="7934" max="7934" width="19.85546875" style="19" bestFit="1" customWidth="1"/>
    <col min="7935" max="7935" width="19.42578125" style="19" bestFit="1" customWidth="1"/>
    <col min="7936" max="8183" width="8.85546875" style="19"/>
    <col min="8184" max="8184" width="62.7109375" style="19" bestFit="1" customWidth="1"/>
    <col min="8185" max="8185" width="19" style="19" bestFit="1" customWidth="1"/>
    <col min="8186" max="8186" width="23.42578125" style="19" bestFit="1" customWidth="1"/>
    <col min="8187" max="8187" width="8.85546875" style="19"/>
    <col min="8188" max="8188" width="43.140625" style="19" bestFit="1" customWidth="1"/>
    <col min="8189" max="8189" width="18.7109375" style="19" bestFit="1" customWidth="1"/>
    <col min="8190" max="8190" width="19.85546875" style="19" bestFit="1" customWidth="1"/>
    <col min="8191" max="8191" width="19.42578125" style="19" bestFit="1" customWidth="1"/>
    <col min="8192" max="8439" width="8.85546875" style="19"/>
    <col min="8440" max="8440" width="62.7109375" style="19" bestFit="1" customWidth="1"/>
    <col min="8441" max="8441" width="19" style="19" bestFit="1" customWidth="1"/>
    <col min="8442" max="8442" width="23.42578125" style="19" bestFit="1" customWidth="1"/>
    <col min="8443" max="8443" width="8.85546875" style="19"/>
    <col min="8444" max="8444" width="43.140625" style="19" bestFit="1" customWidth="1"/>
    <col min="8445" max="8445" width="18.7109375" style="19" bestFit="1" customWidth="1"/>
    <col min="8446" max="8446" width="19.85546875" style="19" bestFit="1" customWidth="1"/>
    <col min="8447" max="8447" width="19.42578125" style="19" bestFit="1" customWidth="1"/>
    <col min="8448" max="8695" width="8.85546875" style="19"/>
    <col min="8696" max="8696" width="62.7109375" style="19" bestFit="1" customWidth="1"/>
    <col min="8697" max="8697" width="19" style="19" bestFit="1" customWidth="1"/>
    <col min="8698" max="8698" width="23.42578125" style="19" bestFit="1" customWidth="1"/>
    <col min="8699" max="8699" width="8.85546875" style="19"/>
    <col min="8700" max="8700" width="43.140625" style="19" bestFit="1" customWidth="1"/>
    <col min="8701" max="8701" width="18.7109375" style="19" bestFit="1" customWidth="1"/>
    <col min="8702" max="8702" width="19.85546875" style="19" bestFit="1" customWidth="1"/>
    <col min="8703" max="8703" width="19.42578125" style="19" bestFit="1" customWidth="1"/>
    <col min="8704" max="8951" width="8.85546875" style="19"/>
    <col min="8952" max="8952" width="62.7109375" style="19" bestFit="1" customWidth="1"/>
    <col min="8953" max="8953" width="19" style="19" bestFit="1" customWidth="1"/>
    <col min="8954" max="8954" width="23.42578125" style="19" bestFit="1" customWidth="1"/>
    <col min="8955" max="8955" width="8.85546875" style="19"/>
    <col min="8956" max="8956" width="43.140625" style="19" bestFit="1" customWidth="1"/>
    <col min="8957" max="8957" width="18.7109375" style="19" bestFit="1" customWidth="1"/>
    <col min="8958" max="8958" width="19.85546875" style="19" bestFit="1" customWidth="1"/>
    <col min="8959" max="8959" width="19.42578125" style="19" bestFit="1" customWidth="1"/>
    <col min="8960" max="9207" width="8.85546875" style="19"/>
    <col min="9208" max="9208" width="62.7109375" style="19" bestFit="1" customWidth="1"/>
    <col min="9209" max="9209" width="19" style="19" bestFit="1" customWidth="1"/>
    <col min="9210" max="9210" width="23.42578125" style="19" bestFit="1" customWidth="1"/>
    <col min="9211" max="9211" width="8.85546875" style="19"/>
    <col min="9212" max="9212" width="43.140625" style="19" bestFit="1" customWidth="1"/>
    <col min="9213" max="9213" width="18.7109375" style="19" bestFit="1" customWidth="1"/>
    <col min="9214" max="9214" width="19.85546875" style="19" bestFit="1" customWidth="1"/>
    <col min="9215" max="9215" width="19.42578125" style="19" bestFit="1" customWidth="1"/>
    <col min="9216" max="9463" width="8.85546875" style="19"/>
    <col min="9464" max="9464" width="62.7109375" style="19" bestFit="1" customWidth="1"/>
    <col min="9465" max="9465" width="19" style="19" bestFit="1" customWidth="1"/>
    <col min="9466" max="9466" width="23.42578125" style="19" bestFit="1" customWidth="1"/>
    <col min="9467" max="9467" width="8.85546875" style="19"/>
    <col min="9468" max="9468" width="43.140625" style="19" bestFit="1" customWidth="1"/>
    <col min="9469" max="9469" width="18.7109375" style="19" bestFit="1" customWidth="1"/>
    <col min="9470" max="9470" width="19.85546875" style="19" bestFit="1" customWidth="1"/>
    <col min="9471" max="9471" width="19.42578125" style="19" bestFit="1" customWidth="1"/>
    <col min="9472" max="9719" width="8.85546875" style="19"/>
    <col min="9720" max="9720" width="62.7109375" style="19" bestFit="1" customWidth="1"/>
    <col min="9721" max="9721" width="19" style="19" bestFit="1" customWidth="1"/>
    <col min="9722" max="9722" width="23.42578125" style="19" bestFit="1" customWidth="1"/>
    <col min="9723" max="9723" width="8.85546875" style="19"/>
    <col min="9724" max="9724" width="43.140625" style="19" bestFit="1" customWidth="1"/>
    <col min="9725" max="9725" width="18.7109375" style="19" bestFit="1" customWidth="1"/>
    <col min="9726" max="9726" width="19.85546875" style="19" bestFit="1" customWidth="1"/>
    <col min="9727" max="9727" width="19.42578125" style="19" bestFit="1" customWidth="1"/>
    <col min="9728" max="9975" width="8.85546875" style="19"/>
    <col min="9976" max="9976" width="62.7109375" style="19" bestFit="1" customWidth="1"/>
    <col min="9977" max="9977" width="19" style="19" bestFit="1" customWidth="1"/>
    <col min="9978" max="9978" width="23.42578125" style="19" bestFit="1" customWidth="1"/>
    <col min="9979" max="9979" width="8.85546875" style="19"/>
    <col min="9980" max="9980" width="43.140625" style="19" bestFit="1" customWidth="1"/>
    <col min="9981" max="9981" width="18.7109375" style="19" bestFit="1" customWidth="1"/>
    <col min="9982" max="9982" width="19.85546875" style="19" bestFit="1" customWidth="1"/>
    <col min="9983" max="9983" width="19.42578125" style="19" bestFit="1" customWidth="1"/>
    <col min="9984" max="10231" width="8.85546875" style="19"/>
    <col min="10232" max="10232" width="62.7109375" style="19" bestFit="1" customWidth="1"/>
    <col min="10233" max="10233" width="19" style="19" bestFit="1" customWidth="1"/>
    <col min="10234" max="10234" width="23.42578125" style="19" bestFit="1" customWidth="1"/>
    <col min="10235" max="10235" width="8.85546875" style="19"/>
    <col min="10236" max="10236" width="43.140625" style="19" bestFit="1" customWidth="1"/>
    <col min="10237" max="10237" width="18.7109375" style="19" bestFit="1" customWidth="1"/>
    <col min="10238" max="10238" width="19.85546875" style="19" bestFit="1" customWidth="1"/>
    <col min="10239" max="10239" width="19.42578125" style="19" bestFit="1" customWidth="1"/>
    <col min="10240" max="10487" width="8.85546875" style="19"/>
    <col min="10488" max="10488" width="62.7109375" style="19" bestFit="1" customWidth="1"/>
    <col min="10489" max="10489" width="19" style="19" bestFit="1" customWidth="1"/>
    <col min="10490" max="10490" width="23.42578125" style="19" bestFit="1" customWidth="1"/>
    <col min="10491" max="10491" width="8.85546875" style="19"/>
    <col min="10492" max="10492" width="43.140625" style="19" bestFit="1" customWidth="1"/>
    <col min="10493" max="10493" width="18.7109375" style="19" bestFit="1" customWidth="1"/>
    <col min="10494" max="10494" width="19.85546875" style="19" bestFit="1" customWidth="1"/>
    <col min="10495" max="10495" width="19.42578125" style="19" bestFit="1" customWidth="1"/>
    <col min="10496" max="10743" width="8.85546875" style="19"/>
    <col min="10744" max="10744" width="62.7109375" style="19" bestFit="1" customWidth="1"/>
    <col min="10745" max="10745" width="19" style="19" bestFit="1" customWidth="1"/>
    <col min="10746" max="10746" width="23.42578125" style="19" bestFit="1" customWidth="1"/>
    <col min="10747" max="10747" width="8.85546875" style="19"/>
    <col min="10748" max="10748" width="43.140625" style="19" bestFit="1" customWidth="1"/>
    <col min="10749" max="10749" width="18.7109375" style="19" bestFit="1" customWidth="1"/>
    <col min="10750" max="10750" width="19.85546875" style="19" bestFit="1" customWidth="1"/>
    <col min="10751" max="10751" width="19.42578125" style="19" bestFit="1" customWidth="1"/>
    <col min="10752" max="10999" width="8.85546875" style="19"/>
    <col min="11000" max="11000" width="62.7109375" style="19" bestFit="1" customWidth="1"/>
    <col min="11001" max="11001" width="19" style="19" bestFit="1" customWidth="1"/>
    <col min="11002" max="11002" width="23.42578125" style="19" bestFit="1" customWidth="1"/>
    <col min="11003" max="11003" width="8.85546875" style="19"/>
    <col min="11004" max="11004" width="43.140625" style="19" bestFit="1" customWidth="1"/>
    <col min="11005" max="11005" width="18.7109375" style="19" bestFit="1" customWidth="1"/>
    <col min="11006" max="11006" width="19.85546875" style="19" bestFit="1" customWidth="1"/>
    <col min="11007" max="11007" width="19.42578125" style="19" bestFit="1" customWidth="1"/>
    <col min="11008" max="11255" width="8.85546875" style="19"/>
    <col min="11256" max="11256" width="62.7109375" style="19" bestFit="1" customWidth="1"/>
    <col min="11257" max="11257" width="19" style="19" bestFit="1" customWidth="1"/>
    <col min="11258" max="11258" width="23.42578125" style="19" bestFit="1" customWidth="1"/>
    <col min="11259" max="11259" width="8.85546875" style="19"/>
    <col min="11260" max="11260" width="43.140625" style="19" bestFit="1" customWidth="1"/>
    <col min="11261" max="11261" width="18.7109375" style="19" bestFit="1" customWidth="1"/>
    <col min="11262" max="11262" width="19.85546875" style="19" bestFit="1" customWidth="1"/>
    <col min="11263" max="11263" width="19.42578125" style="19" bestFit="1" customWidth="1"/>
    <col min="11264" max="11511" width="8.85546875" style="19"/>
    <col min="11512" max="11512" width="62.7109375" style="19" bestFit="1" customWidth="1"/>
    <col min="11513" max="11513" width="19" style="19" bestFit="1" customWidth="1"/>
    <col min="11514" max="11514" width="23.42578125" style="19" bestFit="1" customWidth="1"/>
    <col min="11515" max="11515" width="8.85546875" style="19"/>
    <col min="11516" max="11516" width="43.140625" style="19" bestFit="1" customWidth="1"/>
    <col min="11517" max="11517" width="18.7109375" style="19" bestFit="1" customWidth="1"/>
    <col min="11518" max="11518" width="19.85546875" style="19" bestFit="1" customWidth="1"/>
    <col min="11519" max="11519" width="19.42578125" style="19" bestFit="1" customWidth="1"/>
    <col min="11520" max="11767" width="8.85546875" style="19"/>
    <col min="11768" max="11768" width="62.7109375" style="19" bestFit="1" customWidth="1"/>
    <col min="11769" max="11769" width="19" style="19" bestFit="1" customWidth="1"/>
    <col min="11770" max="11770" width="23.42578125" style="19" bestFit="1" customWidth="1"/>
    <col min="11771" max="11771" width="8.85546875" style="19"/>
    <col min="11772" max="11772" width="43.140625" style="19" bestFit="1" customWidth="1"/>
    <col min="11773" max="11773" width="18.7109375" style="19" bestFit="1" customWidth="1"/>
    <col min="11774" max="11774" width="19.85546875" style="19" bestFit="1" customWidth="1"/>
    <col min="11775" max="11775" width="19.42578125" style="19" bestFit="1" customWidth="1"/>
    <col min="11776" max="12023" width="8.85546875" style="19"/>
    <col min="12024" max="12024" width="62.7109375" style="19" bestFit="1" customWidth="1"/>
    <col min="12025" max="12025" width="19" style="19" bestFit="1" customWidth="1"/>
    <col min="12026" max="12026" width="23.42578125" style="19" bestFit="1" customWidth="1"/>
    <col min="12027" max="12027" width="8.85546875" style="19"/>
    <col min="12028" max="12028" width="43.140625" style="19" bestFit="1" customWidth="1"/>
    <col min="12029" max="12029" width="18.7109375" style="19" bestFit="1" customWidth="1"/>
    <col min="12030" max="12030" width="19.85546875" style="19" bestFit="1" customWidth="1"/>
    <col min="12031" max="12031" width="19.42578125" style="19" bestFit="1" customWidth="1"/>
    <col min="12032" max="12279" width="8.85546875" style="19"/>
    <col min="12280" max="12280" width="62.7109375" style="19" bestFit="1" customWidth="1"/>
    <col min="12281" max="12281" width="19" style="19" bestFit="1" customWidth="1"/>
    <col min="12282" max="12282" width="23.42578125" style="19" bestFit="1" customWidth="1"/>
    <col min="12283" max="12283" width="8.85546875" style="19"/>
    <col min="12284" max="12284" width="43.140625" style="19" bestFit="1" customWidth="1"/>
    <col min="12285" max="12285" width="18.7109375" style="19" bestFit="1" customWidth="1"/>
    <col min="12286" max="12286" width="19.85546875" style="19" bestFit="1" customWidth="1"/>
    <col min="12287" max="12287" width="19.42578125" style="19" bestFit="1" customWidth="1"/>
    <col min="12288" max="12535" width="8.85546875" style="19"/>
    <col min="12536" max="12536" width="62.7109375" style="19" bestFit="1" customWidth="1"/>
    <col min="12537" max="12537" width="19" style="19" bestFit="1" customWidth="1"/>
    <col min="12538" max="12538" width="23.42578125" style="19" bestFit="1" customWidth="1"/>
    <col min="12539" max="12539" width="8.85546875" style="19"/>
    <col min="12540" max="12540" width="43.140625" style="19" bestFit="1" customWidth="1"/>
    <col min="12541" max="12541" width="18.7109375" style="19" bestFit="1" customWidth="1"/>
    <col min="12542" max="12542" width="19.85546875" style="19" bestFit="1" customWidth="1"/>
    <col min="12543" max="12543" width="19.42578125" style="19" bestFit="1" customWidth="1"/>
    <col min="12544" max="12791" width="8.85546875" style="19"/>
    <col min="12792" max="12792" width="62.7109375" style="19" bestFit="1" customWidth="1"/>
    <col min="12793" max="12793" width="19" style="19" bestFit="1" customWidth="1"/>
    <col min="12794" max="12794" width="23.42578125" style="19" bestFit="1" customWidth="1"/>
    <col min="12795" max="12795" width="8.85546875" style="19"/>
    <col min="12796" max="12796" width="43.140625" style="19" bestFit="1" customWidth="1"/>
    <col min="12797" max="12797" width="18.7109375" style="19" bestFit="1" customWidth="1"/>
    <col min="12798" max="12798" width="19.85546875" style="19" bestFit="1" customWidth="1"/>
    <col min="12799" max="12799" width="19.42578125" style="19" bestFit="1" customWidth="1"/>
    <col min="12800" max="13047" width="8.85546875" style="19"/>
    <col min="13048" max="13048" width="62.7109375" style="19" bestFit="1" customWidth="1"/>
    <col min="13049" max="13049" width="19" style="19" bestFit="1" customWidth="1"/>
    <col min="13050" max="13050" width="23.42578125" style="19" bestFit="1" customWidth="1"/>
    <col min="13051" max="13051" width="8.85546875" style="19"/>
    <col min="13052" max="13052" width="43.140625" style="19" bestFit="1" customWidth="1"/>
    <col min="13053" max="13053" width="18.7109375" style="19" bestFit="1" customWidth="1"/>
    <col min="13054" max="13054" width="19.85546875" style="19" bestFit="1" customWidth="1"/>
    <col min="13055" max="13055" width="19.42578125" style="19" bestFit="1" customWidth="1"/>
    <col min="13056" max="13303" width="8.85546875" style="19"/>
    <col min="13304" max="13304" width="62.7109375" style="19" bestFit="1" customWidth="1"/>
    <col min="13305" max="13305" width="19" style="19" bestFit="1" customWidth="1"/>
    <col min="13306" max="13306" width="23.42578125" style="19" bestFit="1" customWidth="1"/>
    <col min="13307" max="13307" width="8.85546875" style="19"/>
    <col min="13308" max="13308" width="43.140625" style="19" bestFit="1" customWidth="1"/>
    <col min="13309" max="13309" width="18.7109375" style="19" bestFit="1" customWidth="1"/>
    <col min="13310" max="13310" width="19.85546875" style="19" bestFit="1" customWidth="1"/>
    <col min="13311" max="13311" width="19.42578125" style="19" bestFit="1" customWidth="1"/>
    <col min="13312" max="13559" width="8.85546875" style="19"/>
    <col min="13560" max="13560" width="62.7109375" style="19" bestFit="1" customWidth="1"/>
    <col min="13561" max="13561" width="19" style="19" bestFit="1" customWidth="1"/>
    <col min="13562" max="13562" width="23.42578125" style="19" bestFit="1" customWidth="1"/>
    <col min="13563" max="13563" width="8.85546875" style="19"/>
    <col min="13564" max="13564" width="43.140625" style="19" bestFit="1" customWidth="1"/>
    <col min="13565" max="13565" width="18.7109375" style="19" bestFit="1" customWidth="1"/>
    <col min="13566" max="13566" width="19.85546875" style="19" bestFit="1" customWidth="1"/>
    <col min="13567" max="13567" width="19.42578125" style="19" bestFit="1" customWidth="1"/>
    <col min="13568" max="13815" width="8.85546875" style="19"/>
    <col min="13816" max="13816" width="62.7109375" style="19" bestFit="1" customWidth="1"/>
    <col min="13817" max="13817" width="19" style="19" bestFit="1" customWidth="1"/>
    <col min="13818" max="13818" width="23.42578125" style="19" bestFit="1" customWidth="1"/>
    <col min="13819" max="13819" width="8.85546875" style="19"/>
    <col min="13820" max="13820" width="43.140625" style="19" bestFit="1" customWidth="1"/>
    <col min="13821" max="13821" width="18.7109375" style="19" bestFit="1" customWidth="1"/>
    <col min="13822" max="13822" width="19.85546875" style="19" bestFit="1" customWidth="1"/>
    <col min="13823" max="13823" width="19.42578125" style="19" bestFit="1" customWidth="1"/>
    <col min="13824" max="14071" width="8.85546875" style="19"/>
    <col min="14072" max="14072" width="62.7109375" style="19" bestFit="1" customWidth="1"/>
    <col min="14073" max="14073" width="19" style="19" bestFit="1" customWidth="1"/>
    <col min="14074" max="14074" width="23.42578125" style="19" bestFit="1" customWidth="1"/>
    <col min="14075" max="14075" width="8.85546875" style="19"/>
    <col min="14076" max="14076" width="43.140625" style="19" bestFit="1" customWidth="1"/>
    <col min="14077" max="14077" width="18.7109375" style="19" bestFit="1" customWidth="1"/>
    <col min="14078" max="14078" width="19.85546875" style="19" bestFit="1" customWidth="1"/>
    <col min="14079" max="14079" width="19.42578125" style="19" bestFit="1" customWidth="1"/>
    <col min="14080" max="14327" width="8.85546875" style="19"/>
    <col min="14328" max="14328" width="62.7109375" style="19" bestFit="1" customWidth="1"/>
    <col min="14329" max="14329" width="19" style="19" bestFit="1" customWidth="1"/>
    <col min="14330" max="14330" width="23.42578125" style="19" bestFit="1" customWidth="1"/>
    <col min="14331" max="14331" width="8.85546875" style="19"/>
    <col min="14332" max="14332" width="43.140625" style="19" bestFit="1" customWidth="1"/>
    <col min="14333" max="14333" width="18.7109375" style="19" bestFit="1" customWidth="1"/>
    <col min="14334" max="14334" width="19.85546875" style="19" bestFit="1" customWidth="1"/>
    <col min="14335" max="14335" width="19.42578125" style="19" bestFit="1" customWidth="1"/>
    <col min="14336" max="14583" width="8.85546875" style="19"/>
    <col min="14584" max="14584" width="62.7109375" style="19" bestFit="1" customWidth="1"/>
    <col min="14585" max="14585" width="19" style="19" bestFit="1" customWidth="1"/>
    <col min="14586" max="14586" width="23.42578125" style="19" bestFit="1" customWidth="1"/>
    <col min="14587" max="14587" width="8.85546875" style="19"/>
    <col min="14588" max="14588" width="43.140625" style="19" bestFit="1" customWidth="1"/>
    <col min="14589" max="14589" width="18.7109375" style="19" bestFit="1" customWidth="1"/>
    <col min="14590" max="14590" width="19.85546875" style="19" bestFit="1" customWidth="1"/>
    <col min="14591" max="14591" width="19.42578125" style="19" bestFit="1" customWidth="1"/>
    <col min="14592" max="14839" width="8.85546875" style="19"/>
    <col min="14840" max="14840" width="62.7109375" style="19" bestFit="1" customWidth="1"/>
    <col min="14841" max="14841" width="19" style="19" bestFit="1" customWidth="1"/>
    <col min="14842" max="14842" width="23.42578125" style="19" bestFit="1" customWidth="1"/>
    <col min="14843" max="14843" width="8.85546875" style="19"/>
    <col min="14844" max="14844" width="43.140625" style="19" bestFit="1" customWidth="1"/>
    <col min="14845" max="14845" width="18.7109375" style="19" bestFit="1" customWidth="1"/>
    <col min="14846" max="14846" width="19.85546875" style="19" bestFit="1" customWidth="1"/>
    <col min="14847" max="14847" width="19.42578125" style="19" bestFit="1" customWidth="1"/>
    <col min="14848" max="15095" width="8.85546875" style="19"/>
    <col min="15096" max="15096" width="62.7109375" style="19" bestFit="1" customWidth="1"/>
    <col min="15097" max="15097" width="19" style="19" bestFit="1" customWidth="1"/>
    <col min="15098" max="15098" width="23.42578125" style="19" bestFit="1" customWidth="1"/>
    <col min="15099" max="15099" width="8.85546875" style="19"/>
    <col min="15100" max="15100" width="43.140625" style="19" bestFit="1" customWidth="1"/>
    <col min="15101" max="15101" width="18.7109375" style="19" bestFit="1" customWidth="1"/>
    <col min="15102" max="15102" width="19.85546875" style="19" bestFit="1" customWidth="1"/>
    <col min="15103" max="15103" width="19.42578125" style="19" bestFit="1" customWidth="1"/>
    <col min="15104" max="15351" width="8.85546875" style="19"/>
    <col min="15352" max="15352" width="62.7109375" style="19" bestFit="1" customWidth="1"/>
    <col min="15353" max="15353" width="19" style="19" bestFit="1" customWidth="1"/>
    <col min="15354" max="15354" width="23.42578125" style="19" bestFit="1" customWidth="1"/>
    <col min="15355" max="15355" width="8.85546875" style="19"/>
    <col min="15356" max="15356" width="43.140625" style="19" bestFit="1" customWidth="1"/>
    <col min="15357" max="15357" width="18.7109375" style="19" bestFit="1" customWidth="1"/>
    <col min="15358" max="15358" width="19.85546875" style="19" bestFit="1" customWidth="1"/>
    <col min="15359" max="15359" width="19.42578125" style="19" bestFit="1" customWidth="1"/>
    <col min="15360" max="15607" width="8.85546875" style="19"/>
    <col min="15608" max="15608" width="62.7109375" style="19" bestFit="1" customWidth="1"/>
    <col min="15609" max="15609" width="19" style="19" bestFit="1" customWidth="1"/>
    <col min="15610" max="15610" width="23.42578125" style="19" bestFit="1" customWidth="1"/>
    <col min="15611" max="15611" width="8.85546875" style="19"/>
    <col min="15612" max="15612" width="43.140625" style="19" bestFit="1" customWidth="1"/>
    <col min="15613" max="15613" width="18.7109375" style="19" bestFit="1" customWidth="1"/>
    <col min="15614" max="15614" width="19.85546875" style="19" bestFit="1" customWidth="1"/>
    <col min="15615" max="15615" width="19.42578125" style="19" bestFit="1" customWidth="1"/>
    <col min="15616" max="15863" width="8.85546875" style="19"/>
    <col min="15864" max="15864" width="62.7109375" style="19" bestFit="1" customWidth="1"/>
    <col min="15865" max="15865" width="19" style="19" bestFit="1" customWidth="1"/>
    <col min="15866" max="15866" width="23.42578125" style="19" bestFit="1" customWidth="1"/>
    <col min="15867" max="15867" width="8.85546875" style="19"/>
    <col min="15868" max="15868" width="43.140625" style="19" bestFit="1" customWidth="1"/>
    <col min="15869" max="15869" width="18.7109375" style="19" bestFit="1" customWidth="1"/>
    <col min="15870" max="15870" width="19.85546875" style="19" bestFit="1" customWidth="1"/>
    <col min="15871" max="15871" width="19.42578125" style="19" bestFit="1" customWidth="1"/>
    <col min="15872" max="16119" width="8.85546875" style="19"/>
    <col min="16120" max="16120" width="62.7109375" style="19" bestFit="1" customWidth="1"/>
    <col min="16121" max="16121" width="19" style="19" bestFit="1" customWidth="1"/>
    <col min="16122" max="16122" width="23.42578125" style="19" bestFit="1" customWidth="1"/>
    <col min="16123" max="16123" width="8.85546875" style="19"/>
    <col min="16124" max="16124" width="43.140625" style="19" bestFit="1" customWidth="1"/>
    <col min="16125" max="16125" width="18.7109375" style="19" bestFit="1" customWidth="1"/>
    <col min="16126" max="16126" width="19.85546875" style="19" bestFit="1" customWidth="1"/>
    <col min="16127" max="16127" width="19.42578125" style="19" bestFit="1" customWidth="1"/>
    <col min="16128" max="16379" width="8.85546875" style="19"/>
    <col min="16380" max="16384" width="9.140625" style="19" customWidth="1"/>
  </cols>
  <sheetData>
    <row r="1" spans="2:8" x14ac:dyDescent="0.25">
      <c r="B1" s="1604" t="str">
        <f>'2SFP'!B1</f>
        <v>BHUTAN TELECOM LIMITED</v>
      </c>
      <c r="C1" s="1605"/>
      <c r="D1" s="1605"/>
      <c r="E1" s="1605"/>
      <c r="F1" s="1606"/>
      <c r="G1" s="36"/>
    </row>
    <row r="2" spans="2:8" x14ac:dyDescent="0.25">
      <c r="B2" s="1613" t="s">
        <v>1082</v>
      </c>
      <c r="C2" s="1614"/>
      <c r="D2" s="1614"/>
      <c r="E2" s="1614"/>
      <c r="F2" s="1615"/>
    </row>
    <row r="3" spans="2:8" x14ac:dyDescent="0.25">
      <c r="B3" s="1627" t="s">
        <v>68</v>
      </c>
      <c r="C3" s="1628"/>
      <c r="D3" s="1628"/>
      <c r="E3" s="1628"/>
      <c r="F3" s="1629"/>
    </row>
    <row r="4" spans="2:8" x14ac:dyDescent="0.25">
      <c r="B4" s="673" t="s">
        <v>22</v>
      </c>
      <c r="C4" s="1625">
        <v>2018</v>
      </c>
      <c r="D4" s="1626"/>
      <c r="E4" s="1625">
        <v>2017</v>
      </c>
      <c r="F4" s="1625"/>
    </row>
    <row r="5" spans="2:8" x14ac:dyDescent="0.25">
      <c r="B5" s="674" t="s">
        <v>271</v>
      </c>
      <c r="C5" s="675"/>
      <c r="D5" s="676"/>
      <c r="E5" s="677"/>
      <c r="F5" s="678"/>
      <c r="H5" s="475"/>
    </row>
    <row r="6" spans="2:8" s="21" customFormat="1" x14ac:dyDescent="0.25">
      <c r="B6" s="682" t="s">
        <v>63</v>
      </c>
      <c r="C6" s="683">
        <f>'3SOCI'!D25</f>
        <v>177611993.08260721</v>
      </c>
      <c r="D6" s="684"/>
      <c r="E6" s="683">
        <v>1232812729.5</v>
      </c>
      <c r="F6" s="685"/>
      <c r="G6" s="20"/>
      <c r="H6" s="25"/>
    </row>
    <row r="7" spans="2:8" s="21" customFormat="1" x14ac:dyDescent="0.25">
      <c r="B7" s="686" t="s">
        <v>210</v>
      </c>
      <c r="C7" s="683">
        <f>('2SFP'!D50-'2SFP'!E50)+('2SFP'!D43-'2SFP'!E43)+('2SFP'!D42-'2SFP'!E42)</f>
        <v>-419768273.03521782</v>
      </c>
      <c r="D7" s="684"/>
      <c r="E7" s="683">
        <v>-41438637.50999999</v>
      </c>
      <c r="F7" s="685"/>
      <c r="G7" s="25"/>
      <c r="H7" s="20"/>
    </row>
    <row r="8" spans="2:8" s="22" customFormat="1" x14ac:dyDescent="0.25">
      <c r="B8" s="687" t="s">
        <v>84</v>
      </c>
      <c r="C8" s="683">
        <f>-1227863.4+171935.91</f>
        <v>-1055927.49</v>
      </c>
      <c r="D8" s="684"/>
      <c r="E8" s="683">
        <v>0</v>
      </c>
      <c r="F8" s="685"/>
      <c r="G8" s="476"/>
      <c r="H8" s="31"/>
    </row>
    <row r="9" spans="2:8" s="22" customFormat="1" x14ac:dyDescent="0.25">
      <c r="B9" s="687" t="s">
        <v>1089</v>
      </c>
      <c r="C9" s="683">
        <v>2514248.2999999998</v>
      </c>
      <c r="D9" s="684"/>
      <c r="E9" s="683"/>
      <c r="F9" s="685"/>
      <c r="G9" s="476"/>
      <c r="H9" s="31"/>
    </row>
    <row r="10" spans="2:8" s="21" customFormat="1" x14ac:dyDescent="0.25">
      <c r="B10" s="687" t="s">
        <v>82</v>
      </c>
      <c r="C10" s="683"/>
      <c r="D10" s="684"/>
      <c r="E10" s="683"/>
      <c r="F10" s="685"/>
    </row>
    <row r="11" spans="2:8" s="21" customFormat="1" x14ac:dyDescent="0.25">
      <c r="B11" s="688" t="s">
        <v>241</v>
      </c>
      <c r="C11" s="689"/>
      <c r="D11" s="690">
        <f>SUM(C6:C10)</f>
        <v>-240697959.14261061</v>
      </c>
      <c r="E11" s="679"/>
      <c r="F11" s="691">
        <f>SUM(E6:E10)</f>
        <v>1191374091.99</v>
      </c>
    </row>
    <row r="12" spans="2:8" s="21" customFormat="1" x14ac:dyDescent="0.25">
      <c r="B12" s="692" t="s">
        <v>69</v>
      </c>
      <c r="C12" s="689"/>
      <c r="D12" s="690"/>
      <c r="E12" s="679"/>
      <c r="F12" s="681"/>
    </row>
    <row r="13" spans="2:8" s="21" customFormat="1" x14ac:dyDescent="0.25">
      <c r="B13" s="687" t="s">
        <v>2</v>
      </c>
      <c r="C13" s="683">
        <f>'10N_22-33'!E197</f>
        <v>51800000</v>
      </c>
      <c r="D13" s="684"/>
      <c r="E13" s="683">
        <v>667866259.82999992</v>
      </c>
      <c r="F13" s="685"/>
    </row>
    <row r="14" spans="2:8" s="21" customFormat="1" x14ac:dyDescent="0.25">
      <c r="B14" s="687" t="s">
        <v>220</v>
      </c>
      <c r="C14" s="683">
        <f>'10N_22-33'!E204+'10N_22-33'!E206</f>
        <v>0</v>
      </c>
      <c r="D14" s="684"/>
      <c r="E14" s="683">
        <v>35135206.240000002</v>
      </c>
      <c r="F14" s="685"/>
    </row>
    <row r="15" spans="2:8" s="21" customFormat="1" x14ac:dyDescent="0.25">
      <c r="B15" s="687" t="s">
        <v>3</v>
      </c>
      <c r="C15" s="683">
        <f>-'10N_22-33'!E80</f>
        <v>0</v>
      </c>
      <c r="D15" s="684">
        <f>SUM(C13:C15)</f>
        <v>51800000</v>
      </c>
      <c r="E15" s="683">
        <v>-6795680.2699999996</v>
      </c>
      <c r="F15" s="685">
        <f>SUM(E13:E15)</f>
        <v>696205785.79999995</v>
      </c>
      <c r="G15" s="25"/>
    </row>
    <row r="16" spans="2:8" s="21" customFormat="1" ht="31.5" x14ac:dyDescent="0.25">
      <c r="B16" s="688" t="s">
        <v>272</v>
      </c>
      <c r="C16" s="689"/>
      <c r="D16" s="690">
        <f>SUM(D11:D15)</f>
        <v>-188897959.14261061</v>
      </c>
      <c r="E16" s="679"/>
      <c r="F16" s="691">
        <f>SUM(F11:F15)</f>
        <v>1887579877.79</v>
      </c>
    </row>
    <row r="17" spans="2:8" s="21" customFormat="1" x14ac:dyDescent="0.25">
      <c r="B17" s="686" t="s">
        <v>83</v>
      </c>
      <c r="C17" s="683">
        <f>'2SFP'!E18-'2SFP'!D18</f>
        <v>111150658.03999999</v>
      </c>
      <c r="D17" s="693"/>
      <c r="E17" s="683">
        <v>65885129.519999981</v>
      </c>
      <c r="F17" s="685"/>
      <c r="G17" s="20">
        <f>'2SFP'!E18</f>
        <v>98690458.519999996</v>
      </c>
      <c r="H17" s="25"/>
    </row>
    <row r="18" spans="2:8" s="21" customFormat="1" x14ac:dyDescent="0.25">
      <c r="B18" s="686" t="s">
        <v>257</v>
      </c>
      <c r="C18" s="683">
        <f>'2SFP'!E20-'2SFP'!D20</f>
        <v>126107387.89000005</v>
      </c>
      <c r="D18" s="693"/>
      <c r="E18" s="683">
        <v>-406659.21999998391</v>
      </c>
      <c r="F18" s="685"/>
      <c r="G18" s="25">
        <f>-'2SFP'!D18</f>
        <v>12460199.52</v>
      </c>
      <c r="H18" s="25"/>
    </row>
    <row r="19" spans="2:8" s="21" customFormat="1" x14ac:dyDescent="0.25">
      <c r="B19" s="686" t="s">
        <v>259</v>
      </c>
      <c r="C19" s="683">
        <f>'2SFP'!E22-'2SFP'!D22</f>
        <v>852829.10000000009</v>
      </c>
      <c r="D19" s="693"/>
      <c r="E19" s="683">
        <v>665650.15000000026</v>
      </c>
      <c r="F19" s="685"/>
      <c r="G19" s="20"/>
      <c r="H19" s="25"/>
    </row>
    <row r="20" spans="2:8" s="21" customFormat="1" x14ac:dyDescent="0.25">
      <c r="B20" s="686" t="s">
        <v>258</v>
      </c>
      <c r="C20" s="683">
        <f>'2SFP'!E23-'2SFP'!D23</f>
        <v>248058110.88999999</v>
      </c>
      <c r="D20" s="684"/>
      <c r="E20" s="683">
        <v>19514542.170000002</v>
      </c>
      <c r="F20" s="685"/>
      <c r="G20" s="20"/>
      <c r="H20" s="25"/>
    </row>
    <row r="21" spans="2:8" s="21" customFormat="1" x14ac:dyDescent="0.25">
      <c r="B21" s="686" t="s">
        <v>260</v>
      </c>
      <c r="C21" s="683">
        <f>'2SFP'!E13-'2SFP'!D13</f>
        <v>-8572286.6499999985</v>
      </c>
      <c r="D21" s="684"/>
      <c r="E21" s="683">
        <v>-9659868.5</v>
      </c>
      <c r="F21" s="685"/>
      <c r="G21" s="20"/>
      <c r="H21" s="25"/>
    </row>
    <row r="22" spans="2:8" s="21" customFormat="1" x14ac:dyDescent="0.25">
      <c r="B22" s="686" t="s">
        <v>1073</v>
      </c>
      <c r="C22" s="683">
        <f>'2SFP'!E11-'2SFP'!D11</f>
        <v>92308400</v>
      </c>
      <c r="D22" s="684"/>
      <c r="E22" s="683"/>
      <c r="F22" s="685"/>
      <c r="G22" s="20"/>
      <c r="H22" s="25"/>
    </row>
    <row r="23" spans="2:8" s="21" customFormat="1" x14ac:dyDescent="0.25">
      <c r="B23" s="686" t="s">
        <v>261</v>
      </c>
      <c r="C23" s="683">
        <f>+'7N_3-12'!F15-'7N_3-12'!E15-'7N_3-12'!F16+'7N_3-12'!E16</f>
        <v>120000000</v>
      </c>
      <c r="D23" s="684"/>
      <c r="E23" s="683">
        <v>-64376695.920000002</v>
      </c>
      <c r="F23" s="685"/>
      <c r="G23" s="20"/>
      <c r="H23" s="25"/>
    </row>
    <row r="24" spans="2:8" s="21" customFormat="1" x14ac:dyDescent="0.25">
      <c r="B24" s="686" t="s">
        <v>262</v>
      </c>
      <c r="C24" s="683">
        <f>'2SFP'!E14-'2SFP'!D14</f>
        <v>25900000</v>
      </c>
      <c r="D24" s="684"/>
      <c r="E24" s="683">
        <v>12950000</v>
      </c>
      <c r="F24" s="685"/>
      <c r="G24" s="20"/>
      <c r="H24" s="25"/>
    </row>
    <row r="25" spans="2:8" s="21" customFormat="1" x14ac:dyDescent="0.25">
      <c r="B25" s="686" t="s">
        <v>263</v>
      </c>
      <c r="C25" s="683">
        <f>'2SFP'!D48-'2SFP'!E48</f>
        <v>15706455.580000013</v>
      </c>
      <c r="D25" s="684"/>
      <c r="E25" s="683">
        <v>38897801.099999994</v>
      </c>
      <c r="F25" s="685"/>
      <c r="H25" s="25"/>
    </row>
    <row r="26" spans="2:8" s="21" customFormat="1" ht="16.5" x14ac:dyDescent="0.25">
      <c r="B26" s="686" t="s">
        <v>264</v>
      </c>
      <c r="C26" s="683">
        <f>-('2SFP'!E51-'2SFP'!D51)</f>
        <v>178994158.31</v>
      </c>
      <c r="D26" s="989"/>
      <c r="E26" s="683">
        <v>-23638560.659999996</v>
      </c>
      <c r="F26" s="685">
        <f>SUM(E17:E26)</f>
        <v>39831338.640000001</v>
      </c>
      <c r="G26" s="20"/>
      <c r="H26" s="25"/>
    </row>
    <row r="27" spans="2:8" s="21" customFormat="1" x14ac:dyDescent="0.25">
      <c r="B27" s="686" t="s">
        <v>1509</v>
      </c>
      <c r="C27" s="683">
        <f>-('2SFP'!E49-'2SFP'!D49)</f>
        <v>-5324264.3100000024</v>
      </c>
      <c r="D27" s="684"/>
      <c r="E27" s="683"/>
      <c r="F27" s="685"/>
      <c r="G27" s="20"/>
      <c r="H27" s="25"/>
    </row>
    <row r="28" spans="2:8" s="21" customFormat="1" x14ac:dyDescent="0.25">
      <c r="B28" s="686" t="s">
        <v>1511</v>
      </c>
      <c r="C28" s="683">
        <f>+'2SFP'!E24-'2SFP'!D24</f>
        <v>-99285178.310000002</v>
      </c>
      <c r="D28" s="684"/>
      <c r="E28" s="683"/>
      <c r="F28" s="685"/>
      <c r="G28" s="20"/>
      <c r="H28" s="25"/>
    </row>
    <row r="29" spans="2:8" s="21" customFormat="1" x14ac:dyDescent="0.25">
      <c r="B29" s="686" t="s">
        <v>1510</v>
      </c>
      <c r="C29" s="683">
        <f>-('2SFP'!E41-'2SFP'!D41)</f>
        <v>0</v>
      </c>
      <c r="D29" s="684"/>
      <c r="E29" s="683"/>
      <c r="F29" s="685"/>
      <c r="G29" s="20"/>
      <c r="H29" s="25"/>
    </row>
    <row r="30" spans="2:8" s="21" customFormat="1" x14ac:dyDescent="0.25">
      <c r="B30" s="686" t="s">
        <v>1512</v>
      </c>
      <c r="C30" s="683">
        <f>-('2SFP'!E35-'2SFP'!D35)</f>
        <v>-87633714.299999997</v>
      </c>
      <c r="D30" s="684">
        <f>SUM(C17:C30)</f>
        <v>718262556.24000025</v>
      </c>
      <c r="E30" s="683"/>
      <c r="F30" s="685"/>
      <c r="G30" s="20"/>
      <c r="H30" s="25"/>
    </row>
    <row r="31" spans="2:8" s="21" customFormat="1" x14ac:dyDescent="0.25">
      <c r="B31" s="692" t="s">
        <v>62</v>
      </c>
      <c r="C31" s="689"/>
      <c r="D31" s="690">
        <f>SUM(D16:D30)</f>
        <v>529364597.09738964</v>
      </c>
      <c r="E31" s="679"/>
      <c r="F31" s="691">
        <f>SUM(F16:F26)</f>
        <v>1927411216.4300001</v>
      </c>
      <c r="H31" s="25"/>
    </row>
    <row r="32" spans="2:8" s="21" customFormat="1" x14ac:dyDescent="0.25">
      <c r="B32" s="686" t="s">
        <v>61</v>
      </c>
      <c r="C32" s="683"/>
      <c r="D32" s="684">
        <f>-207138914.29-220145039-2660416-10737614.48-347109</f>
        <v>-441029092.76999998</v>
      </c>
      <c r="E32" s="683"/>
      <c r="F32" s="685">
        <v>-452461096.53999996</v>
      </c>
      <c r="H32" s="25"/>
    </row>
    <row r="33" spans="2:15" s="21" customFormat="1" x14ac:dyDescent="0.25">
      <c r="B33" s="695" t="s">
        <v>273</v>
      </c>
      <c r="C33" s="696"/>
      <c r="D33" s="693">
        <f>SUM(D31:D32)</f>
        <v>88335504.327389657</v>
      </c>
      <c r="E33" s="683"/>
      <c r="F33" s="697">
        <f>SUM(F31:F32)</f>
        <v>1474950119.8900001</v>
      </c>
      <c r="G33" s="20"/>
    </row>
    <row r="34" spans="2:15" s="21" customFormat="1" x14ac:dyDescent="0.25">
      <c r="B34" s="698" t="s">
        <v>274</v>
      </c>
      <c r="C34" s="683"/>
      <c r="D34" s="684"/>
      <c r="E34" s="683"/>
      <c r="F34" s="685"/>
      <c r="H34" s="25"/>
    </row>
    <row r="35" spans="2:15" s="21" customFormat="1" x14ac:dyDescent="0.25">
      <c r="B35" s="686" t="s">
        <v>266</v>
      </c>
      <c r="C35" s="699">
        <f>-'6N_PPE'!D20</f>
        <v>-407444263.65571219</v>
      </c>
      <c r="D35" s="684"/>
      <c r="E35" s="683">
        <v>-949217983.71000004</v>
      </c>
      <c r="F35" s="685"/>
      <c r="L35" s="23"/>
      <c r="O35" s="23"/>
    </row>
    <row r="36" spans="2:15" s="21" customFormat="1" x14ac:dyDescent="0.25">
      <c r="B36" s="686" t="s">
        <v>267</v>
      </c>
      <c r="C36" s="699">
        <f>-'6N_PPE'!D24</f>
        <v>-145319454.88065022</v>
      </c>
      <c r="D36" s="684"/>
      <c r="E36" s="683">
        <v>-500250728.70999998</v>
      </c>
      <c r="F36" s="685"/>
      <c r="L36" s="23"/>
    </row>
    <row r="37" spans="2:15" s="21" customFormat="1" x14ac:dyDescent="0.25">
      <c r="B37" s="686" t="s">
        <v>268</v>
      </c>
      <c r="C37" s="699">
        <f>'2SFP'!E9-'2SFP'!D9</f>
        <v>17078036.210000001</v>
      </c>
      <c r="D37" s="684"/>
      <c r="E37" s="683">
        <v>176659651.96000001</v>
      </c>
      <c r="F37" s="685"/>
    </row>
    <row r="38" spans="2:15" s="21" customFormat="1" x14ac:dyDescent="0.25">
      <c r="B38" s="686" t="s">
        <v>594</v>
      </c>
      <c r="C38" s="699">
        <v>1963000</v>
      </c>
      <c r="D38" s="684"/>
      <c r="E38" s="683"/>
      <c r="F38" s="685"/>
      <c r="L38" s="24"/>
    </row>
    <row r="39" spans="2:15" s="21" customFormat="1" x14ac:dyDescent="0.25">
      <c r="B39" s="686" t="s">
        <v>3</v>
      </c>
      <c r="C39" s="699"/>
      <c r="D39" s="684"/>
      <c r="E39" s="683">
        <v>6795680.2699999996</v>
      </c>
      <c r="F39" s="685"/>
    </row>
    <row r="40" spans="2:15" s="21" customFormat="1" x14ac:dyDescent="0.25">
      <c r="B40" s="686" t="s">
        <v>269</v>
      </c>
      <c r="C40" s="699">
        <f>-C15</f>
        <v>0</v>
      </c>
      <c r="D40" s="684"/>
      <c r="E40" s="699">
        <v>0</v>
      </c>
      <c r="F40" s="685"/>
      <c r="L40" s="23"/>
    </row>
    <row r="41" spans="2:15" s="21" customFormat="1" x14ac:dyDescent="0.25">
      <c r="B41" s="686" t="s">
        <v>270</v>
      </c>
      <c r="C41" s="699">
        <v>0</v>
      </c>
      <c r="D41" s="684"/>
      <c r="E41" s="699">
        <v>0</v>
      </c>
      <c r="F41" s="685"/>
      <c r="L41" s="23"/>
    </row>
    <row r="42" spans="2:15" s="21" customFormat="1" x14ac:dyDescent="0.25">
      <c r="B42" s="692" t="s">
        <v>275</v>
      </c>
      <c r="C42" s="689"/>
      <c r="D42" s="690">
        <f>SUM(C35:C41)</f>
        <v>-533722682.32636243</v>
      </c>
      <c r="E42" s="679"/>
      <c r="F42" s="691">
        <f>SUM(E35:E41)</f>
        <v>-1266013380.1900001</v>
      </c>
      <c r="G42" s="20"/>
    </row>
    <row r="43" spans="2:15" s="21" customFormat="1" x14ac:dyDescent="0.25">
      <c r="B43" s="694" t="s">
        <v>276</v>
      </c>
      <c r="C43" s="679"/>
      <c r="D43" s="680"/>
      <c r="E43" s="679"/>
      <c r="F43" s="681"/>
    </row>
    <row r="44" spans="2:15" s="21" customFormat="1" x14ac:dyDescent="0.25">
      <c r="B44" s="686" t="s">
        <v>477</v>
      </c>
      <c r="C44" s="683">
        <f>'2SFP'!D40-'2SFP'!E40</f>
        <v>-554684978.84000003</v>
      </c>
      <c r="D44" s="684"/>
      <c r="E44" s="683">
        <v>348615398.00999999</v>
      </c>
      <c r="F44" s="685"/>
    </row>
    <row r="45" spans="2:15" s="21" customFormat="1" x14ac:dyDescent="0.25">
      <c r="B45" s="686" t="s">
        <v>252</v>
      </c>
      <c r="C45" s="683">
        <f>'2SFP'!D47-'2SFP'!E47</f>
        <v>0</v>
      </c>
      <c r="D45" s="684"/>
      <c r="E45" s="683">
        <v>79636472.989999995</v>
      </c>
      <c r="F45" s="685"/>
    </row>
    <row r="46" spans="2:15" s="21" customFormat="1" x14ac:dyDescent="0.25">
      <c r="B46" s="686" t="s">
        <v>277</v>
      </c>
      <c r="C46" s="683">
        <f>+'9N_14-21'!C115</f>
        <v>0</v>
      </c>
      <c r="D46" s="684"/>
      <c r="E46" s="683">
        <v>5500000</v>
      </c>
      <c r="F46" s="685"/>
    </row>
    <row r="47" spans="2:15" s="21" customFormat="1" x14ac:dyDescent="0.25">
      <c r="B47" s="686" t="s">
        <v>278</v>
      </c>
      <c r="C47" s="683">
        <f>'5SOCE'!F18</f>
        <v>-843900560</v>
      </c>
      <c r="D47" s="684"/>
      <c r="E47" s="683">
        <v>-685381143.63</v>
      </c>
      <c r="F47" s="685"/>
    </row>
    <row r="48" spans="2:15" s="21" customFormat="1" x14ac:dyDescent="0.25">
      <c r="B48" s="686" t="s">
        <v>279</v>
      </c>
      <c r="C48" s="683">
        <f>-C14</f>
        <v>0</v>
      </c>
      <c r="D48" s="684"/>
      <c r="E48" s="683">
        <v>-35135206.240000002</v>
      </c>
      <c r="F48" s="685"/>
    </row>
    <row r="49" spans="1:8" s="21" customFormat="1" x14ac:dyDescent="0.25">
      <c r="B49" s="692" t="s">
        <v>280</v>
      </c>
      <c r="C49" s="689"/>
      <c r="D49" s="690">
        <f>SUM(C44:C48)</f>
        <v>-1398585538.8400002</v>
      </c>
      <c r="E49" s="679"/>
      <c r="F49" s="691">
        <f>SUM(E44:E48)</f>
        <v>-286764478.87</v>
      </c>
    </row>
    <row r="50" spans="1:8" s="21" customFormat="1" x14ac:dyDescent="0.25">
      <c r="B50" s="692" t="s">
        <v>281</v>
      </c>
      <c r="C50" s="689"/>
      <c r="D50" s="690">
        <f>D49+D42+D33</f>
        <v>-1843972716.8389728</v>
      </c>
      <c r="E50" s="679"/>
      <c r="F50" s="691">
        <f>F49+F42+F33</f>
        <v>-77827739.169999838</v>
      </c>
    </row>
    <row r="51" spans="1:8" s="21" customFormat="1" x14ac:dyDescent="0.25">
      <c r="B51" s="686" t="s">
        <v>115</v>
      </c>
      <c r="C51" s="683">
        <f>E52</f>
        <v>172043085.68000001</v>
      </c>
      <c r="D51" s="684" t="s">
        <v>98</v>
      </c>
      <c r="E51" s="683">
        <v>249870824.84999999</v>
      </c>
      <c r="F51" s="685"/>
      <c r="G51" s="25"/>
      <c r="H51" s="20"/>
    </row>
    <row r="52" spans="1:8" s="21" customFormat="1" x14ac:dyDescent="0.25">
      <c r="B52" s="686" t="s">
        <v>114</v>
      </c>
      <c r="C52" s="683">
        <f>C61</f>
        <v>265911140.67999995</v>
      </c>
      <c r="D52" s="684"/>
      <c r="E52" s="683">
        <f>D61</f>
        <v>172043085.68000001</v>
      </c>
      <c r="F52" s="685"/>
    </row>
    <row r="53" spans="1:8" s="21" customFormat="1" x14ac:dyDescent="0.25">
      <c r="B53" s="700" t="s">
        <v>281</v>
      </c>
      <c r="C53" s="701"/>
      <c r="D53" s="702">
        <f>C52-C51+1.13</f>
        <v>93868056.129999936</v>
      </c>
      <c r="E53" s="703"/>
      <c r="F53" s="704">
        <f>+E52-E51</f>
        <v>-77827739.169999987</v>
      </c>
    </row>
    <row r="54" spans="1:8" s="21" customFormat="1" x14ac:dyDescent="0.25">
      <c r="A54" s="159"/>
      <c r="B54" s="1331"/>
      <c r="C54" s="396"/>
      <c r="D54" s="945"/>
      <c r="E54" s="481"/>
      <c r="F54" s="482"/>
      <c r="G54" s="25"/>
      <c r="H54" s="25"/>
    </row>
    <row r="55" spans="1:8" s="21" customFormat="1" ht="31.5" x14ac:dyDescent="0.25">
      <c r="B55" s="705" t="s">
        <v>282</v>
      </c>
      <c r="C55" s="706">
        <v>2018</v>
      </c>
      <c r="D55" s="707">
        <v>2017</v>
      </c>
      <c r="E55" s="483"/>
      <c r="F55" s="484"/>
    </row>
    <row r="56" spans="1:8" s="21" customFormat="1" x14ac:dyDescent="0.25">
      <c r="B56" s="708" t="s">
        <v>65</v>
      </c>
      <c r="C56" s="709">
        <f>+'7N_3-12'!E84</f>
        <v>-1227354.45</v>
      </c>
      <c r="D56" s="663">
        <v>358313</v>
      </c>
      <c r="E56" s="485"/>
      <c r="F56" s="391"/>
    </row>
    <row r="57" spans="1:8" s="21" customFormat="1" x14ac:dyDescent="0.25">
      <c r="B57" s="708" t="s">
        <v>604</v>
      </c>
      <c r="C57" s="709">
        <f>'7N_3-12'!E99</f>
        <v>267138495.12999994</v>
      </c>
      <c r="D57" s="663">
        <v>171684772.68000001</v>
      </c>
      <c r="E57" s="485"/>
      <c r="F57" s="391"/>
    </row>
    <row r="58" spans="1:8" s="21" customFormat="1" x14ac:dyDescent="0.25">
      <c r="B58" s="708" t="s">
        <v>66</v>
      </c>
      <c r="C58" s="709">
        <v>0</v>
      </c>
      <c r="D58" s="663">
        <v>0</v>
      </c>
      <c r="E58" s="485"/>
      <c r="F58" s="391"/>
    </row>
    <row r="59" spans="1:8" s="21" customFormat="1" x14ac:dyDescent="0.25">
      <c r="B59" s="688" t="s">
        <v>283</v>
      </c>
      <c r="C59" s="710">
        <f>SUM(C56:C58)</f>
        <v>265911140.67999995</v>
      </c>
      <c r="D59" s="711">
        <f>SUM(D56:D58)</f>
        <v>172043085.68000001</v>
      </c>
      <c r="E59" s="487"/>
      <c r="F59" s="391"/>
    </row>
    <row r="60" spans="1:8" s="21" customFormat="1" x14ac:dyDescent="0.25">
      <c r="B60" s="708" t="s">
        <v>603</v>
      </c>
      <c r="C60" s="651"/>
      <c r="D60" s="660"/>
      <c r="E60" s="485"/>
      <c r="F60" s="391"/>
      <c r="G60" s="26"/>
    </row>
    <row r="61" spans="1:8" s="21" customFormat="1" ht="31.5" x14ac:dyDescent="0.25">
      <c r="B61" s="712" t="s">
        <v>284</v>
      </c>
      <c r="C61" s="713">
        <f>+C59+C60</f>
        <v>265911140.67999995</v>
      </c>
      <c r="D61" s="714">
        <f>+D59+D60</f>
        <v>172043085.68000001</v>
      </c>
      <c r="E61" s="488"/>
      <c r="F61" s="482"/>
    </row>
    <row r="62" spans="1:8" s="21" customFormat="1" x14ac:dyDescent="0.25">
      <c r="B62" s="1332" t="s">
        <v>285</v>
      </c>
      <c r="C62" s="396"/>
      <c r="D62" s="396"/>
      <c r="E62" s="396"/>
      <c r="F62" s="391"/>
    </row>
    <row r="63" spans="1:8" s="21" customFormat="1" x14ac:dyDescent="0.25">
      <c r="B63" s="1331"/>
      <c r="C63" s="396"/>
      <c r="D63" s="396"/>
      <c r="E63" s="396"/>
      <c r="F63" s="391"/>
    </row>
    <row r="64" spans="1:8" s="715" customFormat="1" x14ac:dyDescent="0.25">
      <c r="B64" s="1333" t="str">
        <f>'2SFP'!B61</f>
        <v>For GSA &amp; Associates.</v>
      </c>
      <c r="C64" s="651"/>
      <c r="D64" s="710"/>
      <c r="E64" s="710" t="str">
        <f>'2SFP'!E61</f>
        <v>for and on behalf of board of directors</v>
      </c>
      <c r="F64" s="660"/>
    </row>
    <row r="65" spans="2:8" s="21" customFormat="1" x14ac:dyDescent="0.25">
      <c r="B65" s="1332" t="str">
        <f>'2SFP'!B62</f>
        <v>Chartered accountants</v>
      </c>
      <c r="C65" s="396"/>
      <c r="D65" s="651"/>
      <c r="E65" s="651"/>
      <c r="F65" s="391"/>
    </row>
    <row r="66" spans="2:8" s="21" customFormat="1" x14ac:dyDescent="0.25">
      <c r="B66" s="1332" t="str">
        <f>'2SFP'!B63</f>
        <v>(Firm Reg. No. 000257N)</v>
      </c>
      <c r="C66" s="486"/>
      <c r="D66" s="710"/>
      <c r="E66" s="651"/>
      <c r="F66" s="391"/>
      <c r="H66" s="3"/>
    </row>
    <row r="67" spans="2:8" s="21" customFormat="1" x14ac:dyDescent="0.25">
      <c r="B67" s="1334"/>
      <c r="C67" s="1042"/>
      <c r="D67" s="1043"/>
      <c r="E67" s="651"/>
      <c r="F67" s="391"/>
      <c r="H67" s="3"/>
    </row>
    <row r="68" spans="2:8" s="21" customFormat="1" x14ac:dyDescent="0.25">
      <c r="B68" s="1334"/>
      <c r="C68" s="486"/>
      <c r="D68" s="710"/>
      <c r="E68" s="716" t="str">
        <f>'2SFP'!E65</f>
        <v>Chairman</v>
      </c>
      <c r="F68" s="1335"/>
      <c r="G68" s="3"/>
      <c r="H68" s="3"/>
    </row>
    <row r="69" spans="2:8" s="21" customFormat="1" x14ac:dyDescent="0.25">
      <c r="B69" s="1334"/>
      <c r="C69" s="486"/>
      <c r="D69" s="710"/>
      <c r="E69" s="651"/>
      <c r="F69" s="391"/>
      <c r="G69" s="3"/>
      <c r="H69" s="3"/>
    </row>
    <row r="70" spans="2:8" s="21" customFormat="1" x14ac:dyDescent="0.25">
      <c r="B70" s="1333" t="str">
        <f>'2SFP'!B67</f>
        <v>Tanuj Chugh</v>
      </c>
      <c r="C70" s="396"/>
      <c r="D70" s="651"/>
      <c r="E70" s="651"/>
      <c r="F70" s="391"/>
      <c r="G70" s="3"/>
      <c r="H70" s="3"/>
    </row>
    <row r="71" spans="2:8" s="21" customFormat="1" x14ac:dyDescent="0.25">
      <c r="B71" s="1332" t="str">
        <f>'2SFP'!B68</f>
        <v>Partner</v>
      </c>
      <c r="C71" s="1044"/>
      <c r="D71" s="651"/>
      <c r="E71" s="651"/>
      <c r="F71" s="391"/>
      <c r="G71" s="3"/>
      <c r="H71" s="3"/>
    </row>
    <row r="72" spans="2:8" s="21" customFormat="1" x14ac:dyDescent="0.25">
      <c r="B72" s="1336" t="str">
        <f>'2SFP'!B69</f>
        <v>M. No. 529619</v>
      </c>
      <c r="C72" s="1337"/>
      <c r="D72" s="1338"/>
      <c r="E72" s="1339" t="str">
        <f>'2SFP'!E69</f>
        <v>Chief Executive Officer</v>
      </c>
      <c r="F72" s="1340"/>
      <c r="G72" s="3"/>
      <c r="H72" s="3"/>
    </row>
    <row r="73" spans="2:8" s="21" customFormat="1" x14ac:dyDescent="0.25">
      <c r="B73" s="1041"/>
      <c r="C73" s="1045"/>
      <c r="D73" s="651"/>
      <c r="E73" s="651"/>
      <c r="F73" s="1028"/>
      <c r="G73" s="3"/>
      <c r="H73" s="3"/>
    </row>
    <row r="74" spans="2:8" s="21" customFormat="1" x14ac:dyDescent="0.25">
      <c r="B74" s="1041" t="str">
        <f>'2SFP'!B71</f>
        <v xml:space="preserve">Place: </v>
      </c>
      <c r="C74" s="709"/>
      <c r="D74" s="396"/>
      <c r="E74" s="396"/>
      <c r="F74" s="1028"/>
    </row>
    <row r="75" spans="2:8" s="21" customFormat="1" ht="16.5" thickBot="1" x14ac:dyDescent="0.3">
      <c r="B75" s="1046" t="str">
        <f>'2SFP'!B72</f>
        <v xml:space="preserve">Date: </v>
      </c>
      <c r="C75" s="1047"/>
      <c r="D75" s="1048"/>
      <c r="E75" s="1048"/>
      <c r="F75" s="1049"/>
    </row>
    <row r="76" spans="2:8" s="21" customFormat="1" x14ac:dyDescent="0.25">
      <c r="B76" s="418"/>
      <c r="C76" s="489"/>
      <c r="D76" s="489"/>
      <c r="E76" s="489"/>
      <c r="F76" s="489"/>
    </row>
    <row r="77" spans="2:8" s="21" customFormat="1" x14ac:dyDescent="0.25">
      <c r="B77" s="418"/>
      <c r="C77" s="489"/>
      <c r="D77" s="489"/>
      <c r="E77" s="489"/>
      <c r="F77" s="489"/>
    </row>
    <row r="78" spans="2:8" s="21" customFormat="1" x14ac:dyDescent="0.25">
      <c r="B78" s="418"/>
      <c r="C78" s="489"/>
      <c r="D78" s="489"/>
      <c r="E78" s="489"/>
      <c r="F78" s="489"/>
    </row>
    <row r="79" spans="2:8" s="21" customFormat="1" x14ac:dyDescent="0.25">
      <c r="B79" s="418"/>
      <c r="C79" s="489"/>
      <c r="D79" s="489"/>
      <c r="E79" s="489"/>
      <c r="F79" s="489"/>
    </row>
    <row r="80" spans="2:8" s="21" customFormat="1" x14ac:dyDescent="0.25">
      <c r="B80" s="418"/>
      <c r="C80" s="489"/>
      <c r="D80" s="489"/>
      <c r="E80" s="489"/>
      <c r="F80" s="489"/>
    </row>
    <row r="81" spans="2:6" s="21" customFormat="1" x14ac:dyDescent="0.25">
      <c r="B81" s="418"/>
      <c r="C81" s="489"/>
      <c r="D81" s="489"/>
      <c r="E81" s="489"/>
      <c r="F81" s="489"/>
    </row>
    <row r="82" spans="2:6" s="21" customFormat="1" x14ac:dyDescent="0.25">
      <c r="B82" s="418"/>
      <c r="C82" s="489"/>
      <c r="D82" s="489"/>
      <c r="E82" s="489"/>
      <c r="F82" s="489"/>
    </row>
    <row r="83" spans="2:6" s="21" customFormat="1" x14ac:dyDescent="0.25">
      <c r="B83" s="418"/>
      <c r="C83" s="489"/>
      <c r="D83" s="489"/>
      <c r="E83" s="489"/>
      <c r="F83" s="489"/>
    </row>
    <row r="84" spans="2:6" s="21" customFormat="1" x14ac:dyDescent="0.25">
      <c r="B84" s="418"/>
      <c r="C84" s="489"/>
      <c r="D84" s="489"/>
      <c r="E84" s="489"/>
      <c r="F84" s="489"/>
    </row>
    <row r="85" spans="2:6" s="21" customFormat="1" x14ac:dyDescent="0.25">
      <c r="B85" s="418"/>
      <c r="C85" s="489"/>
      <c r="D85" s="489"/>
      <c r="E85" s="489"/>
      <c r="F85" s="489"/>
    </row>
    <row r="86" spans="2:6" s="21" customFormat="1" x14ac:dyDescent="0.25">
      <c r="B86" s="418"/>
      <c r="C86" s="489"/>
      <c r="D86" s="489"/>
      <c r="E86" s="489"/>
      <c r="F86" s="489"/>
    </row>
    <row r="87" spans="2:6" s="21" customFormat="1" x14ac:dyDescent="0.25">
      <c r="B87" s="418"/>
      <c r="C87" s="489"/>
      <c r="D87" s="489"/>
      <c r="E87" s="489"/>
      <c r="F87" s="489"/>
    </row>
    <row r="88" spans="2:6" s="21" customFormat="1" x14ac:dyDescent="0.25">
      <c r="B88" s="418"/>
      <c r="C88" s="489"/>
      <c r="D88" s="489"/>
      <c r="E88" s="489"/>
      <c r="F88" s="489"/>
    </row>
    <row r="89" spans="2:6" s="21" customFormat="1" x14ac:dyDescent="0.25">
      <c r="B89" s="418"/>
      <c r="C89" s="489"/>
      <c r="D89" s="489"/>
      <c r="E89" s="489"/>
      <c r="F89" s="489"/>
    </row>
  </sheetData>
  <mergeCells count="5">
    <mergeCell ref="C4:D4"/>
    <mergeCell ref="E4:F4"/>
    <mergeCell ref="B1:F1"/>
    <mergeCell ref="B2:F2"/>
    <mergeCell ref="B3:F3"/>
  </mergeCells>
  <pageMargins left="0.88" right="0.26" top="0.56000000000000005" bottom="0.2" header="0.05" footer="0.05"/>
  <pageSetup paperSize="9" scale="62"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P72"/>
  <sheetViews>
    <sheetView showGridLines="0" view="pageBreakPreview" topLeftCell="B1" zoomScale="77" zoomScaleNormal="70" zoomScaleSheetLayoutView="77" zoomScalePageLayoutView="70" workbookViewId="0">
      <selection activeCell="C7" sqref="C7"/>
    </sheetView>
  </sheetViews>
  <sheetFormatPr defaultColWidth="9.140625" defaultRowHeight="15.75" x14ac:dyDescent="0.25"/>
  <cols>
    <col min="1" max="1" width="3.42578125" style="577" customWidth="1"/>
    <col min="2" max="2" width="28.85546875" style="624" customWidth="1"/>
    <col min="3" max="3" width="23.42578125" style="624" customWidth="1"/>
    <col min="4" max="4" width="21.28515625" style="625" bestFit="1" customWidth="1"/>
    <col min="5" max="5" width="19.85546875" style="624" bestFit="1" customWidth="1"/>
    <col min="6" max="7" width="23.42578125" style="624" bestFit="1" customWidth="1"/>
    <col min="8" max="8" width="21" style="625" bestFit="1" customWidth="1"/>
    <col min="9" max="9" width="19.28515625" style="624" customWidth="1"/>
    <col min="10" max="10" width="23.140625" style="624" bestFit="1" customWidth="1"/>
    <col min="11" max="12" width="23.42578125" style="624" bestFit="1" customWidth="1"/>
    <col min="13" max="13" width="18.7109375" style="577" bestFit="1" customWidth="1"/>
    <col min="14" max="14" width="16.85546875" style="577" bestFit="1" customWidth="1"/>
    <col min="15" max="15" width="9.140625" style="577"/>
    <col min="16" max="16" width="15.42578125" style="577" bestFit="1" customWidth="1"/>
    <col min="17" max="17" width="14" style="577" bestFit="1" customWidth="1"/>
    <col min="18" max="16384" width="9.140625" style="577"/>
  </cols>
  <sheetData>
    <row r="1" spans="2:16" x14ac:dyDescent="0.25">
      <c r="B1" s="1636" t="str">
        <f>'2SFP'!B1</f>
        <v>BHUTAN TELECOM LIMITED</v>
      </c>
      <c r="C1" s="1637"/>
      <c r="D1" s="1637"/>
      <c r="E1" s="1637"/>
      <c r="F1" s="1637"/>
      <c r="G1" s="1637"/>
      <c r="H1" s="1637"/>
      <c r="I1" s="1637"/>
      <c r="J1" s="1637"/>
      <c r="K1" s="1637"/>
      <c r="L1" s="1638"/>
    </row>
    <row r="2" spans="2:16" x14ac:dyDescent="0.25">
      <c r="B2" s="1642" t="s">
        <v>1084</v>
      </c>
      <c r="C2" s="1643"/>
      <c r="D2" s="1643"/>
      <c r="E2" s="1643"/>
      <c r="F2" s="1643"/>
      <c r="G2" s="1643"/>
      <c r="H2" s="1643"/>
      <c r="I2" s="1643"/>
      <c r="J2" s="1643"/>
      <c r="K2" s="1643"/>
      <c r="L2" s="1644"/>
    </row>
    <row r="3" spans="2:16" x14ac:dyDescent="0.25">
      <c r="B3" s="520" t="s">
        <v>543</v>
      </c>
      <c r="C3" s="612"/>
      <c r="D3" s="613"/>
      <c r="E3" s="612"/>
      <c r="F3" s="612"/>
      <c r="G3" s="612"/>
      <c r="H3" s="613"/>
      <c r="I3" s="612"/>
      <c r="J3" s="612"/>
      <c r="K3" s="612"/>
      <c r="L3" s="1341" t="str">
        <f>'2SFP'!E3</f>
        <v>Amount in Nu.</v>
      </c>
    </row>
    <row r="4" spans="2:16" ht="18" customHeight="1" x14ac:dyDescent="0.25">
      <c r="B4" s="1640" t="s">
        <v>22</v>
      </c>
      <c r="C4" s="1639" t="s">
        <v>77</v>
      </c>
      <c r="D4" s="1640"/>
      <c r="E4" s="1640"/>
      <c r="F4" s="1640"/>
      <c r="G4" s="1641" t="s">
        <v>78</v>
      </c>
      <c r="H4" s="1641"/>
      <c r="I4" s="1641"/>
      <c r="J4" s="1641"/>
      <c r="K4" s="1641" t="s">
        <v>79</v>
      </c>
      <c r="L4" s="1641"/>
    </row>
    <row r="5" spans="2:16" x14ac:dyDescent="0.25">
      <c r="B5" s="1645"/>
      <c r="C5" s="579" t="s">
        <v>569</v>
      </c>
      <c r="D5" s="580" t="s">
        <v>112</v>
      </c>
      <c r="E5" s="997" t="s">
        <v>113</v>
      </c>
      <c r="F5" s="581" t="s">
        <v>1085</v>
      </c>
      <c r="G5" s="579" t="s">
        <v>569</v>
      </c>
      <c r="H5" s="580" t="s">
        <v>112</v>
      </c>
      <c r="I5" s="997" t="s">
        <v>113</v>
      </c>
      <c r="J5" s="581" t="s">
        <v>1085</v>
      </c>
      <c r="K5" s="581" t="s">
        <v>1085</v>
      </c>
      <c r="L5" s="579" t="s">
        <v>569</v>
      </c>
    </row>
    <row r="6" spans="2:16" s="587" customFormat="1" x14ac:dyDescent="0.25">
      <c r="B6" s="582" t="s">
        <v>1359</v>
      </c>
      <c r="C6" s="582">
        <v>98999078</v>
      </c>
      <c r="D6" s="583">
        <f>286100.51-0.02</f>
        <v>286100.49</v>
      </c>
      <c r="E6" s="584">
        <f>AE!F171</f>
        <v>99285178.310000002</v>
      </c>
      <c r="F6" s="584">
        <f>0-0.02</f>
        <v>-0.02</v>
      </c>
      <c r="G6" s="585">
        <v>0</v>
      </c>
      <c r="H6" s="583"/>
      <c r="I6" s="584"/>
      <c r="J6" s="586">
        <f>G6+H6-I6</f>
        <v>0</v>
      </c>
      <c r="K6" s="1003">
        <f>F6-J6</f>
        <v>-0.02</v>
      </c>
      <c r="L6" s="586">
        <f>C6-G6</f>
        <v>98999078</v>
      </c>
      <c r="M6" s="992"/>
    </row>
    <row r="7" spans="2:16" s="587" customFormat="1" ht="16.5" x14ac:dyDescent="0.25">
      <c r="B7" s="582"/>
      <c r="C7" s="582"/>
      <c r="D7" s="583"/>
      <c r="E7" s="584"/>
      <c r="F7" s="584"/>
      <c r="G7" s="585"/>
      <c r="H7" s="583"/>
      <c r="I7" s="584"/>
      <c r="J7" s="586"/>
      <c r="K7" s="582"/>
      <c r="L7" s="586"/>
      <c r="M7" s="992"/>
      <c r="P7" s="588"/>
    </row>
    <row r="8" spans="2:16" s="587" customFormat="1" x14ac:dyDescent="0.25">
      <c r="B8" s="582" t="s">
        <v>1360</v>
      </c>
      <c r="C8" s="582">
        <f>628100728.63+0.27</f>
        <v>628100728.89999998</v>
      </c>
      <c r="D8" s="583">
        <f>49515846.53-256124.77</f>
        <v>49259721.759999998</v>
      </c>
      <c r="E8" s="584">
        <f>2053900.77-256124.97</f>
        <v>1797775.8</v>
      </c>
      <c r="F8" s="584">
        <f>C8+D8-E8</f>
        <v>675562674.86000001</v>
      </c>
      <c r="G8" s="585">
        <f>152688371.4-'SAP '!J332</f>
        <v>152688371.40000001</v>
      </c>
      <c r="H8" s="1013">
        <f>27484023.69+0.1</f>
        <v>27484023.790000003</v>
      </c>
      <c r="I8" s="584">
        <v>490988.03</v>
      </c>
      <c r="J8" s="586">
        <f>G8+H8-I8+0.3</f>
        <v>179681407.46000001</v>
      </c>
      <c r="K8" s="582">
        <f>F8-J8</f>
        <v>495881267.39999998</v>
      </c>
      <c r="L8" s="586">
        <f>C8-G8</f>
        <v>475412357.5</v>
      </c>
      <c r="M8" s="992"/>
    </row>
    <row r="9" spans="2:16" s="587" customFormat="1" x14ac:dyDescent="0.25">
      <c r="B9" s="582"/>
      <c r="C9" s="582"/>
      <c r="D9" s="583"/>
      <c r="E9" s="584"/>
      <c r="F9" s="584"/>
      <c r="G9" s="585"/>
      <c r="H9" s="990"/>
      <c r="I9" s="584"/>
      <c r="J9" s="586"/>
      <c r="K9" s="582"/>
      <c r="L9" s="586"/>
      <c r="M9" s="992"/>
    </row>
    <row r="10" spans="2:16" s="587" customFormat="1" x14ac:dyDescent="0.25">
      <c r="B10" s="582" t="s">
        <v>1361</v>
      </c>
      <c r="C10" s="582">
        <v>6206642129.1400003</v>
      </c>
      <c r="D10" s="583">
        <f>235371468.71-487847.98-AE!F178-AE!F179-AE!F180</f>
        <v>227628731.35635257</v>
      </c>
      <c r="E10" s="584">
        <f>54627921.98-487847.98</f>
        <v>54140074</v>
      </c>
      <c r="F10" s="584">
        <f>C10+D10-E10</f>
        <v>6380130786.4963531</v>
      </c>
      <c r="G10" s="585">
        <f>4172266038.59-'SAP '!J334</f>
        <v>4172266038.5900002</v>
      </c>
      <c r="H10" s="583">
        <f>375886396.51+0.3</f>
        <v>375886396.81</v>
      </c>
      <c r="I10" s="584">
        <v>53594093.340000004</v>
      </c>
      <c r="J10" s="586">
        <f>G10+H10-I10+0.5</f>
        <v>4494558342.5600004</v>
      </c>
      <c r="K10" s="582">
        <f>F10-J10-0.5</f>
        <v>1885572443.4363527</v>
      </c>
      <c r="L10" s="586">
        <f>C10-G10-0.11</f>
        <v>2034376090.4400003</v>
      </c>
      <c r="M10" s="992"/>
    </row>
    <row r="11" spans="2:16" s="587" customFormat="1" ht="16.5" x14ac:dyDescent="0.25">
      <c r="B11" s="582"/>
      <c r="C11" s="582"/>
      <c r="D11" s="583"/>
      <c r="E11" s="584"/>
      <c r="F11" s="584"/>
      <c r="G11" s="585"/>
      <c r="H11" s="990"/>
      <c r="I11" s="991"/>
      <c r="J11" s="586"/>
      <c r="K11" s="582"/>
      <c r="L11" s="586"/>
      <c r="M11" s="992"/>
      <c r="P11" s="588"/>
    </row>
    <row r="12" spans="2:16" s="587" customFormat="1" x14ac:dyDescent="0.25">
      <c r="B12" s="582" t="s">
        <v>1362</v>
      </c>
      <c r="C12" s="582">
        <v>97354669.709999993</v>
      </c>
      <c r="D12" s="583">
        <v>9155941.6400000006</v>
      </c>
      <c r="E12" s="584">
        <v>3178389</v>
      </c>
      <c r="F12" s="584">
        <f>C12+D12-E12+0.31+0.2</f>
        <v>103332222.86</v>
      </c>
      <c r="G12" s="585">
        <f>71931710.94-'SAP '!J337</f>
        <v>71931710.939999998</v>
      </c>
      <c r="H12" s="583">
        <f>8812994.63+0.27</f>
        <v>8812994.9000000004</v>
      </c>
      <c r="I12" s="584">
        <f>2990135.96-0.3</f>
        <v>2990135.66</v>
      </c>
      <c r="J12" s="586">
        <f>G12+H12-I12-0.08</f>
        <v>77754570.100000009</v>
      </c>
      <c r="K12" s="582">
        <f>F12-J12+0.2</f>
        <v>25577652.95999999</v>
      </c>
      <c r="L12" s="586">
        <f>C12-G12+0.15</f>
        <v>25422958.919999994</v>
      </c>
      <c r="M12" s="992"/>
    </row>
    <row r="13" spans="2:16" s="587" customFormat="1" x14ac:dyDescent="0.25">
      <c r="B13" s="582"/>
      <c r="C13" s="582"/>
      <c r="D13" s="583"/>
      <c r="E13" s="584"/>
      <c r="F13" s="584"/>
      <c r="G13" s="585"/>
      <c r="H13" s="990"/>
      <c r="I13" s="991"/>
      <c r="J13" s="586"/>
      <c r="K13" s="582"/>
      <c r="L13" s="586"/>
      <c r="M13" s="992"/>
    </row>
    <row r="14" spans="2:16" s="587" customFormat="1" x14ac:dyDescent="0.25">
      <c r="B14" s="582" t="s">
        <v>1363</v>
      </c>
      <c r="C14" s="582">
        <f>1932510715.9+0.1</f>
        <v>1932510716</v>
      </c>
      <c r="D14" s="583">
        <f>115720699.86-AE!F181</f>
        <v>115682735.51935963</v>
      </c>
      <c r="E14" s="584">
        <v>3060504.41</v>
      </c>
      <c r="F14" s="584">
        <f>C14+D14-E14+0.4</f>
        <v>2045132947.5093596</v>
      </c>
      <c r="G14" s="585">
        <f>880066340.2-'SAP '!J341</f>
        <v>880066340.20000005</v>
      </c>
      <c r="H14" s="583">
        <f>200996576.03+0.2</f>
        <v>200996576.22999999</v>
      </c>
      <c r="I14" s="584">
        <f>2587285.37-0.37</f>
        <v>2587285</v>
      </c>
      <c r="J14" s="586">
        <f t="shared" ref="J14:J18" si="0">G14+H14-I14</f>
        <v>1078475631.4300001</v>
      </c>
      <c r="K14" s="582">
        <f t="shared" ref="K14:K16" si="1">F14-J14</f>
        <v>966657316.07935953</v>
      </c>
      <c r="L14" s="586">
        <f>C14-G14</f>
        <v>1052444375.8</v>
      </c>
      <c r="M14" s="992"/>
    </row>
    <row r="15" spans="2:16" s="587" customFormat="1" x14ac:dyDescent="0.25">
      <c r="B15" s="582"/>
      <c r="C15" s="582"/>
      <c r="D15" s="583"/>
      <c r="E15" s="584"/>
      <c r="F15" s="584"/>
      <c r="G15" s="585"/>
      <c r="H15" s="990"/>
      <c r="I15" s="991"/>
      <c r="J15" s="586"/>
      <c r="K15" s="582"/>
      <c r="L15" s="586"/>
      <c r="M15" s="992"/>
    </row>
    <row r="16" spans="2:16" s="587" customFormat="1" x14ac:dyDescent="0.25">
      <c r="B16" s="582" t="s">
        <v>1364</v>
      </c>
      <c r="C16" s="582">
        <f>19445663.55+0.25</f>
        <v>19445663.800000001</v>
      </c>
      <c r="D16" s="583">
        <v>1412472.4</v>
      </c>
      <c r="E16" s="584">
        <v>20158.7</v>
      </c>
      <c r="F16" s="584">
        <f>C16+D16-E16-0.01</f>
        <v>20837977.489999998</v>
      </c>
      <c r="G16" s="585">
        <f>12285393.73-'SAP '!J338</f>
        <v>12285393.73</v>
      </c>
      <c r="H16" s="583">
        <f>1520180.16+0.2</f>
        <v>1520180.3599999999</v>
      </c>
      <c r="I16" s="584">
        <v>20155</v>
      </c>
      <c r="J16" s="586">
        <f t="shared" si="0"/>
        <v>13785419.09</v>
      </c>
      <c r="K16" s="582">
        <f t="shared" si="1"/>
        <v>7052558.3999999985</v>
      </c>
      <c r="L16" s="586">
        <f>C16-G16</f>
        <v>7160270.0700000003</v>
      </c>
      <c r="M16" s="992"/>
    </row>
    <row r="17" spans="1:13" s="587" customFormat="1" x14ac:dyDescent="0.25">
      <c r="B17" s="582"/>
      <c r="C17" s="582"/>
      <c r="D17" s="583"/>
      <c r="E17" s="584"/>
      <c r="F17" s="584"/>
      <c r="G17" s="585"/>
      <c r="H17" s="990"/>
      <c r="I17" s="991"/>
      <c r="J17" s="586"/>
      <c r="K17" s="582"/>
      <c r="L17" s="586"/>
      <c r="M17" s="992"/>
    </row>
    <row r="18" spans="1:13" s="587" customFormat="1" x14ac:dyDescent="0.25">
      <c r="B18" s="582" t="s">
        <v>1365</v>
      </c>
      <c r="C18" s="582">
        <f>75298941.75+0.25</f>
        <v>75298942</v>
      </c>
      <c r="D18" s="583">
        <v>4018560.49</v>
      </c>
      <c r="E18" s="584">
        <v>2945070.22</v>
      </c>
      <c r="F18" s="584">
        <f>C18+D18-E18+0.22</f>
        <v>76372432.489999995</v>
      </c>
      <c r="G18" s="585">
        <f>45784197.21-'SAP '!J344</f>
        <v>45784197.210000001</v>
      </c>
      <c r="H18" s="583">
        <v>7758215.5099999998</v>
      </c>
      <c r="I18" s="584">
        <f>2037993.49-0.03</f>
        <v>2037993.46</v>
      </c>
      <c r="J18" s="586">
        <f t="shared" si="0"/>
        <v>51504419.259999998</v>
      </c>
      <c r="K18" s="582">
        <f>F18-J18-0.47</f>
        <v>24868012.759999998</v>
      </c>
      <c r="L18" s="586">
        <f t="shared" ref="L18" si="2">C18-G18</f>
        <v>29514744.789999999</v>
      </c>
      <c r="M18" s="992"/>
    </row>
    <row r="19" spans="1:13" s="587" customFormat="1" x14ac:dyDescent="0.25">
      <c r="B19" s="582"/>
      <c r="C19" s="582"/>
      <c r="D19" s="583"/>
      <c r="E19" s="584"/>
      <c r="F19" s="584"/>
      <c r="G19" s="585"/>
      <c r="H19" s="583"/>
      <c r="I19" s="991"/>
      <c r="J19" s="586"/>
      <c r="K19" s="582"/>
      <c r="L19" s="586"/>
      <c r="M19" s="992"/>
    </row>
    <row r="20" spans="1:13" s="587" customFormat="1" x14ac:dyDescent="0.25">
      <c r="B20" s="589" t="s">
        <v>80</v>
      </c>
      <c r="C20" s="589">
        <f>SUM(C6:C18)</f>
        <v>9058351927.5499992</v>
      </c>
      <c r="D20" s="1004">
        <f>SUM(D6:D18)</f>
        <v>407444263.65571219</v>
      </c>
      <c r="E20" s="1004">
        <f>SUM(E6:E18)-0.44</f>
        <v>164427150</v>
      </c>
      <c r="F20" s="1004">
        <f t="shared" ref="F20:I20" si="3">SUM(F6:F18)</f>
        <v>9301369041.6857128</v>
      </c>
      <c r="G20" s="589">
        <f t="shared" si="3"/>
        <v>5335022052.0699987</v>
      </c>
      <c r="H20" s="1004">
        <f t="shared" si="3"/>
        <v>622458387.60000002</v>
      </c>
      <c r="I20" s="1004">
        <f t="shared" si="3"/>
        <v>61720650.490000002</v>
      </c>
      <c r="J20" s="1005">
        <f>SUM(J6:J18)+0.03</f>
        <v>5895759789.9300013</v>
      </c>
      <c r="K20" s="589">
        <f>SUM(K6:K18)</f>
        <v>3405609251.0157127</v>
      </c>
      <c r="L20" s="1005">
        <f>SUM(L6:L18)</f>
        <v>3723329875.5200009</v>
      </c>
      <c r="M20" s="992"/>
    </row>
    <row r="21" spans="1:13" s="587" customFormat="1" x14ac:dyDescent="0.25">
      <c r="B21" s="590" t="s">
        <v>289</v>
      </c>
      <c r="C21" s="590">
        <v>8111496063.7300005</v>
      </c>
      <c r="D21" s="1006">
        <v>949217983.71000004</v>
      </c>
      <c r="E21" s="1006">
        <v>2362121</v>
      </c>
      <c r="F21" s="1006">
        <f>9058351926.44+0.37</f>
        <v>9058351926.8100014</v>
      </c>
      <c r="G21" s="590">
        <v>4840451932.7600002</v>
      </c>
      <c r="H21" s="1006">
        <v>494570119.31</v>
      </c>
      <c r="I21" s="1006">
        <v>0</v>
      </c>
      <c r="J21" s="1007">
        <v>5335022052.0699987</v>
      </c>
      <c r="K21" s="590">
        <v>3723329874.3700008</v>
      </c>
      <c r="L21" s="1007">
        <v>3271044130.9700003</v>
      </c>
      <c r="M21" s="992"/>
    </row>
    <row r="22" spans="1:13" s="587" customFormat="1" x14ac:dyDescent="0.25">
      <c r="B22" s="591"/>
      <c r="C22" s="592"/>
      <c r="D22" s="592"/>
      <c r="E22" s="592"/>
      <c r="F22" s="592"/>
      <c r="G22" s="592"/>
      <c r="H22" s="592"/>
      <c r="I22" s="592"/>
      <c r="J22" s="592"/>
      <c r="K22" s="592"/>
      <c r="L22" s="593"/>
      <c r="M22" s="992"/>
    </row>
    <row r="23" spans="1:13" s="587" customFormat="1" x14ac:dyDescent="0.25">
      <c r="B23" s="1342" t="s">
        <v>545</v>
      </c>
      <c r="C23" s="584"/>
      <c r="D23" s="584"/>
      <c r="E23" s="584"/>
      <c r="F23" s="584"/>
      <c r="G23" s="584"/>
      <c r="H23" s="584"/>
      <c r="I23" s="584"/>
      <c r="J23" s="584"/>
      <c r="K23" s="584"/>
      <c r="L23" s="586"/>
      <c r="M23" s="992"/>
    </row>
    <row r="24" spans="1:13" s="587" customFormat="1" x14ac:dyDescent="0.25">
      <c r="B24" s="594" t="s">
        <v>1366</v>
      </c>
      <c r="C24" s="590">
        <v>1569110284.2</v>
      </c>
      <c r="D24" s="1008">
        <f>148854450.71-AE!F177</f>
        <v>145319454.88065022</v>
      </c>
      <c r="E24" s="1006">
        <v>0</v>
      </c>
      <c r="F24" s="1007">
        <f>C24+D24-E24</f>
        <v>1714429739.0806503</v>
      </c>
      <c r="G24" s="1009">
        <f>481603885.72-'SAP '!J348</f>
        <v>481603885.72000003</v>
      </c>
      <c r="H24" s="1008">
        <v>301901537.93000001</v>
      </c>
      <c r="I24" s="1006"/>
      <c r="J24" s="1007">
        <f>G24+H24-I24</f>
        <v>783505423.6500001</v>
      </c>
      <c r="K24" s="590">
        <f>F24-J24</f>
        <v>930924315.43065023</v>
      </c>
      <c r="L24" s="1007">
        <f>C24-G24</f>
        <v>1087506398.48</v>
      </c>
      <c r="M24" s="992"/>
    </row>
    <row r="25" spans="1:13" s="587" customFormat="1" x14ac:dyDescent="0.25">
      <c r="B25" s="595" t="s">
        <v>1367</v>
      </c>
      <c r="C25" s="591">
        <f>'SAP '!D386</f>
        <v>0</v>
      </c>
      <c r="D25" s="1010"/>
      <c r="E25" s="592"/>
      <c r="F25" s="1007">
        <f>C25+D25-E25</f>
        <v>0</v>
      </c>
      <c r="G25" s="1011">
        <f>-'SAP '!D388</f>
        <v>0</v>
      </c>
      <c r="H25" s="1010">
        <f>AE!F81</f>
        <v>51800000</v>
      </c>
      <c r="I25" s="592"/>
      <c r="J25" s="1007">
        <f>G25+H25-I25</f>
        <v>51800000</v>
      </c>
      <c r="K25" s="590">
        <f>F25-J25</f>
        <v>-51800000</v>
      </c>
      <c r="L25" s="1007">
        <f>C25-G25</f>
        <v>0</v>
      </c>
      <c r="M25" s="992"/>
    </row>
    <row r="26" spans="1:13" s="587" customFormat="1" x14ac:dyDescent="0.25">
      <c r="B26" s="596" t="s">
        <v>290</v>
      </c>
      <c r="C26" s="591">
        <f>1068859555.49+777000000</f>
        <v>1845859555.49</v>
      </c>
      <c r="D26" s="592">
        <v>500250728.70999998</v>
      </c>
      <c r="E26" s="592">
        <v>0</v>
      </c>
      <c r="F26" s="1007">
        <f>C26+D26-E26</f>
        <v>2346110284.1999998</v>
      </c>
      <c r="G26" s="591">
        <f>267378167.72+518000000-51800000+8926007.06661367</f>
        <v>742504174.7866137</v>
      </c>
      <c r="H26" s="592">
        <f>214225718+51800000</f>
        <v>266025718</v>
      </c>
      <c r="I26" s="592"/>
      <c r="J26" s="1007">
        <f>G26+H26-I26</f>
        <v>1008529892.7866137</v>
      </c>
      <c r="K26" s="590">
        <f>F26-J26</f>
        <v>1337580391.4133861</v>
      </c>
      <c r="L26" s="1007">
        <f>C26-G26</f>
        <v>1103355380.7033863</v>
      </c>
      <c r="M26" s="992"/>
    </row>
    <row r="27" spans="1:13" s="587" customFormat="1" x14ac:dyDescent="0.25">
      <c r="B27" s="1342"/>
      <c r="C27" s="584"/>
      <c r="D27" s="584"/>
      <c r="E27" s="584"/>
      <c r="F27" s="584"/>
      <c r="G27" s="584"/>
      <c r="H27" s="584"/>
      <c r="I27" s="584"/>
      <c r="J27" s="584"/>
      <c r="K27" s="597">
        <f>K24+K20</f>
        <v>4336533566.4463634</v>
      </c>
      <c r="L27" s="586"/>
    </row>
    <row r="28" spans="1:13" s="587" customFormat="1" x14ac:dyDescent="0.25">
      <c r="B28" s="1342" t="s">
        <v>544</v>
      </c>
      <c r="C28" s="584"/>
      <c r="D28" s="584"/>
      <c r="E28" s="584"/>
      <c r="F28" s="584"/>
      <c r="G28" s="584"/>
      <c r="H28" s="584"/>
      <c r="I28" s="584"/>
      <c r="J28" s="584"/>
      <c r="K28" s="584"/>
      <c r="L28" s="586"/>
    </row>
    <row r="29" spans="1:13" s="587" customFormat="1" x14ac:dyDescent="0.25">
      <c r="A29" s="598"/>
      <c r="B29" s="599" t="s">
        <v>23</v>
      </c>
      <c r="C29" s="600">
        <v>15077014.659999996</v>
      </c>
      <c r="D29" s="601">
        <f>Trial!C33-Trial!D33</f>
        <v>-17078036.210000001</v>
      </c>
      <c r="E29" s="602"/>
      <c r="F29" s="603">
        <f>C29+D29</f>
        <v>-2001021.5500000045</v>
      </c>
      <c r="G29" s="600"/>
      <c r="H29" s="602"/>
      <c r="I29" s="602"/>
      <c r="J29" s="603"/>
      <c r="K29" s="600">
        <f>F29-J29</f>
        <v>-2001021.5500000045</v>
      </c>
      <c r="L29" s="603">
        <f>C29-G29</f>
        <v>15077014.659999996</v>
      </c>
    </row>
    <row r="30" spans="1:13" s="587" customFormat="1" x14ac:dyDescent="0.25">
      <c r="B30" s="596" t="s">
        <v>290</v>
      </c>
      <c r="C30" s="591">
        <v>191736666.62</v>
      </c>
      <c r="D30" s="592">
        <v>-176659651.96000001</v>
      </c>
      <c r="E30" s="592"/>
      <c r="F30" s="593">
        <v>15077014.659999996</v>
      </c>
      <c r="G30" s="591"/>
      <c r="H30" s="592"/>
      <c r="I30" s="592"/>
      <c r="J30" s="593"/>
      <c r="K30" s="591">
        <v>15077014.659999996</v>
      </c>
      <c r="L30" s="593">
        <v>191736666.62</v>
      </c>
    </row>
    <row r="31" spans="1:13" x14ac:dyDescent="0.25">
      <c r="B31" s="1343"/>
      <c r="C31" s="604"/>
      <c r="D31" s="604"/>
      <c r="E31" s="604"/>
      <c r="F31" s="604">
        <f>F20+F24</f>
        <v>11015798780.766363</v>
      </c>
      <c r="G31" s="604"/>
      <c r="H31" s="605"/>
      <c r="I31" s="606"/>
      <c r="J31" s="606"/>
      <c r="K31" s="604">
        <f>K20+K24</f>
        <v>4336533566.4463634</v>
      </c>
      <c r="L31" s="1344"/>
    </row>
    <row r="32" spans="1:13" x14ac:dyDescent="0.25">
      <c r="B32" s="1630" t="s">
        <v>1517</v>
      </c>
      <c r="C32" s="1631"/>
      <c r="D32" s="1631"/>
      <c r="E32" s="1631"/>
      <c r="F32" s="1631"/>
      <c r="G32" s="1631"/>
      <c r="H32" s="1631"/>
      <c r="I32" s="1631"/>
      <c r="J32" s="1631"/>
      <c r="K32" s="1631"/>
      <c r="L32" s="1632"/>
    </row>
    <row r="33" spans="2:12" ht="30" customHeight="1" x14ac:dyDescent="0.25">
      <c r="B33" s="1630"/>
      <c r="C33" s="1631"/>
      <c r="D33" s="1631"/>
      <c r="E33" s="1631"/>
      <c r="F33" s="1631"/>
      <c r="G33" s="1631"/>
      <c r="H33" s="1631"/>
      <c r="I33" s="1631"/>
      <c r="J33" s="1631"/>
      <c r="K33" s="1631"/>
      <c r="L33" s="1632"/>
    </row>
    <row r="34" spans="2:12" ht="19.5" customHeight="1" x14ac:dyDescent="0.25">
      <c r="B34" s="1633" t="s">
        <v>1425</v>
      </c>
      <c r="C34" s="1634"/>
      <c r="D34" s="1634"/>
      <c r="E34" s="1634"/>
      <c r="F34" s="1634"/>
      <c r="G34" s="1634"/>
      <c r="H34" s="1634"/>
      <c r="I34" s="1634"/>
      <c r="J34" s="1634"/>
      <c r="K34" s="1634"/>
      <c r="L34" s="1635"/>
    </row>
    <row r="35" spans="2:12" s="607" customFormat="1" ht="20.25" customHeight="1" x14ac:dyDescent="0.25">
      <c r="B35" s="1633" t="s">
        <v>1515</v>
      </c>
      <c r="C35" s="1634"/>
      <c r="D35" s="1634"/>
      <c r="E35" s="1634"/>
      <c r="F35" s="1634"/>
      <c r="G35" s="1634"/>
      <c r="H35" s="1634"/>
      <c r="I35" s="1634"/>
      <c r="J35" s="1634"/>
      <c r="K35" s="1634"/>
      <c r="L35" s="1635"/>
    </row>
    <row r="36" spans="2:12" s="607" customFormat="1" ht="20.25" customHeight="1" x14ac:dyDescent="0.25">
      <c r="B36" s="1345" t="s">
        <v>1516</v>
      </c>
      <c r="C36" s="996"/>
      <c r="D36" s="996"/>
      <c r="E36" s="996"/>
      <c r="F36" s="996"/>
      <c r="G36" s="996"/>
      <c r="H36" s="996"/>
      <c r="I36" s="996"/>
      <c r="J36" s="996"/>
      <c r="K36" s="996"/>
      <c r="L36" s="1346"/>
    </row>
    <row r="37" spans="2:12" s="607" customFormat="1" ht="20.25" customHeight="1" x14ac:dyDescent="0.25">
      <c r="B37" s="1345" t="s">
        <v>1426</v>
      </c>
      <c r="C37" s="608"/>
      <c r="D37" s="608"/>
      <c r="E37" s="608"/>
      <c r="F37" s="608"/>
      <c r="G37" s="608"/>
      <c r="H37" s="608"/>
      <c r="I37" s="608"/>
      <c r="J37" s="608"/>
      <c r="K37" s="608"/>
      <c r="L37" s="1347"/>
    </row>
    <row r="38" spans="2:12" ht="12" customHeight="1" x14ac:dyDescent="0.25">
      <c r="B38" s="1348"/>
      <c r="C38" s="995"/>
      <c r="D38" s="995"/>
      <c r="E38" s="995"/>
      <c r="F38" s="995"/>
      <c r="G38" s="995"/>
      <c r="H38" s="995"/>
      <c r="I38" s="995"/>
      <c r="J38" s="995"/>
      <c r="K38" s="995"/>
      <c r="L38" s="1349"/>
    </row>
    <row r="39" spans="2:12" x14ac:dyDescent="0.25">
      <c r="B39" s="520" t="s">
        <v>546</v>
      </c>
      <c r="C39" s="612"/>
      <c r="D39" s="613"/>
      <c r="E39" s="613"/>
      <c r="F39" s="613"/>
      <c r="G39" s="991"/>
      <c r="H39" s="613"/>
      <c r="I39" s="1167"/>
      <c r="J39" s="613"/>
      <c r="K39" s="613"/>
      <c r="L39" s="1350"/>
    </row>
    <row r="40" spans="2:12" x14ac:dyDescent="0.25">
      <c r="B40" s="609" t="s">
        <v>547</v>
      </c>
      <c r="C40" s="609" t="s">
        <v>96</v>
      </c>
      <c r="D40" s="613"/>
      <c r="E40" s="613"/>
      <c r="F40" s="613"/>
      <c r="G40" s="991"/>
      <c r="H40" s="613"/>
      <c r="I40" s="612"/>
      <c r="J40" s="612"/>
      <c r="K40" s="1168"/>
      <c r="L40" s="1350"/>
    </row>
    <row r="41" spans="2:12" x14ac:dyDescent="0.25">
      <c r="B41" s="610" t="s">
        <v>85</v>
      </c>
      <c r="C41" s="611" t="s">
        <v>29</v>
      </c>
      <c r="D41" s="613"/>
      <c r="E41" s="612"/>
      <c r="F41" s="613"/>
      <c r="G41" s="991"/>
      <c r="H41" s="613"/>
      <c r="I41" s="612"/>
      <c r="J41" s="613"/>
      <c r="K41" s="1168"/>
      <c r="L41" s="1350"/>
    </row>
    <row r="42" spans="2:12" x14ac:dyDescent="0.25">
      <c r="B42" s="610" t="s">
        <v>86</v>
      </c>
      <c r="C42" s="611"/>
      <c r="D42" s="613"/>
      <c r="E42" s="612"/>
      <c r="F42" s="612"/>
      <c r="G42" s="612"/>
      <c r="H42" s="613"/>
      <c r="I42" s="612"/>
      <c r="J42" s="612"/>
      <c r="K42" s="1168"/>
      <c r="L42" s="1350"/>
    </row>
    <row r="43" spans="2:12" x14ac:dyDescent="0.25">
      <c r="B43" s="614" t="s">
        <v>291</v>
      </c>
      <c r="C43" s="611" t="s">
        <v>87</v>
      </c>
      <c r="D43" s="613"/>
      <c r="E43" s="615"/>
      <c r="F43" s="612"/>
      <c r="G43" s="612"/>
      <c r="H43" s="613"/>
      <c r="I43" s="616"/>
      <c r="J43" s="617"/>
      <c r="K43" s="612"/>
      <c r="L43" s="1350"/>
    </row>
    <row r="44" spans="2:12" ht="31.5" x14ac:dyDescent="0.25">
      <c r="B44" s="618" t="s">
        <v>292</v>
      </c>
      <c r="C44" s="611" t="s">
        <v>88</v>
      </c>
      <c r="D44" s="613"/>
      <c r="E44" s="612"/>
      <c r="F44" s="612"/>
      <c r="G44" s="612"/>
      <c r="H44" s="613"/>
      <c r="I44" s="612"/>
      <c r="J44" s="612"/>
      <c r="K44" s="612"/>
      <c r="L44" s="1350"/>
    </row>
    <row r="45" spans="2:12" x14ac:dyDescent="0.25">
      <c r="B45" s="614" t="s">
        <v>293</v>
      </c>
      <c r="C45" s="611" t="s">
        <v>30</v>
      </c>
      <c r="D45" s="613"/>
      <c r="E45" s="612"/>
      <c r="F45" s="612"/>
      <c r="G45" s="612"/>
      <c r="H45" s="613"/>
      <c r="I45" s="612"/>
      <c r="J45" s="612"/>
      <c r="K45" s="612"/>
      <c r="L45" s="1350"/>
    </row>
    <row r="46" spans="2:12" x14ac:dyDescent="0.25">
      <c r="B46" s="610" t="s">
        <v>294</v>
      </c>
      <c r="C46" s="611"/>
      <c r="D46" s="613"/>
      <c r="E46" s="612"/>
      <c r="F46" s="612"/>
      <c r="G46" s="612"/>
      <c r="H46" s="613"/>
      <c r="I46" s="612"/>
      <c r="J46" s="612"/>
      <c r="K46" s="612"/>
      <c r="L46" s="1350"/>
    </row>
    <row r="47" spans="2:12" x14ac:dyDescent="0.25">
      <c r="B47" s="614" t="s">
        <v>89</v>
      </c>
      <c r="C47" s="611" t="s">
        <v>90</v>
      </c>
      <c r="D47" s="613"/>
      <c r="E47" s="612"/>
      <c r="F47" s="612"/>
      <c r="G47" s="612"/>
      <c r="H47" s="613"/>
      <c r="I47" s="612"/>
      <c r="J47" s="612"/>
      <c r="K47" s="612"/>
      <c r="L47" s="1350"/>
    </row>
    <row r="48" spans="2:12" x14ac:dyDescent="0.25">
      <c r="B48" s="614" t="s">
        <v>91</v>
      </c>
      <c r="C48" s="611" t="s">
        <v>95</v>
      </c>
      <c r="D48" s="613"/>
      <c r="E48" s="612"/>
      <c r="F48" s="612"/>
      <c r="G48" s="612"/>
      <c r="H48" s="613"/>
      <c r="I48" s="619"/>
      <c r="J48" s="612"/>
      <c r="K48" s="612"/>
      <c r="L48" s="1350"/>
    </row>
    <row r="49" spans="2:12" x14ac:dyDescent="0.25">
      <c r="B49" s="610" t="s">
        <v>295</v>
      </c>
      <c r="C49" s="611"/>
      <c r="D49" s="613"/>
      <c r="E49" s="615"/>
      <c r="F49" s="612"/>
      <c r="G49" s="612"/>
      <c r="H49" s="613"/>
      <c r="I49" s="612"/>
      <c r="J49" s="612"/>
      <c r="K49" s="612"/>
      <c r="L49" s="1350"/>
    </row>
    <row r="50" spans="2:12" x14ac:dyDescent="0.25">
      <c r="B50" s="614" t="s">
        <v>296</v>
      </c>
      <c r="C50" s="611" t="s">
        <v>30</v>
      </c>
      <c r="D50" s="613"/>
      <c r="E50" s="612"/>
      <c r="F50" s="612"/>
      <c r="G50" s="612"/>
      <c r="H50" s="613"/>
      <c r="I50" s="612"/>
      <c r="J50" s="612"/>
      <c r="K50" s="612"/>
      <c r="L50" s="1350"/>
    </row>
    <row r="51" spans="2:12" x14ac:dyDescent="0.25">
      <c r="B51" s="614" t="s">
        <v>91</v>
      </c>
      <c r="C51" s="611" t="s">
        <v>92</v>
      </c>
      <c r="D51" s="613"/>
      <c r="E51" s="612"/>
      <c r="F51" s="612"/>
      <c r="G51" s="612"/>
      <c r="H51" s="613"/>
      <c r="I51" s="612"/>
      <c r="J51" s="612"/>
      <c r="K51" s="612"/>
      <c r="L51" s="1350"/>
    </row>
    <row r="52" spans="2:12" x14ac:dyDescent="0.25">
      <c r="B52" s="610" t="s">
        <v>93</v>
      </c>
      <c r="C52" s="611" t="s">
        <v>92</v>
      </c>
      <c r="D52" s="613"/>
      <c r="E52" s="612"/>
      <c r="F52" s="612"/>
      <c r="G52" s="612"/>
      <c r="H52" s="613"/>
      <c r="I52" s="612"/>
      <c r="J52" s="612"/>
      <c r="K52" s="612"/>
      <c r="L52" s="1350"/>
    </row>
    <row r="53" spans="2:12" x14ac:dyDescent="0.25">
      <c r="B53" s="610" t="s">
        <v>297</v>
      </c>
      <c r="C53" s="611" t="s">
        <v>30</v>
      </c>
      <c r="D53" s="613"/>
      <c r="E53" s="612"/>
      <c r="F53" s="612"/>
      <c r="G53" s="612"/>
      <c r="H53" s="613"/>
      <c r="I53" s="612"/>
      <c r="J53" s="612"/>
      <c r="K53" s="612"/>
      <c r="L53" s="1350"/>
    </row>
    <row r="54" spans="2:12" x14ac:dyDescent="0.25">
      <c r="B54" s="610" t="s">
        <v>94</v>
      </c>
      <c r="C54" s="611" t="s">
        <v>30</v>
      </c>
      <c r="D54" s="613"/>
      <c r="E54" s="612"/>
      <c r="F54" s="612"/>
      <c r="G54" s="612"/>
      <c r="H54" s="613"/>
      <c r="I54" s="616"/>
      <c r="J54" s="612"/>
      <c r="K54" s="612"/>
      <c r="L54" s="1350"/>
    </row>
    <row r="55" spans="2:12" x14ac:dyDescent="0.25">
      <c r="B55" s="620" t="s">
        <v>298</v>
      </c>
      <c r="C55" s="621" t="s">
        <v>30</v>
      </c>
      <c r="D55" s="613"/>
      <c r="E55" s="612"/>
      <c r="F55" s="612"/>
      <c r="G55" s="612"/>
      <c r="H55" s="613"/>
      <c r="I55" s="616"/>
      <c r="J55" s="612"/>
      <c r="K55" s="612"/>
      <c r="L55" s="1350"/>
    </row>
    <row r="56" spans="2:12" ht="31.5" x14ac:dyDescent="0.25">
      <c r="B56" s="620" t="s">
        <v>1368</v>
      </c>
      <c r="C56" s="622" t="s">
        <v>1369</v>
      </c>
      <c r="D56" s="613"/>
      <c r="E56" s="623"/>
      <c r="F56" s="612"/>
      <c r="G56" s="612"/>
      <c r="H56" s="613"/>
      <c r="I56" s="612"/>
      <c r="J56" s="612"/>
      <c r="K56" s="612"/>
      <c r="L56" s="1350"/>
    </row>
    <row r="57" spans="2:12" ht="16.5" thickBot="1" x14ac:dyDescent="0.3">
      <c r="B57" s="1351"/>
      <c r="C57" s="1169"/>
      <c r="D57" s="1170"/>
      <c r="E57" s="1169"/>
      <c r="F57" s="1169"/>
      <c r="G57" s="1169"/>
      <c r="H57" s="1170"/>
      <c r="I57" s="1169"/>
      <c r="J57" s="1169"/>
      <c r="K57" s="1169"/>
      <c r="L57" s="1352"/>
    </row>
    <row r="58" spans="2:12" x14ac:dyDescent="0.25">
      <c r="B58" s="1353"/>
      <c r="C58" s="623"/>
      <c r="D58" s="1354"/>
      <c r="E58" s="623"/>
      <c r="F58" s="623"/>
      <c r="G58" s="623"/>
      <c r="H58" s="1354"/>
      <c r="I58" s="623"/>
      <c r="J58" s="623"/>
      <c r="K58" s="623"/>
      <c r="L58" s="1355"/>
    </row>
    <row r="59" spans="2:12" x14ac:dyDescent="0.25">
      <c r="B59" s="1353"/>
      <c r="C59" s="623"/>
      <c r="D59" s="1354"/>
      <c r="E59" s="623"/>
      <c r="F59" s="623"/>
      <c r="G59" s="623"/>
      <c r="H59" s="1354"/>
      <c r="I59" s="623"/>
      <c r="J59" s="623"/>
      <c r="K59" s="623"/>
      <c r="L59" s="1355"/>
    </row>
    <row r="60" spans="2:12" x14ac:dyDescent="0.25">
      <c r="B60" s="1353"/>
      <c r="C60" s="623"/>
      <c r="D60" s="1354"/>
      <c r="E60" s="623"/>
      <c r="F60" s="623"/>
      <c r="G60" s="623"/>
      <c r="H60" s="1354"/>
      <c r="I60" s="623"/>
      <c r="J60" s="623"/>
      <c r="K60" s="623"/>
      <c r="L60" s="1355"/>
    </row>
    <row r="61" spans="2:12" x14ac:dyDescent="0.25">
      <c r="B61" s="1353"/>
      <c r="C61" s="623"/>
      <c r="D61" s="1354"/>
      <c r="E61" s="623"/>
      <c r="F61" s="623"/>
      <c r="G61" s="623"/>
      <c r="H61" s="1354"/>
      <c r="I61" s="623"/>
      <c r="J61" s="623"/>
      <c r="K61" s="623"/>
      <c r="L61" s="1355"/>
    </row>
    <row r="62" spans="2:12" x14ac:dyDescent="0.25">
      <c r="B62" s="1353"/>
      <c r="C62" s="623"/>
      <c r="D62" s="1354"/>
      <c r="E62" s="623"/>
      <c r="F62" s="623"/>
      <c r="G62" s="623"/>
      <c r="H62" s="1354"/>
      <c r="I62" s="623"/>
      <c r="J62" s="623"/>
      <c r="K62" s="623"/>
      <c r="L62" s="1355"/>
    </row>
    <row r="63" spans="2:12" x14ac:dyDescent="0.25">
      <c r="B63" s="1353"/>
      <c r="C63" s="623"/>
      <c r="D63" s="1354"/>
      <c r="E63" s="623"/>
      <c r="F63" s="623"/>
      <c r="G63" s="623"/>
      <c r="H63" s="1354"/>
      <c r="I63" s="623"/>
      <c r="J63" s="623"/>
      <c r="K63" s="623"/>
      <c r="L63" s="1355"/>
    </row>
    <row r="64" spans="2:12" x14ac:dyDescent="0.25">
      <c r="B64" s="1353"/>
      <c r="C64" s="623"/>
      <c r="D64" s="1354"/>
      <c r="E64" s="623"/>
      <c r="F64" s="623"/>
      <c r="G64" s="623"/>
      <c r="H64" s="1354"/>
      <c r="I64" s="623"/>
      <c r="J64" s="623"/>
      <c r="K64" s="623"/>
      <c r="L64" s="1355"/>
    </row>
    <row r="65" spans="2:12" x14ac:dyDescent="0.25">
      <c r="B65" s="1353"/>
      <c r="C65" s="623"/>
      <c r="D65" s="1354"/>
      <c r="E65" s="623"/>
      <c r="F65" s="623"/>
      <c r="G65" s="623"/>
      <c r="H65" s="1354"/>
      <c r="I65" s="623"/>
      <c r="J65" s="623"/>
      <c r="K65" s="623"/>
      <c r="L65" s="1355"/>
    </row>
    <row r="66" spans="2:12" x14ac:dyDescent="0.25">
      <c r="B66" s="1353"/>
      <c r="C66" s="623"/>
      <c r="D66" s="1354"/>
      <c r="E66" s="623"/>
      <c r="F66" s="623"/>
      <c r="G66" s="623"/>
      <c r="H66" s="1354"/>
      <c r="I66" s="623"/>
      <c r="J66" s="623"/>
      <c r="K66" s="623"/>
      <c r="L66" s="1355"/>
    </row>
    <row r="67" spans="2:12" x14ac:dyDescent="0.25">
      <c r="B67" s="1353"/>
      <c r="C67" s="623"/>
      <c r="D67" s="1354"/>
      <c r="E67" s="623"/>
      <c r="F67" s="623"/>
      <c r="G67" s="623"/>
      <c r="H67" s="1354"/>
      <c r="I67" s="623"/>
      <c r="J67" s="623"/>
      <c r="K67" s="623"/>
      <c r="L67" s="1355"/>
    </row>
    <row r="68" spans="2:12" x14ac:dyDescent="0.25">
      <c r="B68" s="1353"/>
      <c r="C68" s="623"/>
      <c r="D68" s="1354"/>
      <c r="E68" s="623"/>
      <c r="F68" s="623"/>
      <c r="G68" s="623"/>
      <c r="H68" s="1354"/>
      <c r="I68" s="623"/>
      <c r="J68" s="623"/>
      <c r="K68" s="623"/>
      <c r="L68" s="1355"/>
    </row>
    <row r="69" spans="2:12" x14ac:dyDescent="0.25">
      <c r="B69" s="1353"/>
      <c r="C69" s="623"/>
      <c r="D69" s="1354"/>
      <c r="E69" s="623"/>
      <c r="F69" s="623"/>
      <c r="G69" s="623"/>
      <c r="H69" s="1354"/>
      <c r="I69" s="623"/>
      <c r="J69" s="623"/>
      <c r="K69" s="623"/>
      <c r="L69" s="1355"/>
    </row>
    <row r="70" spans="2:12" x14ac:dyDescent="0.25">
      <c r="B70" s="1353"/>
      <c r="C70" s="623"/>
      <c r="D70" s="1354"/>
      <c r="E70" s="623"/>
      <c r="F70" s="623"/>
      <c r="G70" s="623"/>
      <c r="H70" s="1354"/>
      <c r="I70" s="623"/>
      <c r="J70" s="623"/>
      <c r="K70" s="623"/>
      <c r="L70" s="1355"/>
    </row>
    <row r="71" spans="2:12" x14ac:dyDescent="0.25">
      <c r="B71" s="1353"/>
      <c r="C71" s="623"/>
      <c r="D71" s="1354"/>
      <c r="E71" s="623"/>
      <c r="F71" s="623"/>
      <c r="G71" s="623"/>
      <c r="H71" s="1354"/>
      <c r="I71" s="623"/>
      <c r="J71" s="623"/>
      <c r="K71" s="623"/>
      <c r="L71" s="1355"/>
    </row>
    <row r="72" spans="2:12" x14ac:dyDescent="0.25">
      <c r="B72" s="1356"/>
      <c r="C72" s="1357"/>
      <c r="D72" s="1358"/>
      <c r="E72" s="1357"/>
      <c r="F72" s="1357"/>
      <c r="G72" s="1357"/>
      <c r="H72" s="1358"/>
      <c r="I72" s="1357"/>
      <c r="J72" s="1357"/>
      <c r="K72" s="1357"/>
      <c r="L72" s="1359"/>
    </row>
  </sheetData>
  <mergeCells count="9">
    <mergeCell ref="B32:L33"/>
    <mergeCell ref="B35:L35"/>
    <mergeCell ref="B34:L34"/>
    <mergeCell ref="B1:L1"/>
    <mergeCell ref="C4:F4"/>
    <mergeCell ref="G4:J4"/>
    <mergeCell ref="B2:L2"/>
    <mergeCell ref="K4:L4"/>
    <mergeCell ref="B4:B5"/>
  </mergeCells>
  <pageMargins left="0.37" right="0.51" top="1.41" bottom="0.2" header="0.05" footer="0.05"/>
  <pageSetup paperSize="9" scale="51"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XCD146"/>
  <sheetViews>
    <sheetView showGridLines="0" showWhiteSpace="0" view="pageBreakPreview" topLeftCell="D1" zoomScale="90" zoomScaleSheetLayoutView="90" workbookViewId="0">
      <selection activeCell="C7" sqref="C7"/>
    </sheetView>
  </sheetViews>
  <sheetFormatPr defaultColWidth="9.140625" defaultRowHeight="15.75" x14ac:dyDescent="0.25"/>
  <cols>
    <col min="1" max="1" width="6.140625" style="13" hidden="1" customWidth="1"/>
    <col min="2" max="2" width="2.140625" style="13" hidden="1" customWidth="1"/>
    <col min="3" max="3" width="2" style="13" hidden="1" customWidth="1"/>
    <col min="4" max="4" width="58.140625" style="417" customWidth="1"/>
    <col min="5" max="5" width="21.7109375" style="500" customWidth="1"/>
    <col min="6" max="6" width="22.140625" style="500" customWidth="1"/>
    <col min="7" max="7" width="16.85546875" style="5" hidden="1" customWidth="1"/>
    <col min="8" max="16384" width="9.140625" style="1"/>
  </cols>
  <sheetData>
    <row r="1" spans="1:7" x14ac:dyDescent="0.25">
      <c r="B1" s="1534" t="str">
        <f>'2SFP'!B1</f>
        <v>BHUTAN TELECOM LIMITED</v>
      </c>
      <c r="C1" s="548"/>
      <c r="D1" s="1604" t="s">
        <v>0</v>
      </c>
      <c r="E1" s="1605"/>
      <c r="F1" s="1606"/>
    </row>
    <row r="2" spans="1:7" x14ac:dyDescent="0.25">
      <c r="B2" s="544" t="s">
        <v>1084</v>
      </c>
      <c r="C2" s="548"/>
      <c r="D2" s="1646" t="s">
        <v>1084</v>
      </c>
      <c r="E2" s="1647"/>
      <c r="F2" s="1648"/>
    </row>
    <row r="3" spans="1:7" x14ac:dyDescent="0.25">
      <c r="B3" s="1360"/>
      <c r="C3" s="130"/>
      <c r="D3" s="1535"/>
      <c r="E3" s="583"/>
      <c r="F3" s="1361" t="str">
        <f>'2SFP'!E3</f>
        <v>Amount in Nu.</v>
      </c>
    </row>
    <row r="4" spans="1:7" ht="31.5" x14ac:dyDescent="0.25">
      <c r="B4" s="1360"/>
      <c r="C4" s="130"/>
      <c r="D4" s="518" t="str">
        <f>'2SFP'!B4</f>
        <v>Particulars</v>
      </c>
      <c r="E4" s="717" t="str">
        <f>'2SFP'!D4</f>
        <v>As at 31st January, 2019</v>
      </c>
      <c r="F4" s="718" t="str">
        <f>'2SFP'!E4</f>
        <v>As at 31st January,  2018</v>
      </c>
      <c r="G4" s="99" t="s">
        <v>286</v>
      </c>
    </row>
    <row r="5" spans="1:7" x14ac:dyDescent="0.25">
      <c r="B5" s="1360"/>
      <c r="C5" s="130"/>
      <c r="D5" s="544"/>
      <c r="E5" s="531"/>
      <c r="F5" s="719"/>
    </row>
    <row r="6" spans="1:7" x14ac:dyDescent="0.25">
      <c r="B6" s="1360"/>
      <c r="C6" s="130"/>
      <c r="D6" s="544" t="s">
        <v>548</v>
      </c>
      <c r="E6" s="720"/>
      <c r="F6" s="721"/>
    </row>
    <row r="7" spans="1:7" x14ac:dyDescent="0.25">
      <c r="B7" s="1360"/>
      <c r="C7" s="130"/>
      <c r="D7" s="728" t="s">
        <v>123</v>
      </c>
      <c r="E7" s="532"/>
      <c r="F7" s="729"/>
    </row>
    <row r="8" spans="1:7" x14ac:dyDescent="0.25">
      <c r="A8" s="125">
        <v>1205310000</v>
      </c>
      <c r="B8" s="1362"/>
      <c r="C8" s="132"/>
      <c r="D8" s="728" t="s">
        <v>1626</v>
      </c>
      <c r="E8" s="532">
        <f>IFERROR(VLOOKUP(A8,Trial!$A$2:$D$9988,3,0),0)</f>
        <v>0</v>
      </c>
      <c r="F8" s="729">
        <f>IFERROR(VLOOKUP(A8,Trial!$A$2:$D$9988,4,0),0)</f>
        <v>92308400</v>
      </c>
      <c r="G8" s="104">
        <v>92308400</v>
      </c>
    </row>
    <row r="9" spans="1:7" x14ac:dyDescent="0.25">
      <c r="B9" s="1360"/>
      <c r="C9" s="130"/>
      <c r="D9" s="728" t="s">
        <v>124</v>
      </c>
      <c r="E9" s="532"/>
      <c r="F9" s="730"/>
    </row>
    <row r="10" spans="1:7" s="145" customFormat="1" ht="95.25" customHeight="1" x14ac:dyDescent="0.25">
      <c r="A10" s="13"/>
      <c r="B10" s="1360"/>
      <c r="C10" s="130"/>
      <c r="D10" s="998" t="s">
        <v>1627</v>
      </c>
      <c r="E10" s="532"/>
      <c r="F10" s="730"/>
      <c r="G10" s="5"/>
    </row>
    <row r="11" spans="1:7" ht="16.5" thickBot="1" x14ac:dyDescent="0.3">
      <c r="B11" s="1360"/>
      <c r="C11" s="130"/>
      <c r="D11" s="1383" t="s">
        <v>127</v>
      </c>
      <c r="E11" s="731">
        <f>SUM(E8:E9)</f>
        <v>0</v>
      </c>
      <c r="F11" s="732">
        <f>SUM(F8:F9)</f>
        <v>92308400</v>
      </c>
      <c r="G11" s="105">
        <f>SUM(G8:G9)</f>
        <v>92308400</v>
      </c>
    </row>
    <row r="12" spans="1:7" ht="16.5" thickTop="1" x14ac:dyDescent="0.25">
      <c r="B12" s="1360"/>
      <c r="C12" s="130"/>
      <c r="D12" s="544" t="s">
        <v>127</v>
      </c>
      <c r="E12" s="583"/>
      <c r="F12" s="719"/>
    </row>
    <row r="13" spans="1:7" s="145" customFormat="1" ht="31.5" x14ac:dyDescent="0.25">
      <c r="A13" s="13"/>
      <c r="B13" s="1360"/>
      <c r="C13" s="130"/>
      <c r="D13" s="518" t="str">
        <f>+D4</f>
        <v>Particulars</v>
      </c>
      <c r="E13" s="717" t="str">
        <f>+E4</f>
        <v>As at 31st January, 2019</v>
      </c>
      <c r="F13" s="717" t="str">
        <f>+F4</f>
        <v>As at 31st January,  2018</v>
      </c>
      <c r="G13" s="5"/>
    </row>
    <row r="14" spans="1:7" x14ac:dyDescent="0.25">
      <c r="B14" s="1360"/>
      <c r="C14" s="130"/>
      <c r="D14" s="544" t="s">
        <v>498</v>
      </c>
      <c r="E14" s="720"/>
      <c r="F14" s="721"/>
    </row>
    <row r="15" spans="1:7" x14ac:dyDescent="0.25">
      <c r="A15" s="126">
        <v>1206103000</v>
      </c>
      <c r="B15" s="1363"/>
      <c r="C15" s="127"/>
      <c r="D15" s="632" t="s">
        <v>1371</v>
      </c>
      <c r="E15" s="532">
        <f>IFERROR(VLOOKUP(A15,Trial!$A$2:$D$9988,3,0),0)</f>
        <v>0</v>
      </c>
      <c r="F15" s="729">
        <f>IFERROR(VLOOKUP(A15,Trial!$A$2:$D$9988,4,0),0)</f>
        <v>120000000</v>
      </c>
    </row>
    <row r="16" spans="1:7" x14ac:dyDescent="0.25">
      <c r="A16" s="125">
        <v>1205201001</v>
      </c>
      <c r="B16" s="1362"/>
      <c r="C16" s="132"/>
      <c r="D16" s="728" t="s">
        <v>167</v>
      </c>
      <c r="E16" s="532">
        <f>IFERROR(VLOOKUP(A16,Trial!$A$2:$D$10043,3,0),0)</f>
        <v>0</v>
      </c>
      <c r="F16" s="729">
        <f>IFERROR(VLOOKUP(A16,Trial!$A$2:$D$9995,4,0),0)</f>
        <v>0</v>
      </c>
      <c r="G16" s="106"/>
    </row>
    <row r="17" spans="1:7" x14ac:dyDescent="0.25">
      <c r="A17" s="13">
        <v>1205213001</v>
      </c>
      <c r="B17" s="1360"/>
      <c r="C17" s="130"/>
      <c r="D17" s="728" t="s">
        <v>1370</v>
      </c>
      <c r="E17" s="532">
        <f>IFERROR(VLOOKUP(A17,Trial!$A$2:$D$9988,3,0),0)</f>
        <v>4948289.43</v>
      </c>
      <c r="F17" s="729">
        <f>IFERROR(VLOOKUP(A17,Trial!$A$2:$D$9988,4,0),0)</f>
        <v>4734293.09</v>
      </c>
    </row>
    <row r="18" spans="1:7" s="145" customFormat="1" x14ac:dyDescent="0.25">
      <c r="A18" s="13"/>
      <c r="B18" s="1360"/>
      <c r="C18" s="130"/>
      <c r="D18" s="728" t="s">
        <v>1372</v>
      </c>
      <c r="E18" s="532"/>
      <c r="F18" s="729"/>
      <c r="G18" s="5"/>
    </row>
    <row r="19" spans="1:7" ht="16.5" thickBot="1" x14ac:dyDescent="0.3">
      <c r="B19" s="1360"/>
      <c r="C19" s="130"/>
      <c r="D19" s="1536" t="s">
        <v>127</v>
      </c>
      <c r="E19" s="535">
        <f>SUM(E15:E17)</f>
        <v>4948289.43</v>
      </c>
      <c r="F19" s="723">
        <f>SUM(F15:F17)</f>
        <v>124734293.09</v>
      </c>
      <c r="G19" s="45">
        <f>SUM(G15:G15)</f>
        <v>0</v>
      </c>
    </row>
    <row r="20" spans="1:7" ht="16.5" thickTop="1" x14ac:dyDescent="0.25">
      <c r="B20" s="1360"/>
      <c r="C20" s="130"/>
      <c r="D20" s="544" t="s">
        <v>127</v>
      </c>
      <c r="E20" s="1203"/>
      <c r="F20" s="721"/>
    </row>
    <row r="21" spans="1:7" s="145" customFormat="1" ht="28.5" customHeight="1" x14ac:dyDescent="0.25">
      <c r="A21" s="13"/>
      <c r="B21" s="1360"/>
      <c r="C21" s="130"/>
      <c r="D21" s="518" t="str">
        <f>+D13</f>
        <v>Particulars</v>
      </c>
      <c r="E21" s="717" t="str">
        <f>+E13</f>
        <v>As at 31st January, 2019</v>
      </c>
      <c r="F21" s="717" t="str">
        <f>+F13</f>
        <v>As at 31st January,  2018</v>
      </c>
      <c r="G21" s="5"/>
    </row>
    <row r="22" spans="1:7" x14ac:dyDescent="0.25">
      <c r="B22" s="1360"/>
      <c r="C22" s="130"/>
      <c r="D22" s="544" t="s">
        <v>499</v>
      </c>
      <c r="E22" s="720"/>
      <c r="F22" s="721"/>
    </row>
    <row r="23" spans="1:7" x14ac:dyDescent="0.25">
      <c r="A23" s="127">
        <v>1212101001</v>
      </c>
      <c r="B23" s="1363"/>
      <c r="C23" s="127"/>
      <c r="D23" s="632" t="s">
        <v>549</v>
      </c>
      <c r="E23" s="532">
        <f>IFERROR(VLOOKUP(A23,Trial!$A$2:$D$9988,3,0),0)+0.11</f>
        <v>18232155.149999999</v>
      </c>
      <c r="F23" s="729">
        <f>IFERROR(VLOOKUP(A23,Trial!$A$2:$D$9988,4,0),0)</f>
        <v>9659868.5</v>
      </c>
      <c r="G23" s="104">
        <v>2171144</v>
      </c>
    </row>
    <row r="24" spans="1:7" ht="16.5" thickBot="1" x14ac:dyDescent="0.3">
      <c r="B24" s="1360"/>
      <c r="C24" s="130"/>
      <c r="D24" s="722" t="s">
        <v>127</v>
      </c>
      <c r="E24" s="535">
        <f>SUM(E23)</f>
        <v>18232155.149999999</v>
      </c>
      <c r="F24" s="723">
        <f>SUM(F23)</f>
        <v>9659868.5</v>
      </c>
      <c r="G24" s="105">
        <f t="shared" ref="G24" si="0">SUM(G23)</f>
        <v>2171144</v>
      </c>
    </row>
    <row r="25" spans="1:7" s="145" customFormat="1" ht="16.5" thickTop="1" x14ac:dyDescent="0.25">
      <c r="A25" s="13"/>
      <c r="B25" s="1360"/>
      <c r="C25" s="130"/>
      <c r="D25" s="722"/>
      <c r="E25" s="720"/>
      <c r="F25" s="721"/>
      <c r="G25" s="107"/>
    </row>
    <row r="26" spans="1:7" s="145" customFormat="1" x14ac:dyDescent="0.25">
      <c r="A26" s="13"/>
      <c r="B26" s="1360"/>
      <c r="C26" s="130"/>
      <c r="D26" s="722"/>
      <c r="E26" s="720"/>
      <c r="F26" s="721"/>
      <c r="G26" s="107"/>
    </row>
    <row r="27" spans="1:7" s="145" customFormat="1" x14ac:dyDescent="0.25">
      <c r="A27" s="13"/>
      <c r="B27" s="1360"/>
      <c r="C27" s="130"/>
      <c r="D27" s="544" t="s">
        <v>1477</v>
      </c>
      <c r="E27" s="720"/>
      <c r="F27" s="721"/>
      <c r="G27" s="107"/>
    </row>
    <row r="28" spans="1:7" s="145" customFormat="1" x14ac:dyDescent="0.25">
      <c r="A28" s="13"/>
      <c r="B28" s="1360"/>
      <c r="C28" s="130"/>
      <c r="D28" s="722"/>
      <c r="E28" s="720"/>
      <c r="F28" s="721"/>
      <c r="G28" s="107"/>
    </row>
    <row r="29" spans="1:7" s="145" customFormat="1" x14ac:dyDescent="0.25">
      <c r="A29" s="13"/>
      <c r="B29" s="1360"/>
      <c r="C29" s="130"/>
      <c r="D29" s="728" t="s">
        <v>1487</v>
      </c>
      <c r="E29" s="532">
        <f>+F23</f>
        <v>9659868.5</v>
      </c>
      <c r="F29" s="729">
        <v>-6783501.8300000001</v>
      </c>
      <c r="G29" s="107"/>
    </row>
    <row r="30" spans="1:7" s="145" customFormat="1" x14ac:dyDescent="0.25">
      <c r="A30" s="13"/>
      <c r="B30" s="1360"/>
      <c r="C30" s="130"/>
      <c r="D30" s="728" t="s">
        <v>1518</v>
      </c>
      <c r="E30" s="532">
        <f>+DT!C32+6187294.8+0.11</f>
        <v>-30157181.548999999</v>
      </c>
      <c r="F30" s="729">
        <v>16443370.83</v>
      </c>
      <c r="G30" s="107"/>
    </row>
    <row r="31" spans="1:7" s="145" customFormat="1" x14ac:dyDescent="0.25">
      <c r="A31" s="13"/>
      <c r="B31" s="1360"/>
      <c r="C31" s="130"/>
      <c r="D31" s="728" t="s">
        <v>1483</v>
      </c>
      <c r="E31" s="532">
        <f>'3SOCI'!D36</f>
        <v>0</v>
      </c>
      <c r="F31" s="729">
        <v>0</v>
      </c>
      <c r="G31" s="107"/>
    </row>
    <row r="32" spans="1:7" s="145" customFormat="1" x14ac:dyDescent="0.25">
      <c r="A32" s="13"/>
      <c r="B32" s="1360"/>
      <c r="C32" s="130"/>
      <c r="D32" s="733" t="s">
        <v>1621</v>
      </c>
      <c r="E32" s="734">
        <f>SUM(E29:E31)</f>
        <v>-20497313.048999999</v>
      </c>
      <c r="F32" s="730">
        <v>9659869</v>
      </c>
      <c r="G32" s="107"/>
    </row>
    <row r="33" spans="1:7" s="145" customFormat="1" x14ac:dyDescent="0.25">
      <c r="A33" s="13"/>
      <c r="B33" s="1360"/>
      <c r="C33" s="130"/>
      <c r="D33" s="1537"/>
      <c r="E33" s="1204"/>
      <c r="F33" s="1364"/>
      <c r="G33" s="107"/>
    </row>
    <row r="34" spans="1:7" s="145" customFormat="1" x14ac:dyDescent="0.25">
      <c r="A34" s="13"/>
      <c r="B34" s="1360"/>
      <c r="C34" s="130"/>
      <c r="D34" s="722"/>
      <c r="E34" s="583"/>
      <c r="F34" s="721"/>
      <c r="G34" s="107"/>
    </row>
    <row r="35" spans="1:7" ht="31.5" x14ac:dyDescent="0.25">
      <c r="B35" s="1360"/>
      <c r="C35" s="130"/>
      <c r="D35" s="999" t="str">
        <f>+D21</f>
        <v>Particulars</v>
      </c>
      <c r="E35" s="717" t="str">
        <f>+E21</f>
        <v>As at 31st January, 2019</v>
      </c>
      <c r="F35" s="717" t="str">
        <f>+F21</f>
        <v>As at 31st January,  2018</v>
      </c>
    </row>
    <row r="36" spans="1:7" x14ac:dyDescent="0.25">
      <c r="B36" s="1360"/>
      <c r="C36" s="130"/>
      <c r="D36" s="544" t="s">
        <v>500</v>
      </c>
      <c r="E36" s="531"/>
      <c r="F36" s="719"/>
    </row>
    <row r="37" spans="1:7" hidden="1" x14ac:dyDescent="0.25">
      <c r="A37" s="125">
        <v>1206105000</v>
      </c>
      <c r="B37" s="1362"/>
      <c r="C37" s="132"/>
      <c r="D37" s="722" t="s">
        <v>1063</v>
      </c>
      <c r="E37" s="531">
        <f>IFERROR(VLOOKUP(A37,Trial!$A$2:$D$9988,3,0),0)</f>
        <v>-12950000</v>
      </c>
      <c r="F37" s="719">
        <f>IFERROR(VLOOKUP(A37,Trial!$A$2:$D$9988,4,0),0)</f>
        <v>12950000</v>
      </c>
      <c r="G37" s="104">
        <v>38850000</v>
      </c>
    </row>
    <row r="38" spans="1:7" hidden="1" x14ac:dyDescent="0.25">
      <c r="A38" s="125">
        <v>1205101000</v>
      </c>
      <c r="B38" s="1362"/>
      <c r="C38" s="132"/>
      <c r="D38" s="722" t="s">
        <v>164</v>
      </c>
      <c r="E38" s="531">
        <f>IFERROR(VLOOKUP(A38,Trial!$A$2:$D$10043,3,0),0)</f>
        <v>0</v>
      </c>
      <c r="F38" s="719">
        <f>IFERROR(VLOOKUP(A38,Trial!$A$2:$D$9995,4,0),0)</f>
        <v>0</v>
      </c>
      <c r="G38" s="106"/>
    </row>
    <row r="39" spans="1:7" hidden="1" x14ac:dyDescent="0.25">
      <c r="A39" s="125">
        <v>1205101001</v>
      </c>
      <c r="B39" s="1362"/>
      <c r="C39" s="132"/>
      <c r="D39" s="722" t="s">
        <v>165</v>
      </c>
      <c r="E39" s="531">
        <f>IFERROR(VLOOKUP(A39,Trial!$A$2:$D$10043,3,0),0)</f>
        <v>0</v>
      </c>
      <c r="F39" s="719">
        <f>IFERROR(VLOOKUP(A39,Trial!$A$2:$D$9995,4,0),0)</f>
        <v>0</v>
      </c>
      <c r="G39" s="106"/>
    </row>
    <row r="40" spans="1:7" hidden="1" x14ac:dyDescent="0.25">
      <c r="A40" s="125">
        <v>1205201000</v>
      </c>
      <c r="B40" s="1362"/>
      <c r="C40" s="132"/>
      <c r="D40" s="722" t="s">
        <v>166</v>
      </c>
      <c r="E40" s="531">
        <f>IFERROR(VLOOKUP(A40,Trial!$A$2:$D$10043,3,0),0)</f>
        <v>0</v>
      </c>
      <c r="F40" s="719">
        <f>IFERROR(VLOOKUP(A40,Trial!$A$2:$D$9995,4,0),0)</f>
        <v>0</v>
      </c>
      <c r="G40" s="106"/>
    </row>
    <row r="41" spans="1:7" hidden="1" x14ac:dyDescent="0.25">
      <c r="A41" s="125">
        <v>1205210000</v>
      </c>
      <c r="B41" s="1362"/>
      <c r="C41" s="132"/>
      <c r="D41" s="722" t="s">
        <v>168</v>
      </c>
      <c r="E41" s="531">
        <f>IFERROR(VLOOKUP(A41,Trial!$A$2:$D$10043,3,0),0)</f>
        <v>0</v>
      </c>
      <c r="F41" s="719">
        <f>IFERROR(VLOOKUP(A41,Trial!$A$2:$D$9995,4,0),0)</f>
        <v>0</v>
      </c>
      <c r="G41" s="106"/>
    </row>
    <row r="42" spans="1:7" hidden="1" x14ac:dyDescent="0.25">
      <c r="A42" s="125">
        <v>1206101000</v>
      </c>
      <c r="B42" s="1362"/>
      <c r="C42" s="132"/>
      <c r="D42" s="722" t="s">
        <v>169</v>
      </c>
      <c r="E42" s="531">
        <f>IFERROR(VLOOKUP(A42,Trial!$A$2:$D$10043,3,0),0)</f>
        <v>0</v>
      </c>
      <c r="F42" s="719">
        <f>IFERROR(VLOOKUP(A42,Trial!$A$2:$D$9995,4,0),0)</f>
        <v>0</v>
      </c>
      <c r="G42" s="106"/>
    </row>
    <row r="43" spans="1:7" hidden="1" x14ac:dyDescent="0.25">
      <c r="A43" s="125">
        <v>1206101001</v>
      </c>
      <c r="B43" s="1362"/>
      <c r="C43" s="132"/>
      <c r="D43" s="722" t="s">
        <v>170</v>
      </c>
      <c r="E43" s="531">
        <f>IFERROR(VLOOKUP(A43,Trial!$A$2:$D$10043,3,0),0)</f>
        <v>0</v>
      </c>
      <c r="F43" s="719">
        <f>IFERROR(VLOOKUP(A43,Trial!$A$2:$D$9995,4,0),0)</f>
        <v>0</v>
      </c>
      <c r="G43" s="106"/>
    </row>
    <row r="44" spans="1:7" hidden="1" x14ac:dyDescent="0.25">
      <c r="A44" s="125">
        <v>1206102000</v>
      </c>
      <c r="B44" s="1362"/>
      <c r="C44" s="132"/>
      <c r="D44" s="722" t="s">
        <v>171</v>
      </c>
      <c r="E44" s="531">
        <f>IFERROR(VLOOKUP(A44,Trial!$A$2:$D$10043,3,0),0)</f>
        <v>0</v>
      </c>
      <c r="F44" s="719">
        <f>IFERROR(VLOOKUP(A44,Trial!$A$2:$D$9995,4,0),0)</f>
        <v>0</v>
      </c>
      <c r="G44" s="106"/>
    </row>
    <row r="45" spans="1:7" s="145" customFormat="1" x14ac:dyDescent="0.25">
      <c r="A45" s="125"/>
      <c r="B45" s="1362"/>
      <c r="C45" s="132"/>
      <c r="D45" s="728" t="s">
        <v>1373</v>
      </c>
      <c r="E45" s="532">
        <f>+'SAP '!C383</f>
        <v>0</v>
      </c>
      <c r="F45" s="729"/>
      <c r="G45" s="106"/>
    </row>
    <row r="46" spans="1:7" hidden="1" x14ac:dyDescent="0.25">
      <c r="A46" s="125">
        <v>1206104001</v>
      </c>
      <c r="B46" s="1362"/>
      <c r="C46" s="132"/>
      <c r="D46" s="728" t="s">
        <v>172</v>
      </c>
      <c r="E46" s="532">
        <f>IFERROR(VLOOKUP(A46,Trial!$A$2:$D$10043,3,0),0)</f>
        <v>0</v>
      </c>
      <c r="F46" s="729">
        <f>IFERROR(VLOOKUP(A46,Trial!$A$2:$D$9995,4,0),0)</f>
        <v>0</v>
      </c>
      <c r="G46" s="106"/>
    </row>
    <row r="47" spans="1:7" s="145" customFormat="1" x14ac:dyDescent="0.25">
      <c r="A47" s="125"/>
      <c r="B47" s="1362"/>
      <c r="C47" s="132"/>
      <c r="D47" s="728" t="s">
        <v>1374</v>
      </c>
      <c r="E47" s="532"/>
      <c r="F47" s="729"/>
      <c r="G47" s="106"/>
    </row>
    <row r="48" spans="1:7" ht="16.5" thickBot="1" x14ac:dyDescent="0.3">
      <c r="B48" s="1360"/>
      <c r="C48" s="130"/>
      <c r="D48" s="1536" t="s">
        <v>127</v>
      </c>
      <c r="E48" s="535">
        <f>SUM(E37:E46)</f>
        <v>-12950000</v>
      </c>
      <c r="F48" s="723">
        <f>SUM(F37:F46)</f>
        <v>12950000</v>
      </c>
      <c r="G48" s="105">
        <f t="shared" ref="G48" si="1">SUM(G37:G46)</f>
        <v>38850000</v>
      </c>
    </row>
    <row r="49" spans="1:7" ht="16.5" thickTop="1" x14ac:dyDescent="0.25">
      <c r="B49" s="1360"/>
      <c r="C49" s="130"/>
      <c r="D49" s="722" t="s">
        <v>127</v>
      </c>
      <c r="E49" s="1203"/>
      <c r="F49" s="721"/>
    </row>
    <row r="50" spans="1:7" s="145" customFormat="1" ht="28.5" customHeight="1" x14ac:dyDescent="0.25">
      <c r="A50" s="13"/>
      <c r="B50" s="1360"/>
      <c r="C50" s="130"/>
      <c r="D50" s="999" t="str">
        <f>+D35</f>
        <v>Particulars</v>
      </c>
      <c r="E50" s="717" t="str">
        <f>+E35</f>
        <v>As at 31st January, 2019</v>
      </c>
      <c r="F50" s="717" t="str">
        <f>+F35</f>
        <v>As at 31st January,  2018</v>
      </c>
      <c r="G50" s="5"/>
    </row>
    <row r="51" spans="1:7" x14ac:dyDescent="0.25">
      <c r="B51" s="1360"/>
      <c r="C51" s="130"/>
      <c r="D51" s="544" t="s">
        <v>501</v>
      </c>
      <c r="E51" s="531"/>
      <c r="F51" s="719"/>
    </row>
    <row r="52" spans="1:7" ht="15.75" hidden="1" customHeight="1" x14ac:dyDescent="0.25">
      <c r="A52" s="125">
        <v>1111301000</v>
      </c>
      <c r="B52" s="1362"/>
      <c r="C52" s="132"/>
      <c r="D52" s="722" t="s">
        <v>318</v>
      </c>
      <c r="E52" s="531">
        <f>IFERROR(VLOOKUP(A52,Trial!$A$2:$D$9988,3,0),0)</f>
        <v>-96399.74</v>
      </c>
      <c r="F52" s="719">
        <f>IFERROR(VLOOKUP(A52,Trial!$A$2:$D$9988,4,0),0)</f>
        <v>1362873.59</v>
      </c>
      <c r="G52" s="104">
        <v>1970252.24</v>
      </c>
    </row>
    <row r="53" spans="1:7" ht="15.75" hidden="1" customHeight="1" x14ac:dyDescent="0.25">
      <c r="A53" s="125">
        <v>1111301001</v>
      </c>
      <c r="B53" s="1362"/>
      <c r="C53" s="132"/>
      <c r="D53" s="722" t="s">
        <v>319</v>
      </c>
      <c r="E53" s="531">
        <f>IFERROR(VLOOKUP(A53,Trial!$A$2:$D$9988,3,0),0)</f>
        <v>-329633.68</v>
      </c>
      <c r="F53" s="719">
        <f>IFERROR(VLOOKUP(A53,Trial!$A$2:$D$9988,4,0),0)</f>
        <v>2816287.03</v>
      </c>
      <c r="G53" s="104">
        <v>5301349.38</v>
      </c>
    </row>
    <row r="54" spans="1:7" ht="15.75" hidden="1" customHeight="1" x14ac:dyDescent="0.25">
      <c r="A54" s="125">
        <v>1111301002</v>
      </c>
      <c r="B54" s="1362"/>
      <c r="C54" s="132"/>
      <c r="D54" s="722" t="s">
        <v>320</v>
      </c>
      <c r="E54" s="531">
        <f>IFERROR(VLOOKUP(A54,Trial!$A$2:$D$9988,3,0),0)</f>
        <v>-8228973.9900000002</v>
      </c>
      <c r="F54" s="719">
        <f>IFERROR(VLOOKUP(A54,Trial!$A$2:$D$9988,4,0),0)</f>
        <v>18934267.579999998</v>
      </c>
      <c r="G54" s="104">
        <v>22222166.109999999</v>
      </c>
    </row>
    <row r="55" spans="1:7" ht="15.75" hidden="1" customHeight="1" x14ac:dyDescent="0.25">
      <c r="A55" s="125">
        <v>1111301003</v>
      </c>
      <c r="B55" s="1362"/>
      <c r="C55" s="132"/>
      <c r="D55" s="722" t="s">
        <v>321</v>
      </c>
      <c r="E55" s="531">
        <f>IFERROR(VLOOKUP(A55,Trial!$A$2:$D$9988,3,0),0)</f>
        <v>-3767320.03</v>
      </c>
      <c r="F55" s="719">
        <f>IFERROR(VLOOKUP(A55,Trial!$A$2:$D$9988,4,0),0)</f>
        <v>1058422.8</v>
      </c>
      <c r="G55" s="104">
        <v>1437459.75</v>
      </c>
    </row>
    <row r="56" spans="1:7" ht="15.75" hidden="1" customHeight="1" x14ac:dyDescent="0.25">
      <c r="A56" s="125">
        <v>1111301004</v>
      </c>
      <c r="B56" s="1362"/>
      <c r="C56" s="132"/>
      <c r="D56" s="722" t="s">
        <v>322</v>
      </c>
      <c r="E56" s="531">
        <f>IFERROR(VLOOKUP(A56,Trial!$A$2:$D$9988,3,0),0)</f>
        <v>-636197.89</v>
      </c>
      <c r="F56" s="719">
        <f>IFERROR(VLOOKUP(A56,Trial!$A$2:$D$9988,4,0),0)</f>
        <v>1587396.79</v>
      </c>
      <c r="G56" s="2">
        <v>0</v>
      </c>
    </row>
    <row r="57" spans="1:7" ht="15.75" hidden="1" customHeight="1" x14ac:dyDescent="0.25">
      <c r="A57" s="125">
        <v>1111301005</v>
      </c>
      <c r="B57" s="1362"/>
      <c r="C57" s="132"/>
      <c r="D57" s="722" t="s">
        <v>323</v>
      </c>
      <c r="E57" s="531">
        <f>IFERROR(VLOOKUP(A57,Trial!$A$2:$D$9988,3,0),0)</f>
        <v>-93136.89</v>
      </c>
      <c r="F57" s="719">
        <f>IFERROR(VLOOKUP(A57,Trial!$A$2:$D$9988,4,0),0)</f>
        <v>1603227.93</v>
      </c>
      <c r="G57" s="104">
        <v>1548723.86</v>
      </c>
    </row>
    <row r="58" spans="1:7" s="145" customFormat="1" x14ac:dyDescent="0.25">
      <c r="A58" s="125"/>
      <c r="B58" s="1362"/>
      <c r="C58" s="132"/>
      <c r="D58" s="728" t="s">
        <v>322</v>
      </c>
      <c r="E58" s="532">
        <f>SUM(E52:E57)</f>
        <v>-13151662.220000001</v>
      </c>
      <c r="F58" s="729">
        <f>SUM(F52:F57)</f>
        <v>27362475.719999999</v>
      </c>
      <c r="G58" s="104"/>
    </row>
    <row r="59" spans="1:7" x14ac:dyDescent="0.25">
      <c r="A59" s="125">
        <v>1111301008</v>
      </c>
      <c r="B59" s="1362"/>
      <c r="C59" s="132"/>
      <c r="D59" s="728" t="s">
        <v>1379</v>
      </c>
      <c r="E59" s="532">
        <f>IFERROR(VLOOKUP(A59,Trial!$A$2:$D$9988,3,0),0)</f>
        <v>4519608.6100000003</v>
      </c>
      <c r="F59" s="729">
        <f>IFERROR(VLOOKUP(A59,Trial!$A$2:$D$9988,4,0),0)</f>
        <v>46739541.039999999</v>
      </c>
      <c r="G59" s="104">
        <v>34269850.270000003</v>
      </c>
    </row>
    <row r="60" spans="1:7" x14ac:dyDescent="0.25">
      <c r="A60" s="125">
        <v>1111301007</v>
      </c>
      <c r="B60" s="1362"/>
      <c r="C60" s="132"/>
      <c r="D60" s="728" t="s">
        <v>1375</v>
      </c>
      <c r="E60" s="532">
        <f>IFERROR(VLOOKUP(A60,Trial!$A$2:$D$9988,3,0),0)</f>
        <v>-3828145.91</v>
      </c>
      <c r="F60" s="729">
        <f>IFERROR(VLOOKUP(A60,Trial!$A$2:$D$9988,4,0),0)</f>
        <v>24588441.890000001</v>
      </c>
      <c r="G60" s="104">
        <v>2221253.65</v>
      </c>
    </row>
    <row r="61" spans="1:7" ht="16.5" thickBot="1" x14ac:dyDescent="0.3">
      <c r="A61" s="125"/>
      <c r="B61" s="1362"/>
      <c r="C61" s="132"/>
      <c r="D61" s="544" t="s">
        <v>1376</v>
      </c>
      <c r="E61" s="535">
        <f>SUM(E58:E60)</f>
        <v>-12460199.52</v>
      </c>
      <c r="F61" s="723">
        <f>SUM(F58:F60)</f>
        <v>98690458.649999991</v>
      </c>
      <c r="G61" s="105">
        <f>SUM(G52:G60)</f>
        <v>68971055.260000005</v>
      </c>
    </row>
    <row r="62" spans="1:7" s="145" customFormat="1" ht="30.75" thickTop="1" x14ac:dyDescent="0.25">
      <c r="A62" s="125"/>
      <c r="B62" s="1362"/>
      <c r="C62" s="132"/>
      <c r="D62" s="739" t="s">
        <v>1377</v>
      </c>
      <c r="E62" s="734"/>
      <c r="F62" s="730"/>
      <c r="G62" s="107"/>
    </row>
    <row r="63" spans="1:7" s="145" customFormat="1" x14ac:dyDescent="0.25">
      <c r="A63" s="125"/>
      <c r="B63" s="1362"/>
      <c r="C63" s="132"/>
      <c r="D63" s="728" t="s">
        <v>1378</v>
      </c>
      <c r="E63" s="734"/>
      <c r="F63" s="730"/>
      <c r="G63" s="107"/>
    </row>
    <row r="64" spans="1:7" s="145" customFormat="1" x14ac:dyDescent="0.25">
      <c r="A64" s="125"/>
      <c r="B64" s="1362"/>
      <c r="C64" s="132"/>
      <c r="D64" s="728" t="s">
        <v>322</v>
      </c>
      <c r="E64" s="532">
        <f>+AE!F22</f>
        <v>3968586.5160000008</v>
      </c>
      <c r="F64" s="730">
        <v>0</v>
      </c>
      <c r="G64" s="107"/>
    </row>
    <row r="65" spans="1:7" s="145" customFormat="1" x14ac:dyDescent="0.25">
      <c r="A65" s="125"/>
      <c r="B65" s="1362"/>
      <c r="C65" s="132"/>
      <c r="D65" s="728" t="s">
        <v>1379</v>
      </c>
      <c r="E65" s="532">
        <f>+AE!F24</f>
        <v>1031129.829000001</v>
      </c>
      <c r="F65" s="730">
        <v>0</v>
      </c>
      <c r="G65" s="107"/>
    </row>
    <row r="66" spans="1:7" s="145" customFormat="1" x14ac:dyDescent="0.25">
      <c r="A66" s="125"/>
      <c r="B66" s="1362"/>
      <c r="C66" s="132"/>
      <c r="D66" s="728" t="s">
        <v>1375</v>
      </c>
      <c r="E66" s="532">
        <f>+AE!F23</f>
        <v>3709137.33</v>
      </c>
      <c r="F66" s="730">
        <v>0</v>
      </c>
      <c r="G66" s="107"/>
    </row>
    <row r="67" spans="1:7" x14ac:dyDescent="0.25">
      <c r="B67" s="1360"/>
      <c r="C67" s="130"/>
      <c r="D67" s="1277" t="s">
        <v>127</v>
      </c>
      <c r="E67" s="535">
        <f>SUM(E64:E66)</f>
        <v>8708853.6750000007</v>
      </c>
      <c r="F67" s="723"/>
    </row>
    <row r="68" spans="1:7" s="145" customFormat="1" x14ac:dyDescent="0.25">
      <c r="A68" s="13"/>
      <c r="B68" s="1360"/>
      <c r="C68" s="130"/>
      <c r="D68" s="1534"/>
      <c r="E68" s="1538"/>
      <c r="F68" s="1539"/>
      <c r="G68" s="5"/>
    </row>
    <row r="69" spans="1:7" s="145" customFormat="1" ht="31.5" x14ac:dyDescent="0.25">
      <c r="A69" s="13"/>
      <c r="B69" s="1360"/>
      <c r="C69" s="130"/>
      <c r="D69" s="999" t="str">
        <f>+D50</f>
        <v>Particulars</v>
      </c>
      <c r="E69" s="717" t="str">
        <f>+E50</f>
        <v>As at 31st January, 2019</v>
      </c>
      <c r="F69" s="717" t="str">
        <f>+F50</f>
        <v>As at 31st January,  2018</v>
      </c>
      <c r="G69" s="5"/>
    </row>
    <row r="70" spans="1:7" x14ac:dyDescent="0.25">
      <c r="B70" s="1360"/>
      <c r="C70" s="130"/>
      <c r="D70" s="544" t="s">
        <v>502</v>
      </c>
      <c r="E70" s="531"/>
      <c r="F70" s="719"/>
    </row>
    <row r="71" spans="1:7" s="145" customFormat="1" x14ac:dyDescent="0.25">
      <c r="A71" s="13"/>
      <c r="B71" s="1360"/>
      <c r="C71" s="130"/>
      <c r="D71" s="728" t="s">
        <v>106</v>
      </c>
      <c r="E71" s="532"/>
      <c r="F71" s="729"/>
      <c r="G71" s="5"/>
    </row>
    <row r="72" spans="1:7" x14ac:dyDescent="0.25">
      <c r="A72" s="125">
        <v>1107101000</v>
      </c>
      <c r="B72" s="1362"/>
      <c r="C72" s="132"/>
      <c r="D72" s="728" t="s">
        <v>1064</v>
      </c>
      <c r="E72" s="532">
        <f>IFERROR(VLOOKUP(A72,Trial!$A$2:$D$9988,3,0),0)</f>
        <v>37661334.009999998</v>
      </c>
      <c r="F72" s="729">
        <f>IFERROR(VLOOKUP(A72,Trial!$A$2:$D$9988,4,0),0)</f>
        <v>183055704.83000001</v>
      </c>
      <c r="G72" s="104">
        <v>74358848.219999999</v>
      </c>
    </row>
    <row r="73" spans="1:7" hidden="1" x14ac:dyDescent="0.25">
      <c r="A73" s="125">
        <v>1107102000</v>
      </c>
      <c r="B73" s="1362"/>
      <c r="C73" s="132"/>
      <c r="D73" s="728" t="s">
        <v>464</v>
      </c>
      <c r="E73" s="532">
        <f>IFERROR(VLOOKUP(A73,Trial!$A$2:$D$9988,3,0),0)</f>
        <v>45000</v>
      </c>
      <c r="F73" s="729">
        <f>IFERROR(VLOOKUP(A73,Trial!$A$2:$D$9988,4,0),0)</f>
        <v>0</v>
      </c>
      <c r="G73" s="2"/>
    </row>
    <row r="74" spans="1:7" x14ac:dyDescent="0.25">
      <c r="A74" s="125">
        <v>1107104000</v>
      </c>
      <c r="B74" s="1362"/>
      <c r="C74" s="132"/>
      <c r="D74" s="728" t="s">
        <v>1065</v>
      </c>
      <c r="E74" s="532">
        <f>IFERROR(VLOOKUP(A74,Trial!$A$2:$D$9988,3,0),0)</f>
        <v>1497886.41</v>
      </c>
      <c r="F74" s="729">
        <f>IFERROR(VLOOKUP(A74,Trial!$A$2:$D$9988,4,0),0)</f>
        <v>5408251.0800000001</v>
      </c>
      <c r="G74" s="104">
        <v>6843660.9199999999</v>
      </c>
    </row>
    <row r="75" spans="1:7" s="145" customFormat="1" x14ac:dyDescent="0.25">
      <c r="A75" s="125"/>
      <c r="B75" s="1362"/>
      <c r="C75" s="132"/>
      <c r="D75" s="722"/>
      <c r="E75" s="720">
        <f>SUM(E72:E74)</f>
        <v>39204220.419999994</v>
      </c>
      <c r="F75" s="721">
        <f>SUM(F72:F74)</f>
        <v>188463955.91000003</v>
      </c>
      <c r="G75" s="104"/>
    </row>
    <row r="76" spans="1:7" x14ac:dyDescent="0.25">
      <c r="A76" s="125">
        <v>1107103000</v>
      </c>
      <c r="B76" s="1362"/>
      <c r="C76" s="132"/>
      <c r="D76" s="728" t="s">
        <v>1380</v>
      </c>
      <c r="E76" s="532">
        <f>IFERROR(VLOOKUP(A76,Trial!$A$2:$D$9988,3,0),0)</f>
        <v>-6444046.0199999996</v>
      </c>
      <c r="F76" s="729">
        <f>IFERROR(VLOOKUP(A76,Trial!$A$2:$D$9988,4,0),0)</f>
        <v>-29596393.82</v>
      </c>
      <c r="G76" s="104">
        <v>-27995153.190000001</v>
      </c>
    </row>
    <row r="77" spans="1:7" hidden="1" x14ac:dyDescent="0.25">
      <c r="A77" s="13" t="s">
        <v>127</v>
      </c>
      <c r="B77" s="1360"/>
      <c r="C77" s="130"/>
      <c r="D77" s="728" t="s">
        <v>127</v>
      </c>
      <c r="E77" s="734"/>
      <c r="F77" s="730"/>
      <c r="G77" s="107">
        <f>SUM(G72:G76)</f>
        <v>53207355.950000003</v>
      </c>
    </row>
    <row r="78" spans="1:7" hidden="1" x14ac:dyDescent="0.25">
      <c r="B78" s="1360"/>
      <c r="C78" s="130"/>
      <c r="D78" s="735"/>
      <c r="E78" s="736"/>
      <c r="F78" s="737"/>
    </row>
    <row r="79" spans="1:7" s="39" customFormat="1" ht="16.5" thickBot="1" x14ac:dyDescent="0.3">
      <c r="A79" s="16"/>
      <c r="B79" s="1365"/>
      <c r="C79" s="1064"/>
      <c r="D79" s="1383" t="s">
        <v>1519</v>
      </c>
      <c r="E79" s="731">
        <f>SUM(E75:E76)-0.2</f>
        <v>32760174.199999996</v>
      </c>
      <c r="F79" s="732">
        <f>SUM(F75:F76)</f>
        <v>158867562.09000003</v>
      </c>
      <c r="G79" s="45">
        <f>G77+G74</f>
        <v>60051016.870000005</v>
      </c>
    </row>
    <row r="80" spans="1:7" ht="16.5" thickTop="1" x14ac:dyDescent="0.25">
      <c r="B80" s="1360"/>
      <c r="C80" s="130"/>
      <c r="D80" s="722" t="s">
        <v>127</v>
      </c>
      <c r="E80" s="1203"/>
      <c r="F80" s="721"/>
    </row>
    <row r="81" spans="1:7 16306:16306" s="145" customFormat="1" ht="31.5" x14ac:dyDescent="0.25">
      <c r="A81" s="13"/>
      <c r="B81" s="1360"/>
      <c r="C81" s="130"/>
      <c r="D81" s="999" t="str">
        <f>+D69</f>
        <v>Particulars</v>
      </c>
      <c r="E81" s="717" t="str">
        <f>+E69</f>
        <v>As at 31st January, 2019</v>
      </c>
      <c r="F81" s="717" t="str">
        <f>+F69</f>
        <v>As at 31st January,  2018</v>
      </c>
      <c r="G81" s="5"/>
    </row>
    <row r="82" spans="1:7 16306:16306" x14ac:dyDescent="0.25">
      <c r="B82" s="1360"/>
      <c r="C82" s="130"/>
      <c r="D82" s="544" t="s">
        <v>503</v>
      </c>
      <c r="E82" s="531"/>
      <c r="F82" s="719"/>
    </row>
    <row r="83" spans="1:7 16306:16306" x14ac:dyDescent="0.25">
      <c r="A83" s="128"/>
      <c r="B83" s="1366"/>
      <c r="C83" s="128"/>
      <c r="D83" s="728" t="s">
        <v>1066</v>
      </c>
      <c r="E83" s="532"/>
      <c r="F83" s="729"/>
    </row>
    <row r="84" spans="1:7 16306:16306" x14ac:dyDescent="0.25">
      <c r="A84" s="127"/>
      <c r="B84" s="1363"/>
      <c r="C84" s="127"/>
      <c r="D84" s="728" t="s">
        <v>244</v>
      </c>
      <c r="E84" s="532">
        <f>SUM(Trial!C64:C66)</f>
        <v>-1227354.45</v>
      </c>
      <c r="F84" s="729">
        <f>SUM(Trial!D64:D66)</f>
        <v>0</v>
      </c>
      <c r="G84" s="104">
        <v>247218.43</v>
      </c>
    </row>
    <row r="85" spans="1:7 16306:16306" x14ac:dyDescent="0.25">
      <c r="B85" s="1360"/>
      <c r="C85" s="130"/>
      <c r="D85" s="728" t="s">
        <v>121</v>
      </c>
      <c r="E85" s="532"/>
      <c r="F85" s="729"/>
    </row>
    <row r="86" spans="1:7 16306:16306" hidden="1" x14ac:dyDescent="0.25">
      <c r="B86" s="1360"/>
      <c r="C86" s="130"/>
      <c r="D86" s="728" t="s">
        <v>127</v>
      </c>
      <c r="E86" s="532"/>
      <c r="F86" s="729"/>
    </row>
    <row r="87" spans="1:7 16306:16306" x14ac:dyDescent="0.25">
      <c r="B87" s="1360"/>
      <c r="C87" s="130"/>
      <c r="D87" s="544" t="s">
        <v>245</v>
      </c>
      <c r="E87" s="531"/>
      <c r="F87" s="719"/>
    </row>
    <row r="88" spans="1:7 16306:16306" hidden="1" x14ac:dyDescent="0.25">
      <c r="B88" s="1360"/>
      <c r="C88" s="130"/>
      <c r="D88" s="722" t="s">
        <v>120</v>
      </c>
      <c r="E88" s="531">
        <f>SUM(Trial!C67:C68)</f>
        <v>0</v>
      </c>
      <c r="F88" s="719">
        <f>SUM(Trial!D67:D68)</f>
        <v>0</v>
      </c>
      <c r="G88" s="104">
        <v>125949922.81</v>
      </c>
    </row>
    <row r="89" spans="1:7 16306:16306" hidden="1" x14ac:dyDescent="0.25">
      <c r="B89" s="1360"/>
      <c r="C89" s="130"/>
      <c r="D89" s="722" t="s">
        <v>116</v>
      </c>
      <c r="E89" s="531">
        <f>SUM(Trial!C69:C71)</f>
        <v>81563901.049999997</v>
      </c>
      <c r="F89" s="719">
        <f>SUM(Trial!D69:D71)</f>
        <v>91362154.25</v>
      </c>
      <c r="G89" s="104">
        <v>-32126340.510000005</v>
      </c>
      <c r="XCD89" s="55" t="s">
        <v>155</v>
      </c>
    </row>
    <row r="90" spans="1:7 16306:16306" hidden="1" x14ac:dyDescent="0.25">
      <c r="B90" s="1360"/>
      <c r="C90" s="130"/>
      <c r="D90" s="722" t="s">
        <v>117</v>
      </c>
      <c r="E90" s="531">
        <f>SUM(Trial!C72:C74)</f>
        <v>-19122080.050000001</v>
      </c>
      <c r="F90" s="719">
        <f>SUM(Trial!D72:D74)</f>
        <v>6802421</v>
      </c>
      <c r="G90" s="104">
        <v>67539698.219999999</v>
      </c>
      <c r="XCD90" s="55" t="s">
        <v>156</v>
      </c>
    </row>
    <row r="91" spans="1:7 16306:16306" hidden="1" x14ac:dyDescent="0.25">
      <c r="B91" s="1360"/>
      <c r="C91" s="130"/>
      <c r="D91" s="722" t="s">
        <v>27</v>
      </c>
      <c r="E91" s="531">
        <f>SUM(Trial!C75:C77)</f>
        <v>-31299121.079999998</v>
      </c>
      <c r="F91" s="719">
        <f>SUM(Trial!D75:D77)</f>
        <v>4140684.7</v>
      </c>
      <c r="G91" s="104">
        <v>7337143.2699999996</v>
      </c>
      <c r="XCD91" s="55" t="s">
        <v>157</v>
      </c>
    </row>
    <row r="92" spans="1:7 16306:16306" hidden="1" x14ac:dyDescent="0.25">
      <c r="B92" s="1360"/>
      <c r="C92" s="130"/>
      <c r="D92" s="722" t="s">
        <v>118</v>
      </c>
      <c r="E92" s="531">
        <f>SUM(Trial!C78:C80)</f>
        <v>3490808.37</v>
      </c>
      <c r="F92" s="719">
        <f>SUM(Trial!D78:D80)</f>
        <v>24213879.039999999</v>
      </c>
      <c r="G92" s="104">
        <v>17098890.41</v>
      </c>
    </row>
    <row r="93" spans="1:7 16306:16306" hidden="1" x14ac:dyDescent="0.25">
      <c r="B93" s="1360"/>
      <c r="C93" s="130"/>
      <c r="D93" s="722" t="s">
        <v>198</v>
      </c>
      <c r="E93" s="531">
        <f>SUM(Trial!C81:C83)</f>
        <v>0</v>
      </c>
      <c r="F93" s="719">
        <f>SUM(Trial!D81:D83)</f>
        <v>0</v>
      </c>
      <c r="G93" s="104">
        <v>0</v>
      </c>
    </row>
    <row r="94" spans="1:7 16306:16306" hidden="1" x14ac:dyDescent="0.25">
      <c r="B94" s="1360"/>
      <c r="C94" s="130"/>
      <c r="D94" s="722" t="s">
        <v>28</v>
      </c>
      <c r="E94" s="531">
        <f>SUM(Trial!C84:C86)</f>
        <v>154796</v>
      </c>
      <c r="F94" s="719">
        <f>SUM(Trial!D84:D86)</f>
        <v>1692153.41</v>
      </c>
      <c r="G94" s="104">
        <v>2892232.44</v>
      </c>
    </row>
    <row r="95" spans="1:7 16306:16306" hidden="1" x14ac:dyDescent="0.25">
      <c r="B95" s="1360"/>
      <c r="C95" s="130"/>
      <c r="D95" s="722" t="s">
        <v>119</v>
      </c>
      <c r="E95" s="531">
        <f>SUM(Trial!C87:C89)</f>
        <v>114300.33</v>
      </c>
      <c r="F95" s="719">
        <f>SUM(Trial!D87:D89)</f>
        <v>26486886.57</v>
      </c>
      <c r="G95" s="104">
        <v>21937786.619999997</v>
      </c>
    </row>
    <row r="96" spans="1:7 16306:16306" hidden="1" x14ac:dyDescent="0.25">
      <c r="B96" s="1360"/>
      <c r="C96" s="130"/>
      <c r="D96" s="722" t="s">
        <v>97</v>
      </c>
      <c r="E96" s="531">
        <f>SUM(Trial!C90:C92)</f>
        <v>255240549.42999998</v>
      </c>
      <c r="F96" s="719">
        <f>SUM(Trial!D90:D92)</f>
        <v>106822228.20999999</v>
      </c>
      <c r="G96" s="104">
        <v>37238249.259999998</v>
      </c>
    </row>
    <row r="97" spans="1:7" hidden="1" x14ac:dyDescent="0.25">
      <c r="B97" s="1360"/>
      <c r="C97" s="130"/>
      <c r="D97" s="722" t="s">
        <v>128</v>
      </c>
      <c r="E97" s="531">
        <f>SUM(Trial!C93:C95)</f>
        <v>82017291.700000003</v>
      </c>
      <c r="F97" s="719">
        <f>SUM(Trial!D93:D95)</f>
        <v>1000</v>
      </c>
      <c r="G97" s="104">
        <v>0</v>
      </c>
    </row>
    <row r="98" spans="1:7" hidden="1" x14ac:dyDescent="0.25">
      <c r="B98" s="1360"/>
      <c r="C98" s="130"/>
      <c r="D98" s="722" t="s">
        <v>67</v>
      </c>
      <c r="E98" s="531">
        <f>SUM(Trial!C96:C358)</f>
        <v>-105021950.62</v>
      </c>
      <c r="F98" s="719">
        <f>SUM(Trial!D111:D358)</f>
        <v>59911772.850000001</v>
      </c>
      <c r="G98" s="104">
        <v>64942736.180000015</v>
      </c>
    </row>
    <row r="99" spans="1:7" x14ac:dyDescent="0.25">
      <c r="B99" s="1360"/>
      <c r="C99" s="130"/>
      <c r="D99" s="728" t="s">
        <v>1381</v>
      </c>
      <c r="E99" s="1019">
        <f>SUM(E88:E98)</f>
        <v>267138495.12999994</v>
      </c>
      <c r="F99" s="1020">
        <f>SUM(F88:F98)</f>
        <v>321433180.03000003</v>
      </c>
      <c r="G99" s="108">
        <f>SUM(G88:G98)</f>
        <v>312810318.69999999</v>
      </c>
    </row>
    <row r="100" spans="1:7" s="145" customFormat="1" x14ac:dyDescent="0.25">
      <c r="A100" s="13"/>
      <c r="B100" s="1360"/>
      <c r="C100" s="130"/>
      <c r="D100" s="1277" t="s">
        <v>550</v>
      </c>
      <c r="E100" s="535">
        <f>E99+E84</f>
        <v>265911140.67999995</v>
      </c>
      <c r="F100" s="723">
        <f>F99+F84</f>
        <v>321433180.03000003</v>
      </c>
      <c r="G100" s="107"/>
    </row>
    <row r="101" spans="1:7" s="145" customFormat="1" x14ac:dyDescent="0.25">
      <c r="A101" s="13"/>
      <c r="B101" s="1360"/>
      <c r="C101" s="130"/>
      <c r="D101" s="722" t="s">
        <v>127</v>
      </c>
      <c r="E101" s="1203"/>
      <c r="F101" s="721"/>
      <c r="G101" s="107"/>
    </row>
    <row r="102" spans="1:7" s="145" customFormat="1" ht="31.5" x14ac:dyDescent="0.25">
      <c r="A102" s="13"/>
      <c r="B102" s="1360"/>
      <c r="C102" s="130"/>
      <c r="D102" s="999" t="str">
        <f>+D81</f>
        <v>Particulars</v>
      </c>
      <c r="E102" s="717" t="str">
        <f>+E81</f>
        <v>As at 31st January, 2019</v>
      </c>
      <c r="F102" s="717" t="str">
        <f>+F81</f>
        <v>As at 31st January,  2018</v>
      </c>
      <c r="G102" s="107"/>
    </row>
    <row r="103" spans="1:7" x14ac:dyDescent="0.25">
      <c r="B103" s="1360"/>
      <c r="C103" s="130"/>
      <c r="D103" s="544" t="s">
        <v>504</v>
      </c>
      <c r="E103" s="531"/>
      <c r="F103" s="719"/>
    </row>
    <row r="104" spans="1:7" x14ac:dyDescent="0.25">
      <c r="B104" s="1360"/>
      <c r="C104" s="130"/>
      <c r="D104" s="728" t="s">
        <v>106</v>
      </c>
      <c r="E104" s="532"/>
      <c r="F104" s="729"/>
    </row>
    <row r="105" spans="1:7" ht="30" x14ac:dyDescent="0.25">
      <c r="B105" s="1360"/>
      <c r="C105" s="130"/>
      <c r="D105" s="739" t="s">
        <v>107</v>
      </c>
      <c r="E105" s="740"/>
      <c r="F105" s="741"/>
    </row>
    <row r="106" spans="1:7" x14ac:dyDescent="0.25">
      <c r="A106" s="125">
        <v>1107203000</v>
      </c>
      <c r="B106" s="1362"/>
      <c r="C106" s="132"/>
      <c r="D106" s="728" t="s">
        <v>852</v>
      </c>
      <c r="E106" s="532">
        <f>IFERROR(VLOOKUP(A106,Trial!$A$2:$D$9988,3,0),0)</f>
        <v>0</v>
      </c>
      <c r="F106" s="729">
        <f>IFERROR(VLOOKUP(A106,Trial!$A$2:$D$9988,4,0),0)</f>
        <v>788565.21</v>
      </c>
      <c r="G106" s="104">
        <v>739651</v>
      </c>
    </row>
    <row r="107" spans="1:7" x14ac:dyDescent="0.25">
      <c r="A107" s="125">
        <v>1109101000</v>
      </c>
      <c r="B107" s="1362"/>
      <c r="C107" s="132"/>
      <c r="D107" s="728" t="s">
        <v>856</v>
      </c>
      <c r="E107" s="532">
        <f>IFERROR(VLOOKUP(A107,Trial!$A$2:$D$9988,3,0),0)</f>
        <v>0</v>
      </c>
      <c r="F107" s="729">
        <f>IFERROR(VLOOKUP(A107,Trial!$A$2:$D$9988,4,0),0)</f>
        <v>64264.35</v>
      </c>
      <c r="G107" s="104">
        <v>2212782.17</v>
      </c>
    </row>
    <row r="108" spans="1:7" x14ac:dyDescent="0.25">
      <c r="A108" s="125">
        <v>1107215000</v>
      </c>
      <c r="B108" s="1362"/>
      <c r="C108" s="132"/>
      <c r="D108" s="728" t="s">
        <v>855</v>
      </c>
      <c r="E108" s="532">
        <f>IFERROR(VLOOKUP(A108,Trial!$A$2:$D$9988,3,0),0)</f>
        <v>2007812.9</v>
      </c>
      <c r="F108" s="729">
        <f>IFERROR(VLOOKUP(A108,Trial!$A$2:$D$9988,4,0),0)</f>
        <v>2007812.9</v>
      </c>
      <c r="G108" s="2">
        <v>0</v>
      </c>
    </row>
    <row r="109" spans="1:7" hidden="1" x14ac:dyDescent="0.25">
      <c r="A109" s="125">
        <v>1107212000</v>
      </c>
      <c r="B109" s="1362"/>
      <c r="C109" s="132"/>
      <c r="D109" s="722" t="s">
        <v>161</v>
      </c>
      <c r="E109" s="531">
        <f>IFERROR(VLOOKUP(A109,Trial!$A$2:$D$10043,3,0),0)</f>
        <v>0</v>
      </c>
      <c r="F109" s="719">
        <f>IFERROR(VLOOKUP(A109,Trial!$A$2:$D$9995,4,0),0)</f>
        <v>0</v>
      </c>
      <c r="G109" s="2"/>
    </row>
    <row r="110" spans="1:7" ht="16.5" thickBot="1" x14ac:dyDescent="0.3">
      <c r="B110" s="1360"/>
      <c r="C110" s="130"/>
      <c r="D110" s="1536" t="s">
        <v>127</v>
      </c>
      <c r="E110" s="535">
        <f>SUM(E106:E109)</f>
        <v>2007812.9</v>
      </c>
      <c r="F110" s="723">
        <f>SUM(F106:F109)</f>
        <v>2860642.46</v>
      </c>
      <c r="G110" s="105">
        <f>SUM(G106:G109)</f>
        <v>2952433.17</v>
      </c>
    </row>
    <row r="111" spans="1:7" s="145" customFormat="1" ht="16.5" thickTop="1" x14ac:dyDescent="0.25">
      <c r="A111" s="13"/>
      <c r="B111" s="1360"/>
      <c r="C111" s="130"/>
      <c r="D111" s="722"/>
      <c r="E111" s="1203"/>
      <c r="F111" s="721"/>
      <c r="G111" s="107"/>
    </row>
    <row r="112" spans="1:7" s="145" customFormat="1" ht="37.5" customHeight="1" x14ac:dyDescent="0.25">
      <c r="A112" s="13"/>
      <c r="B112" s="1360"/>
      <c r="C112" s="130"/>
      <c r="D112" s="999" t="str">
        <f>+D102</f>
        <v>Particulars</v>
      </c>
      <c r="E112" s="717" t="str">
        <f>+E102</f>
        <v>As at 31st January, 2019</v>
      </c>
      <c r="F112" s="717" t="str">
        <f>+F102</f>
        <v>As at 31st January,  2018</v>
      </c>
      <c r="G112" s="107"/>
    </row>
    <row r="113" spans="1:7" x14ac:dyDescent="0.25">
      <c r="B113" s="1360"/>
      <c r="C113" s="130"/>
      <c r="D113" s="544" t="s">
        <v>505</v>
      </c>
      <c r="E113" s="531"/>
      <c r="F113" s="719"/>
    </row>
    <row r="114" spans="1:7" hidden="1" x14ac:dyDescent="0.25">
      <c r="B114" s="1360"/>
      <c r="C114" s="130"/>
      <c r="D114" s="724"/>
      <c r="E114" s="725"/>
      <c r="F114" s="726"/>
    </row>
    <row r="115" spans="1:7" x14ac:dyDescent="0.25">
      <c r="A115" s="125">
        <v>1107214000</v>
      </c>
      <c r="B115" s="1362"/>
      <c r="C115" s="132"/>
      <c r="D115" s="728" t="s">
        <v>1385</v>
      </c>
      <c r="E115" s="532">
        <f>IFERROR(VLOOKUP(A115,Trial!$A$2:$D$9988,3,0),0)</f>
        <v>-4420931.66</v>
      </c>
      <c r="F115" s="729">
        <f>IFERROR(VLOOKUP(A115,Trial!$A$2:$D$9988,4,0),0)</f>
        <v>6940155.29</v>
      </c>
      <c r="G115" s="104">
        <v>37260973.640000001</v>
      </c>
    </row>
    <row r="116" spans="1:7" x14ac:dyDescent="0.25">
      <c r="A116" s="125">
        <v>1107214001</v>
      </c>
      <c r="B116" s="1362"/>
      <c r="C116" s="132"/>
      <c r="D116" s="728" t="s">
        <v>1386</v>
      </c>
      <c r="E116" s="532">
        <f>IFERROR(VLOOKUP(A116,Trial!$A$2:$D$9988,3,0),0)</f>
        <v>-353625</v>
      </c>
      <c r="F116" s="729">
        <f>IFERROR(VLOOKUP(A116,Trial!$A$2:$D$9988,4,0),0)</f>
        <v>1302113.19</v>
      </c>
      <c r="G116" s="104">
        <v>1564801.18</v>
      </c>
    </row>
    <row r="117" spans="1:7" hidden="1" x14ac:dyDescent="0.25">
      <c r="A117" s="125">
        <v>1109104000</v>
      </c>
      <c r="B117" s="1362"/>
      <c r="C117" s="132"/>
      <c r="D117" s="728" t="s">
        <v>857</v>
      </c>
      <c r="E117" s="532">
        <f>IFERROR(VLOOKUP(A117,Trial!$A$2:$D$9988,3,0),0)</f>
        <v>-2386106.9</v>
      </c>
      <c r="F117" s="729">
        <f>IFERROR(VLOOKUP(A117,Trial!$A$2:$D$9988,4,0),0)</f>
        <v>114566</v>
      </c>
      <c r="G117" s="104">
        <v>81642</v>
      </c>
    </row>
    <row r="118" spans="1:7" hidden="1" x14ac:dyDescent="0.25">
      <c r="A118" s="125">
        <v>1109104001</v>
      </c>
      <c r="B118" s="1362"/>
      <c r="C118" s="132"/>
      <c r="D118" s="728" t="s">
        <v>858</v>
      </c>
      <c r="E118" s="532">
        <f>IFERROR(VLOOKUP(A118,Trial!$A$2:$D$9988,3,0),0)</f>
        <v>80250.16</v>
      </c>
      <c r="F118" s="729">
        <f>IFERROR(VLOOKUP(A118,Trial!$A$2:$D$9988,4,0),0)</f>
        <v>536016.69999999995</v>
      </c>
      <c r="G118" s="104">
        <v>49842.65</v>
      </c>
    </row>
    <row r="119" spans="1:7" x14ac:dyDescent="0.25">
      <c r="A119" s="125">
        <v>1109104002</v>
      </c>
      <c r="B119" s="1362"/>
      <c r="C119" s="132"/>
      <c r="D119" s="728" t="s">
        <v>1387</v>
      </c>
      <c r="E119" s="532">
        <f>IFERROR(VLOOKUP(A119,Trial!$A$2:$D$9988,3,0),0)</f>
        <v>-3273410.82</v>
      </c>
      <c r="F119" s="729">
        <f>IFERROR(VLOOKUP(A119,Trial!$A$2:$D$9988,4,0),0)</f>
        <v>1292492.29</v>
      </c>
      <c r="G119" s="104">
        <v>151945.45999999996</v>
      </c>
    </row>
    <row r="120" spans="1:7" hidden="1" x14ac:dyDescent="0.25">
      <c r="A120" s="125">
        <v>1109104003</v>
      </c>
      <c r="B120" s="1362"/>
      <c r="C120" s="132"/>
      <c r="D120" s="728" t="s">
        <v>860</v>
      </c>
      <c r="E120" s="532">
        <f>IFERROR(VLOOKUP(A120,Trial!$A$2:$D$9988,3,0),0)</f>
        <v>1205537</v>
      </c>
      <c r="F120" s="729">
        <f>IFERROR(VLOOKUP(A120,Trial!$A$2:$D$9988,4,0),0)</f>
        <v>6321139</v>
      </c>
      <c r="G120" s="104">
        <v>67999</v>
      </c>
    </row>
    <row r="121" spans="1:7" hidden="1" x14ac:dyDescent="0.25">
      <c r="A121" s="125"/>
      <c r="B121" s="1362"/>
      <c r="C121" s="132"/>
      <c r="D121" s="728" t="s">
        <v>287</v>
      </c>
      <c r="E121" s="532"/>
      <c r="F121" s="729"/>
      <c r="G121" s="104">
        <v>5250</v>
      </c>
    </row>
    <row r="122" spans="1:7" x14ac:dyDescent="0.25">
      <c r="A122" s="125">
        <v>1109105000</v>
      </c>
      <c r="B122" s="1362"/>
      <c r="C122" s="132"/>
      <c r="D122" s="728" t="s">
        <v>1388</v>
      </c>
      <c r="E122" s="532">
        <f>IFERROR(VLOOKUP(A122,Trial!$A$2:$D$9988,3,0),0)</f>
        <v>12679904.199999999</v>
      </c>
      <c r="F122" s="729">
        <f>IFERROR(VLOOKUP(A122,Trial!$A$2:$D$9988,4,0),0)</f>
        <v>13220095.800000001</v>
      </c>
      <c r="G122" s="104">
        <v>16353855.49</v>
      </c>
    </row>
    <row r="123" spans="1:7" s="145" customFormat="1" x14ac:dyDescent="0.25">
      <c r="A123" s="125"/>
      <c r="B123" s="1362"/>
      <c r="C123" s="132"/>
      <c r="D123" s="733" t="s">
        <v>1239</v>
      </c>
      <c r="E123" s="532"/>
      <c r="F123" s="729"/>
      <c r="G123" s="104"/>
    </row>
    <row r="124" spans="1:7" x14ac:dyDescent="0.25">
      <c r="A124" s="129">
        <v>1109203000</v>
      </c>
      <c r="B124" s="1363" t="s">
        <v>1655</v>
      </c>
      <c r="C124" s="127"/>
      <c r="D124" s="632" t="s">
        <v>225</v>
      </c>
      <c r="E124" s="532">
        <f>IFERROR(VLOOKUP(A124,Trial!$A$2:$D$9988,3,0),0)-Tax!E49</f>
        <v>-1708448.4700000002</v>
      </c>
      <c r="F124" s="729">
        <f>IFERROR(VLOOKUP(A124,Trial!$A$2:$D$9988,4,0),0)</f>
        <v>9661.65</v>
      </c>
    </row>
    <row r="125" spans="1:7" hidden="1" x14ac:dyDescent="0.25">
      <c r="A125" s="127">
        <v>1109201000</v>
      </c>
      <c r="B125" s="1363"/>
      <c r="C125" s="127"/>
      <c r="D125" s="632" t="s">
        <v>163</v>
      </c>
      <c r="E125" s="532">
        <f>IFERROR(VLOOKUP(A125,Trial!$A$2:$D$10043,3,0),0)-220145039.47</f>
        <v>-220145039.47</v>
      </c>
      <c r="F125" s="729">
        <f>IFERROR(VLOOKUP(A125,Trial!$A$2:$D$9995,4,0),0)</f>
        <v>0</v>
      </c>
    </row>
    <row r="126" spans="1:7" s="145" customFormat="1" x14ac:dyDescent="0.25">
      <c r="A126" s="127"/>
      <c r="B126" s="1363"/>
      <c r="C126" s="127"/>
      <c r="D126" s="632" t="s">
        <v>1389</v>
      </c>
      <c r="E126" s="532">
        <f>+'SAP '!C393</f>
        <v>0</v>
      </c>
      <c r="F126" s="729">
        <v>0</v>
      </c>
      <c r="G126" s="5"/>
    </row>
    <row r="127" spans="1:7" s="145" customFormat="1" x14ac:dyDescent="0.25">
      <c r="A127" s="127"/>
      <c r="B127" s="1363"/>
      <c r="C127" s="127"/>
      <c r="D127" s="632" t="s">
        <v>1390</v>
      </c>
      <c r="E127" s="532">
        <f>+'SAP '!C382</f>
        <v>0</v>
      </c>
      <c r="F127" s="729">
        <v>0</v>
      </c>
      <c r="G127" s="5"/>
    </row>
    <row r="128" spans="1:7" hidden="1" x14ac:dyDescent="0.25">
      <c r="A128" s="127">
        <v>1107215001</v>
      </c>
      <c r="B128" s="1363"/>
      <c r="C128" s="127"/>
      <c r="D128" s="631" t="s">
        <v>162</v>
      </c>
      <c r="E128" s="531">
        <f>IFERROR(VLOOKUP(A128,Trial!$A$2:$D$10043,3,0),0)</f>
        <v>0</v>
      </c>
      <c r="F128" s="719">
        <f>IFERROR(VLOOKUP(A128,Trial!$A$2:$D$9995,4,0),0)</f>
        <v>0</v>
      </c>
    </row>
    <row r="129" spans="1:7" ht="16.5" thickBot="1" x14ac:dyDescent="0.3">
      <c r="B129" s="1360"/>
      <c r="C129" s="130"/>
      <c r="D129" s="727"/>
      <c r="E129" s="535">
        <f>SUM(E115:E128)-0.01</f>
        <v>-218321870.97</v>
      </c>
      <c r="F129" s="723">
        <f>SUM(F115:F128)</f>
        <v>29736239.919999998</v>
      </c>
      <c r="G129" s="105">
        <f>SUM(G108:G128)</f>
        <v>58488742.590000004</v>
      </c>
    </row>
    <row r="130" spans="1:7" s="145" customFormat="1" ht="16.5" thickTop="1" x14ac:dyDescent="0.25">
      <c r="A130" s="13"/>
      <c r="B130" s="1360"/>
      <c r="C130" s="130"/>
      <c r="D130" s="728" t="s">
        <v>1391</v>
      </c>
      <c r="E130" s="820"/>
      <c r="F130" s="730"/>
      <c r="G130" s="107"/>
    </row>
    <row r="131" spans="1:7" s="145" customFormat="1" x14ac:dyDescent="0.25">
      <c r="A131" s="13"/>
      <c r="B131" s="1360"/>
      <c r="C131" s="130"/>
      <c r="D131" s="728" t="s">
        <v>1392</v>
      </c>
      <c r="E131" s="820"/>
      <c r="F131" s="730"/>
      <c r="G131" s="107"/>
    </row>
    <row r="132" spans="1:7" s="145" customFormat="1" ht="17.25" customHeight="1" x14ac:dyDescent="0.25">
      <c r="A132" s="13"/>
      <c r="B132" s="1360"/>
      <c r="C132" s="130"/>
      <c r="D132" s="1658" t="s">
        <v>1393</v>
      </c>
      <c r="E132" s="1659"/>
      <c r="F132" s="1660"/>
      <c r="G132" s="107"/>
    </row>
    <row r="133" spans="1:7" s="145" customFormat="1" ht="16.5" customHeight="1" x14ac:dyDescent="0.25">
      <c r="A133" s="13"/>
      <c r="B133" s="1360"/>
      <c r="C133" s="130"/>
      <c r="D133" s="1658" t="s">
        <v>1394</v>
      </c>
      <c r="E133" s="1659"/>
      <c r="F133" s="1660"/>
      <c r="G133" s="107"/>
    </row>
    <row r="134" spans="1:7" s="145" customFormat="1" x14ac:dyDescent="0.25">
      <c r="A134" s="13"/>
      <c r="B134" s="1360"/>
      <c r="C134" s="130"/>
      <c r="D134" s="728" t="s">
        <v>1396</v>
      </c>
      <c r="E134" s="820"/>
      <c r="F134" s="730"/>
      <c r="G134" s="107"/>
    </row>
    <row r="135" spans="1:7" s="145" customFormat="1" x14ac:dyDescent="0.25">
      <c r="A135" s="13"/>
      <c r="B135" s="1360"/>
      <c r="C135" s="130"/>
      <c r="D135" s="728" t="s">
        <v>1395</v>
      </c>
      <c r="E135" s="820"/>
      <c r="F135" s="730"/>
      <c r="G135" s="107"/>
    </row>
    <row r="136" spans="1:7" s="145" customFormat="1" x14ac:dyDescent="0.25">
      <c r="A136" s="13"/>
      <c r="B136" s="1360"/>
      <c r="C136" s="130"/>
      <c r="D136" s="1540"/>
      <c r="E136" s="1381"/>
      <c r="F136" s="1364"/>
      <c r="G136" s="107"/>
    </row>
    <row r="137" spans="1:7" s="145" customFormat="1" x14ac:dyDescent="0.25">
      <c r="A137" s="13"/>
      <c r="B137" s="1360"/>
      <c r="C137" s="130"/>
      <c r="D137" s="1549"/>
      <c r="E137" s="1538"/>
      <c r="F137" s="1539"/>
      <c r="G137" s="107"/>
    </row>
    <row r="138" spans="1:7" s="145" customFormat="1" ht="31.5" x14ac:dyDescent="0.25">
      <c r="A138" s="13"/>
      <c r="B138" s="1360"/>
      <c r="C138" s="130"/>
      <c r="D138" s="999" t="str">
        <f>+D112</f>
        <v>Particulars</v>
      </c>
      <c r="E138" s="717" t="str">
        <f>+E112</f>
        <v>As at 31st January, 2019</v>
      </c>
      <c r="F138" s="717" t="str">
        <f>+F112</f>
        <v>As at 31st January,  2018</v>
      </c>
      <c r="G138" s="107"/>
    </row>
    <row r="139" spans="1:7" s="145" customFormat="1" x14ac:dyDescent="0.25">
      <c r="A139" s="13"/>
      <c r="B139" s="1360"/>
      <c r="C139" s="130"/>
      <c r="D139" s="544" t="s">
        <v>1397</v>
      </c>
      <c r="E139" s="531"/>
      <c r="F139" s="719"/>
      <c r="G139" s="107"/>
    </row>
    <row r="140" spans="1:7" s="145" customFormat="1" x14ac:dyDescent="0.25">
      <c r="A140" s="13"/>
      <c r="B140" s="1360"/>
      <c r="C140" s="130"/>
      <c r="D140" s="728" t="s">
        <v>1398</v>
      </c>
      <c r="E140" s="532">
        <f>AE!E170</f>
        <v>99285178.310000002</v>
      </c>
      <c r="F140" s="729">
        <f>IFERROR(VLOOKUP(A140,Trial!$A$2:$D$9988,4,0),0)</f>
        <v>0</v>
      </c>
      <c r="G140" s="107"/>
    </row>
    <row r="141" spans="1:7" s="145" customFormat="1" x14ac:dyDescent="0.25">
      <c r="A141" s="13"/>
      <c r="B141" s="1360"/>
      <c r="C141" s="130"/>
      <c r="D141" s="727"/>
      <c r="E141" s="535">
        <f>E140</f>
        <v>99285178.310000002</v>
      </c>
      <c r="F141" s="723">
        <f>F140</f>
        <v>0</v>
      </c>
      <c r="G141" s="107"/>
    </row>
    <row r="142" spans="1:7" s="145" customFormat="1" ht="6" customHeight="1" x14ac:dyDescent="0.25">
      <c r="A142" s="13"/>
      <c r="B142" s="1360"/>
      <c r="C142" s="130"/>
      <c r="D142" s="1649" t="s">
        <v>1628</v>
      </c>
      <c r="E142" s="1650"/>
      <c r="F142" s="1651"/>
      <c r="G142" s="107"/>
    </row>
    <row r="143" spans="1:7" s="145" customFormat="1" x14ac:dyDescent="0.25">
      <c r="A143" s="13"/>
      <c r="B143" s="1360"/>
      <c r="C143" s="130"/>
      <c r="D143" s="1652"/>
      <c r="E143" s="1653"/>
      <c r="F143" s="1654"/>
      <c r="G143" s="107"/>
    </row>
    <row r="144" spans="1:7" ht="66.75" customHeight="1" x14ac:dyDescent="0.25">
      <c r="B144" s="1360"/>
      <c r="C144" s="130"/>
      <c r="D144" s="1652"/>
      <c r="E144" s="1653"/>
      <c r="F144" s="1654"/>
    </row>
    <row r="145" spans="2:6" ht="40.5" customHeight="1" x14ac:dyDescent="0.25">
      <c r="B145" s="1360"/>
      <c r="C145" s="130"/>
      <c r="D145" s="1652"/>
      <c r="E145" s="1653"/>
      <c r="F145" s="1654"/>
    </row>
    <row r="146" spans="2:6" ht="103.5" customHeight="1" x14ac:dyDescent="0.25">
      <c r="B146" s="1367"/>
      <c r="C146" s="1368"/>
      <c r="D146" s="1655"/>
      <c r="E146" s="1656"/>
      <c r="F146" s="1657"/>
    </row>
  </sheetData>
  <mergeCells count="5">
    <mergeCell ref="D1:F1"/>
    <mergeCell ref="D2:F2"/>
    <mergeCell ref="D142:F146"/>
    <mergeCell ref="D132:F132"/>
    <mergeCell ref="D133:F133"/>
  </mergeCells>
  <printOptions horizontalCentered="1"/>
  <pageMargins left="0" right="0" top="0" bottom="0.19685039370078741" header="3.937007874015748E-2" footer="3.937007874015748E-2"/>
  <pageSetup paperSize="9" scale="80" orientation="portrait" r:id="rId1"/>
  <rowBreaks count="2" manualBreakCount="2">
    <brk id="67" max="16383" man="1"/>
    <brk id="1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47"/>
  <sheetViews>
    <sheetView showGridLines="0" showWhiteSpace="0" view="pageBreakPreview" topLeftCell="B1" zoomScale="90" zoomScaleSheetLayoutView="90" workbookViewId="0">
      <selection activeCell="C7" sqref="C7"/>
    </sheetView>
  </sheetViews>
  <sheetFormatPr defaultColWidth="9.140625" defaultRowHeight="15.75" x14ac:dyDescent="0.25"/>
  <cols>
    <col min="1" max="1" width="0.85546875" style="13" hidden="1" customWidth="1"/>
    <col min="2" max="2" width="30.42578125" style="443" customWidth="1"/>
    <col min="3" max="3" width="12.85546875" style="409" customWidth="1"/>
    <col min="4" max="4" width="15.85546875" style="409" customWidth="1"/>
    <col min="5" max="5" width="22.140625" style="444" customWidth="1"/>
    <col min="6" max="6" width="22.42578125" style="444" customWidth="1"/>
    <col min="7" max="7" width="18.42578125" style="4" hidden="1" customWidth="1"/>
    <col min="8" max="8" width="19.42578125" style="1" hidden="1" customWidth="1"/>
    <col min="9" max="9" width="18.7109375" style="1" bestFit="1" customWidth="1"/>
    <col min="10" max="10" width="5.85546875" style="1" customWidth="1"/>
    <col min="11" max="11" width="10.7109375" style="1" customWidth="1"/>
    <col min="12" max="14" width="17.28515625" style="1" bestFit="1" customWidth="1"/>
    <col min="15" max="15" width="16.85546875" style="1" bestFit="1" customWidth="1"/>
    <col min="16" max="16" width="13" style="1" customWidth="1"/>
    <col min="17" max="16384" width="9.140625" style="1"/>
  </cols>
  <sheetData>
    <row r="1" spans="1:11" x14ac:dyDescent="0.25">
      <c r="B1" s="1604" t="str">
        <f>'2SFP'!B1</f>
        <v>BHUTAN TELECOM LIMITED</v>
      </c>
      <c r="C1" s="1605"/>
      <c r="D1" s="1605"/>
      <c r="E1" s="1605"/>
      <c r="F1" s="1606"/>
      <c r="G1" s="58"/>
      <c r="H1" s="58"/>
      <c r="I1" s="17"/>
    </row>
    <row r="2" spans="1:11" x14ac:dyDescent="0.25">
      <c r="B2" s="1642" t="s">
        <v>1084</v>
      </c>
      <c r="C2" s="1643"/>
      <c r="D2" s="1643"/>
      <c r="E2" s="1643"/>
      <c r="F2" s="1644"/>
      <c r="G2" s="67"/>
      <c r="H2" s="67"/>
      <c r="I2" s="17"/>
    </row>
    <row r="3" spans="1:11" x14ac:dyDescent="0.25">
      <c r="B3" s="520"/>
      <c r="C3" s="743"/>
      <c r="D3" s="743"/>
      <c r="E3" s="1063"/>
      <c r="F3" s="1369" t="str">
        <f>'2SFP'!E3</f>
        <v>Amount in Nu.</v>
      </c>
      <c r="G3" s="17"/>
      <c r="H3" s="17"/>
      <c r="I3" s="17"/>
    </row>
    <row r="4" spans="1:11" ht="31.5" x14ac:dyDescent="0.25">
      <c r="B4" s="1697" t="str">
        <f>'2SFP'!B4</f>
        <v>Particulars</v>
      </c>
      <c r="C4" s="1697"/>
      <c r="D4" s="1697"/>
      <c r="E4" s="717" t="str">
        <f>'2SFP'!D4</f>
        <v>As at 31st January, 2019</v>
      </c>
      <c r="F4" s="717" t="str">
        <f>'2SFP'!E4</f>
        <v>As at 31st January,  2018</v>
      </c>
      <c r="G4" s="1050" t="s">
        <v>288</v>
      </c>
    </row>
    <row r="5" spans="1:11" x14ac:dyDescent="0.25">
      <c r="B5" s="742" t="s">
        <v>1399</v>
      </c>
      <c r="C5" s="743"/>
      <c r="D5" s="744"/>
      <c r="E5" s="585"/>
      <c r="F5" s="745"/>
      <c r="G5" s="1051"/>
    </row>
    <row r="6" spans="1:11" x14ac:dyDescent="0.25">
      <c r="B6" s="544" t="s">
        <v>247</v>
      </c>
      <c r="C6" s="743"/>
      <c r="D6" s="744"/>
      <c r="E6" s="585"/>
      <c r="F6" s="719"/>
      <c r="G6" s="1052"/>
      <c r="K6" s="145"/>
    </row>
    <row r="7" spans="1:11" x14ac:dyDescent="0.25">
      <c r="B7" s="544" t="s">
        <v>108</v>
      </c>
      <c r="C7" s="746"/>
      <c r="D7" s="747"/>
      <c r="E7" s="585"/>
      <c r="F7" s="719"/>
      <c r="G7" s="1052"/>
      <c r="K7" s="145"/>
    </row>
    <row r="8" spans="1:11" ht="29.25" customHeight="1" x14ac:dyDescent="0.25">
      <c r="B8" s="1691" t="s">
        <v>25</v>
      </c>
      <c r="C8" s="1692"/>
      <c r="D8" s="1693"/>
      <c r="E8" s="748">
        <v>1500000000</v>
      </c>
      <c r="F8" s="749">
        <v>1500000000</v>
      </c>
      <c r="G8" s="1053">
        <v>1500000000</v>
      </c>
      <c r="K8" s="145"/>
    </row>
    <row r="9" spans="1:11" x14ac:dyDescent="0.25">
      <c r="B9" s="424"/>
      <c r="C9" s="422"/>
      <c r="D9" s="423"/>
      <c r="E9" s="425"/>
      <c r="F9" s="426"/>
      <c r="G9" s="1052"/>
      <c r="K9" s="145"/>
    </row>
    <row r="10" spans="1:11" x14ac:dyDescent="0.25">
      <c r="B10" s="407" t="s">
        <v>248</v>
      </c>
      <c r="C10" s="422"/>
      <c r="D10" s="423"/>
      <c r="E10" s="420"/>
      <c r="F10" s="401"/>
      <c r="G10" s="1052"/>
      <c r="K10" s="145"/>
    </row>
    <row r="11" spans="1:11" ht="32.25" customHeight="1" x14ac:dyDescent="0.25">
      <c r="A11" s="127">
        <v>3101101000</v>
      </c>
      <c r="B11" s="1694" t="s">
        <v>26</v>
      </c>
      <c r="C11" s="1695"/>
      <c r="D11" s="1696"/>
      <c r="E11" s="750">
        <f>ABS(IFERROR(VLOOKUP(A11,Trial!$A$2:$D$9988,3,0),0))</f>
        <v>0</v>
      </c>
      <c r="F11" s="751">
        <f>ABS(IFERROR(VLOOKUP(A11,Trial!$A$2:$D$9988,4,0),0))</f>
        <v>854082000</v>
      </c>
      <c r="G11" s="1054">
        <v>854082000</v>
      </c>
      <c r="K11" s="145"/>
    </row>
    <row r="12" spans="1:11" x14ac:dyDescent="0.25">
      <c r="B12" s="544" t="s">
        <v>122</v>
      </c>
      <c r="C12" s="743"/>
      <c r="D12" s="744"/>
      <c r="E12" s="752">
        <f>E11</f>
        <v>0</v>
      </c>
      <c r="F12" s="723">
        <f>SUM(F11)</f>
        <v>854082000</v>
      </c>
      <c r="G12" s="1055">
        <f>SUM(G11)</f>
        <v>854082000</v>
      </c>
      <c r="K12" s="145"/>
    </row>
    <row r="13" spans="1:11" x14ac:dyDescent="0.25">
      <c r="B13" s="416"/>
      <c r="C13" s="427"/>
      <c r="D13" s="428"/>
      <c r="E13" s="421"/>
      <c r="F13" s="429"/>
      <c r="G13" s="17"/>
    </row>
    <row r="14" spans="1:11" x14ac:dyDescent="0.25">
      <c r="B14" s="1370"/>
      <c r="C14" s="431"/>
      <c r="D14" s="431"/>
      <c r="E14" s="432"/>
      <c r="F14" s="1371"/>
      <c r="G14" s="17"/>
      <c r="H14" s="17"/>
      <c r="I14" s="17"/>
    </row>
    <row r="15" spans="1:11" ht="15" customHeight="1" x14ac:dyDescent="0.25">
      <c r="B15" s="1372" t="s">
        <v>109</v>
      </c>
      <c r="C15" s="430"/>
      <c r="D15" s="430"/>
      <c r="E15" s="433"/>
      <c r="F15" s="1373"/>
      <c r="G15" s="17"/>
      <c r="H15" s="17"/>
      <c r="I15" s="17"/>
    </row>
    <row r="16" spans="1:11" ht="61.5" customHeight="1" x14ac:dyDescent="0.25">
      <c r="B16" s="1663" t="s">
        <v>1400</v>
      </c>
      <c r="C16" s="1664"/>
      <c r="D16" s="1664"/>
      <c r="E16" s="1664"/>
      <c r="F16" s="1665"/>
      <c r="G16" s="17"/>
      <c r="H16" s="17"/>
      <c r="I16" s="17"/>
    </row>
    <row r="17" spans="2:9" x14ac:dyDescent="0.25">
      <c r="B17" s="1374"/>
      <c r="C17" s="434"/>
      <c r="D17" s="434"/>
      <c r="E17" s="435"/>
      <c r="F17" s="1375"/>
      <c r="G17" s="17"/>
      <c r="H17" s="17"/>
      <c r="I17" s="17"/>
    </row>
    <row r="18" spans="2:9" x14ac:dyDescent="0.25">
      <c r="B18" s="1679" t="s">
        <v>249</v>
      </c>
      <c r="C18" s="1680"/>
      <c r="D18" s="434"/>
      <c r="E18" s="435"/>
      <c r="F18" s="1375"/>
      <c r="G18" s="17"/>
      <c r="H18" s="17"/>
      <c r="I18" s="17"/>
    </row>
    <row r="19" spans="2:9" ht="27" customHeight="1" x14ac:dyDescent="0.25">
      <c r="B19" s="1685" t="s">
        <v>40</v>
      </c>
      <c r="C19" s="1687" t="str">
        <f>E4</f>
        <v>As at 31st January, 2019</v>
      </c>
      <c r="D19" s="1688"/>
      <c r="E19" s="1689" t="str">
        <f>F4</f>
        <v>As at 31st January,  2018</v>
      </c>
      <c r="F19" s="1690"/>
      <c r="G19" s="1681" t="s">
        <v>100</v>
      </c>
      <c r="H19" s="1682"/>
    </row>
    <row r="20" spans="2:9" ht="47.25" x14ac:dyDescent="0.25">
      <c r="B20" s="1686"/>
      <c r="C20" s="753" t="s">
        <v>41</v>
      </c>
      <c r="D20" s="754" t="s">
        <v>42</v>
      </c>
      <c r="E20" s="757" t="s">
        <v>41</v>
      </c>
      <c r="F20" s="756" t="s">
        <v>42</v>
      </c>
      <c r="G20" s="1056" t="s">
        <v>41</v>
      </c>
      <c r="H20" s="68" t="s">
        <v>42</v>
      </c>
    </row>
    <row r="21" spans="2:9" ht="30" x14ac:dyDescent="0.25">
      <c r="B21" s="758" t="s">
        <v>43</v>
      </c>
      <c r="C21" s="1021">
        <v>854082</v>
      </c>
      <c r="D21" s="1022">
        <v>100</v>
      </c>
      <c r="E21" s="759">
        <v>854082</v>
      </c>
      <c r="F21" s="760">
        <v>100</v>
      </c>
      <c r="G21" s="1057">
        <v>854082</v>
      </c>
      <c r="H21" s="120">
        <v>100</v>
      </c>
    </row>
    <row r="22" spans="2:9" ht="16.5" thickBot="1" x14ac:dyDescent="0.3">
      <c r="B22" s="761" t="s">
        <v>1</v>
      </c>
      <c r="C22" s="752">
        <f>SUM(C21)</f>
        <v>854082</v>
      </c>
      <c r="D22" s="529">
        <f>SUM(D21)</f>
        <v>100</v>
      </c>
      <c r="E22" s="535">
        <f>SUM(E21)</f>
        <v>854082</v>
      </c>
      <c r="F22" s="723">
        <f>SUM(F21)</f>
        <v>100</v>
      </c>
      <c r="G22" s="1058">
        <f t="shared" ref="G22:H22" si="0">SUM(G21)</f>
        <v>854082</v>
      </c>
      <c r="H22" s="109">
        <f t="shared" si="0"/>
        <v>100</v>
      </c>
    </row>
    <row r="23" spans="2:9" ht="16.5" thickTop="1" x14ac:dyDescent="0.25">
      <c r="B23" s="1376"/>
      <c r="C23" s="436"/>
      <c r="D23" s="437"/>
      <c r="E23" s="438"/>
      <c r="F23" s="1377"/>
      <c r="G23" s="17"/>
      <c r="H23" s="17"/>
    </row>
    <row r="24" spans="2:9" hidden="1" x14ac:dyDescent="0.25">
      <c r="B24" s="1376"/>
      <c r="C24" s="436"/>
      <c r="D24" s="437"/>
      <c r="E24" s="438"/>
      <c r="F24" s="1377"/>
      <c r="G24" s="17"/>
      <c r="H24" s="17"/>
    </row>
    <row r="25" spans="2:9" x14ac:dyDescent="0.25">
      <c r="B25" s="1372" t="s">
        <v>64</v>
      </c>
      <c r="C25" s="439"/>
      <c r="D25" s="440"/>
      <c r="E25" s="1666"/>
      <c r="F25" s="1667"/>
      <c r="G25" s="17"/>
      <c r="H25" s="17"/>
    </row>
    <row r="26" spans="2:9" x14ac:dyDescent="0.25">
      <c r="B26" s="1668" t="s">
        <v>22</v>
      </c>
      <c r="C26" s="1671" t="str">
        <f>C19</f>
        <v>As at 31st January, 2019</v>
      </c>
      <c r="D26" s="1672"/>
      <c r="E26" s="1673" t="str">
        <f>E19</f>
        <v>As at 31st January,  2018</v>
      </c>
      <c r="F26" s="1674"/>
      <c r="G26" s="1683" t="s">
        <v>100</v>
      </c>
      <c r="H26" s="1684"/>
    </row>
    <row r="27" spans="2:9" ht="27" customHeight="1" x14ac:dyDescent="0.25">
      <c r="B27" s="1669"/>
      <c r="C27" s="1675" t="s">
        <v>44</v>
      </c>
      <c r="D27" s="1676"/>
      <c r="E27" s="1677" t="s">
        <v>75</v>
      </c>
      <c r="F27" s="1678"/>
      <c r="G27" s="1661" t="s">
        <v>44</v>
      </c>
      <c r="H27" s="1662"/>
    </row>
    <row r="28" spans="2:9" ht="32.25" customHeight="1" x14ac:dyDescent="0.25">
      <c r="B28" s="1670"/>
      <c r="C28" s="753" t="s">
        <v>45</v>
      </c>
      <c r="D28" s="762" t="s">
        <v>68</v>
      </c>
      <c r="E28" s="755" t="s">
        <v>45</v>
      </c>
      <c r="F28" s="635" t="s">
        <v>68</v>
      </c>
      <c r="G28" s="1059" t="s">
        <v>45</v>
      </c>
      <c r="H28" s="12" t="s">
        <v>68</v>
      </c>
    </row>
    <row r="29" spans="2:9" ht="30" x14ac:dyDescent="0.25">
      <c r="B29" s="763" t="s">
        <v>46</v>
      </c>
      <c r="C29" s="764">
        <f>+C21</f>
        <v>854082</v>
      </c>
      <c r="D29" s="765">
        <f>C29*1000</f>
        <v>854082000</v>
      </c>
      <c r="E29" s="766">
        <f>+E21</f>
        <v>854082</v>
      </c>
      <c r="F29" s="767">
        <f>+E29*1000</f>
        <v>854082000</v>
      </c>
      <c r="G29" s="1060">
        <f>+G21</f>
        <v>854082</v>
      </c>
      <c r="H29" s="69">
        <f>+G29*1000</f>
        <v>854082000</v>
      </c>
    </row>
    <row r="30" spans="2:9" x14ac:dyDescent="0.25">
      <c r="B30" s="763" t="s">
        <v>110</v>
      </c>
      <c r="C30" s="764">
        <v>0</v>
      </c>
      <c r="D30" s="765">
        <v>0</v>
      </c>
      <c r="E30" s="768">
        <v>0</v>
      </c>
      <c r="F30" s="769">
        <v>0</v>
      </c>
      <c r="G30" s="1061">
        <v>0</v>
      </c>
      <c r="H30" s="44">
        <v>0</v>
      </c>
    </row>
    <row r="31" spans="2:9" ht="30" customHeight="1" x14ac:dyDescent="0.25">
      <c r="B31" s="763" t="s">
        <v>47</v>
      </c>
      <c r="C31" s="764">
        <v>0</v>
      </c>
      <c r="D31" s="765">
        <v>0</v>
      </c>
      <c r="E31" s="766">
        <v>0</v>
      </c>
      <c r="F31" s="767">
        <v>0</v>
      </c>
      <c r="G31" s="1060">
        <v>0</v>
      </c>
      <c r="H31" s="69">
        <v>0</v>
      </c>
    </row>
    <row r="32" spans="2:9" ht="32.25" thickBot="1" x14ac:dyDescent="0.3">
      <c r="B32" s="770" t="s">
        <v>48</v>
      </c>
      <c r="C32" s="771">
        <f t="shared" ref="C32:H32" si="1">C29+C30-C31</f>
        <v>854082</v>
      </c>
      <c r="D32" s="772">
        <f t="shared" si="1"/>
        <v>854082000</v>
      </c>
      <c r="E32" s="773">
        <f t="shared" si="1"/>
        <v>854082</v>
      </c>
      <c r="F32" s="635">
        <f t="shared" si="1"/>
        <v>854082000</v>
      </c>
      <c r="G32" s="1062">
        <f t="shared" si="1"/>
        <v>854082</v>
      </c>
      <c r="H32" s="121">
        <f t="shared" si="1"/>
        <v>854082000</v>
      </c>
    </row>
    <row r="33" spans="2:9" ht="7.5" customHeight="1" thickTop="1" x14ac:dyDescent="0.25">
      <c r="B33" s="430"/>
      <c r="C33" s="442"/>
      <c r="D33" s="442"/>
      <c r="E33" s="501"/>
      <c r="F33" s="501"/>
      <c r="G33" s="122"/>
      <c r="H33" s="17"/>
      <c r="I33" s="17"/>
    </row>
    <row r="34" spans="2:9" hidden="1" x14ac:dyDescent="0.25"/>
    <row r="35" spans="2:9" hidden="1" x14ac:dyDescent="0.25"/>
    <row r="36" spans="2:9" hidden="1" x14ac:dyDescent="0.25"/>
    <row r="37" spans="2:9" hidden="1" x14ac:dyDescent="0.25"/>
    <row r="38" spans="2:9" hidden="1" x14ac:dyDescent="0.25"/>
    <row r="39" spans="2:9" hidden="1" x14ac:dyDescent="0.25"/>
    <row r="40" spans="2:9" hidden="1" x14ac:dyDescent="0.25"/>
    <row r="41" spans="2:9" hidden="1" x14ac:dyDescent="0.25"/>
    <row r="42" spans="2:9" hidden="1" x14ac:dyDescent="0.25"/>
    <row r="43" spans="2:9" hidden="1" x14ac:dyDescent="0.25"/>
    <row r="44" spans="2:9" hidden="1" x14ac:dyDescent="0.25"/>
    <row r="45" spans="2:9" hidden="1" x14ac:dyDescent="0.25"/>
    <row r="46" spans="2:9" hidden="1" x14ac:dyDescent="0.25"/>
    <row r="47" spans="2:9" hidden="1" x14ac:dyDescent="0.25"/>
  </sheetData>
  <mergeCells count="19">
    <mergeCell ref="B8:D8"/>
    <mergeCell ref="B11:D11"/>
    <mergeCell ref="B2:F2"/>
    <mergeCell ref="B1:F1"/>
    <mergeCell ref="B4:D4"/>
    <mergeCell ref="G27:H27"/>
    <mergeCell ref="B16:F16"/>
    <mergeCell ref="E25:F25"/>
    <mergeCell ref="B26:B28"/>
    <mergeCell ref="C26:D26"/>
    <mergeCell ref="E26:F26"/>
    <mergeCell ref="C27:D27"/>
    <mergeCell ref="E27:F27"/>
    <mergeCell ref="B18:C18"/>
    <mergeCell ref="G19:H19"/>
    <mergeCell ref="G26:H26"/>
    <mergeCell ref="B19:B20"/>
    <mergeCell ref="C19:D19"/>
    <mergeCell ref="E19:F19"/>
  </mergeCells>
  <printOptions horizontalCentered="1"/>
  <pageMargins left="0.94488188976377963" right="0.27559055118110237" top="0.55118110236220474" bottom="0.19685039370078741" header="3.937007874015748E-2" footer="3.937007874015748E-2"/>
  <pageSetup paperSize="9" scale="85" orientation="portrait" r:id="rId1"/>
  <colBreaks count="2" manualBreakCount="2">
    <brk id="6" max="31" man="1"/>
    <brk id="8" max="52"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171"/>
  <sheetViews>
    <sheetView showGridLines="0" view="pageBreakPreview" topLeftCell="B10" zoomScale="90" zoomScaleSheetLayoutView="90" workbookViewId="0">
      <selection activeCell="H27" sqref="H27"/>
    </sheetView>
  </sheetViews>
  <sheetFormatPr defaultColWidth="9.140625" defaultRowHeight="15.75" x14ac:dyDescent="0.25"/>
  <cols>
    <col min="1" max="1" width="6.140625" style="130" hidden="1" customWidth="1"/>
    <col min="2" max="2" width="55" style="449" customWidth="1"/>
    <col min="3" max="3" width="22.28515625" style="454" customWidth="1"/>
    <col min="4" max="4" width="23.42578125" style="500" customWidth="1"/>
    <col min="5" max="5" width="9.42578125" style="14" customWidth="1"/>
    <col min="6" max="6" width="3.28515625" style="14" customWidth="1"/>
    <col min="7" max="7" width="16.28515625" style="14" customWidth="1"/>
    <col min="8" max="8" width="16.85546875" style="1" bestFit="1" customWidth="1"/>
    <col min="9" max="10" width="9.140625" style="1"/>
    <col min="11" max="11" width="12.42578125" style="1" bestFit="1" customWidth="1"/>
    <col min="12" max="12" width="9.140625" style="1"/>
    <col min="13" max="13" width="13" style="1" customWidth="1"/>
    <col min="14" max="16384" width="9.140625" style="1"/>
  </cols>
  <sheetData>
    <row r="1" spans="1:8" x14ac:dyDescent="0.25">
      <c r="B1" s="1604" t="str">
        <f>'2SFP'!B1</f>
        <v>BHUTAN TELECOM LIMITED</v>
      </c>
      <c r="C1" s="1605"/>
      <c r="D1" s="1606"/>
    </row>
    <row r="2" spans="1:8" x14ac:dyDescent="0.25">
      <c r="B2" s="1613" t="s">
        <v>1084</v>
      </c>
      <c r="C2" s="1614"/>
      <c r="D2" s="1615"/>
    </row>
    <row r="3" spans="1:8" x14ac:dyDescent="0.25">
      <c r="B3" s="1129"/>
      <c r="C3" s="813"/>
      <c r="D3" s="1378" t="str">
        <f>'2SFP'!E3</f>
        <v>Amount in Nu.</v>
      </c>
    </row>
    <row r="4" spans="1:8" ht="31.5" x14ac:dyDescent="0.25">
      <c r="B4" s="518" t="str">
        <f>'2SFP'!B4</f>
        <v>Particulars</v>
      </c>
      <c r="C4" s="1068" t="str">
        <f>'2SFP'!D4</f>
        <v>As at 31st January, 2019</v>
      </c>
      <c r="D4" s="1071" t="str">
        <f>'2SFP'!E4</f>
        <v>As at 31st January,  2018</v>
      </c>
      <c r="E4" s="14" t="s">
        <v>288</v>
      </c>
    </row>
    <row r="5" spans="1:8" s="39" customFormat="1" x14ac:dyDescent="0.25">
      <c r="A5" s="1064"/>
      <c r="B5" s="1065"/>
      <c r="C5" s="1066"/>
      <c r="D5" s="1067"/>
      <c r="E5" s="66"/>
      <c r="F5" s="66"/>
      <c r="G5" s="66"/>
    </row>
    <row r="6" spans="1:8" x14ac:dyDescent="0.25">
      <c r="B6" s="544" t="s">
        <v>1067</v>
      </c>
      <c r="C6" s="774"/>
      <c r="D6" s="775"/>
    </row>
    <row r="7" spans="1:8" s="145" customFormat="1" x14ac:dyDescent="0.25">
      <c r="A7" s="130"/>
      <c r="B7" s="739" t="s">
        <v>1414</v>
      </c>
      <c r="C7" s="774">
        <f>+SUM(C8:C9)</f>
        <v>19682525.34</v>
      </c>
      <c r="D7" s="775">
        <f>+SUM(D8:D9)</f>
        <v>100816003.34</v>
      </c>
      <c r="E7" s="14"/>
      <c r="F7" s="14"/>
      <c r="G7" s="14"/>
    </row>
    <row r="8" spans="1:8" hidden="1" x14ac:dyDescent="0.25">
      <c r="A8" s="943">
        <v>2101101000</v>
      </c>
      <c r="B8" s="739" t="s">
        <v>1412</v>
      </c>
      <c r="C8" s="776">
        <f>ABS(IFERROR(VLOOKUP(A8,Trial!$A$2:$D$9988,3,0),0))</f>
        <v>532442.99</v>
      </c>
      <c r="D8" s="751">
        <f>ABS(IFERROR(VLOOKUP(A8,Trial!$A$2:$D$9988,4,0),0))</f>
        <v>19150082.329999998</v>
      </c>
    </row>
    <row r="9" spans="1:8" s="145" customFormat="1" hidden="1" x14ac:dyDescent="0.25">
      <c r="A9" s="130">
        <v>2201101000</v>
      </c>
      <c r="B9" s="777" t="s">
        <v>1412</v>
      </c>
      <c r="C9" s="776">
        <f>ABS(IFERROR(VLOOKUP(A9,Trial!$A$2:$D$9988,3,0),0))</f>
        <v>19150082.350000001</v>
      </c>
      <c r="D9" s="751">
        <f>ABS(IFERROR(VLOOKUP(A9,Trial!$A$2:$D$9988,4,0),0))</f>
        <v>81665921.010000005</v>
      </c>
      <c r="E9" s="112"/>
      <c r="F9" s="14"/>
      <c r="G9" s="64"/>
      <c r="H9" s="147"/>
    </row>
    <row r="10" spans="1:8" x14ac:dyDescent="0.25">
      <c r="A10" s="943">
        <v>2101101001</v>
      </c>
      <c r="B10" s="739" t="s">
        <v>1416</v>
      </c>
      <c r="C10" s="776">
        <f>ABS(IFERROR(VLOOKUP(A10,Trial!$A$2:$D$9988,3,0),0))</f>
        <v>1402620.09</v>
      </c>
      <c r="D10" s="751">
        <f>ABS(IFERROR(VLOOKUP(A10,Trial!$A$2:$D$9988,4,0),0))+1</f>
        <v>1402621.09</v>
      </c>
      <c r="E10" s="112">
        <v>2439648.7599999998</v>
      </c>
      <c r="G10" s="383"/>
      <c r="H10" s="383"/>
    </row>
    <row r="11" spans="1:8" s="145" customFormat="1" x14ac:dyDescent="0.25">
      <c r="A11" s="943"/>
      <c r="B11" s="777" t="s">
        <v>1415</v>
      </c>
      <c r="C11" s="776">
        <f>+SUM(C12:C13)</f>
        <v>2238705.0199999996</v>
      </c>
      <c r="D11" s="751">
        <f>+SUM(D12:D13)</f>
        <v>8738940.7200000007</v>
      </c>
      <c r="E11" s="112"/>
      <c r="F11" s="14"/>
      <c r="G11" s="383"/>
      <c r="H11" s="383"/>
    </row>
    <row r="12" spans="1:8" hidden="1" x14ac:dyDescent="0.25">
      <c r="A12" s="944">
        <v>2101101002</v>
      </c>
      <c r="B12" s="777" t="s">
        <v>1413</v>
      </c>
      <c r="C12" s="776">
        <f>ABS(IFERROR(VLOOKUP(A12,Trial!$A$2:$D$9988,3,0),0))</f>
        <v>0.01</v>
      </c>
      <c r="D12" s="751">
        <f>ABS(IFERROR(VLOOKUP(A12,Trial!$A$2:$D$9988,4,0),0))</f>
        <v>2238704.9900000002</v>
      </c>
      <c r="E12" s="112">
        <v>-110000</v>
      </c>
      <c r="G12" s="64"/>
      <c r="H12" s="147"/>
    </row>
    <row r="13" spans="1:8" s="145" customFormat="1" hidden="1" x14ac:dyDescent="0.25">
      <c r="A13" s="130">
        <v>2201101002</v>
      </c>
      <c r="B13" s="777" t="s">
        <v>1413</v>
      </c>
      <c r="C13" s="776">
        <f>ABS(IFERROR(VLOOKUP(A13,Trial!$A$2:$D$9988,3,0),0))</f>
        <v>2238705.0099999998</v>
      </c>
      <c r="D13" s="751">
        <f>ABS(IFERROR(VLOOKUP(A13,Trial!$A$2:$D$9988,4,0),0))</f>
        <v>6500235.7300000004</v>
      </c>
      <c r="E13" s="112"/>
      <c r="F13" s="14"/>
      <c r="G13" s="64"/>
      <c r="H13" s="147"/>
    </row>
    <row r="14" spans="1:8" hidden="1" x14ac:dyDescent="0.25">
      <c r="B14" s="739" t="s">
        <v>127</v>
      </c>
      <c r="C14" s="778">
        <f>+C7+C10+C11</f>
        <v>23323850.449999999</v>
      </c>
      <c r="D14" s="779">
        <f>+D7+D10+D11</f>
        <v>110957565.15000001</v>
      </c>
      <c r="E14" s="113">
        <f>SUM(E10:E12)</f>
        <v>2329648.7599999998</v>
      </c>
      <c r="G14" s="64"/>
      <c r="H14" s="147"/>
    </row>
    <row r="15" spans="1:8" x14ac:dyDescent="0.25">
      <c r="B15" s="544" t="s">
        <v>1624</v>
      </c>
      <c r="C15" s="780">
        <f>+C14</f>
        <v>23323850.449999999</v>
      </c>
      <c r="D15" s="781">
        <f>+D14</f>
        <v>110957565.15000001</v>
      </c>
      <c r="E15" s="114" t="e">
        <f>E14+#REF!+#REF!+#REF!</f>
        <v>#REF!</v>
      </c>
    </row>
    <row r="16" spans="1:8" s="145" customFormat="1" ht="48.75" customHeight="1" x14ac:dyDescent="0.25">
      <c r="A16" s="130"/>
      <c r="B16" s="1701" t="s">
        <v>1417</v>
      </c>
      <c r="C16" s="1702"/>
      <c r="D16" s="1703"/>
      <c r="E16" s="386"/>
      <c r="F16" s="14"/>
      <c r="G16" s="14"/>
    </row>
    <row r="17" spans="1:8" s="145" customFormat="1" ht="66" customHeight="1" x14ac:dyDescent="0.25">
      <c r="A17" s="130"/>
      <c r="B17" s="1652" t="s">
        <v>1418</v>
      </c>
      <c r="C17" s="1653"/>
      <c r="D17" s="1654"/>
      <c r="E17" s="386"/>
      <c r="F17" s="14"/>
      <c r="G17" s="14"/>
    </row>
    <row r="18" spans="1:8" s="145" customFormat="1" ht="24" customHeight="1" x14ac:dyDescent="0.25">
      <c r="A18" s="130"/>
      <c r="B18" s="782" t="s">
        <v>1419</v>
      </c>
      <c r="C18" s="1279"/>
      <c r="D18" s="783"/>
      <c r="E18" s="386"/>
      <c r="F18" s="14"/>
      <c r="G18" s="14"/>
    </row>
    <row r="19" spans="1:8" s="145" customFormat="1" hidden="1" x14ac:dyDescent="0.25">
      <c r="A19" s="130"/>
      <c r="B19" s="733"/>
      <c r="C19" s="784"/>
      <c r="D19" s="785"/>
      <c r="E19" s="386"/>
      <c r="F19" s="14"/>
      <c r="G19" s="14"/>
    </row>
    <row r="20" spans="1:8" hidden="1" x14ac:dyDescent="0.25">
      <c r="B20" s="733"/>
      <c r="C20" s="784"/>
      <c r="D20" s="785"/>
      <c r="E20" s="112">
        <v>41216407</v>
      </c>
    </row>
    <row r="21" spans="1:8" hidden="1" x14ac:dyDescent="0.25">
      <c r="B21" s="733" t="s">
        <v>254</v>
      </c>
      <c r="C21" s="1278">
        <f>+C15</f>
        <v>23323850.449999999</v>
      </c>
      <c r="D21" s="786">
        <f>+D15</f>
        <v>110957565.15000001</v>
      </c>
      <c r="E21" s="114" t="e">
        <f t="shared" ref="E21" si="0">E15-E20</f>
        <v>#REF!</v>
      </c>
    </row>
    <row r="22" spans="1:8" s="145" customFormat="1" ht="31.5" x14ac:dyDescent="0.25">
      <c r="A22" s="130"/>
      <c r="B22" s="518" t="str">
        <f>+B4</f>
        <v>Particulars</v>
      </c>
      <c r="C22" s="1069" t="str">
        <f t="shared" ref="C22:D22" si="1">+C4</f>
        <v>As at 31st January, 2019</v>
      </c>
      <c r="D22" s="1079" t="str">
        <f t="shared" si="1"/>
        <v>As at 31st January,  2018</v>
      </c>
      <c r="E22" s="386"/>
      <c r="F22" s="14"/>
      <c r="G22" s="14"/>
    </row>
    <row r="23" spans="1:8" x14ac:dyDescent="0.25">
      <c r="B23" s="544" t="s">
        <v>1068</v>
      </c>
      <c r="C23" s="774"/>
      <c r="D23" s="775"/>
    </row>
    <row r="24" spans="1:8" hidden="1" x14ac:dyDescent="0.25">
      <c r="A24" s="127">
        <v>2204201000</v>
      </c>
      <c r="B24" s="728" t="s">
        <v>234</v>
      </c>
      <c r="C24" s="776">
        <f>ABS(IFERROR(VLOOKUP(A24,Trial!$A$2:$D$9988,3,0),0))</f>
        <v>93930418.859999999</v>
      </c>
      <c r="D24" s="751">
        <f>ABS(IFERROR(VLOOKUP(A24,Trial!$A$2:$D$9988,4,0),0))</f>
        <v>348615398.00999999</v>
      </c>
      <c r="G24" s="387"/>
      <c r="H24" s="387">
        <v>428251871</v>
      </c>
    </row>
    <row r="25" spans="1:8" s="145" customFormat="1" hidden="1" x14ac:dyDescent="0.25">
      <c r="A25" s="127">
        <v>2104302001</v>
      </c>
      <c r="B25" s="728"/>
      <c r="C25" s="776">
        <f>ABS(IFERROR(VLOOKUP(A25,Trial!$A$2:$D$9988,3,0),0))</f>
        <v>93930418.859999999</v>
      </c>
      <c r="D25" s="751">
        <f>ABS(IFERROR(VLOOKUP(A25,Trial!$A$2:$D$9988,4,0),0))</f>
        <v>60304622.590000004</v>
      </c>
      <c r="E25" s="14"/>
      <c r="F25" s="14"/>
      <c r="G25" s="387"/>
      <c r="H25" s="387"/>
    </row>
    <row r="26" spans="1:8" s="145" customFormat="1" x14ac:dyDescent="0.25">
      <c r="A26" s="127"/>
      <c r="B26" s="728" t="s">
        <v>1421</v>
      </c>
      <c r="C26" s="776">
        <f>SUM(C24:C25)</f>
        <v>187860837.72</v>
      </c>
      <c r="D26" s="751">
        <f>SUM(D24:D25)</f>
        <v>408920020.60000002</v>
      </c>
      <c r="E26" s="14"/>
      <c r="F26" s="14"/>
      <c r="G26" s="387"/>
      <c r="H26" s="387"/>
    </row>
    <row r="27" spans="1:8" s="145" customFormat="1" x14ac:dyDescent="0.25">
      <c r="A27" s="127">
        <v>2104302001</v>
      </c>
      <c r="B27" s="728" t="s">
        <v>1420</v>
      </c>
      <c r="C27" s="776">
        <f>ABS(IFERROR(VLOOKUP(A25,Trial!$A$2:$D$9988,3,0),0))</f>
        <v>93930418.859999999</v>
      </c>
      <c r="D27" s="751">
        <f>ABS(IFERROR(VLOOKUP(A25,Trial!$A$2:$D$9988,4,0),0))</f>
        <v>60304622.590000004</v>
      </c>
      <c r="E27" s="14"/>
      <c r="F27" s="14"/>
      <c r="G27" s="387"/>
      <c r="H27" s="387"/>
    </row>
    <row r="28" spans="1:8" s="145" customFormat="1" x14ac:dyDescent="0.25">
      <c r="A28" s="127"/>
      <c r="B28" s="544" t="s">
        <v>1622</v>
      </c>
      <c r="C28" s="787">
        <f>+C26-C27+0.3</f>
        <v>93930419.159999996</v>
      </c>
      <c r="D28" s="788">
        <f>+D26-D27</f>
        <v>348615398.00999999</v>
      </c>
      <c r="E28" s="14"/>
      <c r="F28" s="14"/>
      <c r="G28" s="387"/>
      <c r="H28" s="387"/>
    </row>
    <row r="29" spans="1:8" x14ac:dyDescent="0.25">
      <c r="A29" s="127">
        <v>2204203000</v>
      </c>
      <c r="B29" s="728" t="s">
        <v>1625</v>
      </c>
      <c r="C29" s="776">
        <f>ABS(IFERROR(VLOOKUP(A29,Trial!$A$2:$D$9988,3,0),0))</f>
        <v>0</v>
      </c>
      <c r="D29" s="751">
        <f>ABS(IFERROR(VLOOKUP(A29,Trial!$A$2:$D$9988,4,0),0))</f>
        <v>300000000</v>
      </c>
      <c r="E29" s="112"/>
    </row>
    <row r="30" spans="1:8" s="145" customFormat="1" hidden="1" x14ac:dyDescent="0.25">
      <c r="A30" s="127"/>
      <c r="B30" s="728"/>
      <c r="C30" s="776"/>
      <c r="D30" s="751"/>
      <c r="E30" s="112"/>
      <c r="F30" s="14"/>
      <c r="G30" s="14"/>
    </row>
    <row r="31" spans="1:8" ht="16.5" thickBot="1" x14ac:dyDescent="0.3">
      <c r="B31" s="1550" t="s">
        <v>1623</v>
      </c>
      <c r="C31" s="731">
        <f>+C28+C29</f>
        <v>93930419.159999996</v>
      </c>
      <c r="D31" s="732">
        <f>+D28+D29</f>
        <v>648615398.00999999</v>
      </c>
      <c r="E31" s="105"/>
    </row>
    <row r="32" spans="1:8" s="145" customFormat="1" ht="5.25" hidden="1" customHeight="1" thickTop="1" x14ac:dyDescent="0.25">
      <c r="A32" s="130"/>
      <c r="B32" s="789"/>
      <c r="C32" s="734"/>
      <c r="D32" s="730"/>
      <c r="E32" s="107"/>
      <c r="F32" s="14"/>
      <c r="G32" s="14"/>
    </row>
    <row r="33" spans="1:7" s="145" customFormat="1" ht="16.5" thickTop="1" x14ac:dyDescent="0.25">
      <c r="A33" s="127"/>
      <c r="B33" s="790" t="s">
        <v>1423</v>
      </c>
      <c r="C33" s="791"/>
      <c r="D33" s="792"/>
      <c r="E33" s="112"/>
      <c r="F33" s="14"/>
      <c r="G33" s="14"/>
    </row>
    <row r="34" spans="1:7" s="145" customFormat="1" x14ac:dyDescent="0.25">
      <c r="A34" s="127"/>
      <c r="B34" s="728" t="s">
        <v>1427</v>
      </c>
      <c r="C34" s="750"/>
      <c r="D34" s="751"/>
      <c r="E34" s="112"/>
      <c r="F34" s="14"/>
      <c r="G34" s="14"/>
    </row>
    <row r="35" spans="1:7" s="145" customFormat="1" x14ac:dyDescent="0.25">
      <c r="A35" s="127"/>
      <c r="B35" s="728" t="s">
        <v>1424</v>
      </c>
      <c r="C35" s="793"/>
      <c r="D35" s="751"/>
      <c r="E35" s="112"/>
      <c r="F35" s="14"/>
      <c r="G35" s="14"/>
    </row>
    <row r="36" spans="1:7" s="145" customFormat="1" ht="6.75" customHeight="1" x14ac:dyDescent="0.25">
      <c r="A36" s="127"/>
      <c r="B36" s="728"/>
      <c r="C36" s="793"/>
      <c r="D36" s="751"/>
      <c r="E36" s="112"/>
      <c r="F36" s="14"/>
      <c r="G36" s="14"/>
    </row>
    <row r="37" spans="1:7" ht="47.25" customHeight="1" x14ac:dyDescent="0.25">
      <c r="B37" s="1658" t="s">
        <v>1428</v>
      </c>
      <c r="C37" s="1659"/>
      <c r="D37" s="1660"/>
      <c r="E37" s="64"/>
    </row>
    <row r="38" spans="1:7" hidden="1" x14ac:dyDescent="0.25">
      <c r="B38" s="794"/>
      <c r="C38" s="795"/>
      <c r="D38" s="796"/>
      <c r="E38" s="64"/>
    </row>
    <row r="39" spans="1:7" s="145" customFormat="1" x14ac:dyDescent="0.25">
      <c r="A39" s="130"/>
      <c r="B39" s="797"/>
      <c r="C39" s="798"/>
      <c r="D39" s="799"/>
      <c r="E39" s="64"/>
      <c r="F39" s="14"/>
      <c r="G39" s="14"/>
    </row>
    <row r="40" spans="1:7" s="145" customFormat="1" ht="31.5" x14ac:dyDescent="0.25">
      <c r="A40" s="130"/>
      <c r="B40" s="518" t="str">
        <f>+B22</f>
        <v>Particulars</v>
      </c>
      <c r="C40" s="1069" t="str">
        <f t="shared" ref="C40:D40" si="2">+C22</f>
        <v>As at 31st January, 2019</v>
      </c>
      <c r="D40" s="1079" t="str">
        <f t="shared" si="2"/>
        <v>As at 31st January,  2018</v>
      </c>
      <c r="E40" s="64"/>
      <c r="F40" s="14"/>
      <c r="G40" s="14"/>
    </row>
    <row r="41" spans="1:7" s="145" customFormat="1" x14ac:dyDescent="0.25">
      <c r="A41" s="130"/>
      <c r="B41" s="1379" t="s">
        <v>1429</v>
      </c>
      <c r="C41" s="738"/>
      <c r="D41" s="730"/>
      <c r="E41" s="107"/>
      <c r="F41" s="14"/>
      <c r="G41" s="14"/>
    </row>
    <row r="42" spans="1:7" s="145" customFormat="1" x14ac:dyDescent="0.25">
      <c r="A42" s="130"/>
      <c r="B42" s="739" t="s">
        <v>1282</v>
      </c>
      <c r="C42" s="532">
        <f>-'SAP '!C387</f>
        <v>0</v>
      </c>
      <c r="D42" s="729">
        <f>-'SAP '!D387</f>
        <v>0</v>
      </c>
      <c r="E42" s="107"/>
      <c r="F42" s="14"/>
      <c r="G42" s="301"/>
    </row>
    <row r="43" spans="1:7" hidden="1" x14ac:dyDescent="0.25">
      <c r="B43" s="801"/>
      <c r="C43" s="532"/>
      <c r="D43" s="737"/>
    </row>
    <row r="44" spans="1:7" hidden="1" x14ac:dyDescent="0.25">
      <c r="B44" s="801"/>
      <c r="C44" s="532"/>
      <c r="D44" s="737"/>
    </row>
    <row r="45" spans="1:7" s="145" customFormat="1" hidden="1" x14ac:dyDescent="0.25">
      <c r="A45" s="130"/>
      <c r="B45" s="739"/>
      <c r="C45" s="532"/>
      <c r="D45" s="729"/>
      <c r="E45" s="107"/>
      <c r="F45" s="14"/>
      <c r="G45" s="14"/>
    </row>
    <row r="46" spans="1:7" s="145" customFormat="1" x14ac:dyDescent="0.25">
      <c r="A46" s="130"/>
      <c r="B46" s="739" t="s">
        <v>1513</v>
      </c>
      <c r="C46" s="532">
        <f>-38850000</f>
        <v>-38850000</v>
      </c>
      <c r="D46" s="532">
        <f>-38850000</f>
        <v>-38850000</v>
      </c>
      <c r="E46" s="107"/>
      <c r="F46" s="14"/>
      <c r="G46" s="14"/>
    </row>
    <row r="47" spans="1:7" s="145" customFormat="1" x14ac:dyDescent="0.25">
      <c r="A47" s="130"/>
      <c r="B47" s="739"/>
      <c r="C47" s="731">
        <f>SUM(C42:C46)</f>
        <v>-38850000</v>
      </c>
      <c r="D47" s="732">
        <f>SUM(D42:D46)</f>
        <v>-38850000</v>
      </c>
      <c r="E47" s="107"/>
      <c r="F47" s="14"/>
      <c r="G47" s="14"/>
    </row>
    <row r="48" spans="1:7" hidden="1" x14ac:dyDescent="0.25">
      <c r="B48" s="800"/>
      <c r="C48" s="734"/>
      <c r="D48" s="729"/>
      <c r="E48" s="64"/>
    </row>
    <row r="49" spans="1:7" hidden="1" x14ac:dyDescent="0.25">
      <c r="A49" s="132">
        <v>2203301000</v>
      </c>
      <c r="B49" s="802"/>
      <c r="C49" s="776"/>
      <c r="D49" s="751"/>
      <c r="E49" s="64"/>
    </row>
    <row r="50" spans="1:7" ht="16.5" hidden="1" thickBot="1" x14ac:dyDescent="0.3">
      <c r="B50" s="728" t="s">
        <v>127</v>
      </c>
      <c r="C50" s="731">
        <f>SUM(C49)</f>
        <v>0</v>
      </c>
      <c r="D50" s="732">
        <f>SUM(D49)</f>
        <v>0</v>
      </c>
      <c r="E50" s="45">
        <f t="shared" ref="E50" si="3">SUM(E49)</f>
        <v>0</v>
      </c>
    </row>
    <row r="51" spans="1:7" s="145" customFormat="1" x14ac:dyDescent="0.25">
      <c r="A51" s="130"/>
      <c r="B51" s="728"/>
      <c r="C51" s="734"/>
      <c r="D51" s="730"/>
      <c r="E51" s="225"/>
      <c r="F51" s="14"/>
      <c r="G51" s="14"/>
    </row>
    <row r="52" spans="1:7" s="145" customFormat="1" ht="31.5" x14ac:dyDescent="0.25">
      <c r="A52" s="130"/>
      <c r="B52" s="518" t="str">
        <f>+B40</f>
        <v>Particulars</v>
      </c>
      <c r="C52" s="1069" t="str">
        <f t="shared" ref="C52:D52" si="4">+C40</f>
        <v>As at 31st January, 2019</v>
      </c>
      <c r="D52" s="1079" t="str">
        <f t="shared" si="4"/>
        <v>As at 31st January,  2018</v>
      </c>
      <c r="E52" s="225"/>
      <c r="F52" s="14"/>
      <c r="G52" s="14"/>
    </row>
    <row r="53" spans="1:7" x14ac:dyDescent="0.25">
      <c r="B53" s="1379" t="s">
        <v>506</v>
      </c>
      <c r="C53" s="734"/>
      <c r="D53" s="730"/>
      <c r="E53" s="64"/>
    </row>
    <row r="54" spans="1:7" x14ac:dyDescent="0.25">
      <c r="A54" s="132">
        <v>2207101001</v>
      </c>
      <c r="B54" s="632" t="s">
        <v>1635</v>
      </c>
      <c r="C54" s="776">
        <f>ABS(IFERROR(VLOOKUP(A54,Trial!$A$2:$D$9988,3,0),0))</f>
        <v>5023717.46</v>
      </c>
      <c r="D54" s="751">
        <f>ABS(IFERROR(VLOOKUP(A54,Trial!$A$2:$D$9988,4,0),0))</f>
        <v>40890756.460000001</v>
      </c>
      <c r="E54" s="111">
        <v>21119476.84</v>
      </c>
      <c r="G54" s="301"/>
    </row>
    <row r="55" spans="1:7" hidden="1" x14ac:dyDescent="0.25">
      <c r="A55" s="130">
        <v>2105101000</v>
      </c>
      <c r="B55" s="802" t="s">
        <v>199</v>
      </c>
      <c r="C55" s="776">
        <f>ABS(IFERROR(VLOOKUP(A55,Trial!$A$2:$D$10043,3,0),0))</f>
        <v>0</v>
      </c>
      <c r="D55" s="751">
        <f>ABS(IFERROR(VLOOKUP(A55,Trial!$A$2:$D$10043,4,0),0))</f>
        <v>0</v>
      </c>
      <c r="E55" s="115"/>
    </row>
    <row r="56" spans="1:7" hidden="1" x14ac:dyDescent="0.25">
      <c r="A56" s="132">
        <v>2203101000</v>
      </c>
      <c r="B56" s="632" t="s">
        <v>200</v>
      </c>
      <c r="C56" s="776">
        <f>ABS(IFERROR(VLOOKUP(A56,Trial!$A$2:$D$10043,3,0),0))</f>
        <v>0</v>
      </c>
      <c r="D56" s="751">
        <f>ABS(IFERROR(VLOOKUP(A56,Trial!$A$2:$D$10043,4,0),0))</f>
        <v>0</v>
      </c>
      <c r="E56" s="115"/>
    </row>
    <row r="57" spans="1:7" hidden="1" x14ac:dyDescent="0.25">
      <c r="A57" s="132">
        <v>2203102000</v>
      </c>
      <c r="B57" s="632" t="s">
        <v>201</v>
      </c>
      <c r="C57" s="776">
        <f>ABS(IFERROR(VLOOKUP(A57,Trial!$A$2:$D$10043,3,0),0))</f>
        <v>0</v>
      </c>
      <c r="D57" s="751">
        <f>ABS(IFERROR(VLOOKUP(A57,Trial!$A$2:$D$10043,4,0),0))</f>
        <v>0</v>
      </c>
      <c r="E57" s="115"/>
    </row>
    <row r="58" spans="1:7" hidden="1" x14ac:dyDescent="0.25">
      <c r="A58" s="132">
        <v>2203103000</v>
      </c>
      <c r="B58" s="632" t="s">
        <v>202</v>
      </c>
      <c r="C58" s="776">
        <f>ABS(IFERROR(VLOOKUP(A58,Trial!$A$2:$D$10043,3,0),0))</f>
        <v>0</v>
      </c>
      <c r="D58" s="751">
        <f>ABS(IFERROR(VLOOKUP(A58,Trial!$A$2:$D$10043,4,0),0))</f>
        <v>0</v>
      </c>
      <c r="E58" s="115"/>
    </row>
    <row r="59" spans="1:7" hidden="1" x14ac:dyDescent="0.25">
      <c r="A59" s="132">
        <v>2205103000</v>
      </c>
      <c r="B59" s="632" t="s">
        <v>1028</v>
      </c>
      <c r="C59" s="776">
        <f>ABS(IFERROR(VLOOKUP(A59,Trial!$A$2:$D$10043,3,0),0))</f>
        <v>0</v>
      </c>
      <c r="D59" s="751">
        <f>ABS(IFERROR(VLOOKUP(A59,Trial!$A$2:$D$10043,4,0),0))</f>
        <v>0</v>
      </c>
      <c r="E59" s="115"/>
    </row>
    <row r="60" spans="1:7" s="145" customFormat="1" x14ac:dyDescent="0.25">
      <c r="A60" s="132"/>
      <c r="B60" s="632" t="s">
        <v>1433</v>
      </c>
      <c r="C60" s="803">
        <v>-1182606</v>
      </c>
      <c r="D60" s="804">
        <v>0</v>
      </c>
      <c r="E60" s="115"/>
      <c r="F60" s="14"/>
      <c r="G60" s="14"/>
    </row>
    <row r="61" spans="1:7" s="145" customFormat="1" x14ac:dyDescent="0.25">
      <c r="A61" s="132"/>
      <c r="B61" s="632"/>
      <c r="C61" s="787">
        <f>SUM(C54:C60)</f>
        <v>3841111.46</v>
      </c>
      <c r="D61" s="788">
        <f>SUM(D54:D60)</f>
        <v>40890756.460000001</v>
      </c>
      <c r="E61" s="115"/>
      <c r="F61" s="14"/>
      <c r="G61" s="14"/>
    </row>
    <row r="62" spans="1:7" s="145" customFormat="1" x14ac:dyDescent="0.25">
      <c r="A62" s="130">
        <v>2107101001</v>
      </c>
      <c r="B62" s="728" t="s">
        <v>1636</v>
      </c>
      <c r="C62" s="776">
        <f>ABS(IFERROR(VLOOKUP(A62,Trial!$A$2:$D$9988,3,0),0))</f>
        <v>31357034</v>
      </c>
      <c r="D62" s="751">
        <v>0</v>
      </c>
      <c r="E62" s="112"/>
      <c r="F62" s="14"/>
      <c r="G62" s="14"/>
    </row>
    <row r="63" spans="1:7" s="145" customFormat="1" x14ac:dyDescent="0.25">
      <c r="A63" s="132"/>
      <c r="B63" s="632" t="s">
        <v>1433</v>
      </c>
      <c r="C63" s="803">
        <v>-13839000</v>
      </c>
      <c r="D63" s="805">
        <v>0</v>
      </c>
      <c r="E63" s="115"/>
      <c r="F63" s="14"/>
      <c r="G63" s="14"/>
    </row>
    <row r="64" spans="1:7" s="145" customFormat="1" x14ac:dyDescent="0.25">
      <c r="A64" s="132"/>
      <c r="B64" s="632"/>
      <c r="C64" s="787">
        <f>SUM(C62:C63)</f>
        <v>17518034</v>
      </c>
      <c r="D64" s="788">
        <f>SUM(D62:D63)</f>
        <v>0</v>
      </c>
      <c r="E64" s="115"/>
      <c r="F64" s="14"/>
      <c r="G64" s="14"/>
    </row>
    <row r="65" spans="1:8" x14ac:dyDescent="0.25">
      <c r="A65" s="130">
        <v>2207101000</v>
      </c>
      <c r="B65" s="632" t="s">
        <v>1432</v>
      </c>
      <c r="C65" s="776">
        <f>ABS(IFERROR(VLOOKUP(A65,Trial!$A$2:$D$9988,3,0),0))</f>
        <v>0</v>
      </c>
      <c r="D65" s="751">
        <f>ABS(IFERROR(VLOOKUP(A65,Trial!$A$2:$D$9988,4,0),0))</f>
        <v>26450209.940000001</v>
      </c>
      <c r="E65" s="115"/>
    </row>
    <row r="66" spans="1:8" ht="16.5" thickBot="1" x14ac:dyDescent="0.3">
      <c r="B66" s="1380" t="s">
        <v>1637</v>
      </c>
      <c r="C66" s="731">
        <f>+C61+C64+C65</f>
        <v>21359145.460000001</v>
      </c>
      <c r="D66" s="732">
        <f>+D61+D64+D65</f>
        <v>67340966.400000006</v>
      </c>
      <c r="E66" s="105">
        <f>SUM(E54:E65)</f>
        <v>21119476.84</v>
      </c>
    </row>
    <row r="67" spans="1:8" ht="16.5" hidden="1" thickTop="1" x14ac:dyDescent="0.25">
      <c r="B67" s="800"/>
      <c r="C67" s="734"/>
      <c r="D67" s="730"/>
    </row>
    <row r="68" spans="1:8" ht="16.5" hidden="1" thickTop="1" x14ac:dyDescent="0.25">
      <c r="B68" s="801"/>
      <c r="C68" s="532"/>
      <c r="D68" s="737"/>
    </row>
    <row r="69" spans="1:8" ht="17.25" hidden="1" thickTop="1" thickBot="1" x14ac:dyDescent="0.3">
      <c r="B69" s="739"/>
      <c r="C69" s="738"/>
      <c r="D69" s="1077"/>
      <c r="E69" s="105"/>
    </row>
    <row r="70" spans="1:8" s="145" customFormat="1" ht="16.5" thickTop="1" x14ac:dyDescent="0.25">
      <c r="A70" s="130"/>
      <c r="B70" s="1382"/>
      <c r="C70" s="1078"/>
      <c r="D70" s="1077"/>
      <c r="E70" s="107"/>
      <c r="F70" s="14"/>
      <c r="G70" s="14"/>
    </row>
    <row r="71" spans="1:8" s="145" customFormat="1" ht="31.5" x14ac:dyDescent="0.25">
      <c r="A71" s="130"/>
      <c r="B71" s="1551" t="str">
        <f>+B4</f>
        <v>Particulars</v>
      </c>
      <c r="C71" s="1069" t="str">
        <f>+C4</f>
        <v>As at 31st January, 2019</v>
      </c>
      <c r="D71" s="1069" t="str">
        <f>+D4</f>
        <v>As at 31st January,  2018</v>
      </c>
      <c r="E71" s="107"/>
      <c r="F71" s="14"/>
      <c r="G71" s="14"/>
    </row>
    <row r="72" spans="1:8" x14ac:dyDescent="0.25">
      <c r="B72" s="544" t="s">
        <v>1436</v>
      </c>
      <c r="C72" s="532"/>
      <c r="D72" s="729"/>
    </row>
    <row r="73" spans="1:8" x14ac:dyDescent="0.25">
      <c r="B73" s="544" t="s">
        <v>255</v>
      </c>
      <c r="C73" s="532"/>
      <c r="D73" s="729"/>
    </row>
    <row r="74" spans="1:8" x14ac:dyDescent="0.25">
      <c r="A74" s="132">
        <v>2103101000</v>
      </c>
      <c r="B74" s="632" t="s">
        <v>867</v>
      </c>
      <c r="C74" s="776">
        <f>ABS(IFERROR(VLOOKUP(A74,Trial!$A$2:$D$9988,3,0),0))</f>
        <v>11857706.16</v>
      </c>
      <c r="D74" s="751">
        <f>ABS(IFERROR(VLOOKUP(A74,Trial!$A$2:$D$9988,4,0),0))</f>
        <v>13742411.369999999</v>
      </c>
      <c r="E74" s="112">
        <v>29411667.579999998</v>
      </c>
    </row>
    <row r="75" spans="1:8" x14ac:dyDescent="0.25">
      <c r="A75" s="132">
        <v>2103102000</v>
      </c>
      <c r="B75" s="632" t="s">
        <v>1439</v>
      </c>
      <c r="C75" s="776">
        <f>ABS(IFERROR(VLOOKUP(A75,Trial!$A$2:$D$9988,3,0),0))</f>
        <v>184121</v>
      </c>
      <c r="D75" s="751">
        <f>ABS(IFERROR(VLOOKUP(A75,Trial!$A$2:$D$9988,4,0),0))</f>
        <v>1058003.8600000001</v>
      </c>
      <c r="E75" s="112">
        <v>464135.75</v>
      </c>
    </row>
    <row r="76" spans="1:8" x14ac:dyDescent="0.25">
      <c r="A76" s="132">
        <v>2103103000</v>
      </c>
      <c r="B76" s="632" t="s">
        <v>869</v>
      </c>
      <c r="C76" s="776">
        <f>ABS(IFERROR(VLOOKUP(A76,Trial!$A$2:$D$9988,3,0),0))</f>
        <v>58027874.460000001</v>
      </c>
      <c r="D76" s="751">
        <f>ABS(IFERROR(VLOOKUP(A76,Trial!$A$2:$D$9988,4,0),0))</f>
        <v>69894545.730000004</v>
      </c>
      <c r="E76" s="112">
        <v>43627403.299999997</v>
      </c>
    </row>
    <row r="77" spans="1:8" x14ac:dyDescent="0.25">
      <c r="A77" s="132"/>
      <c r="B77" s="632" t="s">
        <v>256</v>
      </c>
      <c r="C77" s="776">
        <f>+SUM(C78:C80)</f>
        <v>30470767.649999999</v>
      </c>
      <c r="D77" s="751">
        <f>+SUM(D78:D80)</f>
        <v>139053</v>
      </c>
      <c r="E77" s="112"/>
    </row>
    <row r="78" spans="1:8" hidden="1" x14ac:dyDescent="0.25">
      <c r="A78" s="132">
        <v>2103401000</v>
      </c>
      <c r="B78" s="632" t="s">
        <v>1043</v>
      </c>
      <c r="C78" s="776">
        <f>ABS(IFERROR(VLOOKUP(A78,Trial!$A$2:$D$9988,3,0),0))</f>
        <v>30343980.149999999</v>
      </c>
      <c r="D78" s="751">
        <f>ABS(IFERROR(VLOOKUP(A78,Trial!$A$2:$D$9988,4,0),0))</f>
        <v>0</v>
      </c>
      <c r="E78" s="112">
        <v>4509246.58</v>
      </c>
      <c r="H78" s="13"/>
    </row>
    <row r="79" spans="1:8" hidden="1" x14ac:dyDescent="0.25">
      <c r="A79" s="132">
        <v>2103701000</v>
      </c>
      <c r="B79" s="632" t="s">
        <v>872</v>
      </c>
      <c r="C79" s="776">
        <f>ABS(IFERROR(VLOOKUP(A79,Trial!$A$2:$D$9988,3,0),0))</f>
        <v>0</v>
      </c>
      <c r="D79" s="751">
        <f>ABS(IFERROR(VLOOKUP(A79,Trial!$A$2:$D$9988,4,0),0))</f>
        <v>18303</v>
      </c>
      <c r="E79" s="112">
        <v>20054.86</v>
      </c>
    </row>
    <row r="80" spans="1:8" hidden="1" x14ac:dyDescent="0.25">
      <c r="A80" s="132">
        <v>2106202000</v>
      </c>
      <c r="B80" s="632" t="s">
        <v>1044</v>
      </c>
      <c r="C80" s="776">
        <f>ABS(IFERROR(VLOOKUP(A80,Trial!$A$2:$D$9988,3,0),0))</f>
        <v>126787.5</v>
      </c>
      <c r="D80" s="751">
        <f>ABS(IFERROR(VLOOKUP(A80,Trial!$A$2:$D$9988,4,0),0))</f>
        <v>120750</v>
      </c>
      <c r="E80" s="112">
        <v>115000</v>
      </c>
      <c r="F80" s="66"/>
      <c r="G80" s="66"/>
      <c r="H80" s="16"/>
    </row>
    <row r="81" spans="1:8" hidden="1" x14ac:dyDescent="0.25">
      <c r="A81" s="132">
        <v>2106501001</v>
      </c>
      <c r="B81" s="632" t="s">
        <v>1046</v>
      </c>
      <c r="C81" s="776">
        <f>ABS(IFERROR(VLOOKUP(A81,Trial!$A$2:$D$9988,3,0),0))</f>
        <v>5544</v>
      </c>
      <c r="D81" s="751">
        <f>ABS(IFERROR(VLOOKUP(A81,Trial!$A$2:$D$9988,4,0),0))</f>
        <v>0</v>
      </c>
      <c r="E81" s="112"/>
      <c r="F81" s="66"/>
      <c r="G81" s="66"/>
      <c r="H81" s="16"/>
    </row>
    <row r="82" spans="1:8" hidden="1" x14ac:dyDescent="0.25">
      <c r="B82" s="801"/>
      <c r="C82" s="532"/>
      <c r="D82" s="737"/>
    </row>
    <row r="83" spans="1:8" hidden="1" x14ac:dyDescent="0.25">
      <c r="B83" s="801"/>
      <c r="C83" s="532"/>
      <c r="D83" s="737"/>
    </row>
    <row r="84" spans="1:8" hidden="1" x14ac:dyDescent="0.25">
      <c r="A84" s="132"/>
      <c r="B84" s="632" t="s">
        <v>127</v>
      </c>
      <c r="C84" s="776"/>
      <c r="D84" s="751"/>
      <c r="E84" s="112"/>
    </row>
    <row r="85" spans="1:8" ht="16.5" thickBot="1" x14ac:dyDescent="0.3">
      <c r="B85" s="1383" t="s">
        <v>127</v>
      </c>
      <c r="C85" s="731">
        <f>+C74+C75+C76+C77+0.2</f>
        <v>100540469.47000001</v>
      </c>
      <c r="D85" s="731">
        <f>+D74+D75+D76+D77+0.02</f>
        <v>84834013.980000004</v>
      </c>
      <c r="E85" s="105">
        <f>SUM(E74:E84)</f>
        <v>78147508.069999993</v>
      </c>
    </row>
    <row r="86" spans="1:8" s="145" customFormat="1" ht="16.5" thickTop="1" x14ac:dyDescent="0.25">
      <c r="A86" s="130"/>
      <c r="B86" s="728"/>
      <c r="C86" s="820"/>
      <c r="D86" s="730"/>
      <c r="E86" s="107"/>
      <c r="F86" s="14"/>
      <c r="G86" s="14"/>
    </row>
    <row r="87" spans="1:8" s="145" customFormat="1" ht="31.5" x14ac:dyDescent="0.25">
      <c r="A87" s="130"/>
      <c r="B87" s="518" t="str">
        <f>+B71</f>
        <v>Particulars</v>
      </c>
      <c r="C87" s="1069" t="str">
        <f t="shared" ref="C87:D87" si="5">+C71</f>
        <v>As at 31st January, 2019</v>
      </c>
      <c r="D87" s="1079" t="str">
        <f t="shared" si="5"/>
        <v>As at 31st January,  2018</v>
      </c>
      <c r="E87" s="107"/>
      <c r="F87" s="14"/>
      <c r="G87" s="14"/>
    </row>
    <row r="88" spans="1:8" s="145" customFormat="1" x14ac:dyDescent="0.25">
      <c r="A88" s="130"/>
      <c r="B88" s="544" t="s">
        <v>1441</v>
      </c>
      <c r="C88" s="734"/>
      <c r="D88" s="730"/>
      <c r="E88" s="107"/>
      <c r="F88" s="14"/>
      <c r="G88" s="14"/>
    </row>
    <row r="89" spans="1:8" s="145" customFormat="1" x14ac:dyDescent="0.25">
      <c r="A89" s="130"/>
      <c r="B89" s="728" t="s">
        <v>1514</v>
      </c>
      <c r="C89" s="532">
        <f>-'9N_14-21'!C46</f>
        <v>38850000</v>
      </c>
      <c r="D89" s="532">
        <f>-'9N_14-21'!D46</f>
        <v>38850000</v>
      </c>
      <c r="E89" s="107"/>
      <c r="F89" s="14"/>
      <c r="G89" s="14"/>
    </row>
    <row r="90" spans="1:8" x14ac:dyDescent="0.25">
      <c r="A90" s="132">
        <v>2106601000</v>
      </c>
      <c r="B90" s="632" t="s">
        <v>878</v>
      </c>
      <c r="C90" s="776">
        <f>ABS(IFERROR(VLOOKUP(A90,Trial!$A$2:$D$9988,3,0),0))</f>
        <v>30000</v>
      </c>
      <c r="D90" s="751">
        <f>ABS(IFERROR(VLOOKUP(A90,Trial!$A$2:$D$9988,4,0),0))</f>
        <v>3140000</v>
      </c>
      <c r="E90" s="112">
        <v>3010000</v>
      </c>
      <c r="F90" s="66"/>
      <c r="G90" s="66"/>
      <c r="H90" s="16"/>
    </row>
    <row r="91" spans="1:8" x14ac:dyDescent="0.25">
      <c r="A91" s="132">
        <v>2106601001</v>
      </c>
      <c r="B91" s="632" t="s">
        <v>879</v>
      </c>
      <c r="C91" s="776">
        <f>ABS(IFERROR(VLOOKUP(A91,Trial!$A$2:$D$9988,3,0),0))</f>
        <v>1020464.48</v>
      </c>
      <c r="D91" s="751">
        <f>ABS(IFERROR(VLOOKUP(A91,Trial!$A$2:$D$9988,4,0),0))</f>
        <v>3464675.33</v>
      </c>
      <c r="E91" s="112">
        <v>4798954.93</v>
      </c>
      <c r="F91" s="66"/>
      <c r="G91" s="66"/>
      <c r="H91" s="16"/>
    </row>
    <row r="92" spans="1:8" x14ac:dyDescent="0.25">
      <c r="A92" s="132">
        <v>2106501000</v>
      </c>
      <c r="B92" s="632" t="s">
        <v>1440</v>
      </c>
      <c r="C92" s="806">
        <f>ABS(IFERROR(VLOOKUP(A92,Trial!$A$2:$D$9988,3,0),0))</f>
        <v>370607.61</v>
      </c>
      <c r="D92" s="751">
        <f>ABS(IFERROR(VLOOKUP(A92,Trial!$A$2:$D$9988,4,0),0))</f>
        <v>140661</v>
      </c>
      <c r="E92" s="112">
        <v>0</v>
      </c>
      <c r="F92" s="66"/>
      <c r="G92" s="66"/>
      <c r="H92" s="16"/>
    </row>
    <row r="93" spans="1:8" s="145" customFormat="1" x14ac:dyDescent="0.25">
      <c r="A93" s="130"/>
      <c r="B93" s="728" t="s">
        <v>1271</v>
      </c>
      <c r="C93" s="776">
        <f>+-'SAP '!C385</f>
        <v>0</v>
      </c>
      <c r="D93" s="663">
        <f>+-'SAP '!D385</f>
        <v>0</v>
      </c>
      <c r="E93" s="112"/>
      <c r="F93" s="65"/>
      <c r="G93" s="66"/>
      <c r="H93" s="15"/>
    </row>
    <row r="94" spans="1:8" s="145" customFormat="1" x14ac:dyDescent="0.25">
      <c r="A94" s="130"/>
      <c r="B94" s="1383"/>
      <c r="C94" s="731">
        <f>SUM(C89:C93)</f>
        <v>40271072.089999996</v>
      </c>
      <c r="D94" s="731">
        <f>SUM(D89:D93)-0.03</f>
        <v>45595336.299999997</v>
      </c>
      <c r="E94" s="107"/>
      <c r="F94" s="14"/>
      <c r="G94" s="14"/>
    </row>
    <row r="95" spans="1:8" s="145" customFormat="1" x14ac:dyDescent="0.25">
      <c r="A95" s="130"/>
      <c r="B95" s="728"/>
      <c r="C95" s="1077"/>
      <c r="D95" s="1077"/>
      <c r="E95" s="107"/>
      <c r="F95" s="14"/>
      <c r="G95" s="14"/>
    </row>
    <row r="96" spans="1:8" s="145" customFormat="1" ht="31.5" x14ac:dyDescent="0.25">
      <c r="A96" s="130"/>
      <c r="B96" s="518" t="str">
        <f>+B87</f>
        <v>Particulars</v>
      </c>
      <c r="C96" s="1069" t="str">
        <f t="shared" ref="C96:D96" si="6">+C87</f>
        <v>As at 31st January, 2019</v>
      </c>
      <c r="D96" s="1079" t="str">
        <f t="shared" si="6"/>
        <v>As at 31st January,  2018</v>
      </c>
      <c r="E96" s="107"/>
      <c r="F96" s="14"/>
      <c r="G96" s="14"/>
    </row>
    <row r="97" spans="1:7" x14ac:dyDescent="0.25">
      <c r="B97" s="544" t="s">
        <v>1069</v>
      </c>
      <c r="C97" s="532"/>
      <c r="D97" s="729"/>
    </row>
    <row r="98" spans="1:7" x14ac:dyDescent="0.25">
      <c r="A98" s="132">
        <v>2108101000</v>
      </c>
      <c r="B98" s="632" t="s">
        <v>1638</v>
      </c>
      <c r="C98" s="776">
        <f>ABS(IFERROR(VLOOKUP(A98,Trial!$A$2:$D$9988,3,0),0))+'3SOCI'!D28+'3SOCI'!D36-220145039.47-Tax!E49</f>
        <v>-169371756.74521783</v>
      </c>
      <c r="D98" s="751">
        <f>ABS(IFERROR(VLOOKUP(A98,Trial!$A$2:$D$9988,4,0),0))</f>
        <v>207138914.28999999</v>
      </c>
      <c r="E98" s="112">
        <v>153118981.46000001</v>
      </c>
      <c r="G98" s="1023">
        <v>220145039</v>
      </c>
    </row>
    <row r="99" spans="1:7" x14ac:dyDescent="0.25">
      <c r="A99" s="130">
        <v>2107101000</v>
      </c>
      <c r="B99" s="728" t="s">
        <v>1434</v>
      </c>
      <c r="C99" s="776">
        <f>-C60</f>
        <v>1182606</v>
      </c>
      <c r="D99" s="751">
        <f>ABS(IFERROR(VLOOKUP(A99,Trial!$A$2:$D$9988,4,0),0))</f>
        <v>12297387</v>
      </c>
      <c r="E99" s="112">
        <v>12379773</v>
      </c>
      <c r="G99" s="64">
        <v>2528315.2000000002</v>
      </c>
    </row>
    <row r="100" spans="1:7" x14ac:dyDescent="0.25">
      <c r="B100" s="728" t="s">
        <v>1435</v>
      </c>
      <c r="C100" s="532">
        <f>+-C63</f>
        <v>13839000</v>
      </c>
      <c r="D100" s="737">
        <v>0</v>
      </c>
      <c r="G100" s="387">
        <v>222673354.19999999</v>
      </c>
    </row>
    <row r="101" spans="1:7" hidden="1" x14ac:dyDescent="0.25">
      <c r="B101" s="801"/>
      <c r="C101" s="532"/>
      <c r="D101" s="737"/>
    </row>
    <row r="102" spans="1:7" hidden="1" x14ac:dyDescent="0.25">
      <c r="A102" s="132">
        <v>2108201000</v>
      </c>
      <c r="B102" s="632" t="s">
        <v>1070</v>
      </c>
      <c r="C102" s="776">
        <f>ABS(IFERROR(VLOOKUP(A102,Trial!$A$2:$D$9988,3,0),0))</f>
        <v>0</v>
      </c>
      <c r="D102" s="751">
        <f>ABS(IFERROR(VLOOKUP(A102,Trial!$A$2:$D$9988,4,0),0))</f>
        <v>0</v>
      </c>
      <c r="E102" s="112">
        <v>9421535</v>
      </c>
    </row>
    <row r="103" spans="1:7" ht="16.5" thickBot="1" x14ac:dyDescent="0.3">
      <c r="B103" s="1383" t="s">
        <v>127</v>
      </c>
      <c r="C103" s="731">
        <f>SUM(C98:C102)</f>
        <v>-154350150.74521783</v>
      </c>
      <c r="D103" s="731">
        <f>SUM(D98:D102)</f>
        <v>219436301.28999999</v>
      </c>
      <c r="E103" s="105">
        <f t="shared" ref="E103" si="7">SUM(E98:E102)</f>
        <v>174920289.46000001</v>
      </c>
    </row>
    <row r="104" spans="1:7" s="145" customFormat="1" ht="16.5" thickTop="1" x14ac:dyDescent="0.25">
      <c r="A104" s="130"/>
      <c r="B104" s="728"/>
      <c r="C104" s="820"/>
      <c r="D104" s="730"/>
      <c r="E104" s="107"/>
      <c r="F104" s="14"/>
      <c r="G104" s="14"/>
    </row>
    <row r="105" spans="1:7" s="145" customFormat="1" ht="31.5" x14ac:dyDescent="0.25">
      <c r="A105" s="130"/>
      <c r="B105" s="1384" t="str">
        <f>+B96</f>
        <v>Particulars</v>
      </c>
      <c r="C105" s="1069" t="str">
        <f t="shared" ref="C105:D105" si="8">+C96</f>
        <v>As at 31st January, 2019</v>
      </c>
      <c r="D105" s="1069" t="str">
        <f t="shared" si="8"/>
        <v>As at 31st January,  2018</v>
      </c>
      <c r="E105" s="107"/>
      <c r="F105" s="14"/>
      <c r="G105" s="14"/>
    </row>
    <row r="106" spans="1:7" x14ac:dyDescent="0.25">
      <c r="B106" s="544" t="s">
        <v>507</v>
      </c>
      <c r="C106" s="532"/>
      <c r="D106" s="729"/>
    </row>
    <row r="107" spans="1:7" hidden="1" x14ac:dyDescent="0.25">
      <c r="B107" s="544"/>
      <c r="C107" s="774"/>
      <c r="D107" s="775"/>
    </row>
    <row r="108" spans="1:7" hidden="1" x14ac:dyDescent="0.25">
      <c r="B108" s="1385"/>
      <c r="C108" s="638"/>
      <c r="D108" s="663"/>
    </row>
    <row r="109" spans="1:7" hidden="1" x14ac:dyDescent="0.25">
      <c r="B109" s="1386"/>
      <c r="C109" s="638"/>
      <c r="D109" s="663"/>
      <c r="E109" s="64"/>
    </row>
    <row r="110" spans="1:7" hidden="1" x14ac:dyDescent="0.25">
      <c r="B110" s="1386"/>
      <c r="C110" s="638"/>
      <c r="D110" s="663"/>
    </row>
    <row r="111" spans="1:7" s="32" customFormat="1" hidden="1" x14ac:dyDescent="0.25">
      <c r="A111" s="131"/>
      <c r="B111" s="722"/>
      <c r="C111" s="525"/>
      <c r="D111" s="807"/>
      <c r="E111" s="71"/>
      <c r="F111" s="71"/>
      <c r="G111" s="71"/>
    </row>
    <row r="112" spans="1:7" hidden="1" x14ac:dyDescent="0.25">
      <c r="B112" s="1386"/>
      <c r="C112" s="778"/>
      <c r="D112" s="779"/>
      <c r="E112" s="63">
        <f t="shared" ref="E112" si="9">SUM(E109:E111)</f>
        <v>0</v>
      </c>
    </row>
    <row r="113" spans="1:7" hidden="1" x14ac:dyDescent="0.25">
      <c r="B113" s="1385"/>
      <c r="C113" s="774"/>
      <c r="D113" s="775"/>
    </row>
    <row r="114" spans="1:7" hidden="1" x14ac:dyDescent="0.25">
      <c r="B114" s="1386"/>
      <c r="C114" s="774"/>
      <c r="D114" s="775"/>
    </row>
    <row r="115" spans="1:7" hidden="1" x14ac:dyDescent="0.25">
      <c r="B115" s="1386"/>
      <c r="C115" s="774"/>
      <c r="D115" s="663"/>
    </row>
    <row r="116" spans="1:7" hidden="1" x14ac:dyDescent="0.25">
      <c r="B116" s="1386"/>
      <c r="C116" s="774"/>
      <c r="D116" s="663"/>
    </row>
    <row r="117" spans="1:7" hidden="1" x14ac:dyDescent="0.25">
      <c r="B117" s="722"/>
      <c r="C117" s="774"/>
      <c r="D117" s="775"/>
    </row>
    <row r="118" spans="1:7" hidden="1" x14ac:dyDescent="0.25">
      <c r="B118" s="1386"/>
      <c r="C118" s="808"/>
      <c r="D118" s="786"/>
      <c r="E118" s="72">
        <f t="shared" ref="E118" si="10">SUM(E114:E117)</f>
        <v>0</v>
      </c>
    </row>
    <row r="119" spans="1:7" hidden="1" x14ac:dyDescent="0.25">
      <c r="B119" s="1387"/>
      <c r="C119" s="638"/>
      <c r="D119" s="663"/>
    </row>
    <row r="120" spans="1:7" hidden="1" x14ac:dyDescent="0.25">
      <c r="B120" s="1386"/>
      <c r="C120" s="638"/>
      <c r="D120" s="663"/>
    </row>
    <row r="121" spans="1:7" hidden="1" x14ac:dyDescent="0.25">
      <c r="B121" s="1386"/>
      <c r="C121" s="638"/>
      <c r="D121" s="663"/>
    </row>
    <row r="122" spans="1:7" s="32" customFormat="1" hidden="1" x14ac:dyDescent="0.25">
      <c r="A122" s="131"/>
      <c r="B122" s="722"/>
      <c r="C122" s="774"/>
      <c r="D122" s="775"/>
      <c r="E122" s="71"/>
      <c r="F122" s="71"/>
      <c r="G122" s="71"/>
    </row>
    <row r="123" spans="1:7" hidden="1" x14ac:dyDescent="0.25">
      <c r="B123" s="1386"/>
      <c r="C123" s="778"/>
      <c r="D123" s="779"/>
      <c r="E123" s="63">
        <f t="shared" ref="E123" si="11">SUM(E120:E122)</f>
        <v>0</v>
      </c>
    </row>
    <row r="124" spans="1:7" hidden="1" x14ac:dyDescent="0.25">
      <c r="B124" s="1385"/>
      <c r="C124" s="809"/>
      <c r="D124" s="810"/>
    </row>
    <row r="125" spans="1:7" hidden="1" x14ac:dyDescent="0.25">
      <c r="B125" s="1386"/>
      <c r="C125" s="774"/>
      <c r="D125" s="775"/>
    </row>
    <row r="126" spans="1:7" hidden="1" x14ac:dyDescent="0.25">
      <c r="B126" s="1386"/>
      <c r="C126" s="774"/>
      <c r="D126" s="775"/>
    </row>
    <row r="127" spans="1:7" hidden="1" x14ac:dyDescent="0.25">
      <c r="B127" s="1386"/>
      <c r="C127" s="774"/>
      <c r="D127" s="663"/>
    </row>
    <row r="128" spans="1:7" s="32" customFormat="1" hidden="1" x14ac:dyDescent="0.25">
      <c r="A128" s="131"/>
      <c r="B128" s="722"/>
      <c r="C128" s="774"/>
      <c r="D128" s="775"/>
      <c r="E128" s="71"/>
      <c r="F128" s="71"/>
      <c r="G128" s="71"/>
    </row>
    <row r="129" spans="1:11" hidden="1" x14ac:dyDescent="0.25">
      <c r="B129" s="1386"/>
      <c r="C129" s="778"/>
      <c r="D129" s="779"/>
      <c r="E129" s="63">
        <f t="shared" ref="E129" si="12">SUM(E125:E128)</f>
        <v>0</v>
      </c>
    </row>
    <row r="130" spans="1:11" hidden="1" x14ac:dyDescent="0.25">
      <c r="B130" s="544"/>
      <c r="C130" s="808"/>
      <c r="D130" s="786"/>
      <c r="E130" s="114">
        <v>41216407</v>
      </c>
    </row>
    <row r="131" spans="1:11" x14ac:dyDescent="0.25">
      <c r="B131" s="644" t="s">
        <v>222</v>
      </c>
      <c r="C131" s="532"/>
      <c r="D131" s="729"/>
    </row>
    <row r="132" spans="1:11" x14ac:dyDescent="0.25">
      <c r="A132" s="130">
        <v>2104302001</v>
      </c>
      <c r="B132" s="739" t="s">
        <v>1422</v>
      </c>
      <c r="C132" s="776">
        <f>ABS(IFERROR(VLOOKUP(A132,Trial!$A$2:$D$9988,3,0),0))</f>
        <v>93930418.859999999</v>
      </c>
      <c r="D132" s="751">
        <f>ABS(IFERROR(VLOOKUP(A132,Trial!$A$2:$D$9988,4,0),0))</f>
        <v>60304622.590000004</v>
      </c>
      <c r="E132" s="112">
        <v>94636502</v>
      </c>
      <c r="J132" s="5"/>
      <c r="K132" s="6"/>
    </row>
    <row r="133" spans="1:11" s="145" customFormat="1" x14ac:dyDescent="0.25">
      <c r="A133" s="130"/>
      <c r="B133" s="739" t="s">
        <v>1443</v>
      </c>
      <c r="C133" s="776">
        <f>+C134+C135</f>
        <v>7444727.6600000001</v>
      </c>
      <c r="D133" s="751">
        <f>+D134+D135</f>
        <v>489855.67</v>
      </c>
      <c r="E133" s="112"/>
      <c r="F133" s="14"/>
      <c r="G133" s="14"/>
      <c r="J133" s="5"/>
      <c r="K133" s="6"/>
    </row>
    <row r="134" spans="1:11" hidden="1" x14ac:dyDescent="0.25">
      <c r="A134" s="132">
        <v>2103501000</v>
      </c>
      <c r="B134" s="632" t="s">
        <v>1442</v>
      </c>
      <c r="C134" s="776">
        <f>ABS(IFERROR(VLOOKUP(A134,Trial!$A$2:$D$9988,3,0),0))</f>
        <v>368620.75</v>
      </c>
      <c r="D134" s="751">
        <f>ABS(IFERROR(VLOOKUP(A134,Trial!$A$2:$D$9988,4,0),0))</f>
        <v>347817.29</v>
      </c>
      <c r="E134" s="112">
        <v>713588.83</v>
      </c>
    </row>
    <row r="135" spans="1:11" hidden="1" x14ac:dyDescent="0.25">
      <c r="A135" s="132">
        <v>2103501001</v>
      </c>
      <c r="B135" s="632" t="s">
        <v>871</v>
      </c>
      <c r="C135" s="776">
        <f>ABS(IFERROR(VLOOKUP(A135,Trial!$A$2:$D$9988,3,0),0))</f>
        <v>7076106.9100000001</v>
      </c>
      <c r="D135" s="751">
        <f>ABS(IFERROR(VLOOKUP(A135,Trial!$A$2:$D$9988,4,0),0))</f>
        <v>142038.38</v>
      </c>
      <c r="E135" s="112">
        <v>17740.509999999998</v>
      </c>
    </row>
    <row r="136" spans="1:11" s="145" customFormat="1" x14ac:dyDescent="0.25">
      <c r="A136" s="132"/>
      <c r="B136" s="627" t="s">
        <v>1444</v>
      </c>
      <c r="C136" s="776"/>
      <c r="D136" s="751"/>
      <c r="E136" s="112"/>
      <c r="F136" s="14"/>
      <c r="G136" s="14"/>
    </row>
    <row r="137" spans="1:11" x14ac:dyDescent="0.25">
      <c r="A137" s="132">
        <v>2106103000</v>
      </c>
      <c r="B137" s="632" t="s">
        <v>873</v>
      </c>
      <c r="C137" s="776">
        <f>ABS(IFERROR(VLOOKUP(A137,Trial!$A$2:$D$9988,3,0),0))</f>
        <v>99521.15</v>
      </c>
      <c r="D137" s="751">
        <f>ABS(IFERROR(VLOOKUP(A137,Trial!$A$2:$D$9988,4,0),0))</f>
        <v>136130.85</v>
      </c>
      <c r="E137" s="112">
        <v>162006.85</v>
      </c>
    </row>
    <row r="138" spans="1:11" x14ac:dyDescent="0.25">
      <c r="A138" s="132">
        <v>2106103001</v>
      </c>
      <c r="B138" s="632" t="s">
        <v>874</v>
      </c>
      <c r="C138" s="806">
        <f>ABS(IFERROR(VLOOKUP(A138,Trial!$A$2:$D$9988,3,0),0))-SUM(Trial!C413:C428)</f>
        <v>28881785.190000001</v>
      </c>
      <c r="D138" s="751">
        <f>ABS(IFERROR(VLOOKUP(A138,Trial!$A$2:$D$9988,4,0),0))</f>
        <v>8249552.7400000002</v>
      </c>
      <c r="E138" s="112">
        <v>72004580.569999993</v>
      </c>
    </row>
    <row r="139" spans="1:11" s="145" customFormat="1" x14ac:dyDescent="0.25">
      <c r="A139" s="132">
        <v>2106103002</v>
      </c>
      <c r="B139" s="632" t="s">
        <v>540</v>
      </c>
      <c r="C139" s="776">
        <f>ABS(IFERROR(VLOOKUP(A139,Trial!$A$2:$D$9988,3,0),0))</f>
        <v>3283889.23</v>
      </c>
      <c r="D139" s="751">
        <f>ABS(IFERROR(VLOOKUP(A139,Trial!$A$2:$D$9988,4,0),0))</f>
        <v>8349378</v>
      </c>
      <c r="E139" s="112"/>
      <c r="F139" s="14"/>
      <c r="G139" s="14"/>
    </row>
    <row r="140" spans="1:11" hidden="1" x14ac:dyDescent="0.25">
      <c r="A140" s="132">
        <v>2106201000</v>
      </c>
      <c r="B140" s="632" t="s">
        <v>875</v>
      </c>
      <c r="C140" s="776">
        <f>ABS(IFERROR(VLOOKUP(A140,Trial!$A$2:$D$9988,3,0),0))</f>
        <v>15605</v>
      </c>
      <c r="D140" s="751">
        <f>ABS(IFERROR(VLOOKUP(A140,Trial!$A$2:$D$9988,4,0),0))</f>
        <v>31443.86</v>
      </c>
      <c r="E140" s="112"/>
      <c r="H140" s="13"/>
    </row>
    <row r="141" spans="1:11" hidden="1" x14ac:dyDescent="0.25">
      <c r="A141" s="132">
        <v>2106201001</v>
      </c>
      <c r="B141" s="632" t="s">
        <v>1031</v>
      </c>
      <c r="C141" s="776">
        <f>ABS(IFERROR(VLOOKUP(A141,Trial!$A$2:$D$9988,3,0),0))</f>
        <v>0</v>
      </c>
      <c r="D141" s="751">
        <f>ABS(IFERROR(VLOOKUP(A141,Trial!$A$2:$D$9988,4,0),0))</f>
        <v>0</v>
      </c>
      <c r="E141" s="112"/>
      <c r="H141" s="13"/>
    </row>
    <row r="142" spans="1:11" hidden="1" x14ac:dyDescent="0.25">
      <c r="A142" s="132">
        <v>2106201002</v>
      </c>
      <c r="B142" s="632" t="s">
        <v>1032</v>
      </c>
      <c r="C142" s="776">
        <f>ABS(IFERROR(VLOOKUP(A142,Trial!$A$2:$D$9988,3,0),0))</f>
        <v>0</v>
      </c>
      <c r="D142" s="751">
        <f>ABS(IFERROR(VLOOKUP(A142,Trial!$A$2:$D$9988,4,0),0))</f>
        <v>0</v>
      </c>
      <c r="E142" s="112"/>
      <c r="F142" s="65"/>
      <c r="G142" s="66"/>
      <c r="H142" s="16"/>
    </row>
    <row r="143" spans="1:11" hidden="1" x14ac:dyDescent="0.25">
      <c r="A143" s="132">
        <v>2106201003</v>
      </c>
      <c r="B143" s="632" t="s">
        <v>1033</v>
      </c>
      <c r="C143" s="776">
        <f>ABS(IFERROR(VLOOKUP(A143,Trial!$A$2:$D$9988,3,0),0))</f>
        <v>0</v>
      </c>
      <c r="D143" s="751">
        <f>ABS(IFERROR(VLOOKUP(A143,Trial!$A$2:$D$9988,4,0),0))</f>
        <v>0</v>
      </c>
      <c r="E143" s="112"/>
      <c r="F143" s="66"/>
      <c r="G143" s="66"/>
      <c r="H143" s="16"/>
    </row>
    <row r="144" spans="1:11" hidden="1" x14ac:dyDescent="0.25">
      <c r="A144" s="132">
        <v>2106201004</v>
      </c>
      <c r="B144" s="632" t="s">
        <v>1034</v>
      </c>
      <c r="C144" s="776">
        <f>ABS(IFERROR(VLOOKUP(A144,Trial!$A$2:$D$9988,3,0),0))</f>
        <v>18531</v>
      </c>
      <c r="D144" s="751">
        <f>ABS(IFERROR(VLOOKUP(A144,Trial!$A$2:$D$9988,4,0),0))</f>
        <v>0</v>
      </c>
      <c r="E144" s="112"/>
      <c r="F144" s="66"/>
      <c r="G144" s="66"/>
      <c r="H144" s="16"/>
    </row>
    <row r="145" spans="1:8" hidden="1" x14ac:dyDescent="0.25">
      <c r="A145" s="132">
        <v>2106201005</v>
      </c>
      <c r="B145" s="632" t="s">
        <v>1035</v>
      </c>
      <c r="C145" s="776">
        <f>ABS(IFERROR(VLOOKUP(A145,Trial!$A$2:$D$9988,3,0),0))</f>
        <v>0</v>
      </c>
      <c r="D145" s="751">
        <f>ABS(IFERROR(VLOOKUP(A145,Trial!$A$2:$D$9988,4,0),0))</f>
        <v>0</v>
      </c>
      <c r="E145" s="112"/>
      <c r="F145" s="66"/>
      <c r="G145" s="66"/>
      <c r="H145" s="16"/>
    </row>
    <row r="146" spans="1:8" hidden="1" x14ac:dyDescent="0.25">
      <c r="A146" s="132">
        <v>2106301000</v>
      </c>
      <c r="B146" s="632" t="s">
        <v>1042</v>
      </c>
      <c r="C146" s="776">
        <f>ABS(IFERROR(VLOOKUP(A146,Trial!$A$2:$D$9988,3,0),0))</f>
        <v>0</v>
      </c>
      <c r="D146" s="751">
        <f>ABS(IFERROR(VLOOKUP(A146,Trial!$A$2:$D$9988,4,0),0))</f>
        <v>0</v>
      </c>
      <c r="E146" s="112"/>
      <c r="F146" s="66"/>
      <c r="G146" s="66"/>
      <c r="H146" s="16"/>
    </row>
    <row r="147" spans="1:8" s="145" customFormat="1" hidden="1" x14ac:dyDescent="0.25">
      <c r="A147" s="132">
        <v>2106301001</v>
      </c>
      <c r="B147" s="632" t="s">
        <v>592</v>
      </c>
      <c r="C147" s="776">
        <f>ABS(IFERROR(VLOOKUP(A147,Trial!$A$2:$D$9988,3,0),0))</f>
        <v>0</v>
      </c>
      <c r="D147" s="751">
        <f>ABS(IFERROR(VLOOKUP(A147,Trial!$A$2:$D$9988,4,0),0))</f>
        <v>0</v>
      </c>
      <c r="E147" s="112"/>
      <c r="F147" s="66"/>
      <c r="G147" s="66"/>
      <c r="H147" s="16"/>
    </row>
    <row r="148" spans="1:8" hidden="1" x14ac:dyDescent="0.25">
      <c r="A148" s="132">
        <v>2106301002</v>
      </c>
      <c r="B148" s="632" t="s">
        <v>1041</v>
      </c>
      <c r="C148" s="776">
        <f>ABS(IFERROR(VLOOKUP(A148,Trial!$A$2:$D$9988,3,0),0))</f>
        <v>0</v>
      </c>
      <c r="D148" s="751">
        <f>ABS(IFERROR(VLOOKUP(A148,Trial!$A$2:$D$9988,4,0),0))</f>
        <v>0</v>
      </c>
      <c r="E148" s="112"/>
      <c r="F148" s="66"/>
      <c r="G148" s="66"/>
      <c r="H148" s="16"/>
    </row>
    <row r="149" spans="1:8" hidden="1" x14ac:dyDescent="0.25">
      <c r="A149" s="132">
        <v>2106301003</v>
      </c>
      <c r="B149" s="632" t="s">
        <v>1036</v>
      </c>
      <c r="C149" s="776">
        <f>ABS(IFERROR(VLOOKUP(A149,Trial!$A$2:$D$9988,3,0),0))</f>
        <v>0</v>
      </c>
      <c r="D149" s="751">
        <f>ABS(IFERROR(VLOOKUP(A149,Trial!$A$2:$D$9988,4,0),0))</f>
        <v>0</v>
      </c>
      <c r="E149" s="112"/>
      <c r="F149" s="66"/>
      <c r="G149" s="66"/>
      <c r="H149" s="16"/>
    </row>
    <row r="150" spans="1:8" hidden="1" x14ac:dyDescent="0.25">
      <c r="A150" s="132">
        <v>2106301005</v>
      </c>
      <c r="B150" s="632" t="s">
        <v>1037</v>
      </c>
      <c r="C150" s="776">
        <f>ABS(IFERROR(VLOOKUP(A150,Trial!$A$2:$D$9988,3,0),0))</f>
        <v>0</v>
      </c>
      <c r="D150" s="751">
        <f>ABS(IFERROR(VLOOKUP(A150,Trial!$A$2:$D$9988,4,0),0))</f>
        <v>0</v>
      </c>
      <c r="E150" s="112"/>
      <c r="F150" s="66"/>
      <c r="G150" s="66"/>
      <c r="H150" s="16"/>
    </row>
    <row r="151" spans="1:8" hidden="1" x14ac:dyDescent="0.25">
      <c r="A151" s="132">
        <v>2106301006</v>
      </c>
      <c r="B151" s="632" t="s">
        <v>1045</v>
      </c>
      <c r="C151" s="776">
        <f>ABS(IFERROR(VLOOKUP(A151,Trial!$A$2:$D$9988,3,0),0))</f>
        <v>0</v>
      </c>
      <c r="D151" s="751">
        <f>ABS(IFERROR(VLOOKUP(A151,Trial!$A$2:$D$9988,4,0),0))</f>
        <v>0</v>
      </c>
      <c r="E151" s="112"/>
      <c r="F151" s="66"/>
      <c r="G151" s="66"/>
      <c r="H151" s="16"/>
    </row>
    <row r="152" spans="1:8" hidden="1" x14ac:dyDescent="0.25">
      <c r="A152" s="132">
        <v>2106602000</v>
      </c>
      <c r="B152" s="632" t="s">
        <v>1038</v>
      </c>
      <c r="C152" s="776">
        <f>ABS(IFERROR(VLOOKUP(A152,Trial!$A$2:$D$9988,3,0),0))</f>
        <v>0</v>
      </c>
      <c r="D152" s="751">
        <f>ABS(IFERROR(VLOOKUP(A152,Trial!$A$2:$D$9988,4,0),0))</f>
        <v>0</v>
      </c>
      <c r="E152" s="112"/>
      <c r="F152" s="66"/>
      <c r="G152" s="66"/>
      <c r="H152" s="16"/>
    </row>
    <row r="153" spans="1:8" x14ac:dyDescent="0.25">
      <c r="A153" s="132">
        <v>2106703000</v>
      </c>
      <c r="B153" s="632" t="s">
        <v>1039</v>
      </c>
      <c r="C153" s="776">
        <f>ABS(IFERROR(VLOOKUP(A153,Trial!$A$2:$D$9988,3,0),0))</f>
        <v>23071613</v>
      </c>
      <c r="D153" s="751">
        <f>ABS(IFERROR(VLOOKUP(A153,Trial!$A$2:$D$9988,4,0),0))</f>
        <v>0</v>
      </c>
      <c r="E153" s="112">
        <v>29329579.989999998</v>
      </c>
      <c r="F153" s="66"/>
      <c r="G153" s="66"/>
      <c r="H153" s="16"/>
    </row>
    <row r="154" spans="1:8" hidden="1" x14ac:dyDescent="0.25">
      <c r="A154" s="130">
        <v>2103602000</v>
      </c>
      <c r="B154" s="728" t="s">
        <v>1030</v>
      </c>
      <c r="C154" s="776">
        <f>ABS(IFERROR(VLOOKUP(A154,Trial!$A$2:$D$10043,3,0),0))</f>
        <v>0</v>
      </c>
      <c r="D154" s="663">
        <v>0</v>
      </c>
      <c r="E154" s="112"/>
      <c r="F154" s="65"/>
      <c r="G154" s="66"/>
      <c r="H154" s="15" t="e">
        <f>#REF!</f>
        <v>#REF!</v>
      </c>
    </row>
    <row r="155" spans="1:8" s="145" customFormat="1" x14ac:dyDescent="0.25">
      <c r="A155" s="130"/>
      <c r="B155" s="728"/>
      <c r="C155" s="811">
        <f>SUM(C137:C154)+0.41</f>
        <v>55370944.979999997</v>
      </c>
      <c r="D155" s="812">
        <f>SUM(D137:D154)+0.1</f>
        <v>16766505.549999999</v>
      </c>
      <c r="E155" s="112"/>
      <c r="F155" s="65"/>
      <c r="G155" s="66"/>
      <c r="H155" s="15"/>
    </row>
    <row r="156" spans="1:8" s="145" customFormat="1" ht="6.75" customHeight="1" x14ac:dyDescent="0.25">
      <c r="A156" s="130"/>
      <c r="B156" s="728"/>
      <c r="C156" s="787"/>
      <c r="D156" s="788"/>
      <c r="E156" s="112"/>
      <c r="F156" s="65"/>
      <c r="G156" s="66"/>
      <c r="H156" s="15"/>
    </row>
    <row r="157" spans="1:8" s="145" customFormat="1" x14ac:dyDescent="0.25">
      <c r="A157" s="130"/>
      <c r="B157" s="728" t="s">
        <v>1445</v>
      </c>
      <c r="C157" s="776">
        <f>AE!F174</f>
        <v>99285178.310000002</v>
      </c>
      <c r="D157" s="663">
        <v>0</v>
      </c>
      <c r="E157" s="112"/>
      <c r="F157" s="65"/>
      <c r="G157" s="66"/>
      <c r="H157" s="15"/>
    </row>
    <row r="158" spans="1:8" x14ac:dyDescent="0.25">
      <c r="A158" s="130">
        <v>2106301004</v>
      </c>
      <c r="B158" s="1388" t="s">
        <v>876</v>
      </c>
      <c r="C158" s="804">
        <f>ABS(IFERROR(VLOOKUP(A158,Trial!$A$2:$D$10043,3,0),0))</f>
        <v>1273872.98</v>
      </c>
      <c r="D158" s="751">
        <f>ABS(IFERROR(VLOOKUP(A158,Trial!$A$2:$D$9988,4,0),0))</f>
        <v>750000</v>
      </c>
      <c r="E158" s="112"/>
      <c r="F158" s="65"/>
      <c r="G158" s="66"/>
      <c r="H158" s="15"/>
    </row>
    <row r="159" spans="1:8" hidden="1" x14ac:dyDescent="0.25">
      <c r="A159" s="130">
        <v>2104101000</v>
      </c>
      <c r="B159" s="728" t="s">
        <v>1040</v>
      </c>
      <c r="C159" s="750">
        <f>ABS(IFERROR(VLOOKUP(A159,Trial!$A$2:$D$10043,3,0),0))</f>
        <v>0</v>
      </c>
      <c r="D159" s="663"/>
      <c r="E159" s="112"/>
      <c r="F159" s="65"/>
      <c r="G159" s="66"/>
      <c r="H159" s="15"/>
    </row>
    <row r="160" spans="1:8" hidden="1" x14ac:dyDescent="0.25">
      <c r="B160" s="801"/>
      <c r="C160" s="813"/>
      <c r="D160" s="737"/>
    </row>
    <row r="161" spans="1:8" ht="16.5" thickBot="1" x14ac:dyDescent="0.3">
      <c r="B161" s="1075"/>
      <c r="C161" s="814">
        <f>C155+C157+C158+C132+C133</f>
        <v>257305142.78999999</v>
      </c>
      <c r="D161" s="814">
        <f>D155+D157+D158+D132+D133+0.3</f>
        <v>78310984.109999999</v>
      </c>
      <c r="E161" s="110">
        <f>SUM(E130:E159)</f>
        <v>238080405.75</v>
      </c>
      <c r="H161" s="13"/>
    </row>
    <row r="162" spans="1:8" s="145" customFormat="1" ht="35.25" customHeight="1" thickTop="1" x14ac:dyDescent="0.25">
      <c r="A162" s="130"/>
      <c r="B162" s="1698" t="s">
        <v>1446</v>
      </c>
      <c r="C162" s="1699"/>
      <c r="D162" s="1700"/>
      <c r="E162" s="388"/>
      <c r="F162" s="14"/>
      <c r="G162" s="14"/>
      <c r="H162" s="13"/>
    </row>
    <row r="163" spans="1:8" s="145" customFormat="1" x14ac:dyDescent="0.25">
      <c r="A163" s="130"/>
      <c r="B163" s="228"/>
      <c r="C163" s="486"/>
      <c r="D163" s="486"/>
      <c r="E163" s="388"/>
      <c r="F163" s="14"/>
      <c r="G163" s="14"/>
      <c r="H163" s="13"/>
    </row>
    <row r="164" spans="1:8" s="145" customFormat="1" x14ac:dyDescent="0.25">
      <c r="A164" s="130"/>
      <c r="B164" s="228"/>
      <c r="C164" s="486"/>
      <c r="D164" s="486"/>
      <c r="E164" s="388"/>
      <c r="F164" s="14"/>
      <c r="G164" s="14"/>
      <c r="H164" s="13"/>
    </row>
    <row r="165" spans="1:8" x14ac:dyDescent="0.25">
      <c r="B165" s="446"/>
      <c r="C165" s="454">
        <f>SUM(C134:C160)-C98</f>
        <v>388117425.2452178</v>
      </c>
      <c r="D165" s="454">
        <f>SUM(D134:D160)-D98</f>
        <v>-172366047.62</v>
      </c>
      <c r="E165" s="7" t="e">
        <f>#REF!-#REF!</f>
        <v>#REF!</v>
      </c>
      <c r="H165" s="145"/>
    </row>
    <row r="166" spans="1:8" x14ac:dyDescent="0.25">
      <c r="B166" s="448"/>
    </row>
    <row r="171" spans="1:8" x14ac:dyDescent="0.25">
      <c r="C171" s="500">
        <f>C130+C21</f>
        <v>23323850.449999999</v>
      </c>
      <c r="D171" s="500">
        <f>D130+D21</f>
        <v>110957565.15000001</v>
      </c>
    </row>
  </sheetData>
  <mergeCells count="6">
    <mergeCell ref="B37:D37"/>
    <mergeCell ref="B162:D162"/>
    <mergeCell ref="B1:D1"/>
    <mergeCell ref="B2:D2"/>
    <mergeCell ref="B16:D16"/>
    <mergeCell ref="B17:D17"/>
  </mergeCells>
  <printOptions horizontalCentered="1"/>
  <pageMargins left="0.21" right="0.27559055118110237" top="0.55118110236220474" bottom="0.19685039370078741" header="3.937007874015748E-2" footer="3.937007874015748E-2"/>
  <pageSetup paperSize="9" scale="84" fitToWidth="0" fitToHeight="0" orientation="portrait" r:id="rId1"/>
  <rowBreaks count="1" manualBreakCount="1">
    <brk id="66" max="3" man="1"/>
  </rowBreaks>
  <colBreaks count="1" manualBreakCount="1">
    <brk id="5" max="1048575" man="1"/>
  </colBreaks>
  <ignoredErrors>
    <ignoredError sqref="C11 C133:D138 C77:D77"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H306"/>
  <sheetViews>
    <sheetView showGridLines="0" tabSelected="1" view="pageBreakPreview" zoomScale="90" zoomScaleNormal="90" zoomScaleSheetLayoutView="90" zoomScalePageLayoutView="90" workbookViewId="0">
      <selection activeCell="I9" sqref="I9"/>
    </sheetView>
  </sheetViews>
  <sheetFormatPr defaultColWidth="9.140625" defaultRowHeight="15.75" x14ac:dyDescent="0.25"/>
  <cols>
    <col min="1" max="1" width="12.5703125" style="1810" customWidth="1"/>
    <col min="2" max="2" width="7.28515625" style="1813" customWidth="1"/>
    <col min="3" max="3" width="11.28515625" style="1813" customWidth="1"/>
    <col min="4" max="4" width="42.85546875" style="1813" bestFit="1" customWidth="1"/>
    <col min="5" max="5" width="25.28515625" style="1878" customWidth="1"/>
    <col min="6" max="6" width="25" style="1878" customWidth="1"/>
    <col min="7" max="7" width="0.140625" style="1813" customWidth="1"/>
    <col min="8" max="8" width="14" style="1813" bestFit="1" customWidth="1"/>
    <col min="9" max="16384" width="9.140625" style="1813"/>
  </cols>
  <sheetData>
    <row r="1" spans="1:7" ht="16.5" x14ac:dyDescent="0.3">
      <c r="B1" s="1811"/>
      <c r="C1" s="1812" t="str">
        <f>'2SFP'!B1</f>
        <v>BHUTAN TELECOM LIMITED</v>
      </c>
      <c r="D1" s="1812"/>
      <c r="E1" s="1812"/>
      <c r="F1" s="1812"/>
    </row>
    <row r="2" spans="1:7" ht="16.5" x14ac:dyDescent="0.3">
      <c r="B2" s="1811"/>
      <c r="C2" s="1812" t="s">
        <v>2055</v>
      </c>
      <c r="D2" s="1812"/>
      <c r="E2" s="1812"/>
      <c r="F2" s="1812"/>
    </row>
    <row r="3" spans="1:7" ht="16.5" x14ac:dyDescent="0.3">
      <c r="B3" s="1811"/>
      <c r="C3" s="1811"/>
      <c r="D3" s="1814"/>
      <c r="E3" s="1815"/>
      <c r="F3" s="1816" t="str">
        <f>'2SFP'!E3</f>
        <v>Amount in Nu.</v>
      </c>
    </row>
    <row r="4" spans="1:7" s="231" customFormat="1" ht="16.5" hidden="1" x14ac:dyDescent="0.3">
      <c r="A4" s="232"/>
      <c r="B4" s="815"/>
      <c r="C4" s="815"/>
      <c r="D4" s="816"/>
      <c r="E4" s="817"/>
      <c r="F4" s="818"/>
    </row>
    <row r="5" spans="1:7" ht="16.5" x14ac:dyDescent="0.3">
      <c r="C5" s="1814"/>
      <c r="D5" s="1817"/>
      <c r="E5" s="1815"/>
      <c r="F5" s="1816"/>
    </row>
    <row r="6" spans="1:7" s="1820" customFormat="1" ht="31.5" x14ac:dyDescent="0.3">
      <c r="A6" s="1818"/>
      <c r="B6" s="1819"/>
      <c r="C6" s="1697" t="str">
        <f>'2SFP'!B4</f>
        <v>Particulars</v>
      </c>
      <c r="D6" s="1697"/>
      <c r="E6" s="1068" t="str">
        <f>'2SFP'!D4</f>
        <v>As at 31st January, 2019</v>
      </c>
      <c r="F6" s="1069" t="str">
        <f>'3SOCI'!E4</f>
        <v>As at 31st January, 2018</v>
      </c>
    </row>
    <row r="7" spans="1:7" s="1821" customFormat="1" ht="16.5" x14ac:dyDescent="0.3">
      <c r="A7" s="1818"/>
      <c r="B7" s="1819"/>
      <c r="E7" s="757"/>
      <c r="F7" s="1822"/>
    </row>
    <row r="8" spans="1:7" s="1821" customFormat="1" ht="16.5" x14ac:dyDescent="0.3">
      <c r="A8" s="1818"/>
      <c r="B8" s="1819"/>
      <c r="C8" s="1823" t="s">
        <v>1656</v>
      </c>
      <c r="D8" s="1823" t="s">
        <v>1657</v>
      </c>
      <c r="E8" s="757"/>
      <c r="F8" s="1822"/>
    </row>
    <row r="9" spans="1:7" x14ac:dyDescent="0.25">
      <c r="B9" s="1814"/>
      <c r="C9" s="1814"/>
      <c r="D9" s="1823" t="s">
        <v>1129</v>
      </c>
      <c r="E9" s="1824"/>
      <c r="F9" s="1824"/>
    </row>
    <row r="10" spans="1:7" x14ac:dyDescent="0.25">
      <c r="A10" s="1825">
        <v>4101102000</v>
      </c>
      <c r="B10" s="1826"/>
      <c r="C10" s="1826"/>
      <c r="D10" s="1827" t="str">
        <f>VLOOKUP(A10,Trial!A:B,2,0)</f>
        <v>Telephone Service</v>
      </c>
      <c r="E10" s="1828">
        <f>ABS(IFERROR(VLOOKUP(A10,Trial!A:C,3,0),0))</f>
        <v>6476653.9100000001</v>
      </c>
      <c r="F10" s="1828">
        <f>ABS(IFERROR(VLOOKUP(A10,Trial_Balance,4,0),0))</f>
        <v>7157366.1900000004</v>
      </c>
    </row>
    <row r="11" spans="1:7" x14ac:dyDescent="0.25">
      <c r="A11" s="1825">
        <v>4101101000</v>
      </c>
      <c r="B11" s="1826"/>
      <c r="C11" s="1826"/>
      <c r="D11" s="1827" t="str">
        <f>VLOOKUP(A11,Trial!A:B,2,0)</f>
        <v>International ISD</v>
      </c>
      <c r="E11" s="1828">
        <f>ABS(IFERROR(VLOOKUP(A11,Trial!A:C,3,0),0))</f>
        <v>589248.22</v>
      </c>
      <c r="F11" s="1828">
        <f>ABS(IFERROR(VLOOKUP(A11,Trial_Balance,4,0),0))</f>
        <v>658026.05000000005</v>
      </c>
    </row>
    <row r="12" spans="1:7" x14ac:dyDescent="0.25">
      <c r="B12" s="1814"/>
      <c r="C12" s="1814"/>
      <c r="D12" s="1829" t="s">
        <v>1144</v>
      </c>
      <c r="E12" s="1824">
        <f>SUM(E10:E11)</f>
        <v>7065902.1299999999</v>
      </c>
      <c r="F12" s="1824">
        <f>SUM(F10:F11)</f>
        <v>7815392.2400000002</v>
      </c>
    </row>
    <row r="13" spans="1:7" x14ac:dyDescent="0.25">
      <c r="A13" s="1825">
        <v>4101104001</v>
      </c>
      <c r="B13" s="1826"/>
      <c r="C13" s="1826"/>
      <c r="D13" s="1827" t="str">
        <f>VLOOKUP(A13,Trial!A:B,2,0)</f>
        <v>Mobile - Prepaid Recharge Cards</v>
      </c>
      <c r="E13" s="1828">
        <f>ABS(IFERROR(VLOOKUP(A13,Trial!A:C,3,0),0))</f>
        <v>118532545.55</v>
      </c>
      <c r="F13" s="1828">
        <f t="shared" ref="F13:F23" si="0">ABS(IFERROR(VLOOKUP(A13,Trial_Balance,4,0),0))</f>
        <v>91485095.890000001</v>
      </c>
      <c r="G13" s="1830"/>
    </row>
    <row r="14" spans="1:7" x14ac:dyDescent="0.25">
      <c r="A14" s="1825">
        <v>4101104002</v>
      </c>
      <c r="B14" s="1826"/>
      <c r="C14" s="1826"/>
      <c r="D14" s="1827" t="str">
        <f>VLOOKUP(A14,Trial!A:B,2,0)</f>
        <v>Mobile - Postpaid Services</v>
      </c>
      <c r="E14" s="1828">
        <f>ABS(IFERROR(VLOOKUP(A14,Trial!A:C,3,0),0))</f>
        <v>13435920.039999999</v>
      </c>
      <c r="F14" s="1828">
        <f t="shared" si="0"/>
        <v>13890054.27</v>
      </c>
      <c r="G14" s="1830"/>
    </row>
    <row r="15" spans="1:7" x14ac:dyDescent="0.25">
      <c r="A15" s="1825">
        <v>4101104003</v>
      </c>
      <c r="B15" s="1826"/>
      <c r="C15" s="1826"/>
      <c r="D15" s="1827" t="str">
        <f>VLOOKUP(A15,Trial!A:B,2,0)</f>
        <v>Eload - Mobile</v>
      </c>
      <c r="E15" s="1828">
        <f>ABS(IFERROR(VLOOKUP(A15,Trial!A:C,3,0),0))</f>
        <v>52299978.549999997</v>
      </c>
      <c r="F15" s="1828">
        <f t="shared" si="0"/>
        <v>67929597.290000007</v>
      </c>
    </row>
    <row r="16" spans="1:7" x14ac:dyDescent="0.25">
      <c r="A16" s="1825">
        <v>4101104004</v>
      </c>
      <c r="B16" s="1826"/>
      <c r="C16" s="1826"/>
      <c r="D16" s="1827" t="str">
        <f>VLOOKUP(A16,Trial!A:B,2,0)</f>
        <v>Income from IN and VAS</v>
      </c>
      <c r="E16" s="1828">
        <f>ABS(IFERROR(VLOOKUP(A16,Trial!A:C,3,0),0))</f>
        <v>276864.45</v>
      </c>
      <c r="F16" s="1828">
        <f t="shared" si="0"/>
        <v>326550.8</v>
      </c>
    </row>
    <row r="17" spans="1:7" x14ac:dyDescent="0.25">
      <c r="A17" s="1825">
        <v>4101104007</v>
      </c>
      <c r="B17" s="1826"/>
      <c r="C17" s="1826"/>
      <c r="D17" s="1831" t="str">
        <f>VLOOKUP(A17,Trial!A:B,2,0)</f>
        <v>Income from Online Applications</v>
      </c>
      <c r="E17" s="1828">
        <f>ABS(IFERROR(VLOOKUP(A17,Trial!A:C,3,0),0))</f>
        <v>92123504.829999998</v>
      </c>
      <c r="F17" s="1828">
        <f t="shared" si="0"/>
        <v>65565484.829999998</v>
      </c>
    </row>
    <row r="18" spans="1:7" x14ac:dyDescent="0.25">
      <c r="A18" s="1825">
        <v>4101105013</v>
      </c>
      <c r="B18" s="1826"/>
      <c r="C18" s="1826"/>
      <c r="D18" s="1827" t="str">
        <f>VLOOKUP(A18,Trial!A:B,2,0)</f>
        <v>Income from Interconnect</v>
      </c>
      <c r="E18" s="1828">
        <f>ABS(IFERROR(VLOOKUP(A18,Trial!A:C,3,0),0))</f>
        <v>0</v>
      </c>
      <c r="F18" s="1828">
        <f t="shared" si="0"/>
        <v>8089711.3600000003</v>
      </c>
    </row>
    <row r="19" spans="1:7" x14ac:dyDescent="0.25">
      <c r="A19" s="1825">
        <v>4101108001</v>
      </c>
      <c r="B19" s="1826"/>
      <c r="C19" s="1826"/>
      <c r="D19" s="1831" t="str">
        <f>VLOOKUP(A19,Trial!A:B,2,0)</f>
        <v>Commission income from online mobile apps</v>
      </c>
      <c r="E19" s="1828">
        <f>ABS(IFERROR(VLOOKUP(A19,Trial!A:C,3,0),0))</f>
        <v>164598</v>
      </c>
      <c r="F19" s="1828">
        <f t="shared" si="0"/>
        <v>181139</v>
      </c>
    </row>
    <row r="20" spans="1:7" x14ac:dyDescent="0.25">
      <c r="A20" s="1825">
        <v>4101103000</v>
      </c>
      <c r="B20" s="1826"/>
      <c r="C20" s="1826"/>
      <c r="D20" s="1827" t="str">
        <f>VLOOKUP(A20,Trial!A:B,2,0)</f>
        <v>Income from International Roaming</v>
      </c>
      <c r="E20" s="1828">
        <f>ABS(IFERROR(VLOOKUP(A20,Trial!A:C,3,0),0))</f>
        <v>0</v>
      </c>
      <c r="F20" s="1828">
        <f t="shared" si="0"/>
        <v>1129688.74</v>
      </c>
    </row>
    <row r="21" spans="1:7" x14ac:dyDescent="0.25">
      <c r="A21" s="1825">
        <v>4101103001</v>
      </c>
      <c r="B21" s="1826"/>
      <c r="C21" s="1826"/>
      <c r="D21" s="1827" t="str">
        <f>VLOOKUP(A21,Trial!A:B,2,0)</f>
        <v>Income from IN &amp; VAS-INTERNATIONAL</v>
      </c>
      <c r="E21" s="1828">
        <f>ABS(IFERROR(VLOOKUP(A21,Trial!A:C,3,0),0))</f>
        <v>0</v>
      </c>
      <c r="F21" s="1828">
        <f t="shared" si="0"/>
        <v>0</v>
      </c>
    </row>
    <row r="22" spans="1:7" x14ac:dyDescent="0.25">
      <c r="A22" s="1825">
        <v>4101104000</v>
      </c>
      <c r="B22" s="1826"/>
      <c r="C22" s="1826"/>
      <c r="D22" s="1827" t="str">
        <f>VLOOKUP(A22,Trial!A:B,2,0)</f>
        <v>Mobile -  Sim Cards</v>
      </c>
      <c r="E22" s="1828">
        <f>ABS(IFERROR(VLOOKUP(A22,Trial!A:C,3,0),0))</f>
        <v>1505150</v>
      </c>
      <c r="F22" s="1828">
        <f t="shared" si="0"/>
        <v>1069150</v>
      </c>
      <c r="G22" s="1830"/>
    </row>
    <row r="23" spans="1:7" x14ac:dyDescent="0.25">
      <c r="A23" s="1825">
        <v>4102110007</v>
      </c>
      <c r="B23" s="1826"/>
      <c r="C23" s="1826"/>
      <c r="D23" s="1831" t="str">
        <f>VLOOKUP(A23,Trial!A:B,2,0)</f>
        <v>Income from MFS (Paku)</v>
      </c>
      <c r="E23" s="1828">
        <f>ABS(IFERROR(VLOOKUP(A23,Trial!A:C,3,0),0))</f>
        <v>62544</v>
      </c>
      <c r="F23" s="1828">
        <f t="shared" si="0"/>
        <v>0</v>
      </c>
    </row>
    <row r="24" spans="1:7" x14ac:dyDescent="0.25">
      <c r="A24" s="1825"/>
      <c r="B24" s="1832"/>
      <c r="C24" s="1832"/>
      <c r="D24" s="1833" t="s">
        <v>1145</v>
      </c>
      <c r="E24" s="926">
        <f>SUM(E13:E23)</f>
        <v>278401105.41999996</v>
      </c>
      <c r="F24" s="926">
        <f>SUM(F13:F23)</f>
        <v>249666472.18000001</v>
      </c>
    </row>
    <row r="25" spans="1:7" x14ac:dyDescent="0.25">
      <c r="A25" s="1825">
        <v>4101105000</v>
      </c>
      <c r="B25" s="1826"/>
      <c r="C25" s="1826"/>
      <c r="D25" s="1834" t="str">
        <f>VLOOKUP(A25,Trial!A:B,2,0)</f>
        <v>Broadband - Postpaid</v>
      </c>
      <c r="E25" s="1828">
        <f>ABS(IFERROR(VLOOKUP(A25,Trial!A:C,3,0),0))</f>
        <v>1557492.29</v>
      </c>
      <c r="F25" s="1828">
        <f t="shared" ref="F25:F35" si="1">ABS(IFERROR(VLOOKUP(A25,Trial_Balance,4,0),0))</f>
        <v>4604849.24</v>
      </c>
    </row>
    <row r="26" spans="1:7" x14ac:dyDescent="0.25">
      <c r="A26" s="1825">
        <v>4101105001</v>
      </c>
      <c r="B26" s="1826"/>
      <c r="C26" s="1826"/>
      <c r="D26" s="1834" t="str">
        <f>VLOOKUP(A26,Trial!A:B,2,0)</f>
        <v>Broadband - Prepaid</v>
      </c>
      <c r="E26" s="1828">
        <f>ABS(IFERROR(VLOOKUP(A26,Trial!A:C,3,0),0))</f>
        <v>9347013.2400000002</v>
      </c>
      <c r="F26" s="1828">
        <f t="shared" si="1"/>
        <v>5734537.6500000004</v>
      </c>
    </row>
    <row r="27" spans="1:7" x14ac:dyDescent="0.25">
      <c r="A27" s="1825">
        <v>4101105002</v>
      </c>
      <c r="B27" s="1826"/>
      <c r="C27" s="1826"/>
      <c r="D27" s="1827" t="str">
        <f>VLOOKUP(A27,Trial!A:B,2,0)</f>
        <v>Internet Leaseline</v>
      </c>
      <c r="E27" s="1828">
        <f>ABS(IFERROR(VLOOKUP(A27,Trial!A:C,3,0),0))</f>
        <v>21592605.98</v>
      </c>
      <c r="F27" s="1828">
        <f t="shared" si="1"/>
        <v>32739156.140000001</v>
      </c>
    </row>
    <row r="28" spans="1:7" x14ac:dyDescent="0.25">
      <c r="A28" s="1825">
        <v>4101105003</v>
      </c>
      <c r="B28" s="1826"/>
      <c r="C28" s="1826"/>
      <c r="D28" s="1827" t="str">
        <f>VLOOKUP(A28,Trial!A:B,2,0)</f>
        <v>Income from Domain Name Registration</v>
      </c>
      <c r="E28" s="1828">
        <f>ABS(IFERROR(VLOOKUP(A28,Trial!A:C,3,0),0))</f>
        <v>139196.65</v>
      </c>
      <c r="F28" s="1828">
        <f t="shared" si="1"/>
        <v>309850</v>
      </c>
    </row>
    <row r="29" spans="1:7" x14ac:dyDescent="0.25">
      <c r="A29" s="1825">
        <v>4101105004</v>
      </c>
      <c r="B29" s="1826"/>
      <c r="C29" s="1826"/>
      <c r="D29" s="1827" t="str">
        <f>VLOOKUP(A29,Trial!A:B,2,0)</f>
        <v>Income from IPLC - National</v>
      </c>
      <c r="E29" s="1828">
        <f>ABS(IFERROR(VLOOKUP(A29,Trial!A:C,3,0),0))</f>
        <v>0</v>
      </c>
      <c r="F29" s="1828">
        <f t="shared" si="1"/>
        <v>131272</v>
      </c>
    </row>
    <row r="30" spans="1:7" x14ac:dyDescent="0.25">
      <c r="A30" s="1825">
        <v>4101105006</v>
      </c>
      <c r="B30" s="1826"/>
      <c r="C30" s="1826"/>
      <c r="D30" s="1827" t="str">
        <f>VLOOKUP(A30,Trial!A:B,2,0)</f>
        <v>DHI Intra Company Revenue</v>
      </c>
      <c r="E30" s="1828">
        <f>ABS(IFERROR(VLOOKUP(A30,Trial!A:C,3,0),0))</f>
        <v>0</v>
      </c>
      <c r="F30" s="1828">
        <f t="shared" si="1"/>
        <v>0</v>
      </c>
    </row>
    <row r="31" spans="1:7" x14ac:dyDescent="0.25">
      <c r="A31" s="1825">
        <v>4101106000</v>
      </c>
      <c r="B31" s="1826"/>
      <c r="C31" s="1826"/>
      <c r="D31" s="1827" t="str">
        <f>VLOOKUP(A31,Trial!A:B,2,0)</f>
        <v>Income from IPLC - International</v>
      </c>
      <c r="E31" s="1828">
        <f>ABS(IFERROR(VLOOKUP(A31,Trial!A:C,3,0),0))</f>
        <v>0</v>
      </c>
      <c r="F31" s="1828">
        <f t="shared" si="1"/>
        <v>289324.49</v>
      </c>
    </row>
    <row r="32" spans="1:7" x14ac:dyDescent="0.25">
      <c r="A32" s="1825">
        <v>4101106001</v>
      </c>
      <c r="B32" s="1826"/>
      <c r="C32" s="1826"/>
      <c r="D32" s="1827" t="str">
        <f>VLOOKUP(A32,Trial!A:B,2,0)</f>
        <v>Income from Domain Name - International</v>
      </c>
      <c r="E32" s="1828">
        <f>ABS(IFERROR(VLOOKUP(A32,Trial!A:C,3,0),0))</f>
        <v>0</v>
      </c>
      <c r="F32" s="1828">
        <f t="shared" si="1"/>
        <v>61742.8</v>
      </c>
    </row>
    <row r="33" spans="1:6" x14ac:dyDescent="0.25">
      <c r="A33" s="1825">
        <v>4101106002</v>
      </c>
      <c r="B33" s="1826"/>
      <c r="C33" s="1826"/>
      <c r="D33" s="1827" t="str">
        <f>VLOOKUP(A33,Trial!A:B,2,0)</f>
        <v>Income from Leaseline - International</v>
      </c>
      <c r="E33" s="1828">
        <f>ABS(IFERROR(VLOOKUP(A33,Trial!A:C,3,0),0))</f>
        <v>0</v>
      </c>
      <c r="F33" s="1828">
        <f t="shared" si="1"/>
        <v>28044.1</v>
      </c>
    </row>
    <row r="34" spans="1:6" x14ac:dyDescent="0.25">
      <c r="A34" s="1825">
        <v>4101105008</v>
      </c>
      <c r="B34" s="1826"/>
      <c r="C34" s="1826"/>
      <c r="D34" s="1834" t="str">
        <f>VLOOKUP(A34,Trial!A:B,2,0)</f>
        <v>Broadband - Recharge Card</v>
      </c>
      <c r="E34" s="1828">
        <f>ABS(IFERROR(VLOOKUP(A34,Trial!A:C,3,0),0))</f>
        <v>506262.6</v>
      </c>
      <c r="F34" s="1828">
        <f t="shared" si="1"/>
        <v>610515.6</v>
      </c>
    </row>
    <row r="35" spans="1:6" x14ac:dyDescent="0.25">
      <c r="A35" s="1825">
        <v>4101105009</v>
      </c>
      <c r="B35" s="1826"/>
      <c r="C35" s="1826"/>
      <c r="D35" s="1834" t="str">
        <f>VLOOKUP(A35,Trial!A:B,2,0)</f>
        <v>Eload - Broadband</v>
      </c>
      <c r="E35" s="1828">
        <f>ABS(IFERROR(VLOOKUP(A35,Trial!A:C,3,0),0))</f>
        <v>95</v>
      </c>
      <c r="F35" s="1828">
        <f t="shared" si="1"/>
        <v>2565</v>
      </c>
    </row>
    <row r="36" spans="1:6" x14ac:dyDescent="0.25">
      <c r="A36" s="1825"/>
      <c r="B36" s="1832"/>
      <c r="C36" s="1832"/>
      <c r="D36" s="1833" t="s">
        <v>1146</v>
      </c>
      <c r="E36" s="926">
        <f>SUM(E25:E35)</f>
        <v>33142665.760000002</v>
      </c>
      <c r="F36" s="926">
        <f>SUM(F25:F35)</f>
        <v>44511857.020000003</v>
      </c>
    </row>
    <row r="37" spans="1:6" x14ac:dyDescent="0.25">
      <c r="A37" s="1825">
        <v>4101105011</v>
      </c>
      <c r="B37" s="1826"/>
      <c r="C37" s="1826"/>
      <c r="D37" s="1827" t="str">
        <f>VLOOKUP(A37,Trial!A:B,2,0)</f>
        <v>Contact Center Revenue</v>
      </c>
      <c r="E37" s="1828">
        <f>ABS(IFERROR(VLOOKUP(A37,Trial!A:C,3,0),0))</f>
        <v>564053</v>
      </c>
      <c r="F37" s="1828">
        <f>ABS(IFERROR(VLOOKUP(A37,Trial_Balance,4,0),0))</f>
        <v>290034.23</v>
      </c>
    </row>
    <row r="38" spans="1:6" x14ac:dyDescent="0.25">
      <c r="A38" s="1825">
        <v>4101105012</v>
      </c>
      <c r="B38" s="1826"/>
      <c r="C38" s="1826"/>
      <c r="D38" s="1827" t="str">
        <f>VLOOKUP(A38,Trial!A:B,2,0)</f>
        <v>Income from Cloud Service</v>
      </c>
      <c r="E38" s="1828">
        <f>ABS(IFERROR(VLOOKUP(A38,Trial!A:C,3,0),0))</f>
        <v>0</v>
      </c>
      <c r="F38" s="1828">
        <f>ABS(IFERROR(VLOOKUP(A38,Trial_Balance,4,0),0))</f>
        <v>0</v>
      </c>
    </row>
    <row r="39" spans="1:6" x14ac:dyDescent="0.25">
      <c r="A39" s="1825">
        <v>4101105014</v>
      </c>
      <c r="B39" s="1826"/>
      <c r="C39" s="1826"/>
      <c r="D39" s="1827" t="str">
        <f>VLOOKUP(A39,Trial!A:B,2,0)</f>
        <v>Income from Data Center</v>
      </c>
      <c r="E39" s="1828">
        <f>ABS(IFERROR(VLOOKUP(A39,Trial!A:C,3,0),0))</f>
        <v>759215.5</v>
      </c>
      <c r="F39" s="1828">
        <f>ABS(IFERROR(VLOOKUP(A39,Trial_Balance,4,0),0))</f>
        <v>3903857.03</v>
      </c>
    </row>
    <row r="40" spans="1:6" x14ac:dyDescent="0.25">
      <c r="A40" s="1825">
        <v>4101105015</v>
      </c>
      <c r="B40" s="1826"/>
      <c r="C40" s="1826"/>
      <c r="D40" s="1827" t="str">
        <f>VLOOKUP(A40,Trial!A:B,2,0)</f>
        <v>Income from ERP Service</v>
      </c>
      <c r="E40" s="1828">
        <f>ABS(IFERROR(VLOOKUP(A40,Trial!A:C,3,0),0))</f>
        <v>200000</v>
      </c>
      <c r="F40" s="1828">
        <f>ABS(IFERROR(VLOOKUP(A40,Trial_Balance,4,0),0))</f>
        <v>0</v>
      </c>
    </row>
    <row r="41" spans="1:6" x14ac:dyDescent="0.25">
      <c r="A41" s="1825">
        <v>4102105000</v>
      </c>
      <c r="B41" s="1826"/>
      <c r="C41" s="1826"/>
      <c r="D41" s="1827" t="str">
        <f>VLOOKUP(A41,Trial!A:B,2,0)</f>
        <v>Income from Thuraya Services</v>
      </c>
      <c r="E41" s="1828">
        <f>ABS(IFERROR(VLOOKUP(A41,Trial!A:C,3,0),0))</f>
        <v>49731</v>
      </c>
      <c r="F41" s="1828">
        <f>ABS(IFERROR(VLOOKUP(A41,Trial_Balance,4,0),0))</f>
        <v>0</v>
      </c>
    </row>
    <row r="42" spans="1:6" x14ac:dyDescent="0.25">
      <c r="A42" s="1825"/>
      <c r="B42" s="1832"/>
      <c r="C42" s="1832"/>
      <c r="D42" s="1833" t="s">
        <v>1147</v>
      </c>
      <c r="E42" s="926">
        <f>SUM(E37:E41)</f>
        <v>1572999.5</v>
      </c>
      <c r="F42" s="926">
        <f>SUM(F37:F41)</f>
        <v>4193891.26</v>
      </c>
    </row>
    <row r="43" spans="1:6" x14ac:dyDescent="0.25">
      <c r="A43" s="1825"/>
      <c r="B43" s="1832"/>
      <c r="C43" s="1832"/>
      <c r="D43" s="1832"/>
      <c r="E43" s="928">
        <f>SUM(E42,E36,E24,E12)</f>
        <v>320182672.80999994</v>
      </c>
      <c r="F43" s="928">
        <f>SUM(F42,F36,F24,F12)</f>
        <v>306187612.70000005</v>
      </c>
    </row>
    <row r="44" spans="1:6" x14ac:dyDescent="0.25">
      <c r="A44" s="1825"/>
      <c r="B44" s="1826"/>
      <c r="C44" s="1826"/>
      <c r="D44" s="1827"/>
      <c r="E44" s="1835">
        <f>+E43</f>
        <v>320182672.80999994</v>
      </c>
      <c r="F44" s="1835">
        <f>+F43</f>
        <v>306187612.70000005</v>
      </c>
    </row>
    <row r="45" spans="1:6" x14ac:dyDescent="0.25">
      <c r="A45" s="1825"/>
      <c r="B45" s="1832"/>
      <c r="C45" s="1832"/>
      <c r="D45" s="1836" t="s">
        <v>1130</v>
      </c>
      <c r="E45" s="926"/>
      <c r="F45" s="926"/>
    </row>
    <row r="46" spans="1:6" x14ac:dyDescent="0.25">
      <c r="A46" s="1825">
        <v>4101102001</v>
      </c>
      <c r="B46" s="1826"/>
      <c r="C46" s="1826"/>
      <c r="D46" s="1827" t="str">
        <f>VLOOKUP(A46,Trial!A:B,2,0)</f>
        <v>Miscellaneous Income - Fixed Line</v>
      </c>
      <c r="E46" s="1828">
        <f>ABS(IFERROR(VLOOKUP(A46,Trial!A:C,3,0),0))</f>
        <v>131572</v>
      </c>
      <c r="F46" s="1828">
        <f t="shared" ref="F46:F51" si="2">ABS(IFERROR(VLOOKUP(A46,Trial_Balance,4,0),0))</f>
        <v>115931</v>
      </c>
    </row>
    <row r="47" spans="1:6" x14ac:dyDescent="0.25">
      <c r="A47" s="1825">
        <v>4101104005</v>
      </c>
      <c r="B47" s="1826"/>
      <c r="C47" s="1826"/>
      <c r="D47" s="1827" t="str">
        <f>VLOOKUP(A47,Trial!A:B,2,0)</f>
        <v>Miscellaneous Income - Mobile</v>
      </c>
      <c r="E47" s="1828">
        <f>ABS(IFERROR(VLOOKUP(A47,Trial!A:C,3,0),0))</f>
        <v>5427.05</v>
      </c>
      <c r="F47" s="1828">
        <f t="shared" si="2"/>
        <v>91342.42</v>
      </c>
    </row>
    <row r="48" spans="1:6" x14ac:dyDescent="0.25">
      <c r="A48" s="1825">
        <v>4101104006</v>
      </c>
      <c r="B48" s="1826"/>
      <c r="C48" s="1826"/>
      <c r="D48" s="1827" t="str">
        <f>VLOOKUP(A48,Trial!A:B,2,0)</f>
        <v>Sale of Mobile Data Card</v>
      </c>
      <c r="E48" s="1828">
        <f>ABS(IFERROR(VLOOKUP(A48,Trial!A:C,3,0),0))</f>
        <v>103200</v>
      </c>
      <c r="F48" s="1828">
        <f t="shared" si="2"/>
        <v>56100</v>
      </c>
    </row>
    <row r="49" spans="1:8" x14ac:dyDescent="0.25">
      <c r="A49" s="1825">
        <v>4101105007</v>
      </c>
      <c r="B49" s="1826"/>
      <c r="C49" s="1826"/>
      <c r="D49" s="1827" t="str">
        <f>VLOOKUP(A49,Trial!A:B,2,0)</f>
        <v>Sale of Internet Modem</v>
      </c>
      <c r="E49" s="1828">
        <f>ABS(IFERROR(VLOOKUP(A49,Trial!A:C,3,0),0))</f>
        <v>74085</v>
      </c>
      <c r="F49" s="1828">
        <f t="shared" si="2"/>
        <v>78955</v>
      </c>
    </row>
    <row r="50" spans="1:8" x14ac:dyDescent="0.25">
      <c r="A50" s="1825">
        <v>4101105005</v>
      </c>
      <c r="B50" s="1826"/>
      <c r="C50" s="1826"/>
      <c r="D50" s="1827" t="str">
        <f>VLOOKUP(A50,Trial!A:B,2,0)</f>
        <v>Miscellaneous Income - Druknet</v>
      </c>
      <c r="E50" s="1828">
        <f>ABS(IFERROR(VLOOKUP(A50,Trial!A:C,3,0),0))</f>
        <v>155468.78</v>
      </c>
      <c r="F50" s="1828">
        <f t="shared" si="2"/>
        <v>103470.02</v>
      </c>
    </row>
    <row r="51" spans="1:8" x14ac:dyDescent="0.25">
      <c r="A51" s="1825">
        <v>4102105002</v>
      </c>
      <c r="B51" s="1826"/>
      <c r="C51" s="1826"/>
      <c r="D51" s="1827" t="str">
        <f>VLOOKUP(A51,Trial!A:B,2,0)</f>
        <v>Income from sale of CPE and Equipments</v>
      </c>
      <c r="E51" s="1828">
        <f>ABS(IFERROR(VLOOKUP(A51,Trial!A:C,3,0),0))</f>
        <v>190838.2</v>
      </c>
      <c r="F51" s="1828">
        <f t="shared" si="2"/>
        <v>0</v>
      </c>
    </row>
    <row r="52" spans="1:8" x14ac:dyDescent="0.25">
      <c r="A52" s="1825"/>
      <c r="B52" s="1832"/>
      <c r="C52" s="1832"/>
      <c r="D52" s="1833" t="s">
        <v>1148</v>
      </c>
      <c r="E52" s="926">
        <f>SUM(E46:E51)</f>
        <v>660591.03</v>
      </c>
      <c r="F52" s="926">
        <f>SUM(F46:F51)</f>
        <v>445798.44</v>
      </c>
    </row>
    <row r="53" spans="1:8" x14ac:dyDescent="0.25">
      <c r="A53" s="1825">
        <v>4102103003</v>
      </c>
      <c r="B53" s="1826"/>
      <c r="C53" s="1826"/>
      <c r="D53" s="1827" t="str">
        <f>VLOOKUP(A53,Trial!A:B,2,0)</f>
        <v>Income from One Stop Shop (BT Shop)</v>
      </c>
      <c r="E53" s="1828">
        <f>ABS(IFERROR(VLOOKUP(A53,Trial!A:C,3,0),0))</f>
        <v>7390</v>
      </c>
      <c r="F53" s="1828">
        <f>ABS(IFERROR(VLOOKUP(A53,Trial_Balance,4,0),0))</f>
        <v>4003</v>
      </c>
    </row>
    <row r="54" spans="1:8" x14ac:dyDescent="0.25">
      <c r="A54" s="1825">
        <v>4102103002</v>
      </c>
      <c r="B54" s="1826"/>
      <c r="C54" s="1826"/>
      <c r="D54" s="1827" t="str">
        <f>VLOOKUP(A54,Trial!A:B,2,0)</f>
        <v>Income from BSecure</v>
      </c>
      <c r="E54" s="1828">
        <f>ABS(IFERROR(VLOOKUP(A54,Trial!A:C,3,0),0))</f>
        <v>12550</v>
      </c>
      <c r="F54" s="1828">
        <f>ABS(IFERROR(VLOOKUP(A54,Trial_Balance,4,0),0))</f>
        <v>412008</v>
      </c>
    </row>
    <row r="55" spans="1:8" ht="16.5" x14ac:dyDescent="0.25">
      <c r="A55" s="1825"/>
      <c r="B55" s="1837"/>
      <c r="C55" s="1837"/>
      <c r="D55" s="1833" t="s">
        <v>1149</v>
      </c>
      <c r="E55" s="926">
        <f>SUM(E53:E54)</f>
        <v>19940</v>
      </c>
      <c r="F55" s="926">
        <f>SUM(F53:F54)</f>
        <v>416011</v>
      </c>
    </row>
    <row r="56" spans="1:8" ht="16.5" x14ac:dyDescent="0.25">
      <c r="A56" s="1825"/>
      <c r="B56" s="1837"/>
      <c r="C56" s="1837"/>
      <c r="D56" s="1833"/>
      <c r="E56" s="928">
        <f>SUBTOTAL(9,E55,E52)</f>
        <v>680531.03</v>
      </c>
      <c r="F56" s="928">
        <f>SUBTOTAL(9,F55,F52)</f>
        <v>861809.44</v>
      </c>
    </row>
    <row r="57" spans="1:8" ht="16.5" x14ac:dyDescent="0.25">
      <c r="A57" s="1825"/>
      <c r="B57" s="1837"/>
      <c r="C57" s="1837"/>
      <c r="D57" s="1833"/>
      <c r="E57" s="928"/>
      <c r="F57" s="928"/>
    </row>
    <row r="58" spans="1:8" ht="16.5" x14ac:dyDescent="0.3">
      <c r="B58" s="1811"/>
      <c r="C58" s="1811"/>
      <c r="D58" s="1838" t="s">
        <v>127</v>
      </c>
      <c r="E58" s="928">
        <f>+E43+E56</f>
        <v>320863203.83999991</v>
      </c>
      <c r="F58" s="928">
        <f>+F43+F56</f>
        <v>307049422.14000005</v>
      </c>
      <c r="G58" s="1839"/>
      <c r="H58" s="1840"/>
    </row>
    <row r="59" spans="1:8" ht="16.5" x14ac:dyDescent="0.3">
      <c r="B59" s="1811"/>
      <c r="C59" s="1811"/>
      <c r="D59" s="1838"/>
      <c r="E59" s="928"/>
      <c r="F59" s="928"/>
      <c r="G59" s="1839"/>
    </row>
    <row r="60" spans="1:8" ht="16.5" x14ac:dyDescent="0.3">
      <c r="B60" s="1811"/>
      <c r="C60" s="1841"/>
      <c r="D60" s="1842" t="s">
        <v>1447</v>
      </c>
      <c r="E60" s="928"/>
      <c r="F60" s="928"/>
      <c r="G60" s="1839"/>
    </row>
    <row r="61" spans="1:8" ht="16.5" x14ac:dyDescent="0.3">
      <c r="B61" s="1811"/>
      <c r="C61" s="1811"/>
      <c r="D61" s="1075" t="s">
        <v>1448</v>
      </c>
      <c r="E61" s="928">
        <f>+E58-E62</f>
        <v>275679690.83999991</v>
      </c>
      <c r="F61" s="928">
        <f>+F58-F62</f>
        <v>279714381.14000005</v>
      </c>
      <c r="G61" s="1839"/>
    </row>
    <row r="62" spans="1:8" ht="16.5" x14ac:dyDescent="0.3">
      <c r="B62" s="1811"/>
      <c r="C62" s="1811"/>
      <c r="D62" s="1075" t="s">
        <v>1449</v>
      </c>
      <c r="E62" s="928">
        <v>45183513</v>
      </c>
      <c r="F62" s="928">
        <v>27335041</v>
      </c>
      <c r="G62" s="1839"/>
    </row>
    <row r="63" spans="1:8" ht="16.5" x14ac:dyDescent="0.3">
      <c r="B63" s="1811"/>
      <c r="C63" s="1811"/>
      <c r="D63" s="1838"/>
      <c r="E63" s="928"/>
      <c r="F63" s="928"/>
      <c r="G63" s="1839"/>
    </row>
    <row r="64" spans="1:8" ht="31.5" x14ac:dyDescent="0.3">
      <c r="B64" s="1811"/>
      <c r="C64" s="1697" t="str">
        <f>+C6</f>
        <v>Particulars</v>
      </c>
      <c r="D64" s="1697"/>
      <c r="E64" s="1069" t="str">
        <f>+E6</f>
        <v>As at 31st January, 2019</v>
      </c>
      <c r="F64" s="1069" t="str">
        <f>+F6</f>
        <v>As at 31st January, 2018</v>
      </c>
      <c r="G64" s="1839"/>
    </row>
    <row r="65" spans="1:6" x14ac:dyDescent="0.25">
      <c r="E65" s="1824"/>
      <c r="F65" s="1843"/>
    </row>
    <row r="66" spans="1:6" ht="30" x14ac:dyDescent="0.25">
      <c r="B66" s="1837"/>
      <c r="C66" s="1837"/>
      <c r="D66" s="1844" t="str">
        <f>C6</f>
        <v>Particulars</v>
      </c>
      <c r="E66" s="1845" t="str">
        <f>E6</f>
        <v>As at 31st January, 2019</v>
      </c>
      <c r="F66" s="1845" t="str">
        <f>F6</f>
        <v>As at 31st January, 2018</v>
      </c>
    </row>
    <row r="67" spans="1:6" x14ac:dyDescent="0.25">
      <c r="E67" s="1813"/>
      <c r="F67" s="1813"/>
    </row>
    <row r="68" spans="1:6" x14ac:dyDescent="0.25">
      <c r="E68" s="1813"/>
      <c r="F68" s="1813"/>
    </row>
    <row r="69" spans="1:6" x14ac:dyDescent="0.25">
      <c r="E69" s="1813"/>
      <c r="F69" s="1813"/>
    </row>
    <row r="70" spans="1:6" s="1841" customFormat="1" x14ac:dyDescent="0.25">
      <c r="A70" s="1810"/>
      <c r="B70" s="1813"/>
      <c r="C70" s="1823" t="s">
        <v>1658</v>
      </c>
      <c r="D70" s="1823" t="s">
        <v>1659</v>
      </c>
    </row>
    <row r="71" spans="1:6" ht="16.5" x14ac:dyDescent="0.25">
      <c r="A71" s="1825">
        <v>4102106000</v>
      </c>
      <c r="B71" s="1837"/>
      <c r="C71" s="1837"/>
      <c r="D71" s="1846" t="str">
        <f>VLOOKUP(A71,Trial!A:B,2,0)</f>
        <v>Fines</v>
      </c>
      <c r="E71" s="926">
        <f>ABS(IFERROR(VLOOKUP(A71,Trial!A:C,3,0),0))</f>
        <v>57702.9</v>
      </c>
      <c r="F71" s="926">
        <f>ABS(IFERROR(VLOOKUP(A71,Trial_Balance,4,0),0))</f>
        <v>96548.3</v>
      </c>
    </row>
    <row r="72" spans="1:6" ht="16.5" x14ac:dyDescent="0.25">
      <c r="A72" s="1825">
        <v>4102108000</v>
      </c>
      <c r="B72" s="1837"/>
      <c r="C72" s="1837"/>
      <c r="D72" s="1846" t="str">
        <f>VLOOKUP(A72,Trial!A:B,2,0)</f>
        <v>Income from Depository Works</v>
      </c>
      <c r="E72" s="926">
        <f>ABS(IFERROR(VLOOKUP(A72,Trial!A:C,3,0),0))</f>
        <v>0</v>
      </c>
      <c r="F72" s="926">
        <f>ABS(IFERROR(VLOOKUP(A72,Trial_Balance,4,0),0))</f>
        <v>0</v>
      </c>
    </row>
    <row r="73" spans="1:6" ht="16.5" x14ac:dyDescent="0.25">
      <c r="A73" s="1825">
        <v>4102108001</v>
      </c>
      <c r="B73" s="1837"/>
      <c r="C73" s="1837"/>
      <c r="D73" s="1846" t="str">
        <f>VLOOKUP(A73,Trial!A:B,2,0)</f>
        <v>Net Income from Depository Works</v>
      </c>
      <c r="E73" s="926">
        <f>ABS(IFERROR(VLOOKUP(A73,Trial!A:C,3,0),0))</f>
        <v>0</v>
      </c>
      <c r="F73" s="1847">
        <f>-ABS(IFERROR(VLOOKUP(A73,Trial_Balance,4,0),0))</f>
        <v>-26323.439999999999</v>
      </c>
    </row>
    <row r="74" spans="1:6" x14ac:dyDescent="0.25">
      <c r="E74" s="1813"/>
      <c r="F74" s="1813"/>
    </row>
    <row r="75" spans="1:6" x14ac:dyDescent="0.25">
      <c r="E75" s="1813"/>
      <c r="F75" s="1813"/>
    </row>
    <row r="76" spans="1:6" x14ac:dyDescent="0.25">
      <c r="A76" s="1825">
        <v>4102110006</v>
      </c>
      <c r="B76" s="1826"/>
      <c r="C76" s="1826"/>
      <c r="D76" s="1827" t="str">
        <f>VLOOKUP(A76,Trial!A:B,2,0)</f>
        <v>Rounding Difference - Gain</v>
      </c>
      <c r="E76" s="1828">
        <f>ABS(IFERROR(VLOOKUP(A76,Trial!A:C,3,0),0))</f>
        <v>0</v>
      </c>
      <c r="F76" s="1828">
        <f>ABS(IFERROR(VLOOKUP(A76,Trial_Balance,4,0),0))</f>
        <v>0.63</v>
      </c>
    </row>
    <row r="77" spans="1:6" x14ac:dyDescent="0.25">
      <c r="A77" s="1825">
        <v>5105126007</v>
      </c>
      <c r="B77" s="1826"/>
      <c r="C77" s="1826"/>
      <c r="D77" s="1827" t="str">
        <f>VLOOKUP(A77,Trial!A:B,2,0)</f>
        <v>Rounding Difference - Loss</v>
      </c>
      <c r="E77" s="1828">
        <f>-ABS(IFERROR(VLOOKUP(A77,Trial!A:C,3,0),0))</f>
        <v>0</v>
      </c>
      <c r="F77" s="1828">
        <f>ABS(IFERROR(VLOOKUP(A77,Trial_Balance,4,0),0))</f>
        <v>0.2</v>
      </c>
    </row>
    <row r="78" spans="1:6" x14ac:dyDescent="0.25">
      <c r="E78" s="1813"/>
      <c r="F78" s="1813"/>
    </row>
    <row r="79" spans="1:6" x14ac:dyDescent="0.25">
      <c r="E79" s="1813"/>
      <c r="F79" s="1813"/>
    </row>
    <row r="80" spans="1:6" ht="16.5" x14ac:dyDescent="0.25">
      <c r="A80" s="1825">
        <v>4104102000</v>
      </c>
      <c r="B80" s="1837"/>
      <c r="C80" s="1837"/>
      <c r="D80" s="1846" t="str">
        <f>VLOOKUP(A80,Trial!A:B,2,0)</f>
        <v>Interest from Fixed Deposits</v>
      </c>
      <c r="E80" s="926">
        <f>ABS(IFERROR(VLOOKUP(A80,Trial!A:C,3,0),0))</f>
        <v>0</v>
      </c>
      <c r="F80" s="926">
        <f>ABS(IFERROR(VLOOKUP(A80,Trial_Balance,4,0),0))</f>
        <v>36676.629999999997</v>
      </c>
    </row>
    <row r="81" spans="1:6" ht="16.5" x14ac:dyDescent="0.25">
      <c r="A81" s="1825">
        <v>4102110000</v>
      </c>
      <c r="B81" s="1837"/>
      <c r="C81" s="1837"/>
      <c r="D81" s="1846" t="str">
        <f>VLOOKUP(A81,Trial!A:B,2,0)</f>
        <v>Income from Sale of Yellow Page</v>
      </c>
      <c r="E81" s="926">
        <f>ABS(IFERROR(VLOOKUP(A81,Trial!A:C,3,0),0))</f>
        <v>0</v>
      </c>
      <c r="F81" s="926">
        <f>ABS(IFERROR(VLOOKUP(A81,Trial_Balance,4,0),0))</f>
        <v>0</v>
      </c>
    </row>
    <row r="82" spans="1:6" x14ac:dyDescent="0.25">
      <c r="A82" s="1825">
        <v>5111102000</v>
      </c>
      <c r="D82" s="1827" t="str">
        <f>VLOOKUP(A82,Trial!A:B,2,0)</f>
        <v>Loss on Forex Fluctuation</v>
      </c>
      <c r="E82" s="1828"/>
      <c r="F82" s="1828">
        <f>-ABS(IFERROR(VLOOKUP(A82,Trial_Balance,4,0),0))</f>
        <v>-200319.04</v>
      </c>
    </row>
    <row r="83" spans="1:6" s="1810" customFormat="1" x14ac:dyDescent="0.25">
      <c r="A83" s="1825">
        <v>4103501000</v>
      </c>
      <c r="B83" s="1825"/>
      <c r="C83" s="1825"/>
      <c r="D83" s="1827" t="str">
        <f>VLOOKUP(A83,Trial!A:B,2,0)</f>
        <v>Gain on Forex Fluctuation</v>
      </c>
      <c r="E83" s="1828"/>
      <c r="F83" s="1828">
        <f>ABS(IFERROR(VLOOKUP(A83,Trial_Balance,4,0),0))</f>
        <v>184975.06</v>
      </c>
    </row>
    <row r="84" spans="1:6" ht="16.5" x14ac:dyDescent="0.25">
      <c r="A84" s="1825"/>
      <c r="B84" s="1837"/>
      <c r="C84" s="1837"/>
      <c r="D84" s="1075" t="str">
        <f>D83</f>
        <v>Gain on Forex Fluctuation</v>
      </c>
      <c r="E84" s="731">
        <f>SUM(E82:E83)</f>
        <v>0</v>
      </c>
      <c r="F84" s="1824">
        <f>SUM(F82:F83)</f>
        <v>-15343.98000000001</v>
      </c>
    </row>
    <row r="85" spans="1:6" ht="16.5" x14ac:dyDescent="0.25">
      <c r="A85" s="1825"/>
      <c r="B85" s="1837"/>
      <c r="C85" s="1837"/>
      <c r="D85" s="1075" t="s">
        <v>644</v>
      </c>
      <c r="E85" s="1824">
        <f>+SUM(E86:E92)</f>
        <v>302593.8</v>
      </c>
      <c r="F85" s="1824">
        <f>+SUM(F86:F92)</f>
        <v>192113.90999999997</v>
      </c>
    </row>
    <row r="86" spans="1:6" x14ac:dyDescent="0.25">
      <c r="A86" s="1825">
        <v>4102109000</v>
      </c>
      <c r="D86" s="1827" t="str">
        <f>VLOOKUP(A86,Trial!A:B,2,0)</f>
        <v>Income from Sale of Tender Documents</v>
      </c>
      <c r="E86" s="1828">
        <f>ABS(IFERROR(VLOOKUP(A86,Trial!A:C,3,0),0))</f>
        <v>0</v>
      </c>
      <c r="F86" s="1828">
        <f>ABS(IFERROR(VLOOKUP(A86,Trial_Balance,4,0),0))</f>
        <v>0</v>
      </c>
    </row>
    <row r="87" spans="1:6" x14ac:dyDescent="0.25">
      <c r="A87" s="1825">
        <v>4102110005</v>
      </c>
      <c r="D87" s="1827" t="str">
        <f>VLOOKUP(A87,Trial!A:B,2,0)</f>
        <v>Discount Received</v>
      </c>
      <c r="E87" s="1828">
        <f>ABS(IFERROR(VLOOKUP(A87,Trial!A:C,3,0),0))</f>
        <v>0</v>
      </c>
      <c r="F87" s="1828">
        <f>ABS(IFERROR(VLOOKUP(A87,Trial_Balance,4,0),0))</f>
        <v>0</v>
      </c>
    </row>
    <row r="88" spans="1:6" s="1810" customFormat="1" x14ac:dyDescent="0.25">
      <c r="A88" s="1825">
        <v>4102102000</v>
      </c>
      <c r="B88" s="1813"/>
      <c r="C88" s="1813"/>
      <c r="D88" s="1827" t="str">
        <f>VLOOKUP(A88,Trial!A:B,2,0)</f>
        <v>Income from House Rent</v>
      </c>
      <c r="E88" s="1828">
        <f>ABS(IFERROR(VLOOKUP(A88,Trial!A:C,3,0),0))</f>
        <v>208089.8</v>
      </c>
      <c r="F88" s="1828">
        <f>ABS(IFERROR(VLOOKUP(A88,Trial_Balance,4,0),0))</f>
        <v>258458.9</v>
      </c>
    </row>
    <row r="89" spans="1:6" s="1810" customFormat="1" x14ac:dyDescent="0.25">
      <c r="A89" s="1825">
        <v>4102103000</v>
      </c>
      <c r="B89" s="1813"/>
      <c r="C89" s="1813"/>
      <c r="D89" s="1827" t="s">
        <v>633</v>
      </c>
      <c r="E89" s="1828">
        <f>ABS(IFERROR(VLOOKUP(A89,Trial!A:C,3,0),0))</f>
        <v>59504</v>
      </c>
      <c r="F89" s="1828">
        <f>ABS(IFERROR(VLOOKUP(A89,Trial_Balance,4,0),0))</f>
        <v>0</v>
      </c>
    </row>
    <row r="90" spans="1:6" x14ac:dyDescent="0.25">
      <c r="A90" s="1825">
        <v>4102103001</v>
      </c>
      <c r="D90" s="1827" t="str">
        <f>VLOOKUP(A90,Trial!A:B,2,0)</f>
        <v>Income from BT Guide</v>
      </c>
      <c r="E90" s="1828">
        <f>ABS(IFERROR(VLOOKUP(A90,Trial!A:C,3,0),0))</f>
        <v>0</v>
      </c>
      <c r="F90" s="1828">
        <f>ABS(IFERROR(VLOOKUP(A90,Trial_Balance,4,0),0))</f>
        <v>0</v>
      </c>
    </row>
    <row r="91" spans="1:6" x14ac:dyDescent="0.25">
      <c r="A91" s="1825"/>
      <c r="D91" s="1827" t="str">
        <f>D76</f>
        <v>Rounding Difference - Gain</v>
      </c>
      <c r="E91" s="1828">
        <f>SUM(E76:E77)</f>
        <v>0</v>
      </c>
      <c r="F91" s="1828"/>
    </row>
    <row r="92" spans="1:6" x14ac:dyDescent="0.25">
      <c r="A92" s="1825">
        <v>4102119999</v>
      </c>
      <c r="D92" s="1827" t="str">
        <f>VLOOKUP(A92,Trial!A:B,2,0)</f>
        <v>Miscellaneous Income</v>
      </c>
      <c r="E92" s="1828">
        <f>ABS(IFERROR(VLOOKUP(A92,Trial!A:C,3,0),0))</f>
        <v>35000</v>
      </c>
      <c r="F92" s="1828">
        <f>-ABS(IFERROR(VLOOKUP(A92,Trial_Balance,4,0),0))</f>
        <v>-66344.990000000005</v>
      </c>
    </row>
    <row r="93" spans="1:6" ht="16.5" x14ac:dyDescent="0.25">
      <c r="A93" s="1825"/>
      <c r="B93" s="1837"/>
      <c r="C93" s="1837"/>
      <c r="D93" s="1829"/>
      <c r="E93" s="731">
        <f>+E71+E72+E80+E85+E84</f>
        <v>360296.7</v>
      </c>
      <c r="F93" s="731">
        <f>+F71+F72+F73+F80+F85+F84</f>
        <v>283671.41999999993</v>
      </c>
    </row>
    <row r="94" spans="1:6" ht="16.5" x14ac:dyDescent="0.25">
      <c r="A94" s="1825"/>
      <c r="B94" s="1837"/>
      <c r="C94" s="1837"/>
      <c r="D94" s="1838" t="s">
        <v>127</v>
      </c>
      <c r="E94" s="731"/>
      <c r="F94" s="731"/>
    </row>
    <row r="95" spans="1:6" ht="31.5" x14ac:dyDescent="0.25">
      <c r="A95" s="1825"/>
      <c r="B95" s="1837"/>
      <c r="C95" s="1697" t="str">
        <f>+C64</f>
        <v>Particulars</v>
      </c>
      <c r="D95" s="1697"/>
      <c r="E95" s="1069" t="str">
        <f>+E64</f>
        <v>As at 31st January, 2019</v>
      </c>
      <c r="F95" s="1069" t="str">
        <f>+F64</f>
        <v>As at 31st January, 2018</v>
      </c>
    </row>
    <row r="96" spans="1:6" x14ac:dyDescent="0.25">
      <c r="A96" s="1825"/>
      <c r="E96" s="1081"/>
      <c r="F96" s="1081"/>
    </row>
    <row r="97" spans="1:6" ht="30" x14ac:dyDescent="0.25">
      <c r="A97" s="1825"/>
      <c r="B97" s="1837"/>
      <c r="C97" s="1837"/>
      <c r="D97" s="1848" t="str">
        <f>D66</f>
        <v>Particulars</v>
      </c>
      <c r="E97" s="1849" t="str">
        <f>E66</f>
        <v>As at 31st January, 2019</v>
      </c>
      <c r="F97" s="1849" t="str">
        <f>F66</f>
        <v>As at 31st January, 2018</v>
      </c>
    </row>
    <row r="98" spans="1:6" x14ac:dyDescent="0.25">
      <c r="A98" s="1825">
        <v>5105120008</v>
      </c>
      <c r="B98" s="1826"/>
      <c r="C98" s="1826"/>
      <c r="D98" s="1827" t="str">
        <f>VLOOKUP(A98,Trial!A:B,2,0)</f>
        <v>GMPCS Services</v>
      </c>
      <c r="E98" s="1828">
        <f>ABS(IFERROR(VLOOKUP(A98,Trial!A:C,3,0),0))</f>
        <v>164656.92000000001</v>
      </c>
      <c r="F98" s="1828">
        <f t="shared" ref="F98:F105" si="3">ABS(IFERROR(VLOOKUP(A98,Trial_Balance,4,0),0))</f>
        <v>55390.62</v>
      </c>
    </row>
    <row r="99" spans="1:6" x14ac:dyDescent="0.25">
      <c r="A99" s="1825">
        <v>5105120007</v>
      </c>
      <c r="B99" s="1826"/>
      <c r="C99" s="1826"/>
      <c r="D99" s="1827" t="str">
        <f>VLOOKUP(A99,Trial!A:B,2,0)</f>
        <v>GTS Settlement</v>
      </c>
      <c r="E99" s="1828">
        <f>ABS(IFERROR(VLOOKUP(A99,Trial!A:C,3,0),0))</f>
        <v>0</v>
      </c>
      <c r="F99" s="1828">
        <f t="shared" si="3"/>
        <v>0</v>
      </c>
    </row>
    <row r="100" spans="1:6" x14ac:dyDescent="0.25">
      <c r="A100" s="1825">
        <v>5105120006</v>
      </c>
      <c r="B100" s="1826"/>
      <c r="C100" s="1826"/>
      <c r="D100" s="1827" t="str">
        <f>VLOOKUP(A100,Trial!A:B,2,0)</f>
        <v>International Roaming</v>
      </c>
      <c r="E100" s="1828">
        <f>ABS(IFERROR(VLOOKUP(A100,Trial!A:C,3,0),0))</f>
        <v>78239.710000000006</v>
      </c>
      <c r="F100" s="1828">
        <f t="shared" si="3"/>
        <v>643064.99</v>
      </c>
    </row>
    <row r="101" spans="1:6" x14ac:dyDescent="0.25">
      <c r="A101" s="1825">
        <v>5105120004</v>
      </c>
      <c r="B101" s="1826"/>
      <c r="C101" s="1826"/>
      <c r="D101" s="1827" t="str">
        <f>VLOOKUP(A101,Trial!A:B,2,0)</f>
        <v>International Traffic Settlement, Voice</v>
      </c>
      <c r="E101" s="1828">
        <f>ABS(IFERROR(VLOOKUP(A101,Trial!A:C,3,0),0))</f>
        <v>256976.39</v>
      </c>
      <c r="F101" s="1828">
        <f t="shared" si="3"/>
        <v>600842.19999999995</v>
      </c>
    </row>
    <row r="102" spans="1:6" x14ac:dyDescent="0.25">
      <c r="A102" s="1825">
        <v>5105120005</v>
      </c>
      <c r="B102" s="1826"/>
      <c r="C102" s="1826"/>
      <c r="D102" s="1827" t="str">
        <f>VLOOKUP(A102,Trial!A:B,2,0)</f>
        <v>Internet Port Charges, IP Transit</v>
      </c>
      <c r="E102" s="1828">
        <f>ABS(IFERROR(VLOOKUP(A102,Trial!A:C,3,0),0))</f>
        <v>427790.47</v>
      </c>
      <c r="F102" s="1828">
        <f t="shared" si="3"/>
        <v>648278.01</v>
      </c>
    </row>
    <row r="103" spans="1:6" x14ac:dyDescent="0.25">
      <c r="A103" s="1825">
        <v>5105120002</v>
      </c>
      <c r="D103" s="1825" t="s">
        <v>718</v>
      </c>
      <c r="E103" s="1828">
        <f>ABS(IFERROR(VLOOKUP(A103,Trial!A:C,3,0),0))</f>
        <v>0</v>
      </c>
      <c r="F103" s="1828">
        <f t="shared" si="3"/>
        <v>223979.37</v>
      </c>
    </row>
    <row r="104" spans="1:6" x14ac:dyDescent="0.25">
      <c r="A104" s="1825">
        <v>5105120003</v>
      </c>
      <c r="B104" s="1826"/>
      <c r="C104" s="1826"/>
      <c r="D104" s="1827" t="str">
        <f>VLOOKUP(A104,Trial!A:B,2,0)</f>
        <v>Service fee for IPLC</v>
      </c>
      <c r="E104" s="1828">
        <f>ABS(IFERROR(VLOOKUP(A104,Trial!A:C,3,0),0))</f>
        <v>7308576.7300000004</v>
      </c>
      <c r="F104" s="1828">
        <f t="shared" si="3"/>
        <v>11587043.51</v>
      </c>
    </row>
    <row r="105" spans="1:6" x14ac:dyDescent="0.25">
      <c r="A105" s="1825">
        <v>5105119005</v>
      </c>
      <c r="B105" s="1826"/>
      <c r="C105" s="1826"/>
      <c r="D105" s="1827" t="str">
        <f>VLOOKUP(A105,Trial!A:B,2,0)</f>
        <v>Expense on Interconnect Settlement</v>
      </c>
      <c r="E105" s="1828">
        <f>ABS(IFERROR(VLOOKUP(A105,Trial!A:C,3,0),0))</f>
        <v>6828718.1600000001</v>
      </c>
      <c r="F105" s="1828">
        <f t="shared" si="3"/>
        <v>6672588.1200000001</v>
      </c>
    </row>
    <row r="106" spans="1:6" s="1841" customFormat="1" x14ac:dyDescent="0.25">
      <c r="A106" s="1825"/>
      <c r="B106" s="1826"/>
      <c r="C106" s="1823" t="s">
        <v>1660</v>
      </c>
      <c r="D106" s="1823" t="s">
        <v>1663</v>
      </c>
      <c r="E106" s="1850"/>
      <c r="F106" s="1850"/>
    </row>
    <row r="107" spans="1:6" ht="16.5" x14ac:dyDescent="0.25">
      <c r="A107" s="1825"/>
      <c r="B107" s="1837"/>
      <c r="C107" s="1837"/>
      <c r="D107" s="1846" t="s">
        <v>1151</v>
      </c>
      <c r="E107" s="1851">
        <f>SUM(E98:E105)</f>
        <v>15064958.380000001</v>
      </c>
      <c r="F107" s="1852">
        <f>SUM(F98:F105)</f>
        <v>20431186.82</v>
      </c>
    </row>
    <row r="108" spans="1:6" x14ac:dyDescent="0.25">
      <c r="A108" s="1825">
        <v>5103101003</v>
      </c>
      <c r="B108" s="1826"/>
      <c r="C108" s="1826"/>
      <c r="D108" s="1827" t="str">
        <f>VLOOKUP(A108,Trial!A:B,2,0)</f>
        <v>R&amp;M Power - AMC</v>
      </c>
      <c r="E108" s="1828">
        <f>ABS(IFERROR(VLOOKUP(A108,Trial!A:C,3,0),0))</f>
        <v>0</v>
      </c>
      <c r="F108" s="1828">
        <f t="shared" ref="F108:F113" si="4">ABS(IFERROR(VLOOKUP(A108,Trial_Balance,4,0),0))</f>
        <v>0</v>
      </c>
    </row>
    <row r="109" spans="1:6" x14ac:dyDescent="0.25">
      <c r="A109" s="1825">
        <v>5103101000</v>
      </c>
      <c r="B109" s="1826"/>
      <c r="C109" s="1826"/>
      <c r="D109" s="1827" t="str">
        <f>VLOOKUP(A109,Trial!A:B,2,0)</f>
        <v>R&amp;M Power - Service</v>
      </c>
      <c r="E109" s="1828">
        <f>ABS(IFERROR(VLOOKUP(A109,Trial!A:C,3,0),0))</f>
        <v>10125</v>
      </c>
      <c r="F109" s="1828">
        <f t="shared" si="4"/>
        <v>17318</v>
      </c>
    </row>
    <row r="110" spans="1:6" x14ac:dyDescent="0.25">
      <c r="A110" s="1825">
        <v>5103101004</v>
      </c>
      <c r="B110" s="1826"/>
      <c r="C110" s="1826"/>
      <c r="D110" s="1827" t="str">
        <f>VLOOKUP(A110,Trial!A:B,2,0)</f>
        <v>R&amp;M Generator Set - AMC</v>
      </c>
      <c r="E110" s="1828">
        <f>ABS(IFERROR(VLOOKUP(A110,Trial!A:C,3,0),0))</f>
        <v>0</v>
      </c>
      <c r="F110" s="1828">
        <f t="shared" si="4"/>
        <v>0</v>
      </c>
    </row>
    <row r="111" spans="1:6" x14ac:dyDescent="0.25">
      <c r="A111" s="1825">
        <v>5103101002</v>
      </c>
      <c r="B111" s="1826"/>
      <c r="C111" s="1826"/>
      <c r="D111" s="1827" t="str">
        <f>VLOOKUP(A111,Trial!A:B,2,0)</f>
        <v>R&amp;M Generator Set - Service</v>
      </c>
      <c r="E111" s="1828">
        <f>ABS(IFERROR(VLOOKUP(A111,Trial!A:C,3,0),0))</f>
        <v>0</v>
      </c>
      <c r="F111" s="1828">
        <f t="shared" si="4"/>
        <v>1945</v>
      </c>
    </row>
    <row r="112" spans="1:6" x14ac:dyDescent="0.25">
      <c r="A112" s="1825">
        <v>5103101001</v>
      </c>
      <c r="D112" s="1825" t="s">
        <v>671</v>
      </c>
      <c r="E112" s="1828">
        <f>ABS(IFERROR(VLOOKUP(A112,Trial!A:C,3,0),0))</f>
        <v>111788.82</v>
      </c>
      <c r="F112" s="1828">
        <f t="shared" si="4"/>
        <v>300217</v>
      </c>
    </row>
    <row r="113" spans="1:6" x14ac:dyDescent="0.25">
      <c r="A113" s="1825">
        <v>5105121000</v>
      </c>
      <c r="B113" s="1826"/>
      <c r="C113" s="1826"/>
      <c r="D113" s="1827" t="str">
        <f>VLOOKUP(A113,Trial!A:B,2,0)</f>
        <v>Electricity</v>
      </c>
      <c r="E113" s="1828">
        <f>ABS(IFERROR(VLOOKUP(A113,Trial!A:C,3,0),0))</f>
        <v>2389421.8199999998</v>
      </c>
      <c r="F113" s="1828">
        <f t="shared" si="4"/>
        <v>2833335.31</v>
      </c>
    </row>
    <row r="114" spans="1:6" ht="16.5" x14ac:dyDescent="0.25">
      <c r="A114" s="1825"/>
      <c r="B114" s="1837"/>
      <c r="C114" s="1837"/>
      <c r="D114" s="1846" t="s">
        <v>1152</v>
      </c>
      <c r="E114" s="1851">
        <f>SUM(E108:E113)</f>
        <v>2511335.6399999997</v>
      </c>
      <c r="F114" s="1852">
        <f>SUM(F108:F113)</f>
        <v>3152815.31</v>
      </c>
    </row>
    <row r="115" spans="1:6" x14ac:dyDescent="0.25">
      <c r="A115" s="1825">
        <v>5103103006</v>
      </c>
      <c r="B115" s="1826"/>
      <c r="C115" s="1826"/>
      <c r="D115" s="1827" t="str">
        <f>VLOOKUP(A115,Trial!A:B,2,0)</f>
        <v>R&amp;M Cables and Accessories - AMC</v>
      </c>
      <c r="E115" s="1828">
        <f>ABS(IFERROR(VLOOKUP(A115,Trial!A:C,3,0),0))</f>
        <v>0</v>
      </c>
      <c r="F115" s="1828">
        <f t="shared" ref="F115:F122" si="5">ABS(IFERROR(VLOOKUP(A115,Trial_Balance,4,0),0))</f>
        <v>0</v>
      </c>
    </row>
    <row r="116" spans="1:6" x14ac:dyDescent="0.25">
      <c r="A116" s="1825">
        <v>5103103004</v>
      </c>
      <c r="B116" s="1826"/>
      <c r="C116" s="1826"/>
      <c r="D116" s="1827" t="str">
        <f>VLOOKUP(A116,Trial!A:B,2,0)</f>
        <v>R&amp;M Cables and Accessories - Services</v>
      </c>
      <c r="E116" s="1828">
        <f>ABS(IFERROR(VLOOKUP(A116,Trial!A:C,3,0),0))</f>
        <v>21435</v>
      </c>
      <c r="F116" s="1828">
        <f t="shared" si="5"/>
        <v>22655</v>
      </c>
    </row>
    <row r="117" spans="1:6" x14ac:dyDescent="0.25">
      <c r="A117" s="1825">
        <v>5103102001</v>
      </c>
      <c r="B117" s="1826"/>
      <c r="C117" s="1826"/>
      <c r="D117" s="1827" t="str">
        <f>VLOOKUP(A117,Trial!A:B,2,0)</f>
        <v>R&amp;M Plant and Machinery - AMC</v>
      </c>
      <c r="E117" s="1828">
        <f>ABS(IFERROR(VLOOKUP(A117,Trial!A:C,3,0),0))</f>
        <v>3704521</v>
      </c>
      <c r="F117" s="1828">
        <f t="shared" si="5"/>
        <v>2741667</v>
      </c>
    </row>
    <row r="118" spans="1:6" x14ac:dyDescent="0.25">
      <c r="A118" s="1825">
        <v>5103102000</v>
      </c>
      <c r="B118" s="1826"/>
      <c r="C118" s="1826"/>
      <c r="D118" s="1827" t="str">
        <f>VLOOKUP(A118,Trial!A:B,2,0)</f>
        <v>R&amp;M Plant and Machinery - Service</v>
      </c>
      <c r="E118" s="1828">
        <f>ABS(IFERROR(VLOOKUP(A118,Trial!A:C,3,0),0))</f>
        <v>38607.199999999997</v>
      </c>
      <c r="F118" s="1828">
        <f t="shared" si="5"/>
        <v>5500</v>
      </c>
    </row>
    <row r="119" spans="1:6" x14ac:dyDescent="0.25">
      <c r="A119" s="1825">
        <v>5103103007</v>
      </c>
      <c r="B119" s="1826"/>
      <c r="C119" s="1826"/>
      <c r="D119" s="1827" t="str">
        <f>VLOOKUP(A119,Trial!A:B,2,0)</f>
        <v>R&amp;M Software Application - AMC</v>
      </c>
      <c r="E119" s="1828">
        <f>ABS(IFERROR(VLOOKUP(A119,Trial!A:C,3,0),0))</f>
        <v>0</v>
      </c>
      <c r="F119" s="1828">
        <f t="shared" si="5"/>
        <v>0</v>
      </c>
    </row>
    <row r="120" spans="1:6" x14ac:dyDescent="0.25">
      <c r="A120" s="1825">
        <v>5103103005</v>
      </c>
      <c r="B120" s="1826"/>
      <c r="C120" s="1826"/>
      <c r="D120" s="1827" t="str">
        <f>VLOOKUP(A120,Trial!A:B,2,0)</f>
        <v>R&amp;M Software Application - Services</v>
      </c>
      <c r="E120" s="1828">
        <f>ABS(IFERROR(VLOOKUP(A120,Trial!A:C,3,0),0))</f>
        <v>0</v>
      </c>
      <c r="F120" s="1828">
        <f t="shared" si="5"/>
        <v>0</v>
      </c>
    </row>
    <row r="121" spans="1:6" x14ac:dyDescent="0.25">
      <c r="A121" s="1825">
        <v>5102105000</v>
      </c>
      <c r="B121" s="1826"/>
      <c r="C121" s="1826"/>
      <c r="D121" s="1827" t="str">
        <f>VLOOKUP(A121,Trial!A:B,2,0)</f>
        <v>Consumables</v>
      </c>
      <c r="E121" s="1828">
        <f>ABS(IFERROR(VLOOKUP(A121,Trial!A:C,3,0),0))</f>
        <v>636197.89</v>
      </c>
      <c r="F121" s="1828">
        <f t="shared" si="5"/>
        <v>26460</v>
      </c>
    </row>
    <row r="122" spans="1:6" x14ac:dyDescent="0.25">
      <c r="A122" s="1825">
        <v>5102103000</v>
      </c>
      <c r="B122" s="1826"/>
      <c r="C122" s="1826"/>
      <c r="D122" s="1827" t="str">
        <f>VLOOKUP(A122,Trial!A:B,2,0)</f>
        <v>Consumption of Equipment Spares</v>
      </c>
      <c r="E122" s="1828">
        <f>ABS(IFERROR(VLOOKUP(A122,Trial!A:C,3,0),0))</f>
        <v>4473866.67</v>
      </c>
      <c r="F122" s="1828">
        <f t="shared" si="5"/>
        <v>5724339.2800000003</v>
      </c>
    </row>
    <row r="123" spans="1:6" ht="16.5" x14ac:dyDescent="0.25">
      <c r="A123" s="1825"/>
      <c r="B123" s="1837"/>
      <c r="C123" s="1837"/>
      <c r="D123" s="1853" t="s">
        <v>1150</v>
      </c>
      <c r="E123" s="1851">
        <f>SUM(E115:E122)</f>
        <v>8874627.7599999998</v>
      </c>
      <c r="F123" s="1852">
        <f>SUM(F115:F122)</f>
        <v>8520621.2800000012</v>
      </c>
    </row>
    <row r="124" spans="1:6" x14ac:dyDescent="0.25">
      <c r="A124" s="1825">
        <v>5105107001</v>
      </c>
      <c r="B124" s="1826"/>
      <c r="C124" s="1826"/>
      <c r="D124" s="1827" t="str">
        <f>VLOOKUP(A124,Trial!A:B,2,0)</f>
        <v>Fees and Subscriptions - International</v>
      </c>
      <c r="E124" s="1828">
        <f>ABS(IFERROR(VLOOKUP(A124,Trial!A:C,3,0),0))</f>
        <v>0</v>
      </c>
      <c r="F124" s="1828">
        <f>ABS(IFERROR(VLOOKUP(A124,Trial_Balance,4,0),0))</f>
        <v>329114.2</v>
      </c>
    </row>
    <row r="125" spans="1:6" x14ac:dyDescent="0.25">
      <c r="A125" s="1825">
        <v>5105107000</v>
      </c>
      <c r="B125" s="1825"/>
      <c r="C125" s="1825"/>
      <c r="D125" s="1827" t="str">
        <f>VLOOKUP(A125,Trial!A:B,2,0)</f>
        <v>Fees and Subscriptions - National</v>
      </c>
      <c r="E125" s="1828">
        <f>ABS(IFERROR(VLOOKUP(A125,Trial!A:C,3,0),0))</f>
        <v>4500</v>
      </c>
      <c r="F125" s="1828">
        <f>ABS(IFERROR(VLOOKUP(A125,Trial_Balance,4,0),0))</f>
        <v>651070</v>
      </c>
    </row>
    <row r="126" spans="1:6" s="1810" customFormat="1" x14ac:dyDescent="0.25">
      <c r="A126" s="1825">
        <v>5105114000</v>
      </c>
      <c r="B126" s="1826"/>
      <c r="C126" s="1826"/>
      <c r="D126" s="1827" t="str">
        <f>VLOOKUP(A126,Trial!A:B,2,0)</f>
        <v>Rent</v>
      </c>
      <c r="E126" s="1828">
        <f>ABS(IFERROR(VLOOKUP(A126,Trial!A:C,3,0),0))</f>
        <v>705338.8</v>
      </c>
      <c r="F126" s="1828">
        <f>ABS(IFERROR(VLOOKUP(A126,Trial_Balance,4,0),0))</f>
        <v>719405.89</v>
      </c>
    </row>
    <row r="127" spans="1:6" s="1810" customFormat="1" ht="16.5" x14ac:dyDescent="0.25">
      <c r="A127" s="1825"/>
      <c r="B127" s="1837"/>
      <c r="C127" s="1837"/>
      <c r="D127" s="1846" t="s">
        <v>1153</v>
      </c>
      <c r="E127" s="1851">
        <f>SUM(E124:E126)</f>
        <v>709838.8</v>
      </c>
      <c r="F127" s="1852">
        <f>SUM(F124:F126)</f>
        <v>1699590.0899999999</v>
      </c>
    </row>
    <row r="128" spans="1:6" s="1810" customFormat="1" x14ac:dyDescent="0.25">
      <c r="A128" s="1825"/>
      <c r="B128" s="1854"/>
      <c r="C128" s="1854"/>
      <c r="D128" s="1846"/>
      <c r="E128" s="928">
        <f>SUM(E127,E123,E114,E107)</f>
        <v>27160760.579999998</v>
      </c>
      <c r="F128" s="928">
        <f>SUM(F127,F123,F114,F107)</f>
        <v>33804213.5</v>
      </c>
    </row>
    <row r="129" spans="1:6" ht="16.5" x14ac:dyDescent="0.25">
      <c r="A129" s="1825"/>
      <c r="B129" s="1837"/>
      <c r="C129" s="1837"/>
      <c r="D129" s="1846"/>
      <c r="E129" s="926"/>
      <c r="F129" s="926"/>
    </row>
    <row r="130" spans="1:6" ht="30" x14ac:dyDescent="0.25">
      <c r="A130" s="1825"/>
      <c r="B130" s="1837"/>
      <c r="C130" s="1837"/>
      <c r="D130" s="1855" t="str">
        <f>D97</f>
        <v>Particulars</v>
      </c>
      <c r="E130" s="1856" t="str">
        <f>E97</f>
        <v>As at 31st January, 2019</v>
      </c>
      <c r="F130" s="1856" t="str">
        <f>F97</f>
        <v>As at 31st January, 2018</v>
      </c>
    </row>
    <row r="131" spans="1:6" ht="31.5" x14ac:dyDescent="0.25">
      <c r="A131" s="1825"/>
      <c r="B131" s="1837"/>
      <c r="C131" s="1697" t="str">
        <f>+C95</f>
        <v>Particulars</v>
      </c>
      <c r="D131" s="1697"/>
      <c r="E131" s="1069" t="str">
        <f>+E95</f>
        <v>As at 31st January, 2019</v>
      </c>
      <c r="F131" s="1069" t="str">
        <f>+F95</f>
        <v>As at 31st January, 2018</v>
      </c>
    </row>
    <row r="132" spans="1:6" s="1841" customFormat="1" ht="16.5" x14ac:dyDescent="0.25">
      <c r="A132" s="1825"/>
      <c r="B132" s="1837"/>
      <c r="C132" s="1823" t="s">
        <v>1661</v>
      </c>
      <c r="D132" s="1857" t="s">
        <v>1662</v>
      </c>
      <c r="E132" s="1822"/>
      <c r="F132" s="1822"/>
    </row>
    <row r="133" spans="1:6" ht="16.5" x14ac:dyDescent="0.25">
      <c r="A133" s="1825"/>
      <c r="B133" s="1837"/>
      <c r="C133" s="1837"/>
      <c r="D133" s="1846" t="s">
        <v>1137</v>
      </c>
      <c r="E133" s="1858">
        <f>+SUM(E134:E135)</f>
        <v>3516156.6500000004</v>
      </c>
      <c r="F133" s="1858">
        <f>+SUM(F134:F135)</f>
        <v>2043427</v>
      </c>
    </row>
    <row r="134" spans="1:6" x14ac:dyDescent="0.25">
      <c r="A134" s="1825">
        <v>5102108000</v>
      </c>
      <c r="B134" s="1826"/>
      <c r="C134" s="1826"/>
      <c r="D134" s="1827" t="str">
        <f>VLOOKUP(A134,Trial!A:B,2,0)</f>
        <v>Consumption of Trading Goods</v>
      </c>
      <c r="E134" s="1828">
        <f>ABS(IFERROR(VLOOKUP(A134,Trial!A:C,3,0),0))</f>
        <v>1499457.79</v>
      </c>
      <c r="F134" s="1828">
        <f>ABS(IFERROR(VLOOKUP(A134,Trial_Balance,4,0),0))</f>
        <v>69857.7</v>
      </c>
    </row>
    <row r="135" spans="1:6" x14ac:dyDescent="0.25">
      <c r="A135" s="1825">
        <v>5102109000</v>
      </c>
      <c r="B135" s="1826"/>
      <c r="C135" s="1826"/>
      <c r="D135" s="1827" t="str">
        <f>VLOOKUP(A135,Trial!A:B,2,0)</f>
        <v>COGS of Trading Goods</v>
      </c>
      <c r="E135" s="1828">
        <f>ABS(IFERROR(VLOOKUP(A135,Trial!A:C,3,0),0))</f>
        <v>2016698.86</v>
      </c>
      <c r="F135" s="1828">
        <f>ABS(IFERROR(VLOOKUP(A135,Trial_Balance,4,0),0))</f>
        <v>1973569.3</v>
      </c>
    </row>
    <row r="136" spans="1:6" ht="16.5" x14ac:dyDescent="0.3">
      <c r="B136" s="1837"/>
      <c r="C136" s="1837"/>
      <c r="D136" s="1811" t="s">
        <v>127</v>
      </c>
      <c r="E136" s="1586">
        <f>SUM(E134:E135)</f>
        <v>3516156.6500000004</v>
      </c>
      <c r="F136" s="1859">
        <f>SUM(F134:F135)</f>
        <v>2043427</v>
      </c>
    </row>
    <row r="137" spans="1:6" ht="15.75" customHeight="1" x14ac:dyDescent="0.3">
      <c r="B137" s="1837"/>
      <c r="C137" s="1837"/>
      <c r="D137" s="1860" t="s">
        <v>127</v>
      </c>
      <c r="E137" s="1081"/>
      <c r="F137" s="1081"/>
    </row>
    <row r="138" spans="1:6" s="231" customFormat="1" ht="30" hidden="1" x14ac:dyDescent="0.25">
      <c r="A138" s="234"/>
      <c r="B138" s="819"/>
      <c r="C138" s="819"/>
      <c r="D138" s="1808" t="str">
        <f>D130</f>
        <v>Particulars</v>
      </c>
      <c r="E138" s="1809" t="str">
        <f>E130</f>
        <v>As at 31st January, 2019</v>
      </c>
      <c r="F138" s="1809" t="str">
        <f>F130</f>
        <v>As at 31st January, 2018</v>
      </c>
    </row>
    <row r="139" spans="1:6" s="231" customFormat="1" hidden="1" x14ac:dyDescent="0.25">
      <c r="A139" s="234">
        <v>5104101000</v>
      </c>
      <c r="B139" s="235"/>
      <c r="C139" s="235"/>
      <c r="D139" s="233" t="str">
        <f>VLOOKUP(A139,Trial!A:B,2,0)</f>
        <v>Basic Pay</v>
      </c>
      <c r="E139" s="230">
        <f>ABS(IFERROR(VLOOKUP(A139,Trial!A:C,3,0),0))</f>
        <v>12509142.470000001</v>
      </c>
      <c r="F139" s="230">
        <f>ABS(IFERROR(VLOOKUP(A139,Trial_Balance,4,0),0))</f>
        <v>10972060.300000001</v>
      </c>
    </row>
    <row r="140" spans="1:6" s="231" customFormat="1" hidden="1" x14ac:dyDescent="0.25">
      <c r="A140" s="234">
        <v>5104101001</v>
      </c>
      <c r="B140" s="235"/>
      <c r="C140" s="235"/>
      <c r="D140" s="233" t="s">
        <v>656</v>
      </c>
      <c r="E140" s="230">
        <f>ABS(IFERROR(VLOOKUP(A140,Trial!A:C,3,0),0))</f>
        <v>0</v>
      </c>
      <c r="F140" s="230">
        <f t="shared" ref="F140:F144" si="6">ABS(IFERROR(VLOOKUP(A140,Trial_Balance,4,0),0))</f>
        <v>1000</v>
      </c>
    </row>
    <row r="141" spans="1:6" s="231" customFormat="1" hidden="1" x14ac:dyDescent="0.25">
      <c r="A141" s="234">
        <v>5104102000</v>
      </c>
      <c r="B141" s="235"/>
      <c r="C141" s="235"/>
      <c r="D141" s="233" t="str">
        <f>VLOOKUP(A141,Trial!A:B,2,0)</f>
        <v>Allowances</v>
      </c>
      <c r="E141" s="230">
        <f>ABS(IFERROR(VLOOKUP(A141,Trial!A:C,3,0),0))</f>
        <v>3342089.66</v>
      </c>
      <c r="F141" s="230">
        <f t="shared" si="6"/>
        <v>3362325.07</v>
      </c>
    </row>
    <row r="142" spans="1:6" s="231" customFormat="1" hidden="1" x14ac:dyDescent="0.25">
      <c r="A142" s="234">
        <v>5104103000</v>
      </c>
      <c r="B142" s="235"/>
      <c r="C142" s="235"/>
      <c r="D142" s="233" t="str">
        <f>VLOOKUP(A142,Trial!A:B,2,0)</f>
        <v>Leave Travel Concession</v>
      </c>
      <c r="E142" s="230">
        <f>ABS(IFERROR(VLOOKUP(A142,Trial!A:C,3,0),0))</f>
        <v>0</v>
      </c>
      <c r="F142" s="230">
        <f t="shared" si="6"/>
        <v>0</v>
      </c>
    </row>
    <row r="143" spans="1:6" s="231" customFormat="1" hidden="1" x14ac:dyDescent="0.25">
      <c r="A143" s="234">
        <v>5104203000</v>
      </c>
      <c r="B143" s="235"/>
      <c r="C143" s="235"/>
      <c r="D143" s="233" t="str">
        <f>VLOOKUP(A143,Trial!A:B,2,0)</f>
        <v>Leave Encashment</v>
      </c>
      <c r="E143" s="230">
        <f>ABS(IFERROR(VLOOKUP(A143,Trial!A:C,3,0),0))</f>
        <v>2848087</v>
      </c>
      <c r="F143" s="230">
        <f t="shared" si="6"/>
        <v>1833206</v>
      </c>
    </row>
    <row r="144" spans="1:6" s="231" customFormat="1" hidden="1" x14ac:dyDescent="0.25">
      <c r="A144" s="234">
        <v>5104104000</v>
      </c>
      <c r="B144" s="235"/>
      <c r="C144" s="235"/>
      <c r="D144" s="233" t="str">
        <f>VLOOKUP(A144,Trial!A:B,2,0)</f>
        <v>Bonus</v>
      </c>
      <c r="E144" s="230">
        <f>ABS(IFERROR(VLOOKUP(A144,Trial!A:C,3,0),0))</f>
        <v>0</v>
      </c>
      <c r="F144" s="230">
        <f t="shared" si="6"/>
        <v>0</v>
      </c>
    </row>
    <row r="145" spans="1:6" ht="31.5" x14ac:dyDescent="0.25">
      <c r="A145" s="1825"/>
      <c r="B145" s="1826"/>
      <c r="C145" s="1697" t="str">
        <f>+C131</f>
        <v>Particulars</v>
      </c>
      <c r="D145" s="1697"/>
      <c r="E145" s="1069" t="str">
        <f>+E131</f>
        <v>As at 31st January, 2019</v>
      </c>
      <c r="F145" s="1069" t="str">
        <f>+F131</f>
        <v>As at 31st January, 2018</v>
      </c>
    </row>
    <row r="146" spans="1:6" s="1841" customFormat="1" x14ac:dyDescent="0.25">
      <c r="A146" s="1825"/>
      <c r="B146" s="1826"/>
      <c r="C146" s="1823" t="s">
        <v>1665</v>
      </c>
      <c r="D146" s="1823" t="s">
        <v>1664</v>
      </c>
      <c r="E146" s="1822"/>
      <c r="F146" s="1822"/>
    </row>
    <row r="147" spans="1:6" ht="16.5" x14ac:dyDescent="0.25">
      <c r="A147" s="1825"/>
      <c r="B147" s="1837"/>
      <c r="C147" s="1837"/>
      <c r="D147" s="1846" t="s">
        <v>1154</v>
      </c>
      <c r="E147" s="1851">
        <f>SUM(E139:E144)</f>
        <v>18699319.130000003</v>
      </c>
      <c r="F147" s="1852">
        <f>SUM(F139:F144)</f>
        <v>16168591.370000001</v>
      </c>
    </row>
    <row r="148" spans="1:6" ht="16.5" x14ac:dyDescent="0.25">
      <c r="A148" s="1825">
        <v>5104204000</v>
      </c>
      <c r="B148" s="1837"/>
      <c r="C148" s="1837"/>
      <c r="D148" s="1846" t="str">
        <f>VLOOKUP(A148,Trial!A:B,2,0)</f>
        <v>Provident Fund Contribution</v>
      </c>
      <c r="E148" s="926">
        <f>ABS(IFERROR(VLOOKUP(A148,Trial!A:C,3,0),0))</f>
        <v>1331327</v>
      </c>
      <c r="F148" s="926">
        <f t="shared" ref="F148:F153" si="7">ABS(IFERROR(VLOOKUP(A148,Trial_Balance,4,0),0))</f>
        <v>1339770</v>
      </c>
    </row>
    <row r="149" spans="1:6" ht="16.5" x14ac:dyDescent="0.25">
      <c r="A149" s="1825">
        <v>5104205000</v>
      </c>
      <c r="B149" s="1837"/>
      <c r="C149" s="1837"/>
      <c r="D149" s="1846" t="s">
        <v>1639</v>
      </c>
      <c r="E149" s="926">
        <f>ABS(IFERROR(VLOOKUP(A149,Trial!A:C,3,0),0))</f>
        <v>0</v>
      </c>
      <c r="F149" s="926">
        <f t="shared" si="7"/>
        <v>0</v>
      </c>
    </row>
    <row r="150" spans="1:6" x14ac:dyDescent="0.25">
      <c r="A150" s="1825">
        <v>5104105000</v>
      </c>
      <c r="B150" s="1826"/>
      <c r="C150" s="1826"/>
      <c r="D150" s="1827" t="str">
        <f>VLOOKUP(A150,Trial!A:B,2,0)</f>
        <v>Medical Expenses</v>
      </c>
      <c r="E150" s="1828">
        <f>ABS(IFERROR(VLOOKUP(A150,Trial!A:C,3,0),0))</f>
        <v>0</v>
      </c>
      <c r="F150" s="1828">
        <f t="shared" si="7"/>
        <v>0</v>
      </c>
    </row>
    <row r="151" spans="1:6" x14ac:dyDescent="0.25">
      <c r="A151" s="1825">
        <v>5104106000</v>
      </c>
      <c r="B151" s="1826"/>
      <c r="C151" s="1826"/>
      <c r="D151" s="1827" t="str">
        <f>VLOOKUP(A151,Trial!A:B,2,0)</f>
        <v>Uniform and Livery Expenses</v>
      </c>
      <c r="E151" s="1828">
        <f>ABS(IFERROR(VLOOKUP(A151,Trial!A:C,3,0),0))</f>
        <v>38590</v>
      </c>
      <c r="F151" s="1828">
        <f t="shared" si="7"/>
        <v>106337</v>
      </c>
    </row>
    <row r="152" spans="1:6" x14ac:dyDescent="0.25">
      <c r="A152" s="1825">
        <v>5104106001</v>
      </c>
      <c r="B152" s="1826"/>
      <c r="C152" s="1826"/>
      <c r="D152" s="1827" t="str">
        <f>VLOOKUP(A152,Trial!A:B,2,0)</f>
        <v>Staff Welfare Expenses</v>
      </c>
      <c r="E152" s="1828">
        <f>ABS(IFERROR(VLOOKUP(A152,Trial!A:C,3,0),0))</f>
        <v>57190</v>
      </c>
      <c r="F152" s="1828">
        <f t="shared" si="7"/>
        <v>0</v>
      </c>
    </row>
    <row r="153" spans="1:6" x14ac:dyDescent="0.25">
      <c r="A153" s="1825">
        <v>5104202000</v>
      </c>
      <c r="B153" s="1826"/>
      <c r="C153" s="1826"/>
      <c r="D153" s="1827" t="str">
        <f>VLOOKUP(A153,Trial!A:B,2,0)</f>
        <v>Pilgrimage Expenses</v>
      </c>
      <c r="E153" s="1828">
        <f>ABS(IFERROR(VLOOKUP(A153,Trial!A:C,3,0),0))</f>
        <v>0</v>
      </c>
      <c r="F153" s="1828">
        <f t="shared" si="7"/>
        <v>0</v>
      </c>
    </row>
    <row r="154" spans="1:6" ht="16.5" x14ac:dyDescent="0.25">
      <c r="A154" s="1825"/>
      <c r="B154" s="1837"/>
      <c r="C154" s="1837"/>
      <c r="D154" s="1846" t="s">
        <v>1155</v>
      </c>
      <c r="E154" s="1851">
        <f>SUM(E150:E153)</f>
        <v>95780</v>
      </c>
      <c r="F154" s="1852">
        <f>SUM(F150:F153)</f>
        <v>106337</v>
      </c>
    </row>
    <row r="155" spans="1:6" x14ac:dyDescent="0.25">
      <c r="A155" s="1825">
        <v>5104108000</v>
      </c>
      <c r="B155" s="1826"/>
      <c r="C155" s="1826"/>
      <c r="D155" s="1827" t="str">
        <f>VLOOKUP(A155,Trial!A:B,2,0)</f>
        <v>Training - In Country</v>
      </c>
      <c r="E155" s="1828">
        <f>ABS(IFERROR(VLOOKUP(A155,Trial!A:C,3,0),0))</f>
        <v>168660</v>
      </c>
      <c r="F155" s="1828">
        <f>ABS(IFERROR(VLOOKUP(A155,Trial_Balance,4,0),0))</f>
        <v>0</v>
      </c>
    </row>
    <row r="156" spans="1:6" x14ac:dyDescent="0.25">
      <c r="A156" s="1825">
        <v>5104108001</v>
      </c>
      <c r="B156" s="1826"/>
      <c r="C156" s="1826"/>
      <c r="D156" s="1827" t="str">
        <f>VLOOKUP(A156,Trial!A:B,2,0)</f>
        <v>Training - Ex Country</v>
      </c>
      <c r="E156" s="1828">
        <f>ABS(IFERROR(VLOOKUP(A156,Trial!A:C,3,0),0))</f>
        <v>0</v>
      </c>
      <c r="F156" s="1828">
        <f>ABS(IFERROR(VLOOKUP(A156,Trial_Balance,4,0),0))</f>
        <v>108408</v>
      </c>
    </row>
    <row r="157" spans="1:6" x14ac:dyDescent="0.25">
      <c r="A157" s="1825">
        <v>5104108002</v>
      </c>
      <c r="B157" s="1826"/>
      <c r="C157" s="1826"/>
      <c r="D157" s="1827" t="str">
        <f>VLOOKUP(A157,Trial!A:B,2,0)</f>
        <v>Meeting and Seminar</v>
      </c>
      <c r="E157" s="1828">
        <f>ABS(IFERROR(VLOOKUP(A157,Trial!A:C,3,0),0))</f>
        <v>126931</v>
      </c>
      <c r="F157" s="1828">
        <f>ABS(IFERROR(VLOOKUP(A157,Trial_Balance,4,0),0))</f>
        <v>208528</v>
      </c>
    </row>
    <row r="158" spans="1:6" x14ac:dyDescent="0.25">
      <c r="A158" s="1825">
        <v>5104108006</v>
      </c>
      <c r="B158" s="1826"/>
      <c r="C158" s="1826"/>
      <c r="D158" s="1827" t="str">
        <f>VLOOKUP(A158,Trial!A:B,2,0)</f>
        <v>BT Day &amp; Development Program Expense</v>
      </c>
      <c r="E158" s="1828">
        <f>ABS(IFERROR(VLOOKUP(A158,Trial!A:C,3,0),0))</f>
        <v>0</v>
      </c>
      <c r="F158" s="1828">
        <f>ABS(IFERROR(VLOOKUP(A158,Trial_Balance,4,0),0))</f>
        <v>1080</v>
      </c>
    </row>
    <row r="159" spans="1:6" x14ac:dyDescent="0.25">
      <c r="A159" s="1825">
        <v>5104108005</v>
      </c>
      <c r="B159" s="1826"/>
      <c r="C159" s="1826"/>
      <c r="D159" s="1827" t="str">
        <f>VLOOKUP(A159,Trial!A:B,2,0)</f>
        <v>Transfer Grant Expenses</v>
      </c>
      <c r="E159" s="1828">
        <f>ABS(IFERROR(VLOOKUP(A159,Trial!A:C,3,0),0))</f>
        <v>499293.36</v>
      </c>
      <c r="F159" s="1828">
        <f>ABS(IFERROR(VLOOKUP(A159,Trial_Balance,4,0),0))</f>
        <v>711159.98</v>
      </c>
    </row>
    <row r="160" spans="1:6" ht="16.5" x14ac:dyDescent="0.3">
      <c r="B160" s="1811"/>
      <c r="C160" s="1811"/>
      <c r="D160" s="1846" t="s">
        <v>1640</v>
      </c>
      <c r="E160" s="1851">
        <f>SUM(E155:E159)</f>
        <v>794884.36</v>
      </c>
      <c r="F160" s="1852">
        <f>SUM(F155:F159)</f>
        <v>1029175.98</v>
      </c>
    </row>
    <row r="161" spans="1:7" ht="16.5" x14ac:dyDescent="0.25">
      <c r="A161" s="1825"/>
      <c r="B161" s="1837"/>
      <c r="C161" s="1837"/>
      <c r="D161" s="1861"/>
      <c r="E161" s="1862">
        <f>SUM(E160+E154+E149+E148+E147)</f>
        <v>20921310.490000002</v>
      </c>
      <c r="F161" s="1584">
        <f>SUM(F160+F154+F149+F148+F147)</f>
        <v>18643874.350000001</v>
      </c>
      <c r="G161" s="1813">
        <v>328428074.67999995</v>
      </c>
    </row>
    <row r="162" spans="1:7" ht="16.5" x14ac:dyDescent="0.25">
      <c r="A162" s="1825"/>
      <c r="B162" s="1837"/>
      <c r="C162" s="1837"/>
      <c r="D162" s="1846" t="s">
        <v>1641</v>
      </c>
      <c r="E162" s="928"/>
      <c r="F162" s="928"/>
    </row>
    <row r="163" spans="1:7" ht="16.5" x14ac:dyDescent="0.25">
      <c r="A163" s="1825"/>
      <c r="B163" s="1837"/>
      <c r="C163" s="1837"/>
      <c r="D163" s="1861"/>
      <c r="E163" s="1863"/>
      <c r="F163" s="1863"/>
    </row>
    <row r="164" spans="1:7" x14ac:dyDescent="0.25">
      <c r="A164" s="1825"/>
      <c r="C164" s="1864"/>
      <c r="D164" s="1823"/>
      <c r="E164" s="1081"/>
      <c r="F164" s="1081"/>
    </row>
    <row r="165" spans="1:7" ht="30" x14ac:dyDescent="0.25">
      <c r="A165" s="1825"/>
      <c r="B165" s="1837"/>
      <c r="C165" s="1837"/>
      <c r="D165" s="1848" t="str">
        <f>D138</f>
        <v>Particulars</v>
      </c>
      <c r="E165" s="1849" t="str">
        <f>E138</f>
        <v>As at 31st January, 2019</v>
      </c>
      <c r="F165" s="1849" t="str">
        <f>F138</f>
        <v>As at 31st January, 2018</v>
      </c>
    </row>
    <row r="166" spans="1:7" ht="31.5" x14ac:dyDescent="0.25">
      <c r="A166" s="1825"/>
      <c r="B166" s="1837"/>
      <c r="C166" s="1697" t="str">
        <f>+C145</f>
        <v>Particulars</v>
      </c>
      <c r="D166" s="1697"/>
      <c r="E166" s="1069" t="str">
        <f>+E145</f>
        <v>As at 31st January, 2019</v>
      </c>
      <c r="F166" s="1069" t="str">
        <f>+F145</f>
        <v>As at 31st January, 2018</v>
      </c>
    </row>
    <row r="167" spans="1:7" s="1841" customFormat="1" ht="16.5" x14ac:dyDescent="0.25">
      <c r="A167" s="1825"/>
      <c r="B167" s="1837"/>
      <c r="C167" s="1823" t="s">
        <v>1667</v>
      </c>
      <c r="D167" s="1823" t="s">
        <v>1666</v>
      </c>
      <c r="E167" s="1822"/>
      <c r="F167" s="1822"/>
    </row>
    <row r="168" spans="1:7" s="1810" customFormat="1" x14ac:dyDescent="0.25">
      <c r="A168" s="1825">
        <v>5105101000</v>
      </c>
      <c r="B168" s="1854"/>
      <c r="C168" s="1854"/>
      <c r="D168" s="1846" t="s">
        <v>683</v>
      </c>
      <c r="E168" s="926">
        <f>ABS(IFERROR(VLOOKUP(A168,Trial!A:C,3,0),0))</f>
        <v>17400</v>
      </c>
      <c r="F168" s="926">
        <f>ABS(IFERROR(VLOOKUP(A168,Trial_Balance,4,0),0))</f>
        <v>30000</v>
      </c>
    </row>
    <row r="169" spans="1:7" x14ac:dyDescent="0.25">
      <c r="A169" s="1825">
        <v>5105101001</v>
      </c>
      <c r="B169" s="1826"/>
      <c r="C169" s="1826"/>
      <c r="D169" s="1827" t="str">
        <f>VLOOKUP(A169,Trial!A:B,2,0)</f>
        <v>Discount Allowed</v>
      </c>
      <c r="E169" s="1828">
        <f>ABS(IFERROR(VLOOKUP(A169,Trial!A:C,3,0),0))</f>
        <v>3000</v>
      </c>
      <c r="F169" s="1828">
        <f>ABS(IFERROR(VLOOKUP(A169,Trial_Balance,4,0),0))</f>
        <v>136681.5</v>
      </c>
    </row>
    <row r="170" spans="1:7" ht="16.5" x14ac:dyDescent="0.25">
      <c r="A170" s="1825">
        <v>5105109000</v>
      </c>
      <c r="B170" s="1837"/>
      <c r="C170" s="1837"/>
      <c r="D170" s="1846" t="str">
        <f>VLOOKUP(A170,Trial!A:B,2,0)</f>
        <v>Advertisement</v>
      </c>
      <c r="E170" s="926">
        <f>ABS(IFERROR(VLOOKUP(A170,Trial!A:C,3,0),0))</f>
        <v>29973</v>
      </c>
      <c r="F170" s="926">
        <f>ABS(IFERROR(VLOOKUP(A170,Trial_Balance,4,0),0))</f>
        <v>46020</v>
      </c>
    </row>
    <row r="171" spans="1:7" ht="16.5" x14ac:dyDescent="0.25">
      <c r="A171" s="1825">
        <v>5105120000</v>
      </c>
      <c r="B171" s="1837"/>
      <c r="C171" s="1837"/>
      <c r="D171" s="1846" t="str">
        <f>VLOOKUP(A171,Trial!A:B,2,0)</f>
        <v>Commission</v>
      </c>
      <c r="E171" s="926">
        <f>ABS(IFERROR(VLOOKUP(A171,Trial!A:C,3,0),0))</f>
        <v>14507686.970000001</v>
      </c>
      <c r="F171" s="926">
        <f>ABS(IFERROR(VLOOKUP(A171,Trial_Balance,4,0),0))</f>
        <v>12967014.09</v>
      </c>
    </row>
    <row r="172" spans="1:7" s="1810" customFormat="1" x14ac:dyDescent="0.25">
      <c r="A172" s="1825">
        <v>5105104001</v>
      </c>
      <c r="B172" s="1825"/>
      <c r="C172" s="1825"/>
      <c r="D172" s="1827" t="str">
        <f>VLOOKUP(A172,Trial!A:B,2,0)</f>
        <v>Brand &amp; Management Fees</v>
      </c>
      <c r="E172" s="1828">
        <f>ABS(IFERROR(VLOOKUP(A172,Trial!A:C,3,0),0))</f>
        <v>0</v>
      </c>
      <c r="F172" s="1828">
        <f>ABS(IFERROR(VLOOKUP(A172,Trial_Balance,4,0),0))</f>
        <v>0</v>
      </c>
    </row>
    <row r="173" spans="1:7" ht="16.5" x14ac:dyDescent="0.25">
      <c r="A173" s="1825"/>
      <c r="B173" s="1837"/>
      <c r="C173" s="1837"/>
      <c r="D173" s="1846" t="s">
        <v>1131</v>
      </c>
      <c r="E173" s="926">
        <f>E172</f>
        <v>0</v>
      </c>
      <c r="F173" s="926">
        <f>F172</f>
        <v>0</v>
      </c>
    </row>
    <row r="174" spans="1:7" x14ac:dyDescent="0.25">
      <c r="A174" s="1825"/>
      <c r="B174" s="1580"/>
      <c r="C174" s="1580"/>
      <c r="D174" s="1865"/>
      <c r="E174" s="1585">
        <f>SUM(E173+E171+E170+E169+E168)</f>
        <v>14558059.970000001</v>
      </c>
      <c r="F174" s="1585">
        <f>SUM(F173+F171+F170+F169+F168)</f>
        <v>13179715.59</v>
      </c>
    </row>
    <row r="175" spans="1:7" x14ac:dyDescent="0.25">
      <c r="A175" s="1825"/>
      <c r="B175" s="1580"/>
      <c r="C175" s="1580"/>
      <c r="D175" s="1865"/>
      <c r="E175" s="1866"/>
      <c r="F175" s="1866"/>
    </row>
    <row r="176" spans="1:7" ht="30" x14ac:dyDescent="0.25">
      <c r="A176" s="1825"/>
      <c r="B176" s="1837"/>
      <c r="C176" s="1837"/>
      <c r="D176" s="1848" t="str">
        <f>D201</f>
        <v>Particulars</v>
      </c>
      <c r="E176" s="1849" t="str">
        <f>E201</f>
        <v>As at 31st January, 2019</v>
      </c>
      <c r="F176" s="1849" t="str">
        <f>F201</f>
        <v>As at 31st January, 2018</v>
      </c>
    </row>
    <row r="177" spans="1:6" x14ac:dyDescent="0.25">
      <c r="A177" s="1825">
        <v>5107101000</v>
      </c>
      <c r="B177" s="1826"/>
      <c r="C177" s="1826"/>
      <c r="D177" s="1827" t="str">
        <f>VLOOKUP(A177,Trial!A:B,2,0)</f>
        <v>Depreciation - Building</v>
      </c>
      <c r="E177" s="1828">
        <f>ABS(IFERROR(VLOOKUP(A177,Trial!A:C,3,0),0))</f>
        <v>0</v>
      </c>
      <c r="F177" s="1828">
        <f t="shared" ref="F177:F185" si="8">ABS(IFERROR(VLOOKUP(A177,Trial_Balance,4,0),0))</f>
        <v>2170969</v>
      </c>
    </row>
    <row r="178" spans="1:6" x14ac:dyDescent="0.25">
      <c r="A178" s="1825">
        <v>5107102000</v>
      </c>
      <c r="B178" s="1826"/>
      <c r="C178" s="1826"/>
      <c r="D178" s="1827" t="str">
        <f>VLOOKUP(A178,Trial!A:B,2,0)</f>
        <v>Depreciation - Tele Equipment</v>
      </c>
      <c r="E178" s="1828">
        <f>ABS(IFERROR(VLOOKUP(A178,Trial!A:C,3,0),0))</f>
        <v>0</v>
      </c>
      <c r="F178" s="1828">
        <f t="shared" si="8"/>
        <v>30651920</v>
      </c>
    </row>
    <row r="179" spans="1:6" x14ac:dyDescent="0.25">
      <c r="A179" s="1825">
        <v>5107103000</v>
      </c>
      <c r="B179" s="1826"/>
      <c r="C179" s="1826"/>
      <c r="D179" s="1827" t="str">
        <f>VLOOKUP(A179,Trial!A:B,2,0)</f>
        <v>Depreciation - Office Equipment</v>
      </c>
      <c r="E179" s="1828">
        <f>ABS(IFERROR(VLOOKUP(A179,Trial!A:C,3,0),0))</f>
        <v>0</v>
      </c>
      <c r="F179" s="1828">
        <f t="shared" si="8"/>
        <v>755763</v>
      </c>
    </row>
    <row r="180" spans="1:6" x14ac:dyDescent="0.25">
      <c r="A180" s="1825">
        <v>5107103001</v>
      </c>
      <c r="B180" s="1826"/>
      <c r="C180" s="1826"/>
      <c r="D180" s="1827" t="str">
        <f>VLOOKUP(A180,Trial!A:B,2,0)</f>
        <v>Depreciation - Furniture and Fixtures</v>
      </c>
      <c r="E180" s="1828">
        <f>ABS(IFERROR(VLOOKUP(A180,Trial!A:C,3,0),0))</f>
        <v>0</v>
      </c>
      <c r="F180" s="1828">
        <f t="shared" si="8"/>
        <v>128803</v>
      </c>
    </row>
    <row r="181" spans="1:6" x14ac:dyDescent="0.25">
      <c r="A181" s="1825">
        <v>5107104000</v>
      </c>
      <c r="B181" s="1826"/>
      <c r="C181" s="1826"/>
      <c r="D181" s="1827" t="str">
        <f>VLOOKUP(A181,Trial!A:B,2,0)</f>
        <v>Depreciation - Power System</v>
      </c>
      <c r="E181" s="1828">
        <f>ABS(IFERROR(VLOOKUP(A181,Trial!A:C,3,0),0))</f>
        <v>0</v>
      </c>
      <c r="F181" s="1828">
        <f t="shared" si="8"/>
        <v>9763052</v>
      </c>
    </row>
    <row r="182" spans="1:6" x14ac:dyDescent="0.25">
      <c r="A182" s="1825">
        <v>5107104001</v>
      </c>
      <c r="B182" s="1826"/>
      <c r="C182" s="1826"/>
      <c r="D182" s="1827" t="str">
        <f>VLOOKUP(A182,Trial!A:B,2,0)</f>
        <v>Depreciation - Cable and Accessories</v>
      </c>
      <c r="E182" s="1828">
        <f>ABS(IFERROR(VLOOKUP(A182,Trial!A:C,3,0),0))</f>
        <v>0</v>
      </c>
      <c r="F182" s="1828">
        <f t="shared" si="8"/>
        <v>3517244</v>
      </c>
    </row>
    <row r="183" spans="1:6" x14ac:dyDescent="0.25">
      <c r="A183" s="1825">
        <v>5107105000</v>
      </c>
      <c r="B183" s="1826"/>
      <c r="C183" s="1826"/>
      <c r="D183" s="1827" t="str">
        <f>VLOOKUP(A183,Trial!A:B,2,0)</f>
        <v>Depreciation - Vehicle</v>
      </c>
      <c r="E183" s="1828">
        <f>ABS(IFERROR(VLOOKUP(A183,Trial!A:C,3,0),0))</f>
        <v>0</v>
      </c>
      <c r="F183" s="1828">
        <f t="shared" si="8"/>
        <v>625517.13</v>
      </c>
    </row>
    <row r="184" spans="1:6" x14ac:dyDescent="0.25">
      <c r="A184" s="1825">
        <v>5107106000</v>
      </c>
      <c r="B184" s="1826"/>
      <c r="C184" s="1826"/>
      <c r="D184" s="1827" t="str">
        <f>VLOOKUP(A184,Trial!A:B,2,0)</f>
        <v>Depreciation - Tools and Spare Parts</v>
      </c>
      <c r="E184" s="1828">
        <f>ABS(IFERROR(VLOOKUP(A184,Trial!A:C,3,0),0))</f>
        <v>0</v>
      </c>
      <c r="F184" s="1828">
        <f t="shared" si="8"/>
        <v>650128</v>
      </c>
    </row>
    <row r="185" spans="1:6" x14ac:dyDescent="0.25">
      <c r="A185" s="1867">
        <v>5107107000</v>
      </c>
      <c r="B185" s="1868"/>
      <c r="C185" s="1868"/>
      <c r="D185" s="1827" t="str">
        <f>VLOOKUP(A185,Trial!A:B,2,0)</f>
        <v>Depreciation - Leasehold Building</v>
      </c>
      <c r="E185" s="1828">
        <f>ABS(IFERROR(VLOOKUP(A185,Trial!A:C,3,0),0))</f>
        <v>0</v>
      </c>
      <c r="F185" s="1828">
        <f t="shared" si="8"/>
        <v>0</v>
      </c>
    </row>
    <row r="186" spans="1:6" x14ac:dyDescent="0.25">
      <c r="A186" s="1867">
        <v>5107108000</v>
      </c>
      <c r="B186" s="1869"/>
      <c r="C186" s="1869"/>
      <c r="D186" s="1827" t="str">
        <f>VLOOKUP(A186,Trial!A:B,2,0)</f>
        <v>Depreciation - Capital Grants</v>
      </c>
      <c r="E186" s="1828">
        <f>-ABS(IFERROR(VLOOKUP(A186,Trial!A:C,3,0),0))-E195</f>
        <v>0</v>
      </c>
      <c r="F186" s="1828">
        <f>-ABS(IFERROR(VLOOKUP(A186,Trial_Balance,4,0),0))-F195</f>
        <v>6620180</v>
      </c>
    </row>
    <row r="187" spans="1:6" ht="31.5" x14ac:dyDescent="0.25">
      <c r="A187" s="1867"/>
      <c r="B187" s="1869"/>
      <c r="C187" s="1697" t="str">
        <f>+C166</f>
        <v>Particulars</v>
      </c>
      <c r="D187" s="1697"/>
      <c r="E187" s="1069" t="str">
        <f>+E166</f>
        <v>As at 31st January, 2019</v>
      </c>
      <c r="F187" s="1069" t="str">
        <f>+F166</f>
        <v>As at 31st January, 2018</v>
      </c>
    </row>
    <row r="188" spans="1:6" s="1841" customFormat="1" x14ac:dyDescent="0.25">
      <c r="A188" s="1867"/>
      <c r="B188" s="1869"/>
      <c r="C188" s="1823" t="s">
        <v>1669</v>
      </c>
      <c r="D188" s="1823" t="s">
        <v>1668</v>
      </c>
      <c r="E188" s="1822"/>
      <c r="F188" s="1822"/>
    </row>
    <row r="189" spans="1:6" x14ac:dyDescent="0.25">
      <c r="A189" s="1867"/>
      <c r="B189" s="1870"/>
      <c r="C189" s="1870"/>
      <c r="D189" s="1846" t="s">
        <v>1642</v>
      </c>
      <c r="E189" s="926">
        <f>SUM(E177:E186)</f>
        <v>0</v>
      </c>
      <c r="F189" s="926">
        <f>SUM(F177:F186)</f>
        <v>54883576.130000003</v>
      </c>
    </row>
    <row r="190" spans="1:6" x14ac:dyDescent="0.25">
      <c r="B190" s="1826"/>
      <c r="C190" s="1826"/>
      <c r="D190" s="1869"/>
      <c r="E190" s="1871"/>
      <c r="F190" s="1871"/>
    </row>
    <row r="191" spans="1:6" x14ac:dyDescent="0.25">
      <c r="A191" s="1825"/>
      <c r="B191" s="1872">
        <v>28</v>
      </c>
      <c r="C191" s="1872"/>
      <c r="D191" s="1873" t="s">
        <v>1140</v>
      </c>
      <c r="E191" s="1871"/>
      <c r="F191" s="1871"/>
    </row>
    <row r="192" spans="1:6" x14ac:dyDescent="0.25">
      <c r="A192" s="1825"/>
      <c r="B192" s="1826"/>
      <c r="C192" s="1826"/>
      <c r="D192" s="1874" t="str">
        <f>D176</f>
        <v>Particulars</v>
      </c>
      <c r="E192" s="1874" t="str">
        <f>E176</f>
        <v>As at 31st January, 2019</v>
      </c>
      <c r="F192" s="1874" t="str">
        <f>F176</f>
        <v>As at 31st January, 2018</v>
      </c>
    </row>
    <row r="193" spans="1:6" x14ac:dyDescent="0.25">
      <c r="A193" s="1825">
        <v>5107202000</v>
      </c>
      <c r="B193" s="1869"/>
      <c r="C193" s="1869"/>
      <c r="D193" s="1827" t="str">
        <f>VLOOKUP(A193,Trial!A:B,2,0)</f>
        <v>Amortization of Software</v>
      </c>
      <c r="E193" s="1828">
        <f>ABS(IFERROR(VLOOKUP(A193,Trial!A:C,3,0),0))</f>
        <v>0</v>
      </c>
      <c r="F193" s="1828">
        <f>ABS(IFERROR(VLOOKUP(A193,Trial_Balance,4,0),0))</f>
        <v>25619466</v>
      </c>
    </row>
    <row r="194" spans="1:6" x14ac:dyDescent="0.25">
      <c r="A194" s="1825"/>
      <c r="B194" s="1869"/>
      <c r="C194" s="1869"/>
      <c r="D194" s="1827" t="s">
        <v>1290</v>
      </c>
      <c r="E194" s="1828">
        <f>AE!E80</f>
        <v>51800000</v>
      </c>
      <c r="F194" s="1828"/>
    </row>
    <row r="195" spans="1:6" x14ac:dyDescent="0.25">
      <c r="A195" s="1825">
        <v>5107108000</v>
      </c>
      <c r="D195" s="1827" t="s">
        <v>193</v>
      </c>
      <c r="E195" s="1828"/>
      <c r="F195" s="1828">
        <v>-6620180</v>
      </c>
    </row>
    <row r="196" spans="1:6" ht="16.5" x14ac:dyDescent="0.3">
      <c r="A196" s="1825"/>
      <c r="B196" s="1811"/>
      <c r="C196" s="1811"/>
      <c r="D196" s="1846" t="s">
        <v>1643</v>
      </c>
      <c r="E196" s="926">
        <f>SUM(E193:E195)</f>
        <v>51800000</v>
      </c>
      <c r="F196" s="926">
        <f>SUM(F193:F195)</f>
        <v>18999286</v>
      </c>
    </row>
    <row r="197" spans="1:6" ht="16.5" x14ac:dyDescent="0.3">
      <c r="B197" s="1837"/>
      <c r="C197" s="1837"/>
      <c r="D197" s="1811" t="s">
        <v>127</v>
      </c>
      <c r="E197" s="731">
        <f>E196+E189</f>
        <v>51800000</v>
      </c>
      <c r="F197" s="1859">
        <f>F196+F189</f>
        <v>73882862.129999995</v>
      </c>
    </row>
    <row r="198" spans="1:6" x14ac:dyDescent="0.25">
      <c r="A198" s="1825"/>
      <c r="B198" s="1826"/>
      <c r="C198" s="1826"/>
      <c r="D198" s="1827"/>
      <c r="E198" s="1875"/>
      <c r="F198" s="1875"/>
    </row>
    <row r="199" spans="1:6" x14ac:dyDescent="0.25">
      <c r="A199" s="1825"/>
      <c r="B199" s="1580"/>
      <c r="C199" s="1580"/>
      <c r="D199" s="1865" t="s">
        <v>1644</v>
      </c>
      <c r="E199" s="1866"/>
      <c r="F199" s="1866"/>
    </row>
    <row r="200" spans="1:6" x14ac:dyDescent="0.25">
      <c r="A200" s="1825"/>
      <c r="B200" s="1580"/>
      <c r="C200" s="1580"/>
      <c r="D200" s="1865"/>
      <c r="E200" s="1866"/>
      <c r="F200" s="1866"/>
    </row>
    <row r="201" spans="1:6" ht="30" x14ac:dyDescent="0.25">
      <c r="A201" s="1825"/>
      <c r="B201" s="1837"/>
      <c r="C201" s="1837"/>
      <c r="D201" s="1848" t="str">
        <f>D211</f>
        <v>Particulars</v>
      </c>
      <c r="E201" s="1849" t="str">
        <f>E211</f>
        <v>As at 31st January, 2019</v>
      </c>
      <c r="F201" s="1849" t="str">
        <f>F211</f>
        <v>As at 31st January, 2018</v>
      </c>
    </row>
    <row r="202" spans="1:6" ht="31.5" x14ac:dyDescent="0.25">
      <c r="A202" s="1825"/>
      <c r="B202" s="1837"/>
      <c r="C202" s="1697" t="str">
        <f>+C187</f>
        <v>Particulars</v>
      </c>
      <c r="D202" s="1697"/>
      <c r="E202" s="1069" t="str">
        <f>+E187</f>
        <v>As at 31st January, 2019</v>
      </c>
      <c r="F202" s="1069" t="str">
        <f>+F187</f>
        <v>As at 31st January, 2018</v>
      </c>
    </row>
    <row r="203" spans="1:6" s="1841" customFormat="1" ht="16.5" x14ac:dyDescent="0.25">
      <c r="A203" s="1825"/>
      <c r="B203" s="1837"/>
      <c r="C203" s="1823" t="s">
        <v>1671</v>
      </c>
      <c r="D203" s="1823" t="s">
        <v>1670</v>
      </c>
      <c r="E203" s="1822"/>
      <c r="F203" s="1822"/>
    </row>
    <row r="204" spans="1:6" ht="16.5" x14ac:dyDescent="0.25">
      <c r="A204" s="1825">
        <v>5106101000</v>
      </c>
      <c r="B204" s="1837"/>
      <c r="C204" s="1837"/>
      <c r="D204" s="1846" t="s">
        <v>1645</v>
      </c>
      <c r="E204" s="926">
        <f>ABS(IFERROR(VLOOKUP(A204,Trial!A:C,3,0),0))</f>
        <v>0</v>
      </c>
      <c r="F204" s="926">
        <f>ABS(IFERROR(VLOOKUP(A204,Trial_Balance,4,0),0))</f>
        <v>878424.66</v>
      </c>
    </row>
    <row r="205" spans="1:6" ht="16.5" x14ac:dyDescent="0.25">
      <c r="A205" s="1825">
        <v>5106102000</v>
      </c>
      <c r="B205" s="1837"/>
      <c r="C205" s="1837"/>
      <c r="D205" s="1846" t="str">
        <f>VLOOKUP(A205,Trial!A:B,2,0)</f>
        <v>Bank Charges</v>
      </c>
      <c r="E205" s="926">
        <f>ABS(IFERROR(VLOOKUP(A205,Trial!A:C,3,0),0))</f>
        <v>2799.01</v>
      </c>
      <c r="F205" s="926">
        <f>ABS(IFERROR(VLOOKUP(A205,Trial_Balance,4,0),0))</f>
        <v>87916.19</v>
      </c>
    </row>
    <row r="206" spans="1:6" x14ac:dyDescent="0.25">
      <c r="A206" s="1825"/>
      <c r="B206" s="1854"/>
      <c r="C206" s="1854"/>
      <c r="D206" s="1075" t="s">
        <v>1354</v>
      </c>
      <c r="E206" s="1824">
        <f>+'SAP '!C392</f>
        <v>0</v>
      </c>
      <c r="F206" s="731">
        <f>+'SAP '!D392</f>
        <v>0</v>
      </c>
    </row>
    <row r="207" spans="1:6" ht="16.5" x14ac:dyDescent="0.3">
      <c r="A207" s="1825"/>
      <c r="B207" s="1837"/>
      <c r="C207" s="1837"/>
      <c r="D207" s="1811"/>
      <c r="E207" s="1586">
        <f>+SUM(E204:E205)+E206</f>
        <v>2799.01</v>
      </c>
      <c r="F207" s="1859">
        <f>+SUM(F204:F205)+F206</f>
        <v>966340.85000000009</v>
      </c>
    </row>
    <row r="208" spans="1:6" ht="16.5" x14ac:dyDescent="0.25">
      <c r="A208" s="1825"/>
      <c r="B208" s="1837"/>
      <c r="C208" s="1837"/>
      <c r="D208" s="1075" t="s">
        <v>1646</v>
      </c>
      <c r="E208" s="731"/>
      <c r="F208" s="1859"/>
    </row>
    <row r="209" spans="1:6" s="231" customFormat="1" hidden="1" x14ac:dyDescent="0.25">
      <c r="A209" s="234"/>
      <c r="B209" s="235"/>
      <c r="C209" s="235"/>
      <c r="D209" s="233"/>
      <c r="E209" s="551"/>
      <c r="F209" s="551"/>
    </row>
    <row r="210" spans="1:6" ht="16.5" x14ac:dyDescent="0.25">
      <c r="A210" s="1825"/>
      <c r="B210" s="1837"/>
      <c r="C210" s="1837"/>
      <c r="D210" s="1846"/>
      <c r="E210" s="731"/>
      <c r="F210" s="731"/>
    </row>
    <row r="211" spans="1:6" s="231" customFormat="1" ht="30" hidden="1" x14ac:dyDescent="0.25">
      <c r="A211" s="234"/>
      <c r="B211" s="819"/>
      <c r="C211" s="819"/>
      <c r="D211" s="1808" t="str">
        <f>D165</f>
        <v>Particulars</v>
      </c>
      <c r="E211" s="1809" t="str">
        <f>E165</f>
        <v>As at 31st January, 2019</v>
      </c>
      <c r="F211" s="1809" t="str">
        <f>F165</f>
        <v>As at 31st January, 2018</v>
      </c>
    </row>
    <row r="212" spans="1:6" ht="31.5" x14ac:dyDescent="0.25">
      <c r="A212" s="1825"/>
      <c r="B212" s="1837"/>
      <c r="C212" s="1697" t="str">
        <f>+C202</f>
        <v>Particulars</v>
      </c>
      <c r="D212" s="1697"/>
      <c r="E212" s="1069" t="str">
        <f>+E202</f>
        <v>As at 31st January, 2019</v>
      </c>
      <c r="F212" s="1069" t="str">
        <f>+F202</f>
        <v>As at 31st January, 2018</v>
      </c>
    </row>
    <row r="213" spans="1:6" ht="16.5" x14ac:dyDescent="0.25">
      <c r="A213" s="1825"/>
      <c r="B213" s="1837"/>
      <c r="C213" s="1823" t="s">
        <v>1673</v>
      </c>
      <c r="D213" s="1823" t="s">
        <v>1672</v>
      </c>
      <c r="E213" s="1849"/>
      <c r="F213" s="1849"/>
    </row>
    <row r="214" spans="1:6" ht="16.5" x14ac:dyDescent="0.25">
      <c r="A214" s="1825">
        <v>5105114001</v>
      </c>
      <c r="B214" s="1837"/>
      <c r="C214" s="1837"/>
      <c r="D214" s="1846" t="str">
        <f>VLOOKUP(A214,Trial!A:B,2,0)</f>
        <v>Fines &amp; Penalty</v>
      </c>
      <c r="E214" s="926">
        <f>ABS(IFERROR(VLOOKUP(A214,Trial!A:C,3,0),0))</f>
        <v>0</v>
      </c>
      <c r="F214" s="926">
        <f t="shared" ref="F214:F221" si="9">ABS(IFERROR(VLOOKUP(A214,Trial_Balance,4,0),0))</f>
        <v>0</v>
      </c>
    </row>
    <row r="215" spans="1:6" s="1810" customFormat="1" x14ac:dyDescent="0.25">
      <c r="A215" s="1825">
        <v>5105117000</v>
      </c>
      <c r="B215" s="1854"/>
      <c r="C215" s="1854"/>
      <c r="D215" s="1846" t="str">
        <f>VLOOKUP(A215,Trial!A:B,2,0)</f>
        <v>Rates and Taxes</v>
      </c>
      <c r="E215" s="926">
        <f>ABS(IFERROR(VLOOKUP(A215,Trial!A:C,3,0),0))</f>
        <v>2500</v>
      </c>
      <c r="F215" s="926">
        <f t="shared" si="9"/>
        <v>0</v>
      </c>
    </row>
    <row r="216" spans="1:6" ht="16.5" x14ac:dyDescent="0.25">
      <c r="A216" s="1825">
        <v>5105126003</v>
      </c>
      <c r="B216" s="1837"/>
      <c r="C216" s="1837"/>
      <c r="D216" s="1846" t="s">
        <v>1647</v>
      </c>
      <c r="E216" s="926">
        <f>ABS(IFERROR(VLOOKUP(A216,Trial!A:C,3,0),0))</f>
        <v>0</v>
      </c>
      <c r="F216" s="926">
        <f t="shared" si="9"/>
        <v>0</v>
      </c>
    </row>
    <row r="217" spans="1:6" s="1810" customFormat="1" x14ac:dyDescent="0.25">
      <c r="A217" s="1825">
        <v>5103103008</v>
      </c>
      <c r="B217" s="1854"/>
      <c r="C217" s="1854"/>
      <c r="D217" s="1846" t="s">
        <v>682</v>
      </c>
      <c r="E217" s="926">
        <f>ABS(IFERROR(VLOOKUP(A217,Trial!A:C,3,0),0))</f>
        <v>0</v>
      </c>
      <c r="F217" s="926">
        <f t="shared" si="9"/>
        <v>168414.56</v>
      </c>
    </row>
    <row r="218" spans="1:6" ht="16.5" x14ac:dyDescent="0.25">
      <c r="A218" s="1825">
        <v>5105113000</v>
      </c>
      <c r="B218" s="1837"/>
      <c r="C218" s="1837"/>
      <c r="D218" s="1846" t="str">
        <f>VLOOKUP(A218,Trial!A:B,2,0)</f>
        <v>Communication (Fax, Mail, Post)</v>
      </c>
      <c r="E218" s="926">
        <f>ABS(IFERROR(VLOOKUP(A218,Trial!A:C,3,0),0))</f>
        <v>16074.5</v>
      </c>
      <c r="F218" s="926">
        <f t="shared" si="9"/>
        <v>9232</v>
      </c>
    </row>
    <row r="219" spans="1:6" s="1810" customFormat="1" x14ac:dyDescent="0.25">
      <c r="A219" s="1825">
        <v>5105123000</v>
      </c>
      <c r="B219" s="1854"/>
      <c r="C219" s="1854"/>
      <c r="D219" s="1846" t="str">
        <f>VLOOKUP(A219,Trial!A:B,2,0)</f>
        <v>Carriage Outward &amp; Inward</v>
      </c>
      <c r="E219" s="926">
        <f>ABS(IFERROR(VLOOKUP(A219,Trial!A:C,3,0),0))</f>
        <v>18000</v>
      </c>
      <c r="F219" s="926">
        <f t="shared" si="9"/>
        <v>38982</v>
      </c>
    </row>
    <row r="220" spans="1:6" ht="16.5" x14ac:dyDescent="0.25">
      <c r="A220" s="1825">
        <v>5103104000</v>
      </c>
      <c r="B220" s="1837"/>
      <c r="C220" s="1837"/>
      <c r="D220" s="1846" t="str">
        <f>VLOOKUP(A220,Trial!A:B,2,0)</f>
        <v>Vehicle Running Expense - POL</v>
      </c>
      <c r="E220" s="926">
        <f>ABS(IFERROR(VLOOKUP(A220,Trial!A:C,3,0),0))</f>
        <v>446043.97</v>
      </c>
      <c r="F220" s="926">
        <f>ABS(IFERROR(VLOOKUP(A220,Trial_Balance,4,0),0))</f>
        <v>238087.22</v>
      </c>
    </row>
    <row r="221" spans="1:6" s="1810" customFormat="1" x14ac:dyDescent="0.25">
      <c r="A221" s="1810">
        <v>5105130000</v>
      </c>
      <c r="D221" s="1827" t="str">
        <f>VLOOKUP(A221,Trial!A:B,2,0)</f>
        <v>Audit Fees</v>
      </c>
      <c r="E221" s="1828">
        <f>ABS(IFERROR(VLOOKUP(A221,Trial!A:C,3,0),0))</f>
        <v>0</v>
      </c>
      <c r="F221" s="1828">
        <f t="shared" si="9"/>
        <v>0</v>
      </c>
    </row>
    <row r="222" spans="1:6" x14ac:dyDescent="0.25">
      <c r="A222" s="1825">
        <v>5105130001</v>
      </c>
      <c r="B222" s="1826"/>
      <c r="C222" s="1826"/>
      <c r="D222" s="1827" t="str">
        <f>VLOOKUP(A222,Trial!A:B,2,0)</f>
        <v>Audit Expenses</v>
      </c>
      <c r="E222" s="1828">
        <f>ABS(IFERROR(VLOOKUP(A222,Trial!A:C,3,0),0))</f>
        <v>124335</v>
      </c>
      <c r="F222" s="1828">
        <f>ABS(IFERROR(VLOOKUP(A222,Trial_Balance,4,0),0))</f>
        <v>77555</v>
      </c>
    </row>
    <row r="223" spans="1:6" ht="16.5" x14ac:dyDescent="0.25">
      <c r="A223" s="1825"/>
      <c r="B223" s="1837"/>
      <c r="C223" s="1837"/>
      <c r="D223" s="1846" t="s">
        <v>1164</v>
      </c>
      <c r="E223" s="1851">
        <f>SUM(E221:E222)</f>
        <v>124335</v>
      </c>
      <c r="F223" s="1852">
        <f>SUM(F221:F222)</f>
        <v>77555</v>
      </c>
    </row>
    <row r="224" spans="1:6" x14ac:dyDescent="0.25">
      <c r="A224" s="1825">
        <v>5105108000</v>
      </c>
      <c r="B224" s="1826"/>
      <c r="C224" s="1826"/>
      <c r="D224" s="1827" t="str">
        <f>VLOOKUP(A224,Trial!A:B,2,0)</f>
        <v>Printing and Stationary</v>
      </c>
      <c r="E224" s="1828">
        <f>ABS(IFERROR(VLOOKUP(A224,Trial!A:C,3,0),0))</f>
        <v>0</v>
      </c>
      <c r="F224" s="1828">
        <f>ABS(IFERROR(VLOOKUP(A224,Trial_Balance,4,0),0))</f>
        <v>0</v>
      </c>
    </row>
    <row r="225" spans="1:6" x14ac:dyDescent="0.25">
      <c r="A225" s="1825">
        <v>5102106000</v>
      </c>
      <c r="B225" s="1826"/>
      <c r="C225" s="1826"/>
      <c r="D225" s="1827" t="str">
        <f>VLOOKUP(A225,Trial!A:B,2,0)</f>
        <v>Consumption of Printing and Stationaries</v>
      </c>
      <c r="E225" s="1828">
        <f>ABS(IFERROR(VLOOKUP(A225,Trial!A:C,3,0),0))</f>
        <v>91976.87</v>
      </c>
      <c r="F225" s="1828">
        <f>ABS(IFERROR(VLOOKUP(A225,Trial_Balance,4,0),0))</f>
        <v>57703.68</v>
      </c>
    </row>
    <row r="226" spans="1:6" ht="16.5" x14ac:dyDescent="0.25">
      <c r="A226" s="1825"/>
      <c r="B226" s="1837"/>
      <c r="C226" s="1837"/>
      <c r="D226" s="1846" t="s">
        <v>1162</v>
      </c>
      <c r="E226" s="1851">
        <f>SUM(E224:E225)</f>
        <v>91976.87</v>
      </c>
      <c r="F226" s="1852">
        <f>SUM(F224:F225)</f>
        <v>57703.68</v>
      </c>
    </row>
    <row r="227" spans="1:6" x14ac:dyDescent="0.25">
      <c r="A227" s="1825">
        <v>5105119003</v>
      </c>
      <c r="B227" s="1826"/>
      <c r="C227" s="1826"/>
      <c r="D227" s="1827" t="str">
        <f>VLOOKUP(A227,Trial!A:B,2,0)</f>
        <v>Insurance on Telecom Equipment</v>
      </c>
      <c r="E227" s="1828">
        <f>ABS(IFERROR(VLOOKUP(A227,Trial!A:C,3,0),0))</f>
        <v>0</v>
      </c>
      <c r="F227" s="1828">
        <f>ABS(IFERROR(VLOOKUP(A227,Trial_Balance,4,0),0))</f>
        <v>0</v>
      </c>
    </row>
    <row r="228" spans="1:6" x14ac:dyDescent="0.25">
      <c r="A228" s="1825">
        <v>5105119000</v>
      </c>
      <c r="D228" s="1825" t="s">
        <v>699</v>
      </c>
      <c r="E228" s="1828">
        <f>ABS(IFERROR(VLOOKUP(A228,Trial!A:C,3,0),0))</f>
        <v>3850</v>
      </c>
      <c r="F228" s="1828">
        <f>ABS(IFERROR(VLOOKUP(A228,Trial_Balance,4,0),0))</f>
        <v>5305</v>
      </c>
    </row>
    <row r="229" spans="1:6" ht="16.5" x14ac:dyDescent="0.3">
      <c r="A229" s="1825"/>
      <c r="B229" s="1811"/>
      <c r="C229" s="1811"/>
      <c r="D229" s="1854" t="s">
        <v>1161</v>
      </c>
      <c r="E229" s="1851">
        <f>SUM(E227:E228)</f>
        <v>3850</v>
      </c>
      <c r="F229" s="1852">
        <f>SUM(F227:F228)</f>
        <v>5305</v>
      </c>
    </row>
    <row r="230" spans="1:6" x14ac:dyDescent="0.25">
      <c r="A230" s="1825">
        <v>5105126005</v>
      </c>
      <c r="B230" s="1826"/>
      <c r="C230" s="1826"/>
      <c r="D230" s="1827" t="str">
        <f>VLOOKUP(A230,Trial!A:B,2,0)</f>
        <v>Loss/Scrapping/Retirement of Asset</v>
      </c>
      <c r="E230" s="1828">
        <f>ABS(IFERROR(VLOOKUP(A230,Trial!A:C,3,0),0))</f>
        <v>0</v>
      </c>
      <c r="F230" s="1828">
        <f>ABS(IFERROR(VLOOKUP(A230,Trial_Balance,4,0),0))</f>
        <v>0</v>
      </c>
    </row>
    <row r="231" spans="1:6" s="1810" customFormat="1" x14ac:dyDescent="0.25">
      <c r="A231" s="1825">
        <v>5105126006</v>
      </c>
      <c r="B231" s="1825"/>
      <c r="C231" s="1825"/>
      <c r="D231" s="1827" t="str">
        <f>VLOOKUP(A231,Trial!A:B,2,0)</f>
        <v>Loss on Sale of Fixed Asset</v>
      </c>
      <c r="E231" s="1828">
        <f>ABS(IFERROR(VLOOKUP(A231,Trial!A:C,3,0),0))</f>
        <v>0</v>
      </c>
      <c r="F231" s="1828">
        <f>ABS(IFERROR(VLOOKUP(A231,Trial_Balance,4,0),0))</f>
        <v>0</v>
      </c>
    </row>
    <row r="232" spans="1:6" x14ac:dyDescent="0.25">
      <c r="A232" s="1825">
        <v>4102105001</v>
      </c>
      <c r="B232" s="1826"/>
      <c r="C232" s="1826"/>
      <c r="D232" s="1827" t="str">
        <f>VLOOKUP(A232,Trial!A:B,2,0)</f>
        <v>Gain on Sale of Fixed Assets</v>
      </c>
      <c r="E232" s="1828">
        <f>-ABS(IFERROR(VLOOKUP(A232,Trial!A:C,3,0),0))</f>
        <v>0</v>
      </c>
      <c r="F232" s="1828">
        <f>ABS(IFERROR(VLOOKUP(A232,Trial_Balance,4,0),0))</f>
        <v>0</v>
      </c>
    </row>
    <row r="233" spans="1:6" ht="16.5" x14ac:dyDescent="0.25">
      <c r="A233" s="1825"/>
      <c r="B233" s="1837"/>
      <c r="C233" s="1837"/>
      <c r="D233" s="1846" t="s">
        <v>1159</v>
      </c>
      <c r="E233" s="926">
        <f>SUM(E230:E232)</f>
        <v>0</v>
      </c>
      <c r="F233" s="926">
        <f>SUM(F230:F232)</f>
        <v>0</v>
      </c>
    </row>
    <row r="234" spans="1:6" s="1810" customFormat="1" x14ac:dyDescent="0.25">
      <c r="A234" s="1825">
        <v>5105104000</v>
      </c>
      <c r="B234" s="1825"/>
      <c r="C234" s="1825"/>
      <c r="D234" s="1827" t="str">
        <f>VLOOKUP(A234,Trial!A:B,2,0)</f>
        <v>Directors Fees</v>
      </c>
      <c r="E234" s="1828">
        <f>ABS(IFERROR(VLOOKUP(A234,Trial!A:C,3,0),0))</f>
        <v>84000</v>
      </c>
      <c r="F234" s="1850">
        <f>ABS(IFERROR(VLOOKUP(A234,Trial_Balance,4,0),0))</f>
        <v>108000</v>
      </c>
    </row>
    <row r="235" spans="1:6" x14ac:dyDescent="0.25">
      <c r="A235" s="1825">
        <v>5105128000</v>
      </c>
      <c r="B235" s="1826"/>
      <c r="C235" s="1826"/>
      <c r="D235" s="1827" t="str">
        <f>VLOOKUP(A235,Trial!A:B,2,0)</f>
        <v>Professional Charges</v>
      </c>
      <c r="E235" s="1828">
        <f>ABS(IFERROR(VLOOKUP(A235,Trial!A:C,3,0),0))</f>
        <v>0</v>
      </c>
      <c r="F235" s="1828">
        <f>ABS(IFERROR(VLOOKUP(A235,Trial_Balance,4,0),0))</f>
        <v>0</v>
      </c>
    </row>
    <row r="236" spans="1:6" ht="16.5" x14ac:dyDescent="0.25">
      <c r="A236" s="1825"/>
      <c r="B236" s="1837"/>
      <c r="C236" s="1837"/>
      <c r="D236" s="1846" t="s">
        <v>1158</v>
      </c>
      <c r="E236" s="1851">
        <f>SUM(E234:E235)</f>
        <v>84000</v>
      </c>
      <c r="F236" s="1852">
        <f>SUM(F234:F235)</f>
        <v>108000</v>
      </c>
    </row>
    <row r="237" spans="1:6" x14ac:dyDescent="0.25">
      <c r="A237" s="1825">
        <v>5105125000</v>
      </c>
      <c r="B237" s="1826"/>
      <c r="C237" s="1826"/>
      <c r="D237" s="1827" t="str">
        <f>VLOOKUP(A237,Trial!A:B,2,0)</f>
        <v>Corporate Social Responsibility</v>
      </c>
      <c r="E237" s="1828">
        <f>ABS(IFERROR(VLOOKUP(A237,Trial!A:C,3,0),0))</f>
        <v>10000</v>
      </c>
      <c r="F237" s="1828">
        <f>ABS(IFERROR(VLOOKUP(A237,Trial_Balance,4,0),0))</f>
        <v>30000</v>
      </c>
    </row>
    <row r="238" spans="1:6" x14ac:dyDescent="0.25">
      <c r="A238" s="1825">
        <v>5105125001</v>
      </c>
      <c r="B238" s="1826"/>
      <c r="C238" s="1826"/>
      <c r="D238" s="1827" t="str">
        <f>VLOOKUP(A238,Trial!A:B,2,0)</f>
        <v>Donation</v>
      </c>
      <c r="E238" s="1828">
        <f>ABS(IFERROR(VLOOKUP(A238,Trial!A:C,3,0),0))</f>
        <v>50000</v>
      </c>
      <c r="F238" s="1828">
        <f>ABS(IFERROR(VLOOKUP(A238,Trial_Balance,4,0),0))</f>
        <v>0</v>
      </c>
    </row>
    <row r="239" spans="1:6" ht="16.5" x14ac:dyDescent="0.25">
      <c r="A239" s="1825"/>
      <c r="B239" s="1837"/>
      <c r="C239" s="1837"/>
      <c r="D239" s="1846" t="s">
        <v>1157</v>
      </c>
      <c r="E239" s="1851">
        <f>SUM(E237:E238)</f>
        <v>60000</v>
      </c>
      <c r="F239" s="1852">
        <f>SUM(F237:F238)</f>
        <v>30000</v>
      </c>
    </row>
    <row r="240" spans="1:6" s="1810" customFormat="1" x14ac:dyDescent="0.25">
      <c r="A240" s="1825">
        <v>5105116000</v>
      </c>
      <c r="B240" s="1825"/>
      <c r="C240" s="1825"/>
      <c r="D240" s="1827" t="str">
        <f>VLOOKUP(A240,Trial!A:B,2,0)</f>
        <v>Travel - Local</v>
      </c>
      <c r="E240" s="1828">
        <f>ABS(IFERROR(VLOOKUP(A240,Trial!A:C,3,0),0))</f>
        <v>225750</v>
      </c>
      <c r="F240" s="1828">
        <f>ABS(IFERROR(VLOOKUP(A240,Trial_Balance,4,0),0))</f>
        <v>186500</v>
      </c>
    </row>
    <row r="241" spans="1:6" s="1810" customFormat="1" x14ac:dyDescent="0.25">
      <c r="A241" s="1825">
        <v>5105116001</v>
      </c>
      <c r="B241" s="1825"/>
      <c r="C241" s="1825"/>
      <c r="D241" s="1827" t="str">
        <f>VLOOKUP(A241,Trial!A:B,2,0)</f>
        <v>Travel - Maintenance &amp; Project</v>
      </c>
      <c r="E241" s="1828">
        <f>ABS(IFERROR(VLOOKUP(A241,Trial!A:C,3,0),0))</f>
        <v>0</v>
      </c>
      <c r="F241" s="1828">
        <f>ABS(IFERROR(VLOOKUP(A241,Trial_Balance,4,0),0))</f>
        <v>2250</v>
      </c>
    </row>
    <row r="242" spans="1:6" s="1810" customFormat="1" x14ac:dyDescent="0.25">
      <c r="A242" s="1825"/>
      <c r="B242" s="1854"/>
      <c r="C242" s="1854"/>
      <c r="D242" s="1846" t="s">
        <v>1450</v>
      </c>
      <c r="E242" s="1851">
        <f>+E243+E244</f>
        <v>225750</v>
      </c>
      <c r="F242" s="1852">
        <f>+F243+F244</f>
        <v>279520</v>
      </c>
    </row>
    <row r="243" spans="1:6" s="1810" customFormat="1" x14ac:dyDescent="0.25">
      <c r="A243" s="1825"/>
      <c r="B243" s="1825"/>
      <c r="C243" s="1825"/>
      <c r="D243" s="1827" t="s">
        <v>1156</v>
      </c>
      <c r="E243" s="1828">
        <f>SUM(E240:E241)</f>
        <v>225750</v>
      </c>
      <c r="F243" s="1876">
        <f>SUM(F240:F241)</f>
        <v>188750</v>
      </c>
    </row>
    <row r="244" spans="1:6" x14ac:dyDescent="0.25">
      <c r="A244" s="1825">
        <v>5105115000</v>
      </c>
      <c r="B244" s="1825"/>
      <c r="C244" s="1825"/>
      <c r="D244" s="1827" t="str">
        <f>VLOOKUP(A244,Trial!A:B,2,0)</f>
        <v>Travel - Foreign</v>
      </c>
      <c r="E244" s="1828">
        <f>ABS(IFERROR(VLOOKUP(A244,Trial!A:C,3,0),0))</f>
        <v>0</v>
      </c>
      <c r="F244" s="1828">
        <f>ABS(IFERROR(VLOOKUP(A244,Trial_Balance,4,0),0))</f>
        <v>90770</v>
      </c>
    </row>
    <row r="245" spans="1:6" s="1810" customFormat="1" x14ac:dyDescent="0.25">
      <c r="A245" s="1825">
        <v>5105126002</v>
      </c>
      <c r="B245" s="1825"/>
      <c r="C245" s="1825"/>
      <c r="D245" s="1827" t="str">
        <f>VLOOKUP(A245,Trial!A:B,2,0)</f>
        <v>Physical Verification of Inventory - Loss</v>
      </c>
      <c r="E245" s="1828">
        <f>ABS(IFERROR(VLOOKUP(A245,Trial!A:C,3,0),0))</f>
        <v>0</v>
      </c>
      <c r="F245" s="1828">
        <f>ABS(IFERROR(VLOOKUP(A245,Trial_Balance,4,0),0))</f>
        <v>0</v>
      </c>
    </row>
    <row r="246" spans="1:6" x14ac:dyDescent="0.25">
      <c r="A246" s="1825">
        <v>4102110003</v>
      </c>
      <c r="B246" s="1826"/>
      <c r="C246" s="1826"/>
      <c r="D246" s="1827" t="str">
        <f>VLOOKUP(A246,Trial!A:B,2,0)</f>
        <v>Physical Verification on Inventory - Gain</v>
      </c>
      <c r="E246" s="1828">
        <f>-ABS(IFERROR(VLOOKUP(A246,Trial!A:C,3,0),0))</f>
        <v>0</v>
      </c>
      <c r="F246" s="1828">
        <f>-ABS(IFERROR(VLOOKUP(A246,Trial_Balance,4,0),0))</f>
        <v>0</v>
      </c>
    </row>
    <row r="247" spans="1:6" s="1810" customFormat="1" x14ac:dyDescent="0.25">
      <c r="A247" s="1825">
        <v>5105126000</v>
      </c>
      <c r="B247" s="1825"/>
      <c r="C247" s="1825"/>
      <c r="D247" s="1827" t="str">
        <f>VLOOKUP(A247,Trial!A:B,2,0)</f>
        <v>Price Difference of Material - Loss</v>
      </c>
      <c r="E247" s="1828">
        <f>ABS(IFERROR(VLOOKUP(A247,Trial!A:C,3,0),0))</f>
        <v>0</v>
      </c>
      <c r="F247" s="1828">
        <f>ABS(IFERROR(VLOOKUP(A247,Trial_Balance,4,0),0))</f>
        <v>0</v>
      </c>
    </row>
    <row r="248" spans="1:6" x14ac:dyDescent="0.25">
      <c r="A248" s="1825">
        <v>5105126001</v>
      </c>
      <c r="B248" s="1826"/>
      <c r="C248" s="1826"/>
      <c r="D248" s="1827" t="str">
        <f>VLOOKUP(A248,Trial!A:B,2,0)</f>
        <v>Revaluation of Material - Loss</v>
      </c>
      <c r="E248" s="1828">
        <f>ABS(IFERROR(VLOOKUP(A248,Trial!A:C,3,0),0))</f>
        <v>0</v>
      </c>
      <c r="F248" s="1828">
        <f>ABS(IFERROR(VLOOKUP(A248,Trial_Balance,4,0),0))</f>
        <v>256351.56</v>
      </c>
    </row>
    <row r="249" spans="1:6" x14ac:dyDescent="0.25">
      <c r="A249" s="1825">
        <v>5105126004</v>
      </c>
      <c r="B249" s="1826"/>
      <c r="C249" s="1826"/>
      <c r="D249" s="1827" t="str">
        <f>VLOOKUP(A249,Trial!A:B,2,0)</f>
        <v>Loss/Scrapping/Retirement of Inventory</v>
      </c>
      <c r="E249" s="1828">
        <f>ABS(IFERROR(VLOOKUP(A249,Trial!A:C,3,0),0))</f>
        <v>0</v>
      </c>
      <c r="F249" s="1828">
        <f>ABS(IFERROR(VLOOKUP(A249,Trial_Balance,4,0),0))</f>
        <v>0</v>
      </c>
    </row>
    <row r="250" spans="1:6" x14ac:dyDescent="0.25">
      <c r="A250" s="1825">
        <v>4102110001</v>
      </c>
      <c r="B250" s="1826"/>
      <c r="C250" s="1826"/>
      <c r="D250" s="1827" t="str">
        <f>VLOOKUP(A250,Trial!A:B,2,0)</f>
        <v>Price Difference of Material - Gain</v>
      </c>
      <c r="E250" s="1828">
        <f>ABS(IFERROR(VLOOKUP(A250,Trial!A:C,3,0),0))</f>
        <v>0</v>
      </c>
      <c r="F250" s="1828">
        <f>ABS(IFERROR(VLOOKUP(A250,Trial_Balance,4,0),0))</f>
        <v>0</v>
      </c>
    </row>
    <row r="251" spans="1:6" x14ac:dyDescent="0.25">
      <c r="A251" s="1825">
        <v>4102110002</v>
      </c>
      <c r="B251" s="1826"/>
      <c r="C251" s="1826"/>
      <c r="D251" s="1827" t="str">
        <f>VLOOKUP(A251,Trial!A:B,2,0)</f>
        <v>Revaluation of Material - Gain</v>
      </c>
      <c r="E251" s="1828">
        <f>-ABS(IFERROR(VLOOKUP(A251,Trial!A:C,3,0),0))</f>
        <v>0</v>
      </c>
      <c r="F251" s="1828">
        <f>-ABS(IFERROR(VLOOKUP(A251,Trial_Balance,4,0),0))</f>
        <v>-255484.13</v>
      </c>
    </row>
    <row r="252" spans="1:6" ht="16.5" x14ac:dyDescent="0.25">
      <c r="A252" s="1825"/>
      <c r="B252" s="1837"/>
      <c r="C252" s="1837"/>
      <c r="D252" s="1846" t="s">
        <v>1160</v>
      </c>
      <c r="E252" s="926">
        <f>SUM(E245:E251)</f>
        <v>0</v>
      </c>
      <c r="F252" s="1851">
        <f>SUM(F245:F251)</f>
        <v>867.42999999999302</v>
      </c>
    </row>
    <row r="253" spans="1:6" ht="16.5" x14ac:dyDescent="0.25">
      <c r="A253" s="1825">
        <v>5103103000</v>
      </c>
      <c r="B253" s="1837"/>
      <c r="C253" s="1837"/>
      <c r="D253" s="1846" t="str">
        <f>VLOOKUP(A253,Trial!A:B,2,0)</f>
        <v>R&amp;M Building - Service</v>
      </c>
      <c r="E253" s="1851">
        <f>ABS(IFERROR(VLOOKUP(A253,Trial!A:C,3,0),0))</f>
        <v>214296</v>
      </c>
      <c r="F253" s="1851">
        <f>ABS(IFERROR(VLOOKUP(A253,Trial_Balance,4,0),0))</f>
        <v>46550</v>
      </c>
    </row>
    <row r="254" spans="1:6" x14ac:dyDescent="0.25">
      <c r="A254" s="1825">
        <v>5102104000</v>
      </c>
      <c r="B254" s="1826"/>
      <c r="C254" s="1826"/>
      <c r="D254" s="1827" t="str">
        <f>VLOOKUP(A254,Trial!A:B,2,0)</f>
        <v>Consumption of General Item</v>
      </c>
      <c r="E254" s="1828">
        <f>ABS(IFERROR(VLOOKUP(A254,Trial!A:C,3,0),0))</f>
        <v>0</v>
      </c>
      <c r="F254" s="1828">
        <f t="shared" ref="F254:F260" si="10">ABS(IFERROR(VLOOKUP(A254,Trial_Balance,4,0),0))</f>
        <v>912</v>
      </c>
    </row>
    <row r="255" spans="1:6" x14ac:dyDescent="0.25">
      <c r="A255" s="1825">
        <v>5103103001</v>
      </c>
      <c r="B255" s="1826"/>
      <c r="C255" s="1826"/>
      <c r="D255" s="1827" t="str">
        <f>VLOOKUP(A255,Trial!A:B,2,0)</f>
        <v>R&amp;M Office Equipment - Service</v>
      </c>
      <c r="E255" s="1828">
        <f>ABS(IFERROR(VLOOKUP(A255,Trial!A:C,3,0),0))</f>
        <v>1500</v>
      </c>
      <c r="F255" s="1828">
        <f t="shared" si="10"/>
        <v>6180</v>
      </c>
    </row>
    <row r="256" spans="1:6" x14ac:dyDescent="0.25">
      <c r="A256" s="1825">
        <v>5103103002</v>
      </c>
      <c r="B256" s="1826"/>
      <c r="C256" s="1826"/>
      <c r="D256" s="1827" t="str">
        <f>VLOOKUP(A256,Trial!A:B,2,0)</f>
        <v>R&amp;M Furniture &amp; Fixture - Service</v>
      </c>
      <c r="E256" s="1828">
        <f>ABS(IFERROR(VLOOKUP(A256,Trial!A:C,3,0),0))</f>
        <v>0</v>
      </c>
      <c r="F256" s="1828">
        <f t="shared" si="10"/>
        <v>0</v>
      </c>
    </row>
    <row r="257" spans="1:7" x14ac:dyDescent="0.25">
      <c r="A257" s="1825">
        <v>5102102000</v>
      </c>
      <c r="D257" s="1826" t="s">
        <v>648</v>
      </c>
      <c r="E257" s="1828">
        <f>ABS(IFERROR(VLOOKUP(A257,Trial!A:C,3,0),0))</f>
        <v>320325.68</v>
      </c>
      <c r="F257" s="1828">
        <f t="shared" si="10"/>
        <v>66127</v>
      </c>
    </row>
    <row r="258" spans="1:7" x14ac:dyDescent="0.25">
      <c r="A258" s="1825">
        <v>5103103003</v>
      </c>
      <c r="B258" s="1826"/>
      <c r="C258" s="1826"/>
      <c r="D258" s="1827" t="str">
        <f>VLOOKUP(A258,Trial!A:B,2,0)</f>
        <v>R&amp;M Office Equipment - AMC</v>
      </c>
      <c r="E258" s="1828">
        <f>ABS(IFERROR(VLOOKUP(A258,Trial!A:C,3,0),0))</f>
        <v>0</v>
      </c>
      <c r="F258" s="1828">
        <f t="shared" si="10"/>
        <v>0</v>
      </c>
    </row>
    <row r="259" spans="1:7" x14ac:dyDescent="0.25">
      <c r="A259" s="1825">
        <v>5103104001</v>
      </c>
      <c r="B259" s="1826"/>
      <c r="C259" s="1826"/>
      <c r="D259" s="1827" t="str">
        <f>VLOOKUP(A259,Trial!A:B,2,0)</f>
        <v>R&amp;M Vehicles - Services</v>
      </c>
      <c r="E259" s="1828">
        <f>ABS(IFERROR(VLOOKUP(A259,Trial!A:C,3,0),0))</f>
        <v>99875</v>
      </c>
      <c r="F259" s="1828">
        <f t="shared" si="10"/>
        <v>64318</v>
      </c>
    </row>
    <row r="260" spans="1:7" x14ac:dyDescent="0.25">
      <c r="A260" s="1810">
        <v>5102101000</v>
      </c>
      <c r="D260" s="1810" t="s">
        <v>647</v>
      </c>
      <c r="E260" s="1828">
        <f>ABS(IFERROR(VLOOKUP(A260,Trial!A:C,3,0),0))</f>
        <v>125628.84</v>
      </c>
      <c r="F260" s="1828">
        <f t="shared" si="10"/>
        <v>200067.09</v>
      </c>
    </row>
    <row r="261" spans="1:7" ht="16.5" x14ac:dyDescent="0.3">
      <c r="B261" s="1811"/>
      <c r="C261" s="1811"/>
      <c r="D261" s="1075" t="s">
        <v>1163</v>
      </c>
      <c r="E261" s="1851">
        <f>SUM(E254:E260)</f>
        <v>547329.52</v>
      </c>
      <c r="F261" s="1851">
        <f>SUM(F254:F260)</f>
        <v>337604.08999999997</v>
      </c>
    </row>
    <row r="262" spans="1:7" ht="16.5" x14ac:dyDescent="0.3">
      <c r="B262" s="1811"/>
      <c r="C262" s="1811"/>
      <c r="D262" s="1075" t="str">
        <f>+'SAP '!B384</f>
        <v>Provision for Old Inventories</v>
      </c>
      <c r="E262" s="926">
        <f>+'SAP '!C384</f>
        <v>0</v>
      </c>
      <c r="F262" s="926"/>
    </row>
    <row r="263" spans="1:7" x14ac:dyDescent="0.25">
      <c r="A263" s="1825">
        <v>5105124000</v>
      </c>
      <c r="B263" s="1826"/>
      <c r="C263" s="1826"/>
      <c r="D263" s="1827" t="str">
        <f>VLOOKUP(A263,Trial!A:B,2,0)</f>
        <v>Books, Magazines and Newspapers</v>
      </c>
      <c r="E263" s="1828">
        <f>ABS(IFERROR(VLOOKUP(A263,Trial!A:C,3,0),0))</f>
        <v>0</v>
      </c>
      <c r="F263" s="1828">
        <f t="shared" ref="F263:F273" si="11">ABS(IFERROR(VLOOKUP(A263,Trial_Balance,4,0),0))</f>
        <v>0</v>
      </c>
    </row>
    <row r="264" spans="1:7" s="1810" customFormat="1" x14ac:dyDescent="0.25">
      <c r="A264" s="1825">
        <v>5105117003</v>
      </c>
      <c r="B264" s="1825"/>
      <c r="C264" s="1825"/>
      <c r="D264" s="1827" t="str">
        <f>VLOOKUP(A264,Trial!A:B,2,0)</f>
        <v>Rebate Expense</v>
      </c>
      <c r="E264" s="1828">
        <f>ABS(IFERROR(VLOOKUP(A264,Trial!A:C,3,0),0))</f>
        <v>0</v>
      </c>
      <c r="F264" s="1828">
        <f t="shared" si="11"/>
        <v>0</v>
      </c>
    </row>
    <row r="265" spans="1:7" x14ac:dyDescent="0.25">
      <c r="A265" s="1825">
        <v>5105113001</v>
      </c>
      <c r="B265" s="1826"/>
      <c r="C265" s="1826"/>
      <c r="D265" s="1827" t="str">
        <f>VLOOKUP(A265,Trial!A:B,2,0)</f>
        <v>Office Maintenance</v>
      </c>
      <c r="E265" s="1828">
        <f>ABS(IFERROR(VLOOKUP(A265,Trial!A:C,3,0),0))</f>
        <v>22220.240000000002</v>
      </c>
      <c r="F265" s="1828">
        <f t="shared" si="11"/>
        <v>18113</v>
      </c>
    </row>
    <row r="266" spans="1:7" x14ac:dyDescent="0.25">
      <c r="A266" s="1825">
        <v>5105113002</v>
      </c>
      <c r="B266" s="1826"/>
      <c r="C266" s="1826"/>
      <c r="D266" s="1827" t="str">
        <f>VLOOKUP(A266,Trial!A:B,2,0)</f>
        <v>Water and Sewerage</v>
      </c>
      <c r="E266" s="1828">
        <f>ABS(IFERROR(VLOOKUP(A266,Trial!A:C,3,0),0))</f>
        <v>21343</v>
      </c>
      <c r="F266" s="1828">
        <f t="shared" si="11"/>
        <v>1657</v>
      </c>
    </row>
    <row r="267" spans="1:7" s="1810" customFormat="1" x14ac:dyDescent="0.25">
      <c r="A267" s="1825">
        <v>5105117001</v>
      </c>
      <c r="B267" s="1825"/>
      <c r="C267" s="1825"/>
      <c r="D267" s="1827" t="str">
        <f>VLOOKUP(A267,Trial!A:B,2,0)</f>
        <v>Custom Clearing Charges</v>
      </c>
      <c r="E267" s="1828">
        <f>ABS(IFERROR(VLOOKUP(A267,Trial!A:C,3,0),0))</f>
        <v>0</v>
      </c>
      <c r="F267" s="1828">
        <f t="shared" si="11"/>
        <v>0</v>
      </c>
    </row>
    <row r="268" spans="1:7" x14ac:dyDescent="0.25">
      <c r="A268" s="1825">
        <v>5105118000</v>
      </c>
      <c r="B268" s="1826"/>
      <c r="C268" s="1826"/>
      <c r="D268" s="1827" t="str">
        <f>VLOOKUP(A268,Trial!A:B,2,0)</f>
        <v>Registration and Filing Fees/Survey</v>
      </c>
      <c r="E268" s="1828">
        <f>ABS(IFERROR(VLOOKUP(A268,Trial!A:C,3,0),0))</f>
        <v>3300</v>
      </c>
      <c r="F268" s="1828">
        <f t="shared" si="11"/>
        <v>7960</v>
      </c>
    </row>
    <row r="269" spans="1:7" x14ac:dyDescent="0.25">
      <c r="A269" s="1825">
        <v>5105122000</v>
      </c>
      <c r="B269" s="1826"/>
      <c r="C269" s="1826"/>
      <c r="D269" s="1827" t="str">
        <f>VLOOKUP(A269,Trial!A:B,2,0)</f>
        <v>Entertainment</v>
      </c>
      <c r="E269" s="1828">
        <f>ABS(IFERROR(VLOOKUP(A269,Trial!A:C,3,0),0))</f>
        <v>122887.67999999999</v>
      </c>
      <c r="F269" s="1828">
        <f t="shared" si="11"/>
        <v>220246</v>
      </c>
      <c r="G269" s="1830"/>
    </row>
    <row r="270" spans="1:7" s="1810" customFormat="1" x14ac:dyDescent="0.25">
      <c r="A270" s="1825">
        <v>5105132000</v>
      </c>
      <c r="B270" s="1825"/>
      <c r="C270" s="1825"/>
      <c r="D270" s="1827" t="str">
        <f>VLOOKUP(A270,Trial!A:B,2,0)</f>
        <v>Hospitality</v>
      </c>
      <c r="E270" s="1828">
        <f>ABS(IFERROR(VLOOKUP(A270,Trial!A:C,3,0),0))</f>
        <v>0</v>
      </c>
      <c r="F270" s="1828">
        <f t="shared" si="11"/>
        <v>0</v>
      </c>
    </row>
    <row r="271" spans="1:7" x14ac:dyDescent="0.25">
      <c r="A271" s="1825">
        <v>5105123002</v>
      </c>
      <c r="B271" s="1826"/>
      <c r="C271" s="1826"/>
      <c r="D271" s="1827" t="str">
        <f>VLOOKUP(A271,Trial!A:B,2,0)</f>
        <v>Hire Charges</v>
      </c>
      <c r="E271" s="1828">
        <f>ABS(IFERROR(VLOOKUP(A271,Trial!A:C,3,0),0))</f>
        <v>0</v>
      </c>
      <c r="F271" s="1828">
        <f t="shared" si="11"/>
        <v>0</v>
      </c>
    </row>
    <row r="272" spans="1:7" x14ac:dyDescent="0.25">
      <c r="A272" s="1825">
        <v>5105126999</v>
      </c>
      <c r="B272" s="1826"/>
      <c r="C272" s="1826"/>
      <c r="D272" s="1827" t="str">
        <f>VLOOKUP(A272,Trial!A:B,2,0)</f>
        <v>Misc. Expenses</v>
      </c>
      <c r="E272" s="1828">
        <f>ABS(IFERROR(VLOOKUP(A272,Trial!A:C,3,0),0))</f>
        <v>0</v>
      </c>
      <c r="F272" s="1828">
        <f t="shared" si="11"/>
        <v>11402</v>
      </c>
    </row>
    <row r="273" spans="1:6" s="1810" customFormat="1" x14ac:dyDescent="0.25">
      <c r="A273" s="1825">
        <v>5105120001</v>
      </c>
      <c r="B273" s="1825"/>
      <c r="C273" s="1825"/>
      <c r="D273" s="1827" t="str">
        <f>VLOOKUP(A273,Trial!A:B,2,0)</f>
        <v>Revenue Sharing - National</v>
      </c>
      <c r="E273" s="1828">
        <f>ABS(IFERROR(VLOOKUP(A273,Trial!A:C,3,0),0))</f>
        <v>16489.5</v>
      </c>
      <c r="F273" s="1828">
        <f t="shared" si="11"/>
        <v>0</v>
      </c>
    </row>
    <row r="274" spans="1:6" x14ac:dyDescent="0.25">
      <c r="A274" s="1825">
        <v>4102110006</v>
      </c>
      <c r="B274" s="1826"/>
      <c r="C274" s="1826"/>
      <c r="D274" s="1827" t="str">
        <f>VLOOKUP(A274,Trial!A:B,2,0)</f>
        <v>Rounding Difference - Gain</v>
      </c>
      <c r="E274" s="1828"/>
      <c r="F274" s="1828">
        <f>-ABS(IFERROR(VLOOKUP(A274,Trial_Balance,4,0),0))</f>
        <v>-0.63</v>
      </c>
    </row>
    <row r="275" spans="1:6" x14ac:dyDescent="0.25">
      <c r="A275" s="1825">
        <v>5105126007</v>
      </c>
      <c r="B275" s="1826"/>
      <c r="C275" s="1826"/>
      <c r="D275" s="1827" t="str">
        <f>VLOOKUP(A275,Trial!A:B,2,0)</f>
        <v>Rounding Difference - Loss</v>
      </c>
      <c r="E275" s="1828"/>
      <c r="F275" s="1828">
        <f>ABS(IFERROR(VLOOKUP(A275,Trial_Balance,4,0),0))</f>
        <v>0.2</v>
      </c>
    </row>
    <row r="276" spans="1:6" x14ac:dyDescent="0.25">
      <c r="A276" s="1825">
        <v>5111102000</v>
      </c>
      <c r="D276" s="1827" t="str">
        <f>VLOOKUP(A276,Trial!A:B,2,0)</f>
        <v>Loss on Forex Fluctuation</v>
      </c>
      <c r="E276" s="1828">
        <f>ABS(IFERROR(VLOOKUP(A276,Trial!A:C,3,0),0))</f>
        <v>0</v>
      </c>
      <c r="F276" s="1828"/>
    </row>
    <row r="277" spans="1:6" s="1810" customFormat="1" x14ac:dyDescent="0.25">
      <c r="A277" s="1825">
        <v>4103501000</v>
      </c>
      <c r="B277" s="1825"/>
      <c r="C277" s="1825"/>
      <c r="D277" s="1827" t="str">
        <f>VLOOKUP(A277,Trial!A:B,2,0)</f>
        <v>Gain on Forex Fluctuation</v>
      </c>
      <c r="E277" s="1828">
        <f>-ABS(IFERROR(VLOOKUP(A277,Trial!A:C,3,0),0))</f>
        <v>0</v>
      </c>
      <c r="F277" s="1828"/>
    </row>
    <row r="278" spans="1:6" x14ac:dyDescent="0.25">
      <c r="A278" s="1825"/>
      <c r="B278" s="1825"/>
      <c r="C278" s="1825"/>
      <c r="D278" s="1827" t="s">
        <v>724</v>
      </c>
      <c r="E278" s="1828">
        <f>SUM(E276:E277)</f>
        <v>0</v>
      </c>
      <c r="F278" s="1828"/>
    </row>
    <row r="279" spans="1:6" ht="16.5" x14ac:dyDescent="0.25">
      <c r="A279" s="1825"/>
      <c r="B279" s="1837"/>
      <c r="C279" s="1837"/>
      <c r="D279" s="1846" t="s">
        <v>1165</v>
      </c>
      <c r="E279" s="1851">
        <f>SUM(E263:E277)</f>
        <v>186240.41999999998</v>
      </c>
      <c r="F279" s="1851">
        <f>SUM(F263:F275)</f>
        <v>259377.57</v>
      </c>
    </row>
    <row r="280" spans="1:6" ht="16.5" x14ac:dyDescent="0.3">
      <c r="B280" s="1837"/>
      <c r="C280" s="1837"/>
      <c r="D280" s="1811" t="s">
        <v>127</v>
      </c>
      <c r="E280" s="731">
        <f>SUM((E279+E261+E253+E252+E242+E239+E236+E233+E229+E226+E223+SUM(E214:E220)))+E262</f>
        <v>2020396.28</v>
      </c>
      <c r="F280" s="731">
        <f>SUM((F279+F261+F253+F252+F242+F239+F236+F233+F229+F226+F223+SUM(F214:F220)))+F262+F278</f>
        <v>1657198.5499999998</v>
      </c>
    </row>
    <row r="281" spans="1:6" s="231" customFormat="1" ht="16.5" hidden="1" x14ac:dyDescent="0.3">
      <c r="A281" s="234"/>
      <c r="B281" s="819"/>
      <c r="C281" s="1070"/>
      <c r="D281" s="823"/>
      <c r="E281" s="822"/>
      <c r="F281" s="822"/>
    </row>
    <row r="282" spans="1:6" s="231" customFormat="1" hidden="1" x14ac:dyDescent="0.25">
      <c r="A282" s="232"/>
      <c r="E282" s="498"/>
      <c r="F282" s="498"/>
    </row>
    <row r="283" spans="1:6" x14ac:dyDescent="0.25">
      <c r="A283" s="1825"/>
      <c r="C283" s="1864"/>
      <c r="D283" s="1823"/>
      <c r="E283" s="1081"/>
      <c r="F283" s="1081"/>
    </row>
    <row r="284" spans="1:6" s="231" customFormat="1" ht="30" hidden="1" x14ac:dyDescent="0.25">
      <c r="A284" s="234"/>
      <c r="B284" s="819"/>
      <c r="C284" s="819"/>
      <c r="D284" s="824" t="str">
        <f>D192</f>
        <v>Particulars</v>
      </c>
      <c r="E284" s="825" t="str">
        <f>E192</f>
        <v>As at 31st January, 2019</v>
      </c>
      <c r="F284" s="825" t="str">
        <f>F192</f>
        <v>As at 31st January, 2018</v>
      </c>
    </row>
    <row r="285" spans="1:6" ht="31.5" x14ac:dyDescent="0.25">
      <c r="A285" s="1825"/>
      <c r="B285" s="1837"/>
      <c r="C285" s="1697" t="str">
        <f>+C212</f>
        <v>Particulars</v>
      </c>
      <c r="D285" s="1697"/>
      <c r="E285" s="1069" t="str">
        <f>+E212</f>
        <v>As at 31st January, 2019</v>
      </c>
      <c r="F285" s="1069" t="str">
        <f>+F212</f>
        <v>As at 31st January, 2018</v>
      </c>
    </row>
    <row r="286" spans="1:6" s="1841" customFormat="1" ht="16.5" x14ac:dyDescent="0.25">
      <c r="A286" s="1825"/>
      <c r="B286" s="1837"/>
      <c r="C286" s="1823" t="s">
        <v>1677</v>
      </c>
      <c r="D286" s="1823" t="s">
        <v>1674</v>
      </c>
      <c r="E286" s="1822"/>
      <c r="F286" s="1822"/>
    </row>
    <row r="287" spans="1:6" ht="16.5" x14ac:dyDescent="0.25">
      <c r="A287" s="1825">
        <v>4102101000</v>
      </c>
      <c r="B287" s="1837"/>
      <c r="C287" s="1837"/>
      <c r="D287" s="1846" t="s">
        <v>174</v>
      </c>
      <c r="E287" s="926">
        <f>-ABS(IFERROR(VLOOKUP(A287,Trial!A:C,3,0),0))</f>
        <v>0</v>
      </c>
      <c r="F287" s="926">
        <f>ABS(IFERROR(VLOOKUP(A287,Trial_Balance,4,0),0))-0.33</f>
        <v>-0.33</v>
      </c>
    </row>
    <row r="288" spans="1:6" ht="16.5" x14ac:dyDescent="0.25">
      <c r="A288" s="1825">
        <v>5110201000</v>
      </c>
      <c r="B288" s="1837"/>
      <c r="C288" s="1837"/>
      <c r="D288" s="1846" t="str">
        <f>VLOOKUP(A288,Trial!A:B,2,0)</f>
        <v>Deferred Tax Expense</v>
      </c>
      <c r="E288" s="926">
        <f>ABS(IFERROR(VLOOKUP(A288,Trial!A:C,3,0),0))</f>
        <v>0</v>
      </c>
      <c r="F288" s="926">
        <f>ABS(IFERROR(VLOOKUP(A288,Trial_Balance,4,0),0))</f>
        <v>0</v>
      </c>
    </row>
    <row r="289" spans="1:7" ht="16.5" x14ac:dyDescent="0.25">
      <c r="A289" s="1825">
        <v>5110101000</v>
      </c>
      <c r="B289" s="1837"/>
      <c r="C289" s="1837"/>
      <c r="D289" s="1846" t="str">
        <f>VLOOKUP(A289,Trial!A:B,2,0)</f>
        <v>Corporate Income Tax Paid</v>
      </c>
      <c r="E289" s="926">
        <f>Tax!E44</f>
        <v>53301597.924782164</v>
      </c>
      <c r="F289" s="926">
        <f>ABS(IFERROR(VLOOKUP(A289,Trial_Balance,4,0),0))</f>
        <v>0</v>
      </c>
      <c r="G289" s="1840"/>
    </row>
    <row r="290" spans="1:7" ht="16.5" x14ac:dyDescent="0.25">
      <c r="A290" s="1825">
        <v>5110101001</v>
      </c>
      <c r="B290" s="1837"/>
      <c r="C290" s="1837"/>
      <c r="D290" s="1846" t="s">
        <v>1451</v>
      </c>
      <c r="E290" s="926">
        <f>ABS(IFERROR(VLOOKUP(A290,Trial!A:C,3,0),0))</f>
        <v>0</v>
      </c>
      <c r="F290" s="926">
        <f>ABS(IFERROR(VLOOKUP(A290,Trial_Balance,4,0),0))</f>
        <v>0</v>
      </c>
    </row>
    <row r="291" spans="1:7" ht="16.5" x14ac:dyDescent="0.25">
      <c r="A291" s="1825"/>
      <c r="B291" s="1837"/>
      <c r="C291" s="1837"/>
      <c r="D291" s="1861" t="s">
        <v>127</v>
      </c>
      <c r="E291" s="1081">
        <f>SUM(E287:E290)</f>
        <v>53301597.924782164</v>
      </c>
      <c r="F291" s="1081">
        <f>+F290+F289-F287</f>
        <v>0.33</v>
      </c>
    </row>
    <row r="292" spans="1:7" ht="16.5" x14ac:dyDescent="0.25">
      <c r="A292" s="1825"/>
      <c r="B292" s="1837"/>
      <c r="C292" s="1837"/>
      <c r="D292" s="1861" t="s">
        <v>1653</v>
      </c>
      <c r="E292" s="1081"/>
      <c r="F292" s="1081"/>
    </row>
    <row r="293" spans="1:7" s="17" customFormat="1" hidden="1" x14ac:dyDescent="0.25">
      <c r="A293" s="1024">
        <v>6103101000</v>
      </c>
      <c r="B293" s="236"/>
      <c r="C293" s="236"/>
      <c r="D293" s="226" t="str">
        <f>VLOOKUP(A293,Trial!A:B,2,0)</f>
        <v>Actuarial G/L  Post Employment Benefit Obligations</v>
      </c>
      <c r="E293" s="227">
        <f>ABS(IFERROR(VLOOKUP(A293,Trial!A:C,3,0),0))</f>
        <v>0</v>
      </c>
      <c r="F293" s="227">
        <f>ABS(IFERROR(VLOOKUP(A293,Trial_Balance,4,0),0))</f>
        <v>0</v>
      </c>
    </row>
    <row r="294" spans="1:7" s="231" customFormat="1" hidden="1" x14ac:dyDescent="0.25">
      <c r="A294" s="232"/>
      <c r="B294" s="236"/>
      <c r="C294" s="236"/>
      <c r="D294" s="226" t="s">
        <v>127</v>
      </c>
      <c r="E294" s="227"/>
      <c r="F294" s="227"/>
    </row>
    <row r="295" spans="1:7" ht="16.5" x14ac:dyDescent="0.25">
      <c r="B295" s="1837"/>
      <c r="C295" s="1837"/>
      <c r="D295" s="1846"/>
      <c r="E295" s="1877"/>
      <c r="F295" s="1877"/>
    </row>
    <row r="296" spans="1:7" s="231" customFormat="1" ht="30" hidden="1" x14ac:dyDescent="0.25">
      <c r="A296" s="232"/>
      <c r="B296" s="819"/>
      <c r="C296" s="819"/>
      <c r="D296" s="1083" t="s">
        <v>22</v>
      </c>
      <c r="E296" s="825" t="s">
        <v>1080</v>
      </c>
      <c r="F296" s="825" t="s">
        <v>1078</v>
      </c>
    </row>
    <row r="297" spans="1:7" ht="31.5" x14ac:dyDescent="0.25">
      <c r="B297" s="1837"/>
      <c r="C297" s="1697" t="str">
        <f>+C285</f>
        <v>Particulars</v>
      </c>
      <c r="D297" s="1697"/>
      <c r="E297" s="1069" t="str">
        <f>+E285</f>
        <v>As at 31st January, 2019</v>
      </c>
      <c r="F297" s="1069" t="str">
        <f>+F285</f>
        <v>As at 31st January, 2018</v>
      </c>
    </row>
    <row r="298" spans="1:7" s="1841" customFormat="1" ht="16.5" x14ac:dyDescent="0.25">
      <c r="A298" s="1810"/>
      <c r="B298" s="1837"/>
      <c r="C298" s="1823" t="s">
        <v>1676</v>
      </c>
      <c r="D298" s="1823" t="s">
        <v>1675</v>
      </c>
      <c r="E298" s="1822"/>
      <c r="F298" s="1822"/>
    </row>
    <row r="299" spans="1:7" ht="16.5" x14ac:dyDescent="0.25">
      <c r="B299" s="1837"/>
      <c r="C299" s="1837"/>
      <c r="D299" s="1846" t="s">
        <v>508</v>
      </c>
      <c r="E299" s="928">
        <f>'3SOCI'!D32</f>
        <v>124310395.15782505</v>
      </c>
      <c r="F299" s="928">
        <f>'3SOCI'!E32</f>
        <v>114192287.87306717</v>
      </c>
    </row>
    <row r="300" spans="1:7" ht="16.5" x14ac:dyDescent="0.25">
      <c r="B300" s="1837"/>
      <c r="C300" s="1837"/>
      <c r="D300" s="1846" t="s">
        <v>509</v>
      </c>
      <c r="E300" s="926">
        <v>854082</v>
      </c>
      <c r="F300" s="926">
        <v>854082</v>
      </c>
    </row>
    <row r="301" spans="1:7" ht="16.5" x14ac:dyDescent="0.25">
      <c r="B301" s="1837"/>
      <c r="C301" s="1837"/>
      <c r="D301" s="1846" t="s">
        <v>510</v>
      </c>
      <c r="E301" s="926">
        <v>1000</v>
      </c>
      <c r="F301" s="926">
        <v>1000</v>
      </c>
    </row>
    <row r="302" spans="1:7" ht="16.5" x14ac:dyDescent="0.25">
      <c r="B302" s="1837"/>
      <c r="C302" s="1837"/>
      <c r="D302" s="1846" t="s">
        <v>511</v>
      </c>
      <c r="E302" s="928">
        <f>(E299/E300)</f>
        <v>145.54854821647695</v>
      </c>
      <c r="F302" s="928">
        <f>+F299/F300</f>
        <v>133.70178492588204</v>
      </c>
    </row>
    <row r="303" spans="1:7" ht="16.5" x14ac:dyDescent="0.25">
      <c r="B303" s="1837"/>
      <c r="C303" s="1837"/>
      <c r="D303" s="1846" t="s">
        <v>127</v>
      </c>
      <c r="E303" s="926"/>
      <c r="F303" s="926"/>
    </row>
    <row r="304" spans="1:7" ht="16.5" x14ac:dyDescent="0.25">
      <c r="A304" s="1813"/>
      <c r="B304" s="1837"/>
      <c r="C304" s="1837"/>
      <c r="D304" s="1846" t="s">
        <v>1123</v>
      </c>
      <c r="E304" s="926">
        <v>661</v>
      </c>
      <c r="F304" s="926"/>
    </row>
    <row r="305" spans="1:6" ht="16.5" x14ac:dyDescent="0.25">
      <c r="A305" s="1813"/>
      <c r="B305" s="1837"/>
      <c r="C305" s="1837"/>
      <c r="D305" s="1846" t="s">
        <v>213</v>
      </c>
      <c r="E305" s="926">
        <f>E299/1000000</f>
        <v>124.31039515782506</v>
      </c>
      <c r="F305" s="926"/>
    </row>
    <row r="306" spans="1:6" ht="16.5" x14ac:dyDescent="0.25">
      <c r="A306" s="1813"/>
      <c r="B306" s="1837"/>
      <c r="C306" s="1837"/>
      <c r="D306" s="1846" t="s">
        <v>214</v>
      </c>
      <c r="E306" s="1877">
        <f>(E305/E304)</f>
        <v>0.18806413790896379</v>
      </c>
      <c r="F306" s="926"/>
    </row>
  </sheetData>
  <autoFilter ref="A4:F306">
    <filterColumn colId="1">
      <colorFilter dxfId="11"/>
    </filterColumn>
  </autoFilter>
  <sortState ref="D4:F129">
    <sortCondition ref="D79:D102"/>
  </sortState>
  <mergeCells count="13">
    <mergeCell ref="C285:D285"/>
    <mergeCell ref="C297:D297"/>
    <mergeCell ref="C1:F1"/>
    <mergeCell ref="C2:F2"/>
    <mergeCell ref="C145:D145"/>
    <mergeCell ref="C166:D166"/>
    <mergeCell ref="C187:D187"/>
    <mergeCell ref="C202:D202"/>
    <mergeCell ref="C212:D212"/>
    <mergeCell ref="C64:D64"/>
    <mergeCell ref="C95:D95"/>
    <mergeCell ref="C131:D131"/>
    <mergeCell ref="C6:D6"/>
  </mergeCells>
  <conditionalFormatting sqref="A191:A192">
    <cfRule type="duplicateValues" dxfId="10" priority="11"/>
  </conditionalFormatting>
  <conditionalFormatting sqref="A283:A286">
    <cfRule type="duplicateValues" dxfId="9" priority="10"/>
  </conditionalFormatting>
  <conditionalFormatting sqref="A265 A224 A234">
    <cfRule type="duplicateValues" dxfId="8" priority="34"/>
  </conditionalFormatting>
  <conditionalFormatting sqref="A82:A85">
    <cfRule type="duplicateValues" dxfId="7" priority="7"/>
  </conditionalFormatting>
  <conditionalFormatting sqref="A246 A252">
    <cfRule type="duplicateValues" dxfId="6" priority="5"/>
  </conditionalFormatting>
  <conditionalFormatting sqref="A122">
    <cfRule type="duplicateValues" dxfId="5" priority="1"/>
  </conditionalFormatting>
  <conditionalFormatting sqref="A122">
    <cfRule type="duplicateValues" dxfId="4" priority="2"/>
  </conditionalFormatting>
  <conditionalFormatting sqref="A274:A275">
    <cfRule type="duplicateValues" dxfId="3" priority="167"/>
  </conditionalFormatting>
  <conditionalFormatting sqref="A293 A177:A190 A266:A273 A287:A290 A10:A11 A13:A66 A71:A73 A76:A77 A80:A81 A86:A121 A247:A251 A253:A259 A263:A264 A235:A245 A276:A281 A225:A233 A123:A175 A193:A223">
    <cfRule type="duplicateValues" dxfId="2" priority="187"/>
  </conditionalFormatting>
  <conditionalFormatting sqref="A283:A293 A276:A281 A247:A251 A10:A11 A13:A66 A71:A73 A76:A77 A80:A81 A86:A121 A253:A273 A123:A245">
    <cfRule type="duplicateValues" dxfId="1" priority="238"/>
  </conditionalFormatting>
  <conditionalFormatting sqref="A176">
    <cfRule type="duplicateValues" dxfId="0" priority="239"/>
  </conditionalFormatting>
  <printOptions horizontalCentered="1"/>
  <pageMargins left="0" right="0" top="0.55118110236220474" bottom="0.19685039370078741" header="3.937007874015748E-2" footer="3.937007874015748E-2"/>
  <pageSetup paperSize="9" scale="80" orientation="portrait" r:id="rId1"/>
  <headerFooter scaleWithDoc="0" alignWithMargins="0"/>
  <rowBreaks count="2" manualBreakCount="2">
    <brk id="163" max="5" man="1"/>
    <brk id="280" max="5" man="1"/>
  </rowBreaks>
  <ignoredErrors>
    <ignoredError sqref="E12 E24:E51 F13:F41 E108:E113 F108:F113 E227:E228 F224:F225 E243:E252 E124:E126 E115:E122 F44:F51 F124:F126 F115:F122 F227:F235 F237:F238 F241 F244:F250 F254:F260 E230:E235 E237:E238 E240:E241" formula="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73"/>
  <sheetViews>
    <sheetView showGridLines="0" view="pageBreakPreview" topLeftCell="B1" zoomScale="80" zoomScaleNormal="80" zoomScaleSheetLayoutView="80" zoomScalePageLayoutView="80" workbookViewId="0">
      <selection activeCell="C7" sqref="C7"/>
    </sheetView>
  </sheetViews>
  <sheetFormatPr defaultColWidth="8.85546875" defaultRowHeight="15.75" outlineLevelRow="1" x14ac:dyDescent="0.25"/>
  <cols>
    <col min="1" max="1" width="0.42578125" style="557" hidden="1" customWidth="1"/>
    <col min="2" max="2" width="79.42578125" style="557" customWidth="1"/>
    <col min="3" max="3" width="10.28515625" style="1270" customWidth="1"/>
    <col min="4" max="4" width="22.7109375" style="1270" customWidth="1"/>
    <col min="5" max="5" width="20.85546875" style="1270" bestFit="1" customWidth="1"/>
    <col min="6" max="10" width="28.42578125" style="557" customWidth="1"/>
    <col min="11" max="16384" width="8.85546875" style="557"/>
  </cols>
  <sheetData>
    <row r="1" spans="1:10" x14ac:dyDescent="0.25">
      <c r="A1" s="1389"/>
      <c r="B1" s="1604" t="str">
        <f>'2SFP'!B1</f>
        <v>BHUTAN TELECOM LIMITED</v>
      </c>
      <c r="C1" s="1605"/>
      <c r="D1" s="1605"/>
      <c r="E1" s="1606"/>
    </row>
    <row r="2" spans="1:10" x14ac:dyDescent="0.25">
      <c r="A2" s="1390"/>
      <c r="B2" s="1642" t="str">
        <f>'7N_3-12'!B2:F2</f>
        <v>Notes forming part of the Financial Statements for the year ended 31st December, 2018</v>
      </c>
      <c r="C2" s="1643"/>
      <c r="D2" s="1643"/>
      <c r="E2" s="1644"/>
    </row>
    <row r="3" spans="1:10" s="552" customFormat="1" ht="16.5" x14ac:dyDescent="0.25">
      <c r="A3" s="1391"/>
      <c r="B3" s="1541"/>
      <c r="C3" s="1229"/>
      <c r="D3" s="1230"/>
      <c r="E3" s="1392"/>
    </row>
    <row r="4" spans="1:10" s="552" customFormat="1" x14ac:dyDescent="0.25">
      <c r="A4" s="1391"/>
      <c r="B4" s="1542" t="s">
        <v>1654</v>
      </c>
      <c r="C4" s="1231"/>
      <c r="D4" s="1232"/>
      <c r="E4" s="1393"/>
    </row>
    <row r="5" spans="1:10" s="552" customFormat="1" ht="16.5" hidden="1" x14ac:dyDescent="0.25">
      <c r="A5" s="1391"/>
      <c r="B5" s="1093"/>
      <c r="C5" s="1231"/>
      <c r="D5" s="1232"/>
      <c r="E5" s="1393"/>
    </row>
    <row r="6" spans="1:10" s="552" customFormat="1" ht="16.5" x14ac:dyDescent="0.25">
      <c r="A6" s="1391"/>
      <c r="B6" s="1093"/>
      <c r="C6" s="1231"/>
      <c r="D6" s="1232"/>
      <c r="E6" s="1393"/>
    </row>
    <row r="7" spans="1:10" s="552" customFormat="1" x14ac:dyDescent="0.25">
      <c r="A7" s="1391"/>
      <c r="B7" s="1092" t="s">
        <v>1467</v>
      </c>
      <c r="C7" s="1231"/>
      <c r="D7" s="1232"/>
      <c r="E7" s="1393"/>
    </row>
    <row r="8" spans="1:10" s="552" customFormat="1" ht="31.5" x14ac:dyDescent="0.25">
      <c r="A8" s="1391"/>
      <c r="B8" s="1697" t="s">
        <v>22</v>
      </c>
      <c r="C8" s="1697"/>
      <c r="D8" s="1069" t="s">
        <v>1650</v>
      </c>
      <c r="E8" s="1079" t="s">
        <v>1651</v>
      </c>
    </row>
    <row r="9" spans="1:10" s="552" customFormat="1" collapsed="1" x14ac:dyDescent="0.25">
      <c r="A9" s="1391"/>
      <c r="B9" s="1090" t="s">
        <v>1452</v>
      </c>
      <c r="C9" s="1233"/>
      <c r="D9" s="1234"/>
      <c r="E9" s="1394"/>
    </row>
    <row r="10" spans="1:10" s="552" customFormat="1" outlineLevel="1" x14ac:dyDescent="0.25">
      <c r="A10" s="1391"/>
      <c r="B10" s="1091"/>
      <c r="C10" s="1096"/>
      <c r="D10" s="1235"/>
      <c r="E10" s="1394"/>
    </row>
    <row r="11" spans="1:10" s="552" customFormat="1" x14ac:dyDescent="0.25">
      <c r="A11" s="1391"/>
      <c r="B11" s="1090" t="s">
        <v>1453</v>
      </c>
      <c r="C11" s="1096"/>
      <c r="D11" s="1236"/>
      <c r="E11" s="1395"/>
    </row>
    <row r="12" spans="1:10" s="552" customFormat="1" x14ac:dyDescent="0.25">
      <c r="A12" s="1391"/>
      <c r="B12" s="1091" t="s">
        <v>1454</v>
      </c>
      <c r="C12" s="1096"/>
      <c r="D12" s="1237">
        <f>+'10N_22-33'!E289</f>
        <v>53301597.924782164</v>
      </c>
      <c r="E12" s="1396">
        <f>+'10N_22-33'!F289</f>
        <v>0</v>
      </c>
      <c r="J12" s="552">
        <v>2503187080.9192119</v>
      </c>
    </row>
    <row r="13" spans="1:10" s="552" customFormat="1" x14ac:dyDescent="0.25">
      <c r="A13" s="1391"/>
      <c r="B13" s="1091" t="s">
        <v>1455</v>
      </c>
      <c r="C13" s="1096"/>
      <c r="D13" s="1238">
        <f>+'10N_22-33'!E290</f>
        <v>0</v>
      </c>
      <c r="E13" s="1393">
        <f>+'10N_22-33'!F290</f>
        <v>0</v>
      </c>
      <c r="J13" s="552">
        <v>54272254.060000002</v>
      </c>
    </row>
    <row r="14" spans="1:10" s="552" customFormat="1" x14ac:dyDescent="0.25">
      <c r="A14" s="1391"/>
      <c r="B14" s="1092"/>
      <c r="C14" s="1096"/>
      <c r="D14" s="1239">
        <f>SUM(D12:D13)</f>
        <v>53301597.924782164</v>
      </c>
      <c r="E14" s="1397">
        <f>SUM(E12:E13)</f>
        <v>0</v>
      </c>
      <c r="J14" s="552">
        <v>2557459334.9792118</v>
      </c>
    </row>
    <row r="15" spans="1:10" s="552" customFormat="1" x14ac:dyDescent="0.25">
      <c r="A15" s="1391"/>
      <c r="B15" s="1090" t="s">
        <v>1456</v>
      </c>
      <c r="C15" s="1096"/>
      <c r="D15" s="1240"/>
      <c r="E15" s="1395"/>
    </row>
    <row r="16" spans="1:10" s="552" customFormat="1" x14ac:dyDescent="0.25">
      <c r="A16" s="1391"/>
      <c r="B16" s="1091" t="s">
        <v>1457</v>
      </c>
      <c r="C16" s="1096"/>
      <c r="D16" s="1238">
        <f>+'10N_22-33'!E287</f>
        <v>0</v>
      </c>
      <c r="E16" s="1396">
        <f>-'10N_22-33'!F287</f>
        <v>0.33</v>
      </c>
      <c r="J16" s="552">
        <v>0</v>
      </c>
    </row>
    <row r="17" spans="1:10" s="552" customFormat="1" x14ac:dyDescent="0.25">
      <c r="A17" s="1391"/>
      <c r="B17" s="1092"/>
      <c r="C17" s="1096"/>
      <c r="D17" s="1241">
        <f>SUM(D16)</f>
        <v>0</v>
      </c>
      <c r="E17" s="1397">
        <f>SUM(E16)</f>
        <v>0.33</v>
      </c>
      <c r="J17" s="552">
        <v>0</v>
      </c>
    </row>
    <row r="18" spans="1:10" s="552" customFormat="1" ht="16.5" hidden="1" x14ac:dyDescent="0.25">
      <c r="A18" s="1391"/>
      <c r="B18" s="1093"/>
      <c r="C18" s="1096"/>
      <c r="D18" s="1240"/>
      <c r="E18" s="1395"/>
    </row>
    <row r="19" spans="1:10" s="554" customFormat="1" hidden="1" x14ac:dyDescent="0.25">
      <c r="A19" s="1391"/>
      <c r="B19" s="1092"/>
      <c r="C19" s="1089"/>
      <c r="D19" s="1242"/>
      <c r="E19" s="1393"/>
    </row>
    <row r="20" spans="1:10" s="554" customFormat="1" hidden="1" x14ac:dyDescent="0.25">
      <c r="A20" s="1391"/>
      <c r="B20" s="1092"/>
      <c r="C20" s="1089"/>
      <c r="D20" s="1242"/>
      <c r="E20" s="1393"/>
    </row>
    <row r="21" spans="1:10" s="554" customFormat="1" hidden="1" x14ac:dyDescent="0.25">
      <c r="A21" s="1391"/>
      <c r="B21" s="1092"/>
      <c r="C21" s="1089"/>
      <c r="D21" s="1239"/>
      <c r="E21" s="1398"/>
    </row>
    <row r="22" spans="1:10" s="554" customFormat="1" x14ac:dyDescent="0.25">
      <c r="A22" s="1391"/>
      <c r="B22" s="1092"/>
      <c r="C22" s="1089"/>
      <c r="D22" s="1243"/>
      <c r="E22" s="1399"/>
    </row>
    <row r="23" spans="1:10" s="554" customFormat="1" x14ac:dyDescent="0.25">
      <c r="A23" s="1391"/>
      <c r="B23" s="1090" t="s">
        <v>1458</v>
      </c>
      <c r="C23" s="1089"/>
      <c r="D23" s="1405">
        <f>+D14+D17+D21</f>
        <v>53301597.924782164</v>
      </c>
      <c r="E23" s="1398">
        <f>+E14+E17+E21</f>
        <v>0.33</v>
      </c>
      <c r="J23" s="554">
        <v>2557459334.9792118</v>
      </c>
    </row>
    <row r="24" spans="1:10" s="554" customFormat="1" x14ac:dyDescent="0.25">
      <c r="A24" s="1391"/>
      <c r="B24" s="1092"/>
      <c r="C24" s="1089"/>
      <c r="D24" s="1244"/>
      <c r="E24" s="1393"/>
    </row>
    <row r="25" spans="1:10" s="554" customFormat="1" x14ac:dyDescent="0.25">
      <c r="A25" s="1391"/>
      <c r="B25" s="1090" t="s">
        <v>1459</v>
      </c>
      <c r="C25" s="1089"/>
      <c r="D25" s="1244"/>
      <c r="E25" s="1393"/>
    </row>
    <row r="26" spans="1:10" s="554" customFormat="1" x14ac:dyDescent="0.25">
      <c r="A26" s="1391"/>
      <c r="B26" s="1704" t="s">
        <v>1460</v>
      </c>
      <c r="C26" s="1705"/>
      <c r="D26" s="1245">
        <f>+'3SOCI'!D36</f>
        <v>0</v>
      </c>
      <c r="E26" s="1400">
        <f>+'3SOCI'!E36</f>
        <v>0</v>
      </c>
      <c r="J26" s="554">
        <v>0</v>
      </c>
    </row>
    <row r="27" spans="1:10" s="554" customFormat="1" x14ac:dyDescent="0.25">
      <c r="A27" s="1391"/>
      <c r="B27" s="1094" t="s">
        <v>1461</v>
      </c>
      <c r="C27" s="1095"/>
      <c r="D27" s="1405">
        <f>SUM(D26)</f>
        <v>0</v>
      </c>
      <c r="E27" s="1533">
        <f>SUM(E26)</f>
        <v>0</v>
      </c>
      <c r="J27" s="554">
        <v>0</v>
      </c>
    </row>
    <row r="28" spans="1:10" s="554" customFormat="1" x14ac:dyDescent="0.25">
      <c r="A28" s="1391"/>
      <c r="B28" s="1092"/>
      <c r="C28" s="1246"/>
      <c r="D28" s="1247"/>
      <c r="E28" s="1393"/>
    </row>
    <row r="29" spans="1:10" s="554" customFormat="1" x14ac:dyDescent="0.25">
      <c r="A29" s="1391"/>
      <c r="B29" s="1091" t="s">
        <v>1468</v>
      </c>
      <c r="C29" s="1246"/>
      <c r="D29" s="1247"/>
      <c r="E29" s="1393"/>
    </row>
    <row r="30" spans="1:10" s="554" customFormat="1" x14ac:dyDescent="0.25">
      <c r="A30" s="1391"/>
      <c r="B30" s="1092"/>
      <c r="C30" s="1246"/>
      <c r="D30" s="1247"/>
      <c r="E30" s="1393"/>
    </row>
    <row r="31" spans="1:10" s="554" customFormat="1" x14ac:dyDescent="0.25">
      <c r="A31" s="1391"/>
      <c r="B31" s="1097" t="s">
        <v>1462</v>
      </c>
      <c r="C31" s="1248" t="s">
        <v>1463</v>
      </c>
      <c r="D31" s="1249">
        <f>+'3SOCI'!D25</f>
        <v>177611993.08260721</v>
      </c>
      <c r="E31" s="1401">
        <f>+'3SOCI'!E25</f>
        <v>163155461.59000006</v>
      </c>
      <c r="J31" s="554">
        <v>7322166325.2800064</v>
      </c>
    </row>
    <row r="32" spans="1:10" s="554" customFormat="1" x14ac:dyDescent="0.25">
      <c r="A32" s="1391"/>
      <c r="B32" s="1098" t="s">
        <v>1469</v>
      </c>
      <c r="C32" s="1250">
        <f>+D32/D31</f>
        <v>0.3</v>
      </c>
      <c r="D32" s="1242">
        <f>+D31*30%</f>
        <v>53283597.924782164</v>
      </c>
      <c r="E32" s="1402">
        <f>+E31*30%</f>
        <v>48946638.47700002</v>
      </c>
      <c r="J32" s="554">
        <v>2534055321.8529043</v>
      </c>
    </row>
    <row r="33" spans="1:10" s="554" customFormat="1" x14ac:dyDescent="0.25">
      <c r="A33" s="1391"/>
      <c r="B33" s="1098" t="s">
        <v>1464</v>
      </c>
      <c r="C33" s="1250">
        <f>+D33/D31</f>
        <v>1.0134450769677593E-4</v>
      </c>
      <c r="D33" s="1242">
        <f>+D35-D32-D34</f>
        <v>18000</v>
      </c>
      <c r="E33" s="1393">
        <f>+E35-E32-E34</f>
        <v>-48946638.147000022</v>
      </c>
      <c r="J33" s="554">
        <v>-30868240.933692515</v>
      </c>
    </row>
    <row r="34" spans="1:10" s="554" customFormat="1" x14ac:dyDescent="0.25">
      <c r="A34" s="1391"/>
      <c r="B34" s="1098" t="s">
        <v>1465</v>
      </c>
      <c r="C34" s="1250">
        <f>+D34/D31</f>
        <v>0</v>
      </c>
      <c r="D34" s="1238">
        <f>+D13</f>
        <v>0</v>
      </c>
      <c r="E34" s="1393">
        <f>+E13</f>
        <v>0</v>
      </c>
      <c r="J34" s="554">
        <v>54272254.060000002</v>
      </c>
    </row>
    <row r="35" spans="1:10" s="554" customFormat="1" x14ac:dyDescent="0.25">
      <c r="A35" s="1403"/>
      <c r="B35" s="1543" t="s">
        <v>1466</v>
      </c>
      <c r="C35" s="1404">
        <f>+D35/D31</f>
        <v>0.30010134450769677</v>
      </c>
      <c r="D35" s="1405">
        <f>+D23</f>
        <v>53301597.924782164</v>
      </c>
      <c r="E35" s="1398">
        <f>+E23</f>
        <v>0.33</v>
      </c>
      <c r="J35" s="554">
        <v>2557459334.9792118</v>
      </c>
    </row>
    <row r="36" spans="1:10" s="554" customFormat="1" x14ac:dyDescent="0.25">
      <c r="A36" s="556"/>
      <c r="C36" s="1086"/>
      <c r="D36" s="1251"/>
      <c r="E36" s="1252"/>
    </row>
    <row r="37" spans="1:10" s="554" customFormat="1" x14ac:dyDescent="0.25">
      <c r="A37" s="556"/>
      <c r="C37" s="1086"/>
      <c r="D37" s="1251"/>
      <c r="E37" s="1252"/>
    </row>
    <row r="39" spans="1:10" ht="16.5" x14ac:dyDescent="0.25">
      <c r="B39" s="553"/>
      <c r="C39" s="612"/>
      <c r="D39" s="1253"/>
      <c r="E39" s="1253"/>
      <c r="F39" s="558"/>
      <c r="G39" s="559"/>
    </row>
    <row r="40" spans="1:10" x14ac:dyDescent="0.25">
      <c r="B40" s="554"/>
      <c r="C40" s="612"/>
      <c r="D40" s="1253"/>
      <c r="E40" s="1253"/>
      <c r="F40" s="559"/>
      <c r="G40" s="559"/>
    </row>
    <row r="41" spans="1:10" x14ac:dyDescent="0.25">
      <c r="B41" s="554"/>
      <c r="C41" s="612"/>
      <c r="D41" s="1254"/>
      <c r="E41" s="1085"/>
      <c r="F41" s="559"/>
      <c r="G41" s="559"/>
    </row>
    <row r="42" spans="1:10" x14ac:dyDescent="0.25">
      <c r="B42" s="554"/>
      <c r="C42" s="612"/>
      <c r="D42" s="1255"/>
      <c r="E42" s="1085"/>
      <c r="F42" s="559"/>
      <c r="G42" s="559"/>
    </row>
    <row r="43" spans="1:10" x14ac:dyDescent="0.25">
      <c r="B43" s="554"/>
      <c r="C43" s="612"/>
      <c r="D43" s="1255"/>
      <c r="E43" s="1085"/>
      <c r="F43" s="559"/>
      <c r="G43" s="559"/>
    </row>
    <row r="44" spans="1:10" ht="16.5" x14ac:dyDescent="0.25">
      <c r="B44" s="553"/>
      <c r="C44" s="615"/>
      <c r="D44" s="1256"/>
      <c r="E44" s="1257"/>
      <c r="F44" s="560"/>
      <c r="G44" s="559"/>
    </row>
    <row r="45" spans="1:10" x14ac:dyDescent="0.25">
      <c r="B45" s="554"/>
      <c r="C45" s="612"/>
      <c r="D45" s="1257"/>
      <c r="E45" s="1084"/>
      <c r="F45" s="559"/>
      <c r="G45" s="559"/>
    </row>
    <row r="46" spans="1:10" x14ac:dyDescent="0.25">
      <c r="B46" s="561"/>
      <c r="C46" s="612"/>
      <c r="D46" s="1258"/>
      <c r="E46" s="1085"/>
      <c r="F46" s="559"/>
      <c r="G46" s="559"/>
    </row>
    <row r="47" spans="1:10" ht="16.5" x14ac:dyDescent="0.25">
      <c r="B47" s="1706"/>
      <c r="C47" s="612"/>
      <c r="D47" s="1259"/>
      <c r="E47" s="612"/>
      <c r="F47" s="562"/>
      <c r="G47" s="559"/>
    </row>
    <row r="48" spans="1:10" ht="16.5" x14ac:dyDescent="0.25">
      <c r="B48" s="1706"/>
      <c r="C48" s="612"/>
      <c r="D48" s="1260"/>
      <c r="E48" s="612"/>
      <c r="F48" s="562"/>
      <c r="G48" s="559"/>
    </row>
    <row r="49" spans="2:7" ht="16.5" x14ac:dyDescent="0.25">
      <c r="B49" s="1706"/>
      <c r="C49" s="612"/>
      <c r="D49" s="1261"/>
      <c r="E49" s="612"/>
      <c r="F49" s="558"/>
      <c r="G49" s="559"/>
    </row>
    <row r="50" spans="2:7" x14ac:dyDescent="0.25">
      <c r="B50" s="561"/>
      <c r="C50" s="612"/>
      <c r="D50" s="1262"/>
      <c r="E50" s="612"/>
      <c r="F50" s="559"/>
      <c r="G50" s="559"/>
    </row>
    <row r="51" spans="2:7" x14ac:dyDescent="0.25">
      <c r="B51" s="563"/>
      <c r="C51" s="612"/>
      <c r="D51" s="1262"/>
      <c r="E51" s="612"/>
      <c r="F51" s="559"/>
      <c r="G51" s="559"/>
    </row>
    <row r="52" spans="2:7" x14ac:dyDescent="0.25">
      <c r="B52" s="563"/>
      <c r="C52" s="612"/>
      <c r="D52" s="1262"/>
      <c r="E52" s="612"/>
      <c r="F52" s="559"/>
      <c r="G52" s="559"/>
    </row>
    <row r="53" spans="2:7" x14ac:dyDescent="0.25">
      <c r="B53" s="563"/>
      <c r="C53" s="612"/>
      <c r="D53" s="1262"/>
      <c r="E53" s="612"/>
      <c r="F53" s="559"/>
      <c r="G53" s="559"/>
    </row>
    <row r="54" spans="2:7" x14ac:dyDescent="0.25">
      <c r="B54" s="563"/>
      <c r="C54" s="612"/>
      <c r="D54" s="1262"/>
      <c r="E54" s="612"/>
      <c r="F54" s="559"/>
      <c r="G54" s="559"/>
    </row>
    <row r="55" spans="2:7" x14ac:dyDescent="0.25">
      <c r="B55" s="563"/>
      <c r="C55" s="612"/>
      <c r="D55" s="1262"/>
      <c r="E55" s="612"/>
      <c r="F55" s="559"/>
      <c r="G55" s="559"/>
    </row>
    <row r="56" spans="2:7" x14ac:dyDescent="0.25">
      <c r="B56" s="563"/>
      <c r="C56" s="612"/>
      <c r="D56" s="1262"/>
      <c r="E56" s="612"/>
      <c r="F56" s="559"/>
      <c r="G56" s="559"/>
    </row>
    <row r="57" spans="2:7" x14ac:dyDescent="0.25">
      <c r="B57" s="563"/>
      <c r="C57" s="612"/>
      <c r="D57" s="1262"/>
      <c r="E57" s="612"/>
      <c r="F57" s="559"/>
      <c r="G57" s="559"/>
    </row>
    <row r="58" spans="2:7" x14ac:dyDescent="0.25">
      <c r="B58" s="563"/>
      <c r="C58" s="612"/>
      <c r="D58" s="1262"/>
      <c r="E58" s="612"/>
      <c r="F58" s="559"/>
      <c r="G58" s="559"/>
    </row>
    <row r="59" spans="2:7" ht="16.5" x14ac:dyDescent="0.25">
      <c r="B59" s="564"/>
      <c r="C59" s="612"/>
      <c r="D59" s="1263"/>
      <c r="E59" s="612"/>
      <c r="F59" s="560"/>
      <c r="G59" s="559"/>
    </row>
    <row r="60" spans="2:7" ht="16.5" x14ac:dyDescent="0.25">
      <c r="B60" s="564"/>
      <c r="C60" s="612"/>
      <c r="D60" s="1263"/>
      <c r="E60" s="612"/>
      <c r="F60" s="560"/>
      <c r="G60" s="559"/>
    </row>
    <row r="61" spans="2:7" ht="16.5" x14ac:dyDescent="0.25">
      <c r="B61" s="564"/>
      <c r="C61" s="612"/>
      <c r="D61" s="1263"/>
      <c r="E61" s="612"/>
      <c r="F61" s="560"/>
      <c r="G61" s="559"/>
    </row>
    <row r="62" spans="2:7" ht="16.5" x14ac:dyDescent="0.25">
      <c r="B62" s="565"/>
      <c r="C62" s="578"/>
      <c r="D62" s="1263"/>
      <c r="E62" s="578"/>
      <c r="F62" s="560"/>
      <c r="G62" s="566"/>
    </row>
    <row r="63" spans="2:7" ht="16.5" x14ac:dyDescent="0.25">
      <c r="B63" s="567"/>
      <c r="C63" s="612"/>
      <c r="D63" s="1261" t="s">
        <v>1476</v>
      </c>
      <c r="E63" s="612"/>
      <c r="F63" s="558" t="s">
        <v>1476</v>
      </c>
      <c r="G63" s="558" t="s">
        <v>1476</v>
      </c>
    </row>
    <row r="64" spans="2:7" ht="17.25" thickBot="1" x14ac:dyDescent="0.3">
      <c r="B64" s="568" t="s">
        <v>1477</v>
      </c>
      <c r="C64" s="1169"/>
      <c r="D64" s="1264" t="e">
        <f>#REF!</f>
        <v>#REF!</v>
      </c>
      <c r="E64" s="1169"/>
      <c r="F64" s="569" t="e">
        <f>#REF!</f>
        <v>#REF!</v>
      </c>
      <c r="G64" s="570" t="e">
        <f>F64</f>
        <v>#REF!</v>
      </c>
    </row>
    <row r="65" spans="2:7" ht="17.25" thickBot="1" x14ac:dyDescent="0.3">
      <c r="B65" s="571"/>
      <c r="C65" s="1265"/>
      <c r="D65" s="1266" t="s">
        <v>1478</v>
      </c>
      <c r="E65" s="1265"/>
      <c r="F65" s="572" t="s">
        <v>1478</v>
      </c>
      <c r="G65" s="570" t="s">
        <v>1479</v>
      </c>
    </row>
    <row r="66" spans="2:7" ht="16.5" x14ac:dyDescent="0.25">
      <c r="B66" s="565" t="s">
        <v>1480</v>
      </c>
      <c r="C66" s="578"/>
      <c r="D66" s="1267">
        <f>+F72</f>
        <v>205501911</v>
      </c>
      <c r="E66" s="578"/>
      <c r="F66" s="559">
        <v>166802860</v>
      </c>
      <c r="G66" s="573" t="e">
        <f t="shared" ref="G66:G69" si="0">ROUND(F66/$D$3,2)</f>
        <v>#DIV/0!</v>
      </c>
    </row>
    <row r="67" spans="2:7" x14ac:dyDescent="0.25">
      <c r="B67" s="574" t="s">
        <v>1481</v>
      </c>
      <c r="C67" s="578"/>
      <c r="D67" s="1267">
        <v>0</v>
      </c>
      <c r="E67" s="578"/>
      <c r="F67" s="559">
        <v>0</v>
      </c>
      <c r="G67" s="573" t="e">
        <f t="shared" si="0"/>
        <v>#DIV/0!</v>
      </c>
    </row>
    <row r="68" spans="2:7" x14ac:dyDescent="0.25">
      <c r="B68" s="574" t="s">
        <v>1482</v>
      </c>
      <c r="C68" s="578"/>
      <c r="D68" s="1267">
        <f>+'[2]Trial Conso IND AS 31.03.18'!D1682-'[2]Trial Conso IND AS 31.03.18'!C1682</f>
        <v>-245575</v>
      </c>
      <c r="E68" s="578"/>
      <c r="F68" s="559">
        <v>38699044</v>
      </c>
      <c r="G68" s="573" t="e">
        <f t="shared" si="0"/>
        <v>#DIV/0!</v>
      </c>
    </row>
    <row r="69" spans="2:7" x14ac:dyDescent="0.25">
      <c r="B69" s="574" t="s">
        <v>1483</v>
      </c>
      <c r="C69" s="578"/>
      <c r="D69" s="1267">
        <f>+'[2]Trial Conso IND AS 31.03.18'!D1683-'[2]Trial Conso IND AS 31.03.18'!C1683</f>
        <v>-25357.360000000004</v>
      </c>
      <c r="E69" s="578"/>
      <c r="F69" s="559">
        <f>'[2]Trial Conso IND AS 31.03.18'!L1683</f>
        <v>7</v>
      </c>
      <c r="G69" s="573" t="e">
        <f t="shared" si="0"/>
        <v>#DIV/0!</v>
      </c>
    </row>
    <row r="70" spans="2:7" x14ac:dyDescent="0.25">
      <c r="B70" s="575" t="s">
        <v>1484</v>
      </c>
      <c r="C70" s="578"/>
      <c r="D70" s="1267"/>
      <c r="E70" s="578"/>
      <c r="F70" s="559"/>
      <c r="G70" s="573" t="e">
        <f t="shared" ref="G70:G71" si="1">F70/$D$3</f>
        <v>#DIV/0!</v>
      </c>
    </row>
    <row r="71" spans="2:7" x14ac:dyDescent="0.25">
      <c r="B71" s="575" t="s">
        <v>1485</v>
      </c>
      <c r="C71" s="578"/>
      <c r="D71" s="1267"/>
      <c r="E71" s="578"/>
      <c r="F71" s="559"/>
      <c r="G71" s="573" t="e">
        <f t="shared" si="1"/>
        <v>#DIV/0!</v>
      </c>
    </row>
    <row r="72" spans="2:7" ht="17.25" thickBot="1" x14ac:dyDescent="0.3">
      <c r="B72" s="565" t="s">
        <v>1486</v>
      </c>
      <c r="C72" s="578"/>
      <c r="D72" s="1268">
        <f>SUM(D66:D71)</f>
        <v>205230978.63999999</v>
      </c>
      <c r="E72" s="578"/>
      <c r="F72" s="576">
        <f>SUM(F66:F71)</f>
        <v>205501911</v>
      </c>
      <c r="G72" s="576" t="e">
        <f>SUM(G66:G71)</f>
        <v>#DIV/0!</v>
      </c>
    </row>
    <row r="73" spans="2:7" x14ac:dyDescent="0.25">
      <c r="B73" s="575"/>
      <c r="C73" s="578"/>
      <c r="D73" s="1269">
        <f>D32-D72</f>
        <v>-151947380.71521783</v>
      </c>
      <c r="E73" s="578"/>
      <c r="F73" s="566">
        <f>F32-F72</f>
        <v>-205501911</v>
      </c>
      <c r="G73" s="566"/>
    </row>
  </sheetData>
  <mergeCells count="5">
    <mergeCell ref="B26:C26"/>
    <mergeCell ref="B47:B49"/>
    <mergeCell ref="B1:E1"/>
    <mergeCell ref="B2:E2"/>
    <mergeCell ref="B8:C8"/>
  </mergeCells>
  <pageMargins left="0.70866141732283472" right="0.31496062992125984" top="0.74803149606299213" bottom="0.74803149606299213" header="0.31496062992125984" footer="0.31496062992125984"/>
  <pageSetup scale="65" orientation="portrait" r:id="rId1"/>
  <colBreaks count="1" manualBreakCount="1">
    <brk id="5"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83"/>
  <sheetViews>
    <sheetView showGridLines="0" view="pageBreakPreview" zoomScale="80" zoomScaleSheetLayoutView="80" workbookViewId="0">
      <selection activeCell="B7" sqref="B7:D7"/>
    </sheetView>
  </sheetViews>
  <sheetFormatPr defaultColWidth="9.140625" defaultRowHeight="15.75" x14ac:dyDescent="0.25"/>
  <cols>
    <col min="1" max="1" width="34.42578125" style="409" customWidth="1"/>
    <col min="2" max="2" width="19.42578125" style="409" bestFit="1" customWidth="1"/>
    <col min="3" max="3" width="19.42578125" style="409" customWidth="1"/>
    <col min="4" max="4" width="21.140625" style="409" customWidth="1"/>
    <col min="5" max="5" width="21.42578125" style="409" customWidth="1"/>
    <col min="6" max="6" width="18.7109375" style="409" bestFit="1" customWidth="1"/>
    <col min="7" max="7" width="19.28515625" style="409" bestFit="1" customWidth="1"/>
    <col min="8" max="8" width="6.28515625" style="409" customWidth="1"/>
    <col min="9" max="9" width="7.42578125" style="409" customWidth="1"/>
    <col min="10" max="10" width="6.42578125" style="409" customWidth="1"/>
    <col min="11" max="11" width="15.7109375" style="409" bestFit="1" customWidth="1"/>
    <col min="12" max="12" width="19.85546875" style="409" bestFit="1" customWidth="1"/>
    <col min="13" max="13" width="17.7109375" style="409" customWidth="1"/>
    <col min="14" max="14" width="87.7109375" style="116" bestFit="1" customWidth="1"/>
    <col min="15" max="15" width="16.42578125" style="116" bestFit="1" customWidth="1"/>
    <col min="16" max="16" width="14.42578125" style="116" bestFit="1" customWidth="1"/>
    <col min="17" max="17" width="14.85546875" style="116" bestFit="1" customWidth="1"/>
    <col min="18" max="18" width="14.42578125" style="116" bestFit="1" customWidth="1"/>
    <col min="19" max="21" width="9.140625" style="116"/>
    <col min="22" max="22" width="14.42578125" style="116" bestFit="1" customWidth="1"/>
    <col min="23" max="16384" width="9.140625" style="116"/>
  </cols>
  <sheetData>
    <row r="1" spans="1:13" x14ac:dyDescent="0.25">
      <c r="A1" s="1731" t="s">
        <v>0</v>
      </c>
      <c r="B1" s="1732"/>
      <c r="C1" s="1732"/>
      <c r="D1" s="1732"/>
      <c r="E1" s="1732"/>
      <c r="F1" s="1732"/>
      <c r="G1" s="1733"/>
      <c r="H1" s="1406"/>
      <c r="I1" s="1406"/>
      <c r="J1" s="903"/>
    </row>
    <row r="2" spans="1:13" x14ac:dyDescent="0.25">
      <c r="A2" s="1407"/>
      <c r="B2" s="1173" t="s">
        <v>1084</v>
      </c>
      <c r="C2" s="1174"/>
      <c r="D2" s="1174"/>
      <c r="E2" s="1174"/>
      <c r="F2" s="1174"/>
      <c r="G2" s="1545"/>
      <c r="H2" s="1172"/>
      <c r="I2" s="1172"/>
      <c r="J2" s="1408"/>
    </row>
    <row r="3" spans="1:13" x14ac:dyDescent="0.25">
      <c r="A3" s="1407"/>
      <c r="B3" s="1173"/>
      <c r="C3" s="1174"/>
      <c r="D3" s="1174"/>
      <c r="E3" s="1174"/>
      <c r="F3" s="1174"/>
      <c r="G3" s="1545"/>
      <c r="H3" s="1172"/>
      <c r="I3" s="1172"/>
      <c r="J3" s="1408"/>
    </row>
    <row r="4" spans="1:13" x14ac:dyDescent="0.25">
      <c r="A4" s="1409" t="s">
        <v>512</v>
      </c>
      <c r="B4" s="1175"/>
      <c r="C4" s="1175"/>
      <c r="D4" s="1175"/>
      <c r="E4" s="1176"/>
      <c r="F4" s="1172"/>
      <c r="G4" s="1408"/>
      <c r="H4" s="1172"/>
      <c r="I4" s="1172"/>
      <c r="J4" s="1408"/>
    </row>
    <row r="5" spans="1:13" x14ac:dyDescent="0.25">
      <c r="A5" s="1409"/>
      <c r="B5" s="1175"/>
      <c r="C5" s="1175"/>
      <c r="D5" s="1175"/>
      <c r="E5" s="1176"/>
      <c r="F5" s="1172"/>
      <c r="G5" s="1408"/>
      <c r="H5" s="1172"/>
      <c r="I5" s="1172"/>
      <c r="J5" s="1408"/>
    </row>
    <row r="6" spans="1:13" ht="16.5" thickBot="1" x14ac:dyDescent="0.3">
      <c r="A6" s="1546" t="s">
        <v>373</v>
      </c>
      <c r="B6" s="1547"/>
      <c r="C6" s="1547"/>
      <c r="D6" s="1547"/>
      <c r="E6" s="1547"/>
      <c r="F6" s="1547"/>
      <c r="G6" s="1548"/>
      <c r="H6" s="1177"/>
      <c r="I6" s="1177"/>
      <c r="J6" s="1411"/>
      <c r="K6" s="451"/>
      <c r="L6" s="452"/>
    </row>
    <row r="7" spans="1:13" x14ac:dyDescent="0.25">
      <c r="A7" s="1714" t="s">
        <v>22</v>
      </c>
      <c r="B7" s="1708" t="s">
        <v>585</v>
      </c>
      <c r="C7" s="1709"/>
      <c r="D7" s="1709"/>
      <c r="E7" s="1708" t="s">
        <v>372</v>
      </c>
      <c r="F7" s="1709"/>
      <c r="G7" s="1716"/>
      <c r="H7" s="1717" t="s">
        <v>348</v>
      </c>
      <c r="I7" s="1718"/>
      <c r="J7" s="1718"/>
    </row>
    <row r="8" spans="1:13" ht="15.75" customHeight="1" thickBot="1" x14ac:dyDescent="0.3">
      <c r="A8" s="1715"/>
      <c r="B8" s="1099" t="s">
        <v>349</v>
      </c>
      <c r="C8" s="1100" t="s">
        <v>350</v>
      </c>
      <c r="D8" s="1100" t="s">
        <v>351</v>
      </c>
      <c r="E8" s="1099" t="s">
        <v>349</v>
      </c>
      <c r="F8" s="1100" t="s">
        <v>350</v>
      </c>
      <c r="G8" s="1101" t="s">
        <v>351</v>
      </c>
      <c r="H8" s="827" t="s">
        <v>349</v>
      </c>
      <c r="I8" s="827" t="s">
        <v>350</v>
      </c>
      <c r="J8" s="828" t="s">
        <v>351</v>
      </c>
    </row>
    <row r="9" spans="1:13" x14ac:dyDescent="0.25">
      <c r="A9" s="1412" t="s">
        <v>1652</v>
      </c>
      <c r="B9" s="831"/>
      <c r="C9" s="830"/>
      <c r="D9" s="830"/>
      <c r="E9" s="829"/>
      <c r="F9" s="831"/>
      <c r="G9" s="832"/>
      <c r="H9" s="831"/>
      <c r="I9" s="831"/>
      <c r="J9" s="832"/>
    </row>
    <row r="10" spans="1:13" s="117" customFormat="1" x14ac:dyDescent="0.25">
      <c r="A10" s="1413" t="s">
        <v>1497</v>
      </c>
      <c r="B10" s="830">
        <v>0</v>
      </c>
      <c r="C10" s="830">
        <v>0</v>
      </c>
      <c r="D10" s="833">
        <v>0</v>
      </c>
      <c r="E10" s="1102">
        <v>0</v>
      </c>
      <c r="F10" s="833">
        <v>0</v>
      </c>
      <c r="G10" s="834">
        <f>+'7N_3-12'!F11</f>
        <v>92308400</v>
      </c>
      <c r="H10" s="836"/>
      <c r="I10" s="836"/>
      <c r="J10" s="832"/>
      <c r="K10" s="229"/>
      <c r="L10" s="229"/>
      <c r="M10" s="229"/>
    </row>
    <row r="11" spans="1:13" s="117" customFormat="1" x14ac:dyDescent="0.25">
      <c r="A11" s="1413" t="s">
        <v>1493</v>
      </c>
      <c r="B11" s="830">
        <v>0</v>
      </c>
      <c r="C11" s="830">
        <v>0</v>
      </c>
      <c r="D11" s="845">
        <f>'7N_3-12'!E15</f>
        <v>0</v>
      </c>
      <c r="E11" s="1102">
        <v>0</v>
      </c>
      <c r="F11" s="833">
        <v>0</v>
      </c>
      <c r="G11" s="834">
        <f>'7N_3-12'!F15</f>
        <v>120000000</v>
      </c>
      <c r="H11" s="836"/>
      <c r="I11" s="836"/>
      <c r="J11" s="832">
        <v>0</v>
      </c>
      <c r="K11" s="229"/>
      <c r="L11" s="229"/>
      <c r="M11" s="229"/>
    </row>
    <row r="12" spans="1:13" s="117" customFormat="1" x14ac:dyDescent="0.25">
      <c r="A12" s="1413" t="s">
        <v>167</v>
      </c>
      <c r="B12" s="830">
        <v>0</v>
      </c>
      <c r="C12" s="830">
        <v>0</v>
      </c>
      <c r="D12" s="834">
        <f>+'7N_3-12'!E16</f>
        <v>0</v>
      </c>
      <c r="E12" s="833">
        <v>0</v>
      </c>
      <c r="F12" s="833">
        <v>0</v>
      </c>
      <c r="G12" s="834">
        <v>0</v>
      </c>
      <c r="H12" s="835"/>
      <c r="I12" s="836"/>
      <c r="J12" s="832"/>
      <c r="K12" s="229"/>
      <c r="L12" s="229"/>
      <c r="M12" s="229"/>
    </row>
    <row r="13" spans="1:13" s="117" customFormat="1" x14ac:dyDescent="0.25">
      <c r="A13" s="1413" t="s">
        <v>1370</v>
      </c>
      <c r="B13" s="830">
        <v>0</v>
      </c>
      <c r="C13" s="830">
        <v>0</v>
      </c>
      <c r="D13" s="834">
        <f>'7N_3-12'!E17</f>
        <v>4948289.43</v>
      </c>
      <c r="E13" s="833">
        <v>0</v>
      </c>
      <c r="F13" s="833">
        <v>0</v>
      </c>
      <c r="G13" s="834">
        <f>'7N_3-12'!F17</f>
        <v>4734293.09</v>
      </c>
      <c r="H13" s="835"/>
      <c r="I13" s="836"/>
      <c r="J13" s="832"/>
      <c r="K13" s="229"/>
      <c r="L13" s="229"/>
      <c r="M13" s="229"/>
    </row>
    <row r="14" spans="1:13" s="117" customFormat="1" x14ac:dyDescent="0.25">
      <c r="A14" s="1413" t="s">
        <v>1488</v>
      </c>
      <c r="B14" s="830">
        <v>0</v>
      </c>
      <c r="C14" s="830">
        <v>0</v>
      </c>
      <c r="D14" s="834">
        <f>'7N_3-12'!E79</f>
        <v>32760174.199999996</v>
      </c>
      <c r="E14" s="833">
        <v>0</v>
      </c>
      <c r="F14" s="833">
        <v>0</v>
      </c>
      <c r="G14" s="834">
        <f>'7N_3-12'!F79</f>
        <v>158867562.09000003</v>
      </c>
      <c r="H14" s="835"/>
      <c r="I14" s="836"/>
      <c r="J14" s="832">
        <v>53207355.950000003</v>
      </c>
      <c r="K14" s="229"/>
      <c r="L14" s="229"/>
      <c r="M14" s="229"/>
    </row>
    <row r="15" spans="1:13" s="117" customFormat="1" x14ac:dyDescent="0.25">
      <c r="A15" s="1413" t="s">
        <v>1489</v>
      </c>
      <c r="B15" s="830">
        <v>0</v>
      </c>
      <c r="C15" s="830">
        <v>0</v>
      </c>
      <c r="D15" s="834">
        <f>'7N_3-12'!E100</f>
        <v>265911140.67999995</v>
      </c>
      <c r="E15" s="833">
        <v>0</v>
      </c>
      <c r="F15" s="833">
        <v>0</v>
      </c>
      <c r="G15" s="834">
        <f>'7N_3-12'!F100</f>
        <v>321433180.03000003</v>
      </c>
      <c r="H15" s="835"/>
      <c r="I15" s="836"/>
      <c r="J15" s="832">
        <v>522619424.35000002</v>
      </c>
      <c r="K15" s="229"/>
      <c r="L15" s="229"/>
      <c r="M15" s="229"/>
    </row>
    <row r="16" spans="1:13" s="117" customFormat="1" x14ac:dyDescent="0.25">
      <c r="A16" s="1413" t="s">
        <v>1490</v>
      </c>
      <c r="B16" s="830">
        <v>0</v>
      </c>
      <c r="C16" s="830">
        <v>0</v>
      </c>
      <c r="D16" s="834">
        <f>'7N_3-12'!E106</f>
        <v>0</v>
      </c>
      <c r="E16" s="833">
        <v>0</v>
      </c>
      <c r="F16" s="833">
        <v>0</v>
      </c>
      <c r="G16" s="834">
        <f>'7N_3-12'!F106</f>
        <v>788565.21</v>
      </c>
      <c r="H16" s="835"/>
      <c r="I16" s="836"/>
      <c r="J16" s="832">
        <v>739651</v>
      </c>
      <c r="K16" s="229"/>
      <c r="L16" s="229"/>
      <c r="M16" s="229"/>
    </row>
    <row r="17" spans="1:14" s="117" customFormat="1" x14ac:dyDescent="0.25">
      <c r="A17" s="1413" t="s">
        <v>1491</v>
      </c>
      <c r="B17" s="830">
        <v>0</v>
      </c>
      <c r="C17" s="830">
        <v>0</v>
      </c>
      <c r="D17" s="834">
        <f>'7N_3-12'!E108</f>
        <v>2007812.9</v>
      </c>
      <c r="E17" s="833">
        <v>0</v>
      </c>
      <c r="F17" s="833">
        <v>0</v>
      </c>
      <c r="G17" s="834">
        <f>'7N_3-12'!F108</f>
        <v>2007812.9</v>
      </c>
      <c r="H17" s="835"/>
      <c r="I17" s="836"/>
      <c r="J17" s="832">
        <v>0</v>
      </c>
      <c r="K17" s="229"/>
      <c r="L17" s="229"/>
      <c r="M17" s="229"/>
    </row>
    <row r="18" spans="1:14" s="117" customFormat="1" x14ac:dyDescent="0.25">
      <c r="A18" s="1413" t="s">
        <v>1492</v>
      </c>
      <c r="B18" s="830">
        <v>0</v>
      </c>
      <c r="C18" s="830">
        <v>0</v>
      </c>
      <c r="D18" s="834">
        <f>'7N_3-12'!E107</f>
        <v>0</v>
      </c>
      <c r="E18" s="833">
        <v>0</v>
      </c>
      <c r="F18" s="833">
        <v>0</v>
      </c>
      <c r="G18" s="834">
        <f>'7N_3-12'!F107</f>
        <v>64264.35</v>
      </c>
      <c r="H18" s="835"/>
      <c r="I18" s="836"/>
      <c r="J18" s="832">
        <v>2212782.17</v>
      </c>
      <c r="K18" s="229"/>
      <c r="L18" s="229"/>
      <c r="M18" s="229"/>
    </row>
    <row r="19" spans="1:14" s="117" customFormat="1" x14ac:dyDescent="0.25">
      <c r="A19" s="1414" t="s">
        <v>353</v>
      </c>
      <c r="B19" s="838">
        <f t="shared" ref="B19:J19" si="0">SUM(B11:B18)</f>
        <v>0</v>
      </c>
      <c r="C19" s="838">
        <f t="shared" si="0"/>
        <v>0</v>
      </c>
      <c r="D19" s="839">
        <f t="shared" si="0"/>
        <v>305627417.20999992</v>
      </c>
      <c r="E19" s="840">
        <f t="shared" si="0"/>
        <v>0</v>
      </c>
      <c r="F19" s="840">
        <f t="shared" si="0"/>
        <v>0</v>
      </c>
      <c r="G19" s="839">
        <f>SUM(G10:G18)</f>
        <v>700204077.67000008</v>
      </c>
      <c r="H19" s="837">
        <f t="shared" si="0"/>
        <v>0</v>
      </c>
      <c r="I19" s="838">
        <f t="shared" si="0"/>
        <v>0</v>
      </c>
      <c r="J19" s="841">
        <f t="shared" si="0"/>
        <v>578779213.47000003</v>
      </c>
      <c r="K19" s="447"/>
      <c r="L19" s="453"/>
      <c r="M19" s="229"/>
    </row>
    <row r="20" spans="1:14" s="117" customFormat="1" x14ac:dyDescent="0.25">
      <c r="A20" s="1415" t="s">
        <v>354</v>
      </c>
      <c r="B20" s="836"/>
      <c r="C20" s="842"/>
      <c r="D20" s="843"/>
      <c r="E20" s="844"/>
      <c r="F20" s="845"/>
      <c r="G20" s="834"/>
      <c r="H20" s="835"/>
      <c r="I20" s="836"/>
      <c r="J20" s="832"/>
      <c r="K20" s="229"/>
      <c r="L20" s="502"/>
      <c r="M20" s="229"/>
    </row>
    <row r="21" spans="1:14" s="117" customFormat="1" x14ac:dyDescent="0.25">
      <c r="A21" s="1416" t="s">
        <v>1496</v>
      </c>
      <c r="B21" s="830">
        <v>0</v>
      </c>
      <c r="C21" s="830">
        <v>0</v>
      </c>
      <c r="D21" s="834">
        <f>+'9N_14-21'!C26</f>
        <v>187860837.72</v>
      </c>
      <c r="E21" s="833">
        <v>0</v>
      </c>
      <c r="F21" s="833">
        <v>0</v>
      </c>
      <c r="G21" s="834">
        <f>+'9N_14-21'!D26</f>
        <v>408920020.60000002</v>
      </c>
      <c r="H21" s="835"/>
      <c r="I21" s="836"/>
      <c r="J21" s="832">
        <v>94636502</v>
      </c>
      <c r="K21" s="447"/>
      <c r="L21" s="503"/>
      <c r="M21" s="229"/>
    </row>
    <row r="22" spans="1:14" s="117" customFormat="1" x14ac:dyDescent="0.25">
      <c r="A22" s="1416" t="s">
        <v>514</v>
      </c>
      <c r="B22" s="830">
        <v>0</v>
      </c>
      <c r="C22" s="830">
        <v>0</v>
      </c>
      <c r="D22" s="834">
        <f>'9N_14-21'!C29</f>
        <v>0</v>
      </c>
      <c r="E22" s="833">
        <v>0</v>
      </c>
      <c r="F22" s="833">
        <v>0</v>
      </c>
      <c r="G22" s="834">
        <f>'9N_14-21'!D29</f>
        <v>300000000</v>
      </c>
      <c r="H22" s="835"/>
      <c r="I22" s="836"/>
      <c r="J22" s="832">
        <v>300000000</v>
      </c>
      <c r="K22" s="447"/>
      <c r="L22" s="503"/>
      <c r="M22" s="229"/>
    </row>
    <row r="23" spans="1:14" s="117" customFormat="1" x14ac:dyDescent="0.25">
      <c r="A23" s="1416" t="s">
        <v>1494</v>
      </c>
      <c r="B23" s="830">
        <v>0</v>
      </c>
      <c r="C23" s="830">
        <v>0</v>
      </c>
      <c r="D23" s="834">
        <f>+'9N_14-21'!C42</f>
        <v>0</v>
      </c>
      <c r="E23" s="833">
        <v>0</v>
      </c>
      <c r="F23" s="833">
        <v>0</v>
      </c>
      <c r="G23" s="834">
        <f>+'9N_14-21'!D42</f>
        <v>0</v>
      </c>
      <c r="H23" s="835"/>
      <c r="I23" s="836"/>
      <c r="J23" s="832"/>
      <c r="K23" s="447"/>
      <c r="L23" s="503"/>
      <c r="M23" s="229"/>
    </row>
    <row r="24" spans="1:14" s="117" customFormat="1" x14ac:dyDescent="0.25">
      <c r="A24" s="1416" t="s">
        <v>515</v>
      </c>
      <c r="B24" s="830">
        <v>0</v>
      </c>
      <c r="C24" s="830">
        <v>0</v>
      </c>
      <c r="D24" s="834">
        <f>SUM('9N_14-21'!C74:C76)</f>
        <v>70069701.620000005</v>
      </c>
      <c r="E24" s="833">
        <v>0</v>
      </c>
      <c r="F24" s="833">
        <v>0</v>
      </c>
      <c r="G24" s="834">
        <f>SUM('9N_14-21'!D74:D76)</f>
        <v>84694960.960000008</v>
      </c>
      <c r="H24" s="835"/>
      <c r="I24" s="836"/>
      <c r="J24" s="832">
        <v>73503206.629999995</v>
      </c>
      <c r="K24" s="447"/>
      <c r="L24" s="503"/>
      <c r="M24" s="229"/>
    </row>
    <row r="25" spans="1:14" s="117" customFormat="1" x14ac:dyDescent="0.25">
      <c r="A25" s="1416" t="s">
        <v>1495</v>
      </c>
      <c r="B25" s="830">
        <v>0</v>
      </c>
      <c r="C25" s="830">
        <v>0</v>
      </c>
      <c r="D25" s="834">
        <f>+'9N_14-21'!C77</f>
        <v>30470767.649999999</v>
      </c>
      <c r="E25" s="833">
        <v>0</v>
      </c>
      <c r="F25" s="833">
        <v>0</v>
      </c>
      <c r="G25" s="834">
        <f>+'9N_14-21'!D77</f>
        <v>139053</v>
      </c>
      <c r="H25" s="835"/>
      <c r="I25" s="836"/>
      <c r="J25" s="832">
        <v>4509246.58</v>
      </c>
      <c r="K25" s="447"/>
      <c r="L25" s="503"/>
      <c r="M25" s="229"/>
    </row>
    <row r="26" spans="1:14" s="117" customFormat="1" x14ac:dyDescent="0.25">
      <c r="A26" s="1413" t="s">
        <v>1440</v>
      </c>
      <c r="B26" s="830">
        <v>0</v>
      </c>
      <c r="C26" s="830">
        <v>0</v>
      </c>
      <c r="D26" s="834">
        <f>'9N_14-21'!C92</f>
        <v>370607.61</v>
      </c>
      <c r="E26" s="833">
        <v>0</v>
      </c>
      <c r="F26" s="833">
        <v>0</v>
      </c>
      <c r="G26" s="834">
        <f>'9N_14-21'!D92</f>
        <v>140661</v>
      </c>
      <c r="H26" s="835"/>
      <c r="I26" s="836"/>
      <c r="J26" s="832">
        <v>0</v>
      </c>
      <c r="K26" s="447"/>
      <c r="L26" s="503"/>
      <c r="M26" s="229"/>
    </row>
    <row r="27" spans="1:14" s="117" customFormat="1" x14ac:dyDescent="0.25">
      <c r="A27" s="1416" t="s">
        <v>1271</v>
      </c>
      <c r="B27" s="830">
        <v>0</v>
      </c>
      <c r="C27" s="830">
        <v>0</v>
      </c>
      <c r="D27" s="834">
        <f>+'9N_14-21'!C93</f>
        <v>0</v>
      </c>
      <c r="E27" s="833">
        <v>0</v>
      </c>
      <c r="F27" s="833">
        <v>0</v>
      </c>
      <c r="G27" s="834">
        <f>+'9N_14-21'!D93</f>
        <v>0</v>
      </c>
      <c r="H27" s="835"/>
      <c r="I27" s="836"/>
      <c r="J27" s="832">
        <v>20054.86</v>
      </c>
      <c r="K27" s="447"/>
      <c r="L27" s="503"/>
      <c r="M27" s="229"/>
    </row>
    <row r="28" spans="1:14" s="117" customFormat="1" x14ac:dyDescent="0.25">
      <c r="A28" s="1416" t="s">
        <v>1498</v>
      </c>
      <c r="B28" s="830">
        <v>0</v>
      </c>
      <c r="C28" s="830">
        <v>0</v>
      </c>
      <c r="D28" s="834">
        <f>SUM('9N_14-21'!C90:C91)</f>
        <v>1050464.48</v>
      </c>
      <c r="E28" s="833">
        <v>0</v>
      </c>
      <c r="F28" s="833">
        <v>0</v>
      </c>
      <c r="G28" s="834">
        <f>SUM('9N_14-21'!D90:D91)</f>
        <v>6604675.3300000001</v>
      </c>
      <c r="H28" s="835"/>
      <c r="I28" s="836"/>
      <c r="J28" s="832">
        <v>7808954.9299999997</v>
      </c>
      <c r="K28" s="447"/>
      <c r="L28" s="503"/>
      <c r="M28" s="229"/>
    </row>
    <row r="29" spans="1:14" s="117" customFormat="1" x14ac:dyDescent="0.25">
      <c r="A29" s="1528" t="s">
        <v>356</v>
      </c>
      <c r="B29" s="1529">
        <v>0</v>
      </c>
      <c r="C29" s="1530">
        <v>0</v>
      </c>
      <c r="D29" s="840">
        <f t="shared" ref="D29:J29" si="1">SUM(D21:D28)</f>
        <v>289822379.08000004</v>
      </c>
      <c r="E29" s="1531">
        <v>0</v>
      </c>
      <c r="F29" s="1532">
        <v>0</v>
      </c>
      <c r="G29" s="839">
        <f t="shared" si="1"/>
        <v>800499370.8900001</v>
      </c>
      <c r="H29" s="838">
        <f t="shared" si="1"/>
        <v>0</v>
      </c>
      <c r="I29" s="838">
        <f t="shared" si="1"/>
        <v>0</v>
      </c>
      <c r="J29" s="841">
        <f t="shared" si="1"/>
        <v>480477965</v>
      </c>
      <c r="K29" s="447"/>
      <c r="L29" s="453"/>
      <c r="M29" s="454"/>
      <c r="N29" s="118"/>
    </row>
    <row r="30" spans="1:14" x14ac:dyDescent="0.25">
      <c r="A30" s="1558"/>
      <c r="B30" s="1559"/>
      <c r="C30" s="1559"/>
      <c r="D30" s="1559"/>
      <c r="E30" s="1559"/>
      <c r="F30" s="1559"/>
      <c r="G30" s="1560"/>
      <c r="H30" s="1559"/>
      <c r="I30" s="1559"/>
      <c r="J30" s="1560"/>
      <c r="K30" s="455"/>
      <c r="L30" s="455"/>
    </row>
    <row r="31" spans="1:14" x14ac:dyDescent="0.25">
      <c r="A31" s="1410" t="s">
        <v>357</v>
      </c>
      <c r="B31" s="1178"/>
      <c r="C31" s="1178"/>
      <c r="D31" s="1178"/>
      <c r="E31" s="1178"/>
      <c r="F31" s="1178"/>
      <c r="G31" s="1418"/>
      <c r="H31" s="1178"/>
      <c r="I31" s="1178"/>
      <c r="J31" s="1417"/>
      <c r="K31" s="455"/>
      <c r="L31" s="455"/>
    </row>
    <row r="32" spans="1:14" ht="63" customHeight="1" x14ac:dyDescent="0.2">
      <c r="A32" s="1734" t="s">
        <v>358</v>
      </c>
      <c r="B32" s="1730"/>
      <c r="C32" s="1730"/>
      <c r="D32" s="1730"/>
      <c r="E32" s="1730"/>
      <c r="F32" s="1730"/>
      <c r="G32" s="1735"/>
      <c r="H32" s="1577"/>
      <c r="I32" s="1577"/>
      <c r="J32" s="1578"/>
      <c r="K32" s="456"/>
      <c r="L32" s="456"/>
      <c r="M32" s="456"/>
    </row>
    <row r="33" spans="1:13" ht="15.75" customHeight="1" x14ac:dyDescent="0.2">
      <c r="A33" s="1576" t="s">
        <v>1520</v>
      </c>
      <c r="B33" s="1577"/>
      <c r="C33" s="1577"/>
      <c r="D33" s="1577"/>
      <c r="E33" s="1577"/>
      <c r="F33" s="1577"/>
      <c r="G33" s="1578"/>
      <c r="H33" s="1577"/>
      <c r="I33" s="1577"/>
      <c r="J33" s="1578"/>
      <c r="K33" s="456"/>
      <c r="L33" s="456"/>
      <c r="M33" s="456"/>
    </row>
    <row r="34" spans="1:13" ht="48.75" customHeight="1" x14ac:dyDescent="0.2">
      <c r="A34" s="1734" t="s">
        <v>1521</v>
      </c>
      <c r="B34" s="1730"/>
      <c r="C34" s="1730"/>
      <c r="D34" s="1730"/>
      <c r="E34" s="1730"/>
      <c r="F34" s="1730"/>
      <c r="G34" s="1735"/>
      <c r="H34" s="1577"/>
      <c r="I34" s="1577"/>
      <c r="J34" s="1578"/>
      <c r="K34" s="456"/>
      <c r="L34" s="456"/>
      <c r="M34" s="456"/>
    </row>
    <row r="35" spans="1:13" ht="15.75" customHeight="1" x14ac:dyDescent="0.2">
      <c r="A35" s="1734" t="s">
        <v>1522</v>
      </c>
      <c r="B35" s="1730"/>
      <c r="C35" s="1730"/>
      <c r="D35" s="1730"/>
      <c r="E35" s="1730"/>
      <c r="F35" s="1730"/>
      <c r="G35" s="1578"/>
      <c r="H35" s="1577"/>
      <c r="I35" s="1577"/>
      <c r="J35" s="1578"/>
      <c r="K35" s="456"/>
      <c r="L35" s="456"/>
      <c r="M35" s="456"/>
    </row>
    <row r="36" spans="1:13" ht="15.75" customHeight="1" x14ac:dyDescent="0.2">
      <c r="A36" s="1730" t="s">
        <v>359</v>
      </c>
      <c r="B36" s="1730"/>
      <c r="C36" s="1730"/>
      <c r="D36" s="1730"/>
      <c r="E36" s="1730"/>
      <c r="F36" s="1730"/>
      <c r="G36" s="1578"/>
      <c r="H36" s="1577"/>
      <c r="I36" s="1577"/>
      <c r="J36" s="1577"/>
      <c r="K36" s="457"/>
      <c r="L36" s="457"/>
      <c r="M36" s="457"/>
    </row>
    <row r="37" spans="1:13" ht="12.75" customHeight="1" x14ac:dyDescent="0.2">
      <c r="A37" s="1730"/>
      <c r="B37" s="1730"/>
      <c r="C37" s="1730"/>
      <c r="D37" s="1730"/>
      <c r="E37" s="1730"/>
      <c r="F37" s="1730"/>
      <c r="G37" s="1578"/>
      <c r="H37" s="1577"/>
      <c r="I37" s="1577"/>
      <c r="J37" s="1577"/>
      <c r="K37" s="457"/>
      <c r="L37" s="457"/>
      <c r="M37" s="457"/>
    </row>
    <row r="38" spans="1:13" x14ac:dyDescent="0.25">
      <c r="A38" s="1410" t="s">
        <v>360</v>
      </c>
      <c r="B38" s="1178"/>
      <c r="C38" s="1178"/>
      <c r="D38" s="1178"/>
      <c r="E38" s="1178"/>
      <c r="F38" s="1178"/>
      <c r="G38" s="1418"/>
      <c r="H38" s="1178"/>
      <c r="I38" s="1178"/>
      <c r="J38" s="1418"/>
      <c r="K38" s="458"/>
      <c r="L38" s="458"/>
    </row>
    <row r="39" spans="1:13" x14ac:dyDescent="0.2">
      <c r="A39" s="1419" t="s">
        <v>361</v>
      </c>
      <c r="B39" s="1179"/>
      <c r="C39" s="1179"/>
      <c r="D39" s="1179"/>
      <c r="E39" s="1179"/>
      <c r="F39" s="1179"/>
      <c r="G39" s="1420"/>
      <c r="H39" s="1179"/>
      <c r="I39" s="1179"/>
      <c r="J39" s="1420"/>
      <c r="K39" s="459"/>
      <c r="L39" s="459"/>
      <c r="M39" s="459"/>
    </row>
    <row r="40" spans="1:13" x14ac:dyDescent="0.2">
      <c r="A40" s="1421" t="s">
        <v>362</v>
      </c>
      <c r="B40" s="1422"/>
      <c r="C40" s="1422"/>
      <c r="D40" s="1422"/>
      <c r="E40" s="1422"/>
      <c r="F40" s="1422"/>
      <c r="G40" s="1423"/>
      <c r="H40" s="1422"/>
      <c r="I40" s="1422"/>
      <c r="J40" s="1423"/>
      <c r="K40" s="460"/>
      <c r="L40" s="460"/>
      <c r="M40" s="460"/>
    </row>
    <row r="41" spans="1:13" x14ac:dyDescent="0.2">
      <c r="A41" s="1424"/>
      <c r="B41" s="1425"/>
      <c r="C41" s="1425"/>
      <c r="D41" s="1425"/>
      <c r="E41" s="1425"/>
      <c r="F41" s="1425"/>
      <c r="G41" s="1426"/>
      <c r="H41" s="846"/>
      <c r="I41" s="846"/>
      <c r="J41" s="846"/>
      <c r="K41" s="460"/>
      <c r="L41" s="460"/>
      <c r="M41" s="460"/>
    </row>
    <row r="42" spans="1:13" x14ac:dyDescent="0.25">
      <c r="A42" s="1427" t="s">
        <v>363</v>
      </c>
      <c r="B42" s="1180"/>
      <c r="C42" s="1180"/>
      <c r="D42" s="1180"/>
      <c r="E42" s="1181"/>
      <c r="F42" s="1181"/>
      <c r="G42" s="1428"/>
      <c r="H42" s="846"/>
      <c r="I42" s="846"/>
      <c r="J42" s="846"/>
      <c r="K42" s="460"/>
      <c r="L42" s="460"/>
      <c r="M42" s="460"/>
    </row>
    <row r="43" spans="1:13" ht="13.35" customHeight="1" x14ac:dyDescent="0.25">
      <c r="A43" s="1722" t="s">
        <v>22</v>
      </c>
      <c r="B43" s="1710" t="s">
        <v>586</v>
      </c>
      <c r="C43" s="1711"/>
      <c r="D43" s="1710" t="s">
        <v>374</v>
      </c>
      <c r="E43" s="1711"/>
      <c r="F43" s="1712" t="s">
        <v>364</v>
      </c>
      <c r="G43" s="1713"/>
      <c r="H43" s="826"/>
      <c r="I43" s="826"/>
      <c r="J43" s="826"/>
    </row>
    <row r="44" spans="1:13" ht="13.35" customHeight="1" x14ac:dyDescent="0.25">
      <c r="A44" s="1723"/>
      <c r="B44" s="1103" t="s">
        <v>365</v>
      </c>
      <c r="C44" s="1104" t="s">
        <v>366</v>
      </c>
      <c r="D44" s="1103" t="s">
        <v>365</v>
      </c>
      <c r="E44" s="1103" t="s">
        <v>366</v>
      </c>
      <c r="F44" s="847" t="s">
        <v>365</v>
      </c>
      <c r="G44" s="1429" t="s">
        <v>366</v>
      </c>
      <c r="H44" s="826"/>
      <c r="I44" s="826"/>
      <c r="J44" s="826"/>
    </row>
    <row r="45" spans="1:13" ht="13.35" customHeight="1" x14ac:dyDescent="0.25">
      <c r="A45" s="1105" t="s">
        <v>352</v>
      </c>
      <c r="B45" s="848"/>
      <c r="C45" s="849"/>
      <c r="D45" s="850"/>
      <c r="E45" s="850"/>
      <c r="F45" s="851"/>
      <c r="G45" s="1430"/>
      <c r="H45" s="826"/>
      <c r="I45" s="826"/>
      <c r="J45" s="826"/>
    </row>
    <row r="46" spans="1:13" ht="13.35" customHeight="1" x14ac:dyDescent="0.25">
      <c r="A46" s="852" t="str">
        <f>+A10</f>
        <v>Investment in associates</v>
      </c>
      <c r="B46" s="853">
        <f>+D10</f>
        <v>0</v>
      </c>
      <c r="C46" s="854">
        <f>+B46</f>
        <v>0</v>
      </c>
      <c r="D46" s="855">
        <f>+G10</f>
        <v>92308400</v>
      </c>
      <c r="E46" s="855">
        <f>+D46</f>
        <v>92308400</v>
      </c>
      <c r="F46" s="851"/>
      <c r="G46" s="1430"/>
      <c r="H46" s="826"/>
      <c r="I46" s="826"/>
      <c r="J46" s="826"/>
    </row>
    <row r="47" spans="1:13" ht="13.35" customHeight="1" x14ac:dyDescent="0.25">
      <c r="A47" s="852" t="str">
        <f>+A11</f>
        <v>Investment for redemption of bond</v>
      </c>
      <c r="B47" s="853">
        <f>'7N_3-12'!E15</f>
        <v>0</v>
      </c>
      <c r="C47" s="854">
        <f>B47</f>
        <v>0</v>
      </c>
      <c r="D47" s="855">
        <f>'7N_3-12'!F15</f>
        <v>120000000</v>
      </c>
      <c r="E47" s="855">
        <f>D47</f>
        <v>120000000</v>
      </c>
      <c r="F47" s="851">
        <v>0</v>
      </c>
      <c r="G47" s="1430">
        <v>0</v>
      </c>
      <c r="H47" s="826"/>
      <c r="I47" s="826"/>
      <c r="J47" s="826"/>
    </row>
    <row r="48" spans="1:13" x14ac:dyDescent="0.25">
      <c r="A48" s="852" t="str">
        <f>+A13</f>
        <v>Accrued income on investments</v>
      </c>
      <c r="B48" s="853">
        <f>'7N_3-12'!E17</f>
        <v>4948289.43</v>
      </c>
      <c r="C48" s="854">
        <f>B48</f>
        <v>4948289.43</v>
      </c>
      <c r="D48" s="853">
        <f>'7N_3-12'!F17</f>
        <v>4734293.09</v>
      </c>
      <c r="E48" s="855">
        <f>D48</f>
        <v>4734293.09</v>
      </c>
      <c r="F48" s="851"/>
      <c r="G48" s="1430"/>
      <c r="H48" s="826"/>
      <c r="I48" s="826"/>
      <c r="J48" s="826"/>
    </row>
    <row r="49" spans="1:13" x14ac:dyDescent="0.25">
      <c r="A49" s="852" t="s">
        <v>1499</v>
      </c>
      <c r="B49" s="853">
        <f>+D14</f>
        <v>32760174.199999996</v>
      </c>
      <c r="C49" s="854">
        <f t="shared" ref="C49:C54" si="2">+B49</f>
        <v>32760174.199999996</v>
      </c>
      <c r="D49" s="853">
        <f>+G14</f>
        <v>158867562.09000003</v>
      </c>
      <c r="E49" s="855">
        <f t="shared" ref="E49:E54" si="3">+D49</f>
        <v>158867562.09000003</v>
      </c>
      <c r="F49" s="851"/>
      <c r="G49" s="1430"/>
      <c r="H49" s="826"/>
      <c r="I49" s="826"/>
      <c r="J49" s="826"/>
    </row>
    <row r="50" spans="1:13" x14ac:dyDescent="0.25">
      <c r="A50" s="852" t="str">
        <f>+A12</f>
        <v>Other Receivables - Non Current</v>
      </c>
      <c r="B50" s="853">
        <f>+D12</f>
        <v>0</v>
      </c>
      <c r="C50" s="854">
        <f t="shared" si="2"/>
        <v>0</v>
      </c>
      <c r="D50" s="853">
        <f>+G12</f>
        <v>0</v>
      </c>
      <c r="E50" s="855">
        <f t="shared" si="3"/>
        <v>0</v>
      </c>
      <c r="F50" s="851"/>
      <c r="G50" s="1430"/>
      <c r="H50" s="826"/>
      <c r="I50" s="826"/>
      <c r="J50" s="826"/>
    </row>
    <row r="51" spans="1:13" x14ac:dyDescent="0.25">
      <c r="A51" s="852" t="str">
        <f>+A17</f>
        <v xml:space="preserve"> Income accrued but not Due</v>
      </c>
      <c r="B51" s="853">
        <f>+D17</f>
        <v>2007812.9</v>
      </c>
      <c r="C51" s="854">
        <f t="shared" si="2"/>
        <v>2007812.9</v>
      </c>
      <c r="D51" s="853">
        <f>+G17</f>
        <v>2007812.9</v>
      </c>
      <c r="E51" s="855">
        <f t="shared" si="3"/>
        <v>2007812.9</v>
      </c>
      <c r="F51" s="851"/>
      <c r="G51" s="1430"/>
      <c r="H51" s="826"/>
      <c r="I51" s="826"/>
      <c r="J51" s="826"/>
    </row>
    <row r="52" spans="1:13" x14ac:dyDescent="0.25">
      <c r="A52" s="852" t="str">
        <f>+A16</f>
        <v xml:space="preserve"> Security deposit</v>
      </c>
      <c r="B52" s="853">
        <f>+D16</f>
        <v>0</v>
      </c>
      <c r="C52" s="854">
        <f t="shared" si="2"/>
        <v>0</v>
      </c>
      <c r="D52" s="853">
        <f>+G16</f>
        <v>788565.21</v>
      </c>
      <c r="E52" s="855">
        <f t="shared" si="3"/>
        <v>788565.21</v>
      </c>
      <c r="F52" s="851"/>
      <c r="G52" s="1430"/>
      <c r="H52" s="826"/>
      <c r="I52" s="826"/>
      <c r="J52" s="826"/>
    </row>
    <row r="53" spans="1:13" x14ac:dyDescent="0.25">
      <c r="A53" s="852" t="str">
        <f>+A15</f>
        <v xml:space="preserve"> Cash and cash equivalent</v>
      </c>
      <c r="B53" s="853">
        <f>+D15</f>
        <v>265911140.67999995</v>
      </c>
      <c r="C53" s="854">
        <f t="shared" si="2"/>
        <v>265911140.67999995</v>
      </c>
      <c r="D53" s="853">
        <f>+G15</f>
        <v>321433180.03000003</v>
      </c>
      <c r="E53" s="855">
        <f t="shared" si="3"/>
        <v>321433180.03000003</v>
      </c>
      <c r="F53" s="851"/>
      <c r="G53" s="1430"/>
      <c r="H53" s="826"/>
      <c r="I53" s="826"/>
      <c r="J53" s="826"/>
    </row>
    <row r="54" spans="1:13" x14ac:dyDescent="0.25">
      <c r="A54" s="852" t="str">
        <f>+A18</f>
        <v xml:space="preserve"> Other Receivables</v>
      </c>
      <c r="B54" s="853">
        <f>+D18</f>
        <v>0</v>
      </c>
      <c r="C54" s="854">
        <f t="shared" si="2"/>
        <v>0</v>
      </c>
      <c r="D54" s="853">
        <f>+G18</f>
        <v>64264.35</v>
      </c>
      <c r="E54" s="855">
        <f t="shared" si="3"/>
        <v>64264.35</v>
      </c>
      <c r="F54" s="851"/>
      <c r="G54" s="1430"/>
      <c r="H54" s="826"/>
      <c r="I54" s="826"/>
      <c r="J54" s="826"/>
    </row>
    <row r="55" spans="1:13" s="117" customFormat="1" x14ac:dyDescent="0.25">
      <c r="A55" s="1106" t="s">
        <v>353</v>
      </c>
      <c r="B55" s="856">
        <f>SUM(B46:B54)</f>
        <v>305627417.20999992</v>
      </c>
      <c r="C55" s="856">
        <f t="shared" ref="C55:E55" si="4">SUM(C46:C54)</f>
        <v>305627417.20999992</v>
      </c>
      <c r="D55" s="856">
        <f t="shared" si="4"/>
        <v>700204077.67000008</v>
      </c>
      <c r="E55" s="856">
        <f t="shared" si="4"/>
        <v>700204077.67000008</v>
      </c>
      <c r="F55" s="857">
        <f>SUM(F46:F48)</f>
        <v>0</v>
      </c>
      <c r="G55" s="1431">
        <f>SUM(G46:G48)</f>
        <v>0</v>
      </c>
      <c r="H55" s="858"/>
      <c r="I55" s="858"/>
      <c r="J55" s="859"/>
      <c r="K55" s="229"/>
      <c r="L55" s="229"/>
      <c r="M55" s="229"/>
    </row>
    <row r="56" spans="1:13" x14ac:dyDescent="0.25">
      <c r="A56" s="860"/>
      <c r="B56" s="861"/>
      <c r="C56" s="862"/>
      <c r="D56" s="863"/>
      <c r="E56" s="863"/>
      <c r="F56" s="864"/>
      <c r="G56" s="1432"/>
      <c r="H56" s="826"/>
      <c r="I56" s="826"/>
      <c r="J56" s="826"/>
    </row>
    <row r="57" spans="1:13" x14ac:dyDescent="0.25">
      <c r="A57" s="1107" t="s">
        <v>367</v>
      </c>
      <c r="B57" s="865"/>
      <c r="C57" s="866"/>
      <c r="D57" s="853"/>
      <c r="E57" s="853"/>
      <c r="F57" s="851"/>
      <c r="G57" s="1430"/>
      <c r="H57" s="826"/>
      <c r="I57" s="826"/>
      <c r="J57" s="826"/>
    </row>
    <row r="58" spans="1:13" x14ac:dyDescent="0.25">
      <c r="A58" s="852" t="str">
        <f t="shared" ref="A58:A65" si="5">+A21</f>
        <v>Term loan - BOB</v>
      </c>
      <c r="B58" s="867">
        <f t="shared" ref="B58:B65" si="6">+D21</f>
        <v>187860837.72</v>
      </c>
      <c r="C58" s="867">
        <f>+B58</f>
        <v>187860837.72</v>
      </c>
      <c r="D58" s="855">
        <f t="shared" ref="D58:D65" si="7">+G21</f>
        <v>408920020.60000002</v>
      </c>
      <c r="E58" s="855">
        <f>+D58</f>
        <v>408920020.60000002</v>
      </c>
      <c r="F58" s="851">
        <v>300000000</v>
      </c>
      <c r="G58" s="1430">
        <v>300000000</v>
      </c>
      <c r="H58" s="826"/>
      <c r="I58" s="826"/>
      <c r="J58" s="868"/>
      <c r="K58" s="461"/>
      <c r="L58" s="461"/>
    </row>
    <row r="59" spans="1:13" x14ac:dyDescent="0.25">
      <c r="A59" s="852" t="str">
        <f t="shared" si="5"/>
        <v>Corporate bond</v>
      </c>
      <c r="B59" s="867">
        <f t="shared" si="6"/>
        <v>0</v>
      </c>
      <c r="C59" s="867">
        <f t="shared" ref="C59:C65" si="8">+B59</f>
        <v>0</v>
      </c>
      <c r="D59" s="855">
        <f t="shared" si="7"/>
        <v>300000000</v>
      </c>
      <c r="E59" s="855">
        <f t="shared" ref="E59:E65" si="9">+D59</f>
        <v>300000000</v>
      </c>
      <c r="F59" s="851"/>
      <c r="G59" s="1430"/>
      <c r="H59" s="826"/>
      <c r="I59" s="826"/>
      <c r="J59" s="868"/>
      <c r="K59" s="461"/>
      <c r="L59" s="461"/>
    </row>
    <row r="60" spans="1:13" x14ac:dyDescent="0.25">
      <c r="A60" s="852" t="str">
        <f t="shared" si="5"/>
        <v>License fee payable</v>
      </c>
      <c r="B60" s="867">
        <f t="shared" si="6"/>
        <v>0</v>
      </c>
      <c r="C60" s="867">
        <f t="shared" si="8"/>
        <v>0</v>
      </c>
      <c r="D60" s="855">
        <f t="shared" si="7"/>
        <v>0</v>
      </c>
      <c r="E60" s="855">
        <f t="shared" si="9"/>
        <v>0</v>
      </c>
      <c r="F60" s="851"/>
      <c r="G60" s="1430"/>
      <c r="H60" s="826"/>
      <c r="I60" s="826"/>
      <c r="J60" s="868"/>
      <c r="K60" s="461"/>
      <c r="L60" s="461"/>
    </row>
    <row r="61" spans="1:13" x14ac:dyDescent="0.25">
      <c r="A61" s="852" t="str">
        <f t="shared" si="5"/>
        <v>Trade payables</v>
      </c>
      <c r="B61" s="867">
        <f t="shared" si="6"/>
        <v>70069701.620000005</v>
      </c>
      <c r="C61" s="867">
        <f t="shared" si="8"/>
        <v>70069701.620000005</v>
      </c>
      <c r="D61" s="855">
        <f t="shared" si="7"/>
        <v>84694960.960000008</v>
      </c>
      <c r="E61" s="855">
        <f t="shared" si="9"/>
        <v>84694960.960000008</v>
      </c>
      <c r="F61" s="851"/>
      <c r="G61" s="1430"/>
      <c r="H61" s="826"/>
      <c r="I61" s="826"/>
      <c r="J61" s="868"/>
      <c r="K61" s="461"/>
      <c r="L61" s="461"/>
    </row>
    <row r="62" spans="1:13" x14ac:dyDescent="0.25">
      <c r="A62" s="852" t="str">
        <f t="shared" si="5"/>
        <v>Other payable</v>
      </c>
      <c r="B62" s="867">
        <f t="shared" si="6"/>
        <v>30470767.649999999</v>
      </c>
      <c r="C62" s="867">
        <f t="shared" si="8"/>
        <v>30470767.649999999</v>
      </c>
      <c r="D62" s="855">
        <f t="shared" si="7"/>
        <v>139053</v>
      </c>
      <c r="E62" s="855">
        <f t="shared" si="9"/>
        <v>139053</v>
      </c>
      <c r="F62" s="851"/>
      <c r="G62" s="1430"/>
      <c r="H62" s="826"/>
      <c r="I62" s="826"/>
      <c r="J62" s="868"/>
      <c r="K62" s="461"/>
      <c r="L62" s="461"/>
    </row>
    <row r="63" spans="1:13" x14ac:dyDescent="0.25">
      <c r="A63" s="852" t="str">
        <f t="shared" si="5"/>
        <v>Payable to employees</v>
      </c>
      <c r="B63" s="867">
        <f t="shared" si="6"/>
        <v>370607.61</v>
      </c>
      <c r="C63" s="867">
        <f t="shared" si="8"/>
        <v>370607.61</v>
      </c>
      <c r="D63" s="855">
        <f t="shared" si="7"/>
        <v>140661</v>
      </c>
      <c r="E63" s="855">
        <f t="shared" si="9"/>
        <v>140661</v>
      </c>
      <c r="F63" s="851"/>
      <c r="G63" s="1430"/>
      <c r="H63" s="826"/>
      <c r="I63" s="826"/>
      <c r="J63" s="868"/>
      <c r="K63" s="461"/>
      <c r="L63" s="461"/>
    </row>
    <row r="64" spans="1:13" x14ac:dyDescent="0.25">
      <c r="A64" s="852" t="str">
        <f t="shared" si="5"/>
        <v>Provision for Bonus</v>
      </c>
      <c r="B64" s="867">
        <f t="shared" si="6"/>
        <v>0</v>
      </c>
      <c r="C64" s="867">
        <f t="shared" si="8"/>
        <v>0</v>
      </c>
      <c r="D64" s="855">
        <f t="shared" si="7"/>
        <v>0</v>
      </c>
      <c r="E64" s="855">
        <f t="shared" si="9"/>
        <v>0</v>
      </c>
      <c r="F64" s="851"/>
      <c r="G64" s="1430"/>
      <c r="H64" s="826"/>
      <c r="I64" s="826"/>
      <c r="J64" s="868"/>
      <c r="K64" s="461"/>
      <c r="L64" s="461"/>
    </row>
    <row r="65" spans="1:13" x14ac:dyDescent="0.25">
      <c r="A65" s="852" t="str">
        <f t="shared" si="5"/>
        <v>Security deposits</v>
      </c>
      <c r="B65" s="867">
        <f t="shared" si="6"/>
        <v>1050464.48</v>
      </c>
      <c r="C65" s="867">
        <f t="shared" si="8"/>
        <v>1050464.48</v>
      </c>
      <c r="D65" s="855">
        <f t="shared" si="7"/>
        <v>6604675.3300000001</v>
      </c>
      <c r="E65" s="855">
        <f t="shared" si="9"/>
        <v>6604675.3300000001</v>
      </c>
      <c r="F65" s="851"/>
      <c r="G65" s="1430"/>
      <c r="H65" s="826"/>
      <c r="I65" s="826"/>
      <c r="J65" s="868"/>
      <c r="K65" s="461"/>
      <c r="L65" s="461"/>
    </row>
    <row r="66" spans="1:13" s="117" customFormat="1" x14ac:dyDescent="0.25">
      <c r="A66" s="1106" t="s">
        <v>356</v>
      </c>
      <c r="B66" s="869">
        <f t="shared" ref="B66:G66" si="10">SUM(B57:B65)</f>
        <v>289822379.08000004</v>
      </c>
      <c r="C66" s="869">
        <f t="shared" si="10"/>
        <v>289822379.08000004</v>
      </c>
      <c r="D66" s="869">
        <f t="shared" si="10"/>
        <v>800499370.8900001</v>
      </c>
      <c r="E66" s="869">
        <f t="shared" si="10"/>
        <v>800499370.8900001</v>
      </c>
      <c r="F66" s="857">
        <f t="shared" si="10"/>
        <v>300000000</v>
      </c>
      <c r="G66" s="1431">
        <f t="shared" si="10"/>
        <v>300000000</v>
      </c>
      <c r="H66" s="858"/>
      <c r="I66" s="858"/>
      <c r="J66" s="858"/>
      <c r="K66" s="229"/>
      <c r="L66" s="229"/>
      <c r="M66" s="229"/>
    </row>
    <row r="67" spans="1:13" x14ac:dyDescent="0.2">
      <c r="A67" s="1433"/>
      <c r="B67" s="1181"/>
      <c r="C67" s="1181"/>
      <c r="D67" s="1181"/>
      <c r="E67" s="1181"/>
      <c r="F67" s="1181"/>
      <c r="G67" s="1428"/>
      <c r="H67" s="846"/>
      <c r="I67" s="846"/>
      <c r="J67" s="846"/>
      <c r="K67" s="460"/>
      <c r="L67" s="460"/>
      <c r="M67" s="460"/>
    </row>
    <row r="68" spans="1:13" ht="33" customHeight="1" x14ac:dyDescent="0.25">
      <c r="A68" s="1719" t="s">
        <v>368</v>
      </c>
      <c r="B68" s="1720"/>
      <c r="C68" s="1720"/>
      <c r="D68" s="1720"/>
      <c r="E68" s="1720"/>
      <c r="F68" s="1720"/>
      <c r="G68" s="1721"/>
      <c r="H68" s="870"/>
      <c r="I68" s="870"/>
      <c r="J68" s="870"/>
      <c r="K68" s="462"/>
      <c r="L68" s="462"/>
      <c r="M68" s="462"/>
    </row>
    <row r="69" spans="1:13" ht="31.5" customHeight="1" x14ac:dyDescent="0.25">
      <c r="A69" s="1724" t="s">
        <v>369</v>
      </c>
      <c r="B69" s="1725"/>
      <c r="C69" s="1725"/>
      <c r="D69" s="1725"/>
      <c r="E69" s="1725"/>
      <c r="F69" s="1725"/>
      <c r="G69" s="1726"/>
      <c r="H69" s="870"/>
      <c r="I69" s="870"/>
      <c r="J69" s="870"/>
      <c r="K69" s="462"/>
      <c r="L69" s="462"/>
      <c r="M69" s="462"/>
    </row>
    <row r="70" spans="1:13" x14ac:dyDescent="0.25">
      <c r="A70" s="1427" t="s">
        <v>370</v>
      </c>
      <c r="B70" s="1180"/>
      <c r="C70" s="1180"/>
      <c r="D70" s="1180"/>
      <c r="E70" s="1182"/>
      <c r="F70" s="1182"/>
      <c r="G70" s="1434"/>
      <c r="H70" s="871"/>
      <c r="I70" s="871"/>
      <c r="J70" s="871"/>
      <c r="K70" s="463"/>
      <c r="L70" s="463"/>
      <c r="M70" s="464"/>
    </row>
    <row r="71" spans="1:13" ht="48" customHeight="1" x14ac:dyDescent="0.25">
      <c r="A71" s="1727" t="s">
        <v>371</v>
      </c>
      <c r="B71" s="1728"/>
      <c r="C71" s="1728"/>
      <c r="D71" s="1728"/>
      <c r="E71" s="1728"/>
      <c r="F71" s="1728"/>
      <c r="G71" s="1729"/>
      <c r="H71" s="870"/>
      <c r="I71" s="870"/>
      <c r="J71" s="870"/>
      <c r="K71" s="462"/>
      <c r="L71" s="462"/>
      <c r="M71" s="462"/>
    </row>
    <row r="72" spans="1:13" x14ac:dyDescent="0.25">
      <c r="A72" s="462"/>
      <c r="B72" s="462"/>
      <c r="C72" s="462"/>
      <c r="D72" s="462"/>
      <c r="E72" s="462"/>
      <c r="F72" s="462"/>
      <c r="G72" s="462"/>
      <c r="H72" s="462"/>
      <c r="I72" s="462"/>
      <c r="J72" s="462"/>
      <c r="K72" s="462"/>
      <c r="L72" s="462"/>
      <c r="M72" s="462"/>
    </row>
    <row r="73" spans="1:13" x14ac:dyDescent="0.25">
      <c r="A73" s="462"/>
      <c r="B73" s="462"/>
      <c r="C73" s="462"/>
      <c r="D73" s="462"/>
      <c r="E73" s="462"/>
      <c r="F73" s="462"/>
      <c r="G73" s="462"/>
      <c r="H73" s="462"/>
      <c r="I73" s="462"/>
      <c r="J73" s="462"/>
      <c r="K73" s="462"/>
      <c r="L73" s="462"/>
      <c r="M73" s="462"/>
    </row>
    <row r="74" spans="1:13" ht="13.35" customHeight="1" x14ac:dyDescent="0.2">
      <c r="A74" s="1707"/>
      <c r="B74" s="1707"/>
      <c r="C74" s="1707"/>
      <c r="D74" s="1707"/>
      <c r="E74" s="1707"/>
      <c r="F74" s="1707"/>
      <c r="G74" s="1707"/>
      <c r="H74" s="1707"/>
      <c r="I74" s="1707"/>
      <c r="J74" s="1707"/>
      <c r="K74" s="1707"/>
      <c r="L74" s="1707"/>
      <c r="M74" s="1707"/>
    </row>
    <row r="75" spans="1:13" x14ac:dyDescent="0.25">
      <c r="A75" s="450"/>
      <c r="B75" s="450"/>
      <c r="C75" s="450"/>
      <c r="D75" s="450"/>
      <c r="E75" s="458"/>
      <c r="F75" s="458"/>
      <c r="G75" s="458"/>
      <c r="H75" s="458"/>
      <c r="I75" s="458"/>
      <c r="J75" s="458"/>
      <c r="K75" s="458"/>
      <c r="L75" s="458"/>
    </row>
    <row r="76" spans="1:13" x14ac:dyDescent="0.25">
      <c r="A76" s="450"/>
      <c r="B76" s="450"/>
      <c r="C76" s="450"/>
      <c r="D76" s="450"/>
      <c r="E76" s="458"/>
      <c r="F76" s="458"/>
      <c r="G76" s="458"/>
      <c r="H76" s="458"/>
      <c r="I76" s="458"/>
      <c r="J76" s="458"/>
      <c r="K76" s="458"/>
      <c r="L76" s="458"/>
    </row>
    <row r="77" spans="1:13" ht="16.5" customHeight="1" x14ac:dyDescent="0.2">
      <c r="A77" s="457"/>
      <c r="B77" s="457"/>
      <c r="C77" s="457"/>
      <c r="D77" s="457"/>
      <c r="E77" s="457"/>
      <c r="F77" s="457"/>
      <c r="G77" s="457"/>
      <c r="H77" s="457"/>
      <c r="I77" s="457"/>
      <c r="J77" s="457"/>
      <c r="K77" s="457"/>
      <c r="L77" s="457"/>
      <c r="M77" s="457"/>
    </row>
    <row r="78" spans="1:13" x14ac:dyDescent="0.25">
      <c r="A78" s="465"/>
      <c r="B78" s="465"/>
      <c r="C78" s="465"/>
      <c r="D78" s="465"/>
      <c r="E78" s="466"/>
      <c r="F78" s="466"/>
      <c r="G78" s="466"/>
      <c r="H78" s="466"/>
      <c r="I78" s="466"/>
      <c r="J78" s="466"/>
      <c r="K78" s="466"/>
      <c r="L78" s="466"/>
      <c r="M78" s="466"/>
    </row>
    <row r="79" spans="1:13" x14ac:dyDescent="0.25">
      <c r="A79" s="450"/>
      <c r="B79" s="450"/>
      <c r="C79" s="450"/>
      <c r="D79" s="450"/>
      <c r="E79" s="458"/>
      <c r="F79" s="458"/>
      <c r="G79" s="458"/>
      <c r="H79" s="458"/>
      <c r="I79" s="458"/>
      <c r="J79" s="458"/>
      <c r="K79" s="458"/>
      <c r="L79" s="458"/>
    </row>
    <row r="80" spans="1:13" x14ac:dyDescent="0.25">
      <c r="A80" s="467"/>
      <c r="B80" s="467"/>
      <c r="C80" s="467"/>
      <c r="D80" s="467"/>
      <c r="E80" s="458"/>
      <c r="F80" s="458"/>
      <c r="G80" s="458"/>
      <c r="H80" s="458"/>
      <c r="I80" s="458"/>
      <c r="J80" s="458"/>
      <c r="K80" s="458"/>
      <c r="L80" s="458"/>
    </row>
    <row r="81" spans="1:13" x14ac:dyDescent="0.25">
      <c r="A81" s="450"/>
      <c r="B81" s="450"/>
      <c r="C81" s="450"/>
      <c r="D81" s="450"/>
      <c r="E81" s="458"/>
      <c r="F81" s="458"/>
      <c r="G81" s="458"/>
      <c r="H81" s="458"/>
      <c r="I81" s="458"/>
      <c r="J81" s="458"/>
      <c r="K81" s="458"/>
      <c r="L81" s="458"/>
    </row>
    <row r="82" spans="1:13" x14ac:dyDescent="0.25">
      <c r="A82" s="465"/>
      <c r="B82" s="465"/>
      <c r="C82" s="465"/>
      <c r="D82" s="465"/>
      <c r="E82" s="466"/>
      <c r="F82" s="466"/>
      <c r="G82" s="466"/>
      <c r="H82" s="466"/>
      <c r="I82" s="466"/>
      <c r="J82" s="466"/>
      <c r="K82" s="466"/>
      <c r="L82" s="466"/>
      <c r="M82" s="466"/>
    </row>
    <row r="83" spans="1:13" x14ac:dyDescent="0.2">
      <c r="A83" s="468"/>
      <c r="B83" s="468"/>
      <c r="C83" s="468"/>
      <c r="D83" s="468"/>
      <c r="E83" s="468"/>
      <c r="F83" s="468"/>
      <c r="G83" s="468"/>
      <c r="H83" s="468"/>
      <c r="I83" s="468"/>
      <c r="J83" s="468"/>
      <c r="K83" s="468"/>
      <c r="L83" s="468"/>
      <c r="M83" s="468"/>
    </row>
  </sheetData>
  <mergeCells count="18">
    <mergeCell ref="A1:G1"/>
    <mergeCell ref="A32:G32"/>
    <mergeCell ref="A34:G34"/>
    <mergeCell ref="A35:F35"/>
    <mergeCell ref="A36:F36"/>
    <mergeCell ref="A74:M74"/>
    <mergeCell ref="B7:D7"/>
    <mergeCell ref="B43:C43"/>
    <mergeCell ref="D43:E43"/>
    <mergeCell ref="F43:G43"/>
    <mergeCell ref="A7:A8"/>
    <mergeCell ref="E7:G7"/>
    <mergeCell ref="H7:J7"/>
    <mergeCell ref="A68:G68"/>
    <mergeCell ref="A43:A44"/>
    <mergeCell ref="A69:G69"/>
    <mergeCell ref="A71:G71"/>
    <mergeCell ref="A37:F37"/>
  </mergeCells>
  <pageMargins left="0.94488188976377963" right="0.27559055118110237" top="0.43307086614173229" bottom="0.15748031496062992" header="3.937007874015748E-2" footer="0.15748031496062992"/>
  <pageSetup paperSize="9" scale="78" fitToWidth="0" fitToHeight="0" orientation="landscape" r:id="rId1"/>
  <rowBreaks count="1" manualBreakCount="1">
    <brk id="40" max="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18"/>
  <sheetViews>
    <sheetView showGridLines="0" showWhiteSpace="0" view="pageBreakPreview" zoomScale="90" zoomScaleNormal="90" zoomScaleSheetLayoutView="90" zoomScalePageLayoutView="90" workbookViewId="0">
      <selection activeCell="C7" sqref="C7"/>
    </sheetView>
  </sheetViews>
  <sheetFormatPr defaultColWidth="9.140625" defaultRowHeight="15.75" x14ac:dyDescent="0.25"/>
  <cols>
    <col min="1" max="1" width="33.42578125" style="1130" customWidth="1"/>
    <col min="2" max="2" width="13.42578125" style="1130" customWidth="1"/>
    <col min="3" max="3" width="20.42578125" style="1130" customWidth="1"/>
    <col min="4" max="4" width="20.28515625" style="1130" bestFit="1" customWidth="1"/>
    <col min="5" max="5" width="27.140625" style="1130" customWidth="1"/>
    <col min="6" max="6" width="12" style="951" customWidth="1"/>
    <col min="7" max="7" width="18.140625" style="951" hidden="1" customWidth="1"/>
    <col min="8" max="8" width="9.140625" style="951" hidden="1" customWidth="1"/>
    <col min="9" max="9" width="17.28515625" style="951" hidden="1" customWidth="1"/>
    <col min="10" max="10" width="15.7109375" style="951" customWidth="1"/>
    <col min="11" max="11" width="9.140625" style="951" customWidth="1"/>
    <col min="12" max="12" width="16.28515625" style="951" hidden="1" customWidth="1"/>
    <col min="13" max="13" width="16.85546875" style="1491" hidden="1" customWidth="1"/>
    <col min="14" max="14" width="15.7109375" style="951" hidden="1" customWidth="1"/>
    <col min="15" max="16" width="16.85546875" style="951" hidden="1" customWidth="1"/>
    <col min="17" max="16384" width="9.140625" style="951"/>
  </cols>
  <sheetData>
    <row r="1" spans="1:10" x14ac:dyDescent="0.25">
      <c r="A1" s="1731" t="s">
        <v>0</v>
      </c>
      <c r="B1" s="1732"/>
      <c r="C1" s="1732"/>
      <c r="D1" s="1732"/>
      <c r="E1" s="1732"/>
      <c r="F1" s="1490"/>
      <c r="G1" s="1490"/>
      <c r="H1" s="1490"/>
      <c r="I1" s="1490"/>
      <c r="J1" s="1458"/>
    </row>
    <row r="2" spans="1:10" x14ac:dyDescent="0.25">
      <c r="A2" s="1736" t="s">
        <v>1084</v>
      </c>
      <c r="B2" s="1737"/>
      <c r="C2" s="1737"/>
      <c r="D2" s="1737"/>
      <c r="E2" s="1737"/>
      <c r="F2" s="1199"/>
      <c r="G2" s="1199"/>
      <c r="H2" s="1199"/>
      <c r="I2" s="1199"/>
      <c r="J2" s="1459"/>
    </row>
    <row r="3" spans="1:10" x14ac:dyDescent="0.25">
      <c r="A3" s="1435"/>
      <c r="B3" s="1173"/>
      <c r="C3" s="1183"/>
      <c r="D3" s="1183"/>
      <c r="E3" s="1183"/>
      <c r="F3" s="1199"/>
      <c r="G3" s="1199"/>
      <c r="H3" s="1199"/>
      <c r="I3" s="1199"/>
      <c r="J3" s="1459"/>
    </row>
    <row r="4" spans="1:10" ht="16.5" x14ac:dyDescent="0.25">
      <c r="A4" s="1436" t="s">
        <v>513</v>
      </c>
      <c r="B4" s="896"/>
      <c r="C4" s="896"/>
      <c r="D4" s="896"/>
      <c r="E4" s="896"/>
      <c r="F4" s="1492"/>
      <c r="G4" s="1492"/>
      <c r="H4" s="1492"/>
      <c r="I4" s="1492"/>
      <c r="J4" s="1459"/>
    </row>
    <row r="5" spans="1:10" x14ac:dyDescent="0.25">
      <c r="A5" s="920" t="s">
        <v>376</v>
      </c>
      <c r="B5" s="1184"/>
      <c r="C5" s="1184"/>
      <c r="D5" s="1184"/>
      <c r="E5" s="1184"/>
      <c r="F5" s="1171"/>
      <c r="G5" s="1171"/>
      <c r="H5" s="1171"/>
      <c r="I5" s="1171"/>
      <c r="J5" s="1459"/>
    </row>
    <row r="6" spans="1:10" ht="27.75" customHeight="1" x14ac:dyDescent="0.25">
      <c r="A6" s="1757" t="s">
        <v>377</v>
      </c>
      <c r="B6" s="1758"/>
      <c r="C6" s="1758"/>
      <c r="D6" s="1758"/>
      <c r="E6" s="1758"/>
      <c r="F6" s="1171"/>
      <c r="G6" s="1171"/>
      <c r="H6" s="1171"/>
      <c r="I6" s="1171"/>
      <c r="J6" s="1459"/>
    </row>
    <row r="7" spans="1:10" x14ac:dyDescent="0.25">
      <c r="A7" s="920"/>
      <c r="B7" s="1185"/>
      <c r="C7" s="1185"/>
      <c r="D7" s="1185"/>
      <c r="E7" s="1185"/>
      <c r="F7" s="1493"/>
      <c r="G7" s="1493"/>
      <c r="H7" s="1493"/>
      <c r="I7" s="1493"/>
      <c r="J7" s="1459"/>
    </row>
    <row r="8" spans="1:10" x14ac:dyDescent="0.25">
      <c r="A8" s="1108" t="s">
        <v>378</v>
      </c>
      <c r="B8" s="1744" t="s">
        <v>379</v>
      </c>
      <c r="C8" s="1744"/>
      <c r="D8" s="1109" t="s">
        <v>380</v>
      </c>
      <c r="E8" s="1109" t="s">
        <v>381</v>
      </c>
      <c r="F8" s="1494"/>
      <c r="G8" s="1494"/>
      <c r="H8" s="1494"/>
      <c r="I8" s="1494"/>
      <c r="J8" s="1459"/>
    </row>
    <row r="9" spans="1:10" ht="45" x14ac:dyDescent="0.25">
      <c r="A9" s="872" t="s">
        <v>382</v>
      </c>
      <c r="B9" s="1745" t="s">
        <v>383</v>
      </c>
      <c r="C9" s="1745"/>
      <c r="D9" s="872" t="s">
        <v>384</v>
      </c>
      <c r="E9" s="872" t="s">
        <v>385</v>
      </c>
      <c r="F9" s="1494"/>
      <c r="G9" s="1494"/>
      <c r="H9" s="1494"/>
      <c r="I9" s="1494"/>
      <c r="J9" s="1459"/>
    </row>
    <row r="10" spans="1:10" ht="45" x14ac:dyDescent="0.25">
      <c r="A10" s="873" t="s">
        <v>386</v>
      </c>
      <c r="B10" s="1745" t="s">
        <v>387</v>
      </c>
      <c r="C10" s="1745"/>
      <c r="D10" s="873" t="s">
        <v>388</v>
      </c>
      <c r="E10" s="872" t="s">
        <v>389</v>
      </c>
      <c r="F10" s="1494"/>
      <c r="G10" s="1494"/>
      <c r="H10" s="1494"/>
      <c r="I10" s="1494"/>
      <c r="J10" s="1459"/>
    </row>
    <row r="11" spans="1:10" ht="45" x14ac:dyDescent="0.25">
      <c r="A11" s="873" t="s">
        <v>390</v>
      </c>
      <c r="B11" s="1745" t="s">
        <v>391</v>
      </c>
      <c r="C11" s="1745"/>
      <c r="D11" s="873" t="s">
        <v>392</v>
      </c>
      <c r="E11" s="873" t="s">
        <v>393</v>
      </c>
      <c r="F11" s="1494"/>
      <c r="G11" s="1494"/>
      <c r="H11" s="1494"/>
      <c r="I11" s="1494"/>
      <c r="J11" s="1459"/>
    </row>
    <row r="12" spans="1:10" ht="45" x14ac:dyDescent="0.25">
      <c r="A12" s="873" t="s">
        <v>394</v>
      </c>
      <c r="B12" s="1745" t="s">
        <v>395</v>
      </c>
      <c r="C12" s="1745"/>
      <c r="D12" s="873" t="s">
        <v>396</v>
      </c>
      <c r="E12" s="873" t="s">
        <v>397</v>
      </c>
      <c r="F12" s="1494"/>
      <c r="G12" s="1494"/>
      <c r="H12" s="1494"/>
      <c r="I12" s="1494"/>
      <c r="J12" s="1459"/>
    </row>
    <row r="13" spans="1:10" x14ac:dyDescent="0.25">
      <c r="A13" s="1437"/>
      <c r="B13" s="921"/>
      <c r="C13" s="921"/>
      <c r="D13" s="921"/>
      <c r="E13" s="921"/>
      <c r="F13" s="1088"/>
      <c r="G13" s="1088"/>
      <c r="H13" s="1088"/>
      <c r="I13" s="1088"/>
      <c r="J13" s="1459"/>
    </row>
    <row r="14" spans="1:10" ht="16.5" x14ac:dyDescent="0.25">
      <c r="A14" s="1436" t="s">
        <v>398</v>
      </c>
      <c r="B14" s="896"/>
      <c r="C14" s="896"/>
      <c r="D14" s="896"/>
      <c r="E14" s="896"/>
      <c r="F14" s="1492"/>
      <c r="G14" s="1492"/>
      <c r="H14" s="1492"/>
      <c r="I14" s="1492"/>
      <c r="J14" s="1459"/>
    </row>
    <row r="15" spans="1:10" ht="96.75" customHeight="1" x14ac:dyDescent="0.25">
      <c r="A15" s="1761" t="s">
        <v>1097</v>
      </c>
      <c r="B15" s="1762"/>
      <c r="C15" s="1762"/>
      <c r="D15" s="1762"/>
      <c r="E15" s="1762"/>
      <c r="F15" s="1495"/>
      <c r="G15" s="1494"/>
      <c r="H15" s="1494"/>
      <c r="I15" s="1494"/>
      <c r="J15" s="1459"/>
    </row>
    <row r="16" spans="1:10" x14ac:dyDescent="0.25">
      <c r="A16" s="1438"/>
      <c r="B16" s="1186"/>
      <c r="C16" s="1186"/>
      <c r="D16" s="1186"/>
      <c r="E16" s="1186"/>
      <c r="F16" s="1495"/>
      <c r="G16" s="1494"/>
      <c r="H16" s="1494"/>
      <c r="I16" s="1494"/>
      <c r="J16" s="1459"/>
    </row>
    <row r="17" spans="1:10" x14ac:dyDescent="0.25">
      <c r="A17" s="920" t="s">
        <v>399</v>
      </c>
      <c r="B17" s="1184"/>
      <c r="C17" s="1184"/>
      <c r="D17" s="1184"/>
      <c r="E17" s="1184"/>
      <c r="F17" s="1171"/>
      <c r="G17" s="1171"/>
      <c r="H17" s="1171"/>
      <c r="I17" s="1171"/>
      <c r="J17" s="1459"/>
    </row>
    <row r="18" spans="1:10" ht="57.75" customHeight="1" x14ac:dyDescent="0.25">
      <c r="A18" s="1757" t="s">
        <v>400</v>
      </c>
      <c r="B18" s="1758"/>
      <c r="C18" s="1758"/>
      <c r="D18" s="1758"/>
      <c r="E18" s="1758"/>
      <c r="F18" s="1171"/>
      <c r="G18" s="1171"/>
      <c r="H18" s="1171"/>
      <c r="I18" s="1171"/>
      <c r="J18" s="1459"/>
    </row>
    <row r="19" spans="1:10" ht="248.25" customHeight="1" x14ac:dyDescent="0.25">
      <c r="A19" s="1753" t="s">
        <v>560</v>
      </c>
      <c r="B19" s="1754"/>
      <c r="C19" s="1754"/>
      <c r="D19" s="1754"/>
      <c r="E19" s="1754"/>
      <c r="F19" s="1495"/>
      <c r="G19" s="1494"/>
      <c r="H19" s="1494"/>
      <c r="I19" s="1494"/>
      <c r="J19" s="1459"/>
    </row>
    <row r="20" spans="1:10" ht="16.5" x14ac:dyDescent="0.25">
      <c r="A20" s="1436" t="s">
        <v>401</v>
      </c>
      <c r="B20" s="896"/>
      <c r="C20" s="896"/>
      <c r="D20" s="896"/>
      <c r="E20" s="896"/>
      <c r="F20" s="1492"/>
      <c r="G20" s="1492"/>
      <c r="H20" s="1492"/>
      <c r="I20" s="1492"/>
      <c r="J20" s="1459"/>
    </row>
    <row r="21" spans="1:10" ht="186.75" customHeight="1" x14ac:dyDescent="0.25">
      <c r="A21" s="1753" t="s">
        <v>1523</v>
      </c>
      <c r="B21" s="1754"/>
      <c r="C21" s="1754"/>
      <c r="D21" s="1754"/>
      <c r="E21" s="1754"/>
      <c r="F21" s="1495"/>
      <c r="G21" s="1495"/>
      <c r="H21" s="1494"/>
      <c r="I21" s="1494"/>
      <c r="J21" s="1459"/>
    </row>
    <row r="22" spans="1:10" x14ac:dyDescent="0.25">
      <c r="A22" s="1439" t="s">
        <v>1525</v>
      </c>
      <c r="B22" s="1187"/>
      <c r="C22" s="1187"/>
      <c r="D22" s="1187"/>
      <c r="E22" s="1187"/>
      <c r="F22" s="1495"/>
      <c r="G22" s="1495"/>
      <c r="H22" s="1494"/>
      <c r="I22" s="1494"/>
      <c r="J22" s="1459"/>
    </row>
    <row r="23" spans="1:10" ht="16.5" x14ac:dyDescent="0.3">
      <c r="A23" s="1110"/>
      <c r="B23" s="1746" t="s">
        <v>1526</v>
      </c>
      <c r="C23" s="1746"/>
      <c r="D23" s="1746" t="s">
        <v>1527</v>
      </c>
      <c r="E23" s="1746"/>
      <c r="F23" s="1110" t="s">
        <v>1528</v>
      </c>
      <c r="G23" s="1496"/>
      <c r="H23" s="1497"/>
      <c r="I23" s="1497"/>
      <c r="J23" s="1740" t="s">
        <v>1</v>
      </c>
    </row>
    <row r="24" spans="1:10" ht="49.5" x14ac:dyDescent="0.25">
      <c r="A24" s="1111" t="s">
        <v>22</v>
      </c>
      <c r="B24" s="1112" t="s">
        <v>1529</v>
      </c>
      <c r="C24" s="1112" t="s">
        <v>1530</v>
      </c>
      <c r="D24" s="1112" t="s">
        <v>1531</v>
      </c>
      <c r="E24" s="1112" t="s">
        <v>1532</v>
      </c>
      <c r="F24" s="1112" t="s">
        <v>1533</v>
      </c>
      <c r="G24" s="1496"/>
      <c r="H24" s="1497"/>
      <c r="I24" s="1497"/>
      <c r="J24" s="1741"/>
    </row>
    <row r="25" spans="1:10" ht="16.5" x14ac:dyDescent="0.3">
      <c r="A25" s="1114" t="s">
        <v>1534</v>
      </c>
      <c r="B25" s="949">
        <v>5</v>
      </c>
      <c r="C25" s="949">
        <v>20</v>
      </c>
      <c r="D25" s="949">
        <v>30</v>
      </c>
      <c r="E25" s="949">
        <v>60</v>
      </c>
      <c r="F25" s="949">
        <v>100</v>
      </c>
      <c r="G25" s="1496"/>
      <c r="H25" s="1497"/>
      <c r="I25" s="1497"/>
      <c r="J25" s="949"/>
    </row>
    <row r="26" spans="1:10" ht="16.5" x14ac:dyDescent="0.3">
      <c r="A26" s="948" t="s">
        <v>1535</v>
      </c>
      <c r="B26" s="948">
        <v>76623190.459999993</v>
      </c>
      <c r="C26" s="948">
        <v>6111514.5899999999</v>
      </c>
      <c r="D26" s="948">
        <v>3809446.4</v>
      </c>
      <c r="E26" s="948">
        <f>25508186.93-18491.4</f>
        <v>25489695.530000001</v>
      </c>
      <c r="F26" s="948">
        <v>5696165.1100000003</v>
      </c>
      <c r="G26" s="1496"/>
      <c r="H26" s="1497"/>
      <c r="I26" s="1497"/>
      <c r="J26" s="948">
        <v>117730012.09</v>
      </c>
    </row>
    <row r="27" spans="1:10" ht="16.5" x14ac:dyDescent="0.3">
      <c r="A27" s="948" t="s">
        <v>1536</v>
      </c>
      <c r="B27" s="948">
        <v>8434898.1600000001</v>
      </c>
      <c r="C27" s="948">
        <v>0</v>
      </c>
      <c r="D27" s="948">
        <v>2534.6</v>
      </c>
      <c r="E27" s="948">
        <v>0</v>
      </c>
      <c r="F27" s="948">
        <v>0</v>
      </c>
      <c r="G27" s="1496"/>
      <c r="H27" s="1497"/>
      <c r="I27" s="1497"/>
      <c r="J27" s="948">
        <v>8437432.7599999998</v>
      </c>
    </row>
    <row r="28" spans="1:10" ht="16.5" x14ac:dyDescent="0.3">
      <c r="A28" s="948" t="s">
        <v>1537</v>
      </c>
      <c r="B28" s="948">
        <v>8647255.9399999976</v>
      </c>
      <c r="C28" s="948">
        <v>2758245.09</v>
      </c>
      <c r="D28" s="948">
        <v>1562543.96</v>
      </c>
      <c r="E28" s="948">
        <v>1122459.9200000002</v>
      </c>
      <c r="F28" s="948">
        <v>791051.68</v>
      </c>
      <c r="G28" s="1496"/>
      <c r="H28" s="1497"/>
      <c r="I28" s="1497"/>
      <c r="J28" s="948">
        <v>14881556.589999998</v>
      </c>
    </row>
    <row r="29" spans="1:10" ht="16.5" x14ac:dyDescent="0.3">
      <c r="A29" s="948" t="s">
        <v>1538</v>
      </c>
      <c r="B29" s="948">
        <v>211362.65000000002</v>
      </c>
      <c r="C29" s="948">
        <v>29869.66</v>
      </c>
      <c r="D29" s="948">
        <v>128826.16</v>
      </c>
      <c r="E29" s="948">
        <v>22012.67</v>
      </c>
      <c r="F29" s="948">
        <v>83846.28</v>
      </c>
      <c r="G29" s="1496"/>
      <c r="H29" s="1497"/>
      <c r="I29" s="1497"/>
      <c r="J29" s="948">
        <v>475917.42000000004</v>
      </c>
    </row>
    <row r="30" spans="1:10" ht="16.5" x14ac:dyDescent="0.3">
      <c r="A30" s="948"/>
      <c r="B30" s="948"/>
      <c r="C30" s="948"/>
      <c r="D30" s="948"/>
      <c r="E30" s="948"/>
      <c r="F30" s="948"/>
      <c r="G30" s="1496"/>
      <c r="H30" s="1497"/>
      <c r="I30" s="1497"/>
      <c r="J30" s="948">
        <v>0</v>
      </c>
    </row>
    <row r="31" spans="1:10" ht="16.5" x14ac:dyDescent="0.3">
      <c r="A31" s="1113" t="s">
        <v>1</v>
      </c>
      <c r="B31" s="947">
        <f>SUM(B26:B30)</f>
        <v>93916707.209999993</v>
      </c>
      <c r="C31" s="947">
        <f t="shared" ref="C31:F31" si="0">SUM(C26:C30)</f>
        <v>8899629.3399999999</v>
      </c>
      <c r="D31" s="947">
        <f t="shared" si="0"/>
        <v>5503351.1200000001</v>
      </c>
      <c r="E31" s="947">
        <f t="shared" si="0"/>
        <v>26634168.120000005</v>
      </c>
      <c r="F31" s="947">
        <f t="shared" si="0"/>
        <v>6571063.0700000003</v>
      </c>
      <c r="G31" s="1496"/>
      <c r="H31" s="1497"/>
      <c r="I31" s="1497"/>
      <c r="J31" s="947">
        <v>141524918.85999998</v>
      </c>
    </row>
    <row r="32" spans="1:10" ht="16.5" x14ac:dyDescent="0.3">
      <c r="A32" s="1113" t="s">
        <v>1539</v>
      </c>
      <c r="B32" s="947">
        <f>B31*B25/100</f>
        <v>4695835.3604999995</v>
      </c>
      <c r="C32" s="947">
        <f t="shared" ref="C32:F32" si="1">C31*C25/100</f>
        <v>1779925.868</v>
      </c>
      <c r="D32" s="947">
        <f t="shared" si="1"/>
        <v>1651005.3359999999</v>
      </c>
      <c r="E32" s="947">
        <f t="shared" si="1"/>
        <v>15980500.872000003</v>
      </c>
      <c r="F32" s="947">
        <f t="shared" si="1"/>
        <v>6571063.0700000003</v>
      </c>
      <c r="G32" s="1496"/>
      <c r="H32" s="1497"/>
      <c r="I32" s="1497"/>
      <c r="J32" s="947">
        <v>30678330.506500002</v>
      </c>
    </row>
    <row r="33" spans="1:16" ht="16.5" x14ac:dyDescent="0.3">
      <c r="A33" s="1113" t="s">
        <v>1540</v>
      </c>
      <c r="B33" s="947"/>
      <c r="C33" s="947"/>
      <c r="D33" s="947"/>
      <c r="E33" s="947"/>
      <c r="F33" s="947"/>
      <c r="G33" s="1496"/>
      <c r="H33" s="1497"/>
      <c r="I33" s="1497"/>
      <c r="J33" s="947">
        <v>5348471.62</v>
      </c>
    </row>
    <row r="34" spans="1:16" ht="16.5" x14ac:dyDescent="0.3">
      <c r="A34" s="1113"/>
      <c r="B34" s="947"/>
      <c r="C34" s="947"/>
      <c r="D34" s="947"/>
      <c r="E34" s="947"/>
      <c r="F34" s="947"/>
      <c r="G34" s="1496"/>
      <c r="H34" s="1497"/>
      <c r="I34" s="1497"/>
      <c r="J34" s="947">
        <v>24253015.120000001</v>
      </c>
    </row>
    <row r="35" spans="1:16" ht="16.5" x14ac:dyDescent="0.3">
      <c r="A35" s="1114" t="s">
        <v>1541</v>
      </c>
      <c r="B35" s="948"/>
      <c r="C35" s="948"/>
      <c r="D35" s="948"/>
      <c r="E35" s="948"/>
      <c r="F35" s="948"/>
      <c r="G35" s="1496"/>
      <c r="H35" s="1497"/>
      <c r="I35" s="1497"/>
      <c r="J35" s="948">
        <v>6425315.386500001</v>
      </c>
    </row>
    <row r="36" spans="1:16" x14ac:dyDescent="0.25">
      <c r="A36" s="1440"/>
      <c r="B36" s="1188"/>
      <c r="C36" s="1188"/>
      <c r="D36" s="1188"/>
      <c r="E36" s="1188"/>
      <c r="F36" s="1495"/>
      <c r="G36" s="1495"/>
      <c r="H36" s="1494"/>
      <c r="I36" s="1494"/>
      <c r="J36" s="1459"/>
    </row>
    <row r="37" spans="1:16" x14ac:dyDescent="0.25">
      <c r="A37" s="920" t="s">
        <v>402</v>
      </c>
      <c r="B37" s="1184"/>
      <c r="C37" s="1184"/>
      <c r="D37" s="1184"/>
      <c r="E37" s="1184"/>
      <c r="F37" s="1229"/>
      <c r="G37" s="1229"/>
      <c r="H37" s="1229"/>
      <c r="I37" s="1229"/>
      <c r="J37" s="1459"/>
    </row>
    <row r="38" spans="1:16" ht="31.5" customHeight="1" x14ac:dyDescent="0.25">
      <c r="A38" s="1757" t="s">
        <v>1098</v>
      </c>
      <c r="B38" s="1758"/>
      <c r="C38" s="1758"/>
      <c r="D38" s="1758"/>
      <c r="E38" s="1758"/>
      <c r="F38" s="1171"/>
      <c r="G38" s="1171"/>
      <c r="H38" s="1171"/>
      <c r="I38" s="1171"/>
      <c r="J38" s="1459"/>
    </row>
    <row r="39" spans="1:16" x14ac:dyDescent="0.25">
      <c r="A39" s="920" t="s">
        <v>403</v>
      </c>
      <c r="B39" s="1184"/>
      <c r="C39" s="1184"/>
      <c r="D39" s="1184"/>
      <c r="E39" s="1184"/>
      <c r="F39" s="1171"/>
      <c r="G39" s="1171"/>
      <c r="H39" s="1171"/>
      <c r="I39" s="1171"/>
      <c r="J39" s="1459"/>
    </row>
    <row r="40" spans="1:16" ht="32.25" customHeight="1" x14ac:dyDescent="0.3">
      <c r="A40" s="1755" t="s">
        <v>404</v>
      </c>
      <c r="B40" s="1756"/>
      <c r="C40" s="1756"/>
      <c r="D40" s="1756"/>
      <c r="E40" s="1756"/>
      <c r="F40" s="1524"/>
      <c r="G40" s="1524"/>
      <c r="H40" s="1524"/>
      <c r="I40" s="1524"/>
      <c r="J40" s="1520"/>
      <c r="N40" s="555" t="s">
        <v>1106</v>
      </c>
      <c r="O40" s="555" t="s">
        <v>1</v>
      </c>
      <c r="P40" s="951" t="s">
        <v>1109</v>
      </c>
    </row>
    <row r="41" spans="1:16" ht="9" customHeight="1" x14ac:dyDescent="0.3">
      <c r="A41" s="1525"/>
      <c r="B41" s="1526"/>
      <c r="C41" s="1526"/>
      <c r="D41" s="1526"/>
      <c r="E41" s="1526"/>
      <c r="F41" s="1527"/>
      <c r="G41" s="1527"/>
      <c r="H41" s="1527"/>
      <c r="I41" s="1527"/>
      <c r="J41" s="1458"/>
      <c r="N41" s="555"/>
      <c r="O41" s="555"/>
    </row>
    <row r="42" spans="1:16" ht="16.5" x14ac:dyDescent="0.3">
      <c r="A42" s="1436" t="s">
        <v>405</v>
      </c>
      <c r="B42" s="921"/>
      <c r="C42" s="921"/>
      <c r="D42" s="921"/>
      <c r="E42" s="921"/>
      <c r="F42" s="1088"/>
      <c r="G42" s="1088"/>
      <c r="H42" s="1088"/>
      <c r="I42" s="1171"/>
      <c r="J42" s="1459"/>
      <c r="L42" s="950" t="s">
        <v>1099</v>
      </c>
      <c r="M42" s="1498">
        <v>300000000</v>
      </c>
    </row>
    <row r="43" spans="1:16" ht="31.5" x14ac:dyDescent="0.3">
      <c r="A43" s="1115" t="s">
        <v>22</v>
      </c>
      <c r="B43" s="1738" t="s">
        <v>406</v>
      </c>
      <c r="C43" s="1739"/>
      <c r="D43" s="717" t="s">
        <v>407</v>
      </c>
      <c r="E43" s="718" t="s">
        <v>1</v>
      </c>
      <c r="F43" s="1199"/>
      <c r="G43" s="1199"/>
      <c r="H43" s="1499"/>
      <c r="I43" s="1171"/>
      <c r="J43" s="1459"/>
      <c r="L43" s="950" t="s">
        <v>1100</v>
      </c>
      <c r="M43" s="1498">
        <v>7.4999999999999997E-2</v>
      </c>
    </row>
    <row r="44" spans="1:16" ht="16.5" hidden="1" x14ac:dyDescent="0.3">
      <c r="A44" s="874"/>
      <c r="B44" s="1172"/>
      <c r="C44" s="875"/>
      <c r="D44" s="875"/>
      <c r="E44" s="876"/>
      <c r="F44" s="1199"/>
      <c r="G44" s="1199"/>
      <c r="H44" s="1499"/>
      <c r="I44" s="1171"/>
      <c r="J44" s="1459"/>
      <c r="L44" s="950"/>
      <c r="M44" s="1498"/>
    </row>
    <row r="45" spans="1:16" ht="16.5" x14ac:dyDescent="0.3">
      <c r="A45" s="1117" t="s">
        <v>587</v>
      </c>
      <c r="B45" s="1172"/>
      <c r="C45" s="875"/>
      <c r="D45" s="875"/>
      <c r="E45" s="876"/>
      <c r="F45" s="1199"/>
      <c r="G45" s="1199"/>
      <c r="H45" s="1499"/>
      <c r="I45" s="1171"/>
      <c r="J45" s="1459"/>
      <c r="L45" s="950" t="s">
        <v>1101</v>
      </c>
      <c r="M45" s="1498">
        <f>M42*M43</f>
        <v>22500000</v>
      </c>
    </row>
    <row r="46" spans="1:16" ht="16.5" x14ac:dyDescent="0.3">
      <c r="A46" s="877" t="s">
        <v>408</v>
      </c>
      <c r="B46" s="1172"/>
      <c r="C46" s="878"/>
      <c r="D46" s="878"/>
      <c r="E46" s="879"/>
      <c r="F46" s="1199"/>
      <c r="G46" s="1199"/>
      <c r="H46" s="1494"/>
      <c r="I46" s="1494"/>
      <c r="J46" s="1459"/>
      <c r="L46" s="950" t="s">
        <v>1102</v>
      </c>
      <c r="M46" s="1498">
        <f>M45*5</f>
        <v>112500000</v>
      </c>
    </row>
    <row r="47" spans="1:16" ht="16.5" x14ac:dyDescent="0.3">
      <c r="A47" s="687" t="s">
        <v>514</v>
      </c>
      <c r="B47" s="1172"/>
      <c r="C47" s="880">
        <v>0</v>
      </c>
      <c r="D47" s="880">
        <f>+'9N_14-21'!C29</f>
        <v>0</v>
      </c>
      <c r="E47" s="881">
        <f t="shared" ref="E47:E54" si="2">SUM(C47:D47)</f>
        <v>0</v>
      </c>
      <c r="F47" s="1199"/>
      <c r="G47" s="1500">
        <f>D47-C47</f>
        <v>0</v>
      </c>
      <c r="H47" s="1501"/>
      <c r="I47" s="1501"/>
      <c r="J47" s="1459"/>
      <c r="L47" s="950" t="s">
        <v>1103</v>
      </c>
      <c r="M47" s="1498">
        <f>M46+M42</f>
        <v>412500000</v>
      </c>
    </row>
    <row r="48" spans="1:16" x14ac:dyDescent="0.25">
      <c r="A48" s="687" t="s">
        <v>445</v>
      </c>
      <c r="B48" s="1172"/>
      <c r="C48" s="880">
        <f>+'9N_14-21'!C27</f>
        <v>93930418.859999999</v>
      </c>
      <c r="D48" s="880">
        <f>+'9N_14-21'!C28</f>
        <v>93930419.159999996</v>
      </c>
      <c r="E48" s="881">
        <f t="shared" si="2"/>
        <v>187860838.01999998</v>
      </c>
      <c r="F48" s="1199"/>
      <c r="G48" s="1199"/>
      <c r="H48" s="1501"/>
      <c r="I48" s="1501">
        <v>300000000</v>
      </c>
      <c r="J48" s="1459"/>
      <c r="L48" s="951" t="s">
        <v>1104</v>
      </c>
      <c r="M48" s="1491">
        <f>M45/4</f>
        <v>5625000</v>
      </c>
      <c r="N48" s="1502">
        <f>M48</f>
        <v>5625000</v>
      </c>
      <c r="O48" s="1502">
        <f>M47-N48</f>
        <v>406875000</v>
      </c>
      <c r="P48" s="1502">
        <f>O48-N48</f>
        <v>401250000</v>
      </c>
    </row>
    <row r="49" spans="1:16" x14ac:dyDescent="0.25">
      <c r="A49" s="687" t="s">
        <v>515</v>
      </c>
      <c r="B49" s="1172"/>
      <c r="C49" s="880">
        <f>'10FV_34'!D24</f>
        <v>70069701.620000005</v>
      </c>
      <c r="D49" s="880">
        <v>0</v>
      </c>
      <c r="E49" s="881">
        <f t="shared" si="2"/>
        <v>70069701.620000005</v>
      </c>
      <c r="F49" s="1199"/>
      <c r="G49" s="1199"/>
      <c r="H49" s="1501"/>
      <c r="I49" s="1503">
        <v>7.5</v>
      </c>
      <c r="J49" s="1459"/>
      <c r="L49" s="951" t="s">
        <v>1105</v>
      </c>
      <c r="M49" s="1491">
        <f>M45</f>
        <v>22500000</v>
      </c>
      <c r="N49" s="1502">
        <f>M49</f>
        <v>22500000</v>
      </c>
      <c r="O49" s="1502">
        <f>O48-N49</f>
        <v>384375000</v>
      </c>
      <c r="P49" s="1502">
        <f>O49-N49</f>
        <v>361875000</v>
      </c>
    </row>
    <row r="50" spans="1:16" x14ac:dyDescent="0.25">
      <c r="A50" s="687" t="s">
        <v>1495</v>
      </c>
      <c r="B50" s="1172"/>
      <c r="C50" s="880">
        <f>'10FV_34'!D25</f>
        <v>30470767.649999999</v>
      </c>
      <c r="D50" s="880">
        <v>0</v>
      </c>
      <c r="E50" s="881">
        <f t="shared" si="2"/>
        <v>30470767.649999999</v>
      </c>
      <c r="F50" s="1199"/>
      <c r="G50" s="1199"/>
      <c r="H50" s="1501"/>
      <c r="I50" s="1501">
        <f>I48*I49</f>
        <v>2250000000</v>
      </c>
      <c r="J50" s="1459"/>
      <c r="L50" s="951" t="s">
        <v>1108</v>
      </c>
      <c r="M50" s="1491">
        <f>M49</f>
        <v>22500000</v>
      </c>
      <c r="N50" s="1502">
        <f>M50</f>
        <v>22500000</v>
      </c>
      <c r="O50" s="1502">
        <f>O49-N50</f>
        <v>361875000</v>
      </c>
      <c r="P50" s="1502">
        <f>O50-N50</f>
        <v>339375000</v>
      </c>
    </row>
    <row r="51" spans="1:16" x14ac:dyDescent="0.25">
      <c r="A51" s="687" t="s">
        <v>1440</v>
      </c>
      <c r="B51" s="1172"/>
      <c r="C51" s="880">
        <f>'10FV_34'!D26</f>
        <v>370607.61</v>
      </c>
      <c r="D51" s="880">
        <v>0</v>
      </c>
      <c r="E51" s="881">
        <f t="shared" si="2"/>
        <v>370607.61</v>
      </c>
      <c r="F51" s="1199"/>
      <c r="G51" s="1199"/>
      <c r="H51" s="1501"/>
      <c r="I51" s="1501">
        <f>I50*5</f>
        <v>11250000000</v>
      </c>
      <c r="J51" s="1459"/>
      <c r="L51" s="951" t="s">
        <v>1107</v>
      </c>
      <c r="M51" s="1491">
        <f>M50</f>
        <v>22500000</v>
      </c>
      <c r="N51" s="1502">
        <f>M51</f>
        <v>22500000</v>
      </c>
      <c r="O51" s="1502">
        <f>O50-N51</f>
        <v>339375000</v>
      </c>
      <c r="P51" s="1502">
        <f>O51-N51</f>
        <v>316875000</v>
      </c>
    </row>
    <row r="52" spans="1:16" x14ac:dyDescent="0.25">
      <c r="A52" s="687" t="s">
        <v>1271</v>
      </c>
      <c r="B52" s="1172"/>
      <c r="C52" s="880">
        <f>'10FV_34'!D27</f>
        <v>0</v>
      </c>
      <c r="D52" s="880">
        <v>0</v>
      </c>
      <c r="E52" s="881">
        <f t="shared" si="2"/>
        <v>0</v>
      </c>
      <c r="F52" s="1199"/>
      <c r="G52" s="1199"/>
      <c r="H52" s="1501"/>
      <c r="I52" s="1501"/>
      <c r="J52" s="1459"/>
      <c r="L52" s="951" t="s">
        <v>1110</v>
      </c>
      <c r="M52" s="1491">
        <f>M51</f>
        <v>22500000</v>
      </c>
      <c r="N52" s="1502">
        <f>M52</f>
        <v>22500000</v>
      </c>
      <c r="O52" s="1502">
        <f>O51-N52</f>
        <v>316875000</v>
      </c>
      <c r="P52" s="1502">
        <f>O52-N52</f>
        <v>294375000</v>
      </c>
    </row>
    <row r="53" spans="1:16" x14ac:dyDescent="0.25">
      <c r="A53" s="687" t="s">
        <v>518</v>
      </c>
      <c r="B53" s="1172"/>
      <c r="C53" s="880">
        <f>'10FV_34'!D28</f>
        <v>1050464.48</v>
      </c>
      <c r="D53" s="880">
        <v>0</v>
      </c>
      <c r="E53" s="881">
        <f t="shared" si="2"/>
        <v>1050464.48</v>
      </c>
      <c r="F53" s="1199"/>
      <c r="G53" s="1199"/>
      <c r="H53" s="1501"/>
      <c r="I53" s="1501"/>
      <c r="J53" s="1459"/>
    </row>
    <row r="54" spans="1:16" x14ac:dyDescent="0.25">
      <c r="A54" s="687" t="s">
        <v>1494</v>
      </c>
      <c r="B54" s="1172"/>
      <c r="C54" s="880">
        <v>38850000</v>
      </c>
      <c r="D54" s="880">
        <v>155400000</v>
      </c>
      <c r="E54" s="881">
        <f t="shared" si="2"/>
        <v>194250000</v>
      </c>
      <c r="F54" s="1199"/>
      <c r="G54" s="1199"/>
      <c r="H54" s="1501"/>
      <c r="I54" s="1501"/>
      <c r="J54" s="1459"/>
    </row>
    <row r="55" spans="1:16" x14ac:dyDescent="0.25">
      <c r="A55" s="687"/>
      <c r="B55" s="1172"/>
      <c r="C55" s="880"/>
      <c r="D55" s="880"/>
      <c r="E55" s="881"/>
      <c r="F55" s="1199"/>
      <c r="G55" s="1199"/>
      <c r="H55" s="1501"/>
      <c r="I55" s="1501"/>
      <c r="J55" s="1459"/>
    </row>
    <row r="56" spans="1:16" x14ac:dyDescent="0.25">
      <c r="A56" s="1116" t="s">
        <v>409</v>
      </c>
      <c r="B56" s="883"/>
      <c r="C56" s="884">
        <f>SUM(C47:C55)</f>
        <v>234741960.22000003</v>
      </c>
      <c r="D56" s="884">
        <f t="shared" ref="D56:E56" si="3">SUM(D47:D55)</f>
        <v>249330419.16</v>
      </c>
      <c r="E56" s="884">
        <f t="shared" si="3"/>
        <v>484072379.38</v>
      </c>
      <c r="F56" s="1199"/>
      <c r="G56" s="1504"/>
      <c r="H56" s="1505"/>
      <c r="I56" s="1505"/>
      <c r="J56" s="1459"/>
    </row>
    <row r="57" spans="1:16" ht="0.75" customHeight="1" x14ac:dyDescent="0.25">
      <c r="A57" s="885"/>
      <c r="B57" s="1172"/>
      <c r="C57" s="886"/>
      <c r="D57" s="886"/>
      <c r="E57" s="886"/>
      <c r="F57" s="1199"/>
      <c r="G57" s="1506"/>
      <c r="H57" s="1505"/>
      <c r="I57" s="1505"/>
      <c r="J57" s="1459"/>
    </row>
    <row r="58" spans="1:16" x14ac:dyDescent="0.25">
      <c r="A58" s="1117" t="s">
        <v>429</v>
      </c>
      <c r="B58" s="1172"/>
      <c r="C58" s="875"/>
      <c r="D58" s="875"/>
      <c r="E58" s="876"/>
      <c r="F58" s="1199"/>
      <c r="G58" s="1199"/>
      <c r="H58" s="1499"/>
      <c r="I58" s="1171"/>
      <c r="J58" s="1459"/>
    </row>
    <row r="59" spans="1:16" x14ac:dyDescent="0.25">
      <c r="A59" s="1118" t="s">
        <v>408</v>
      </c>
      <c r="B59" s="1172"/>
      <c r="C59" s="878"/>
      <c r="D59" s="878"/>
      <c r="E59" s="879"/>
      <c r="F59" s="1199"/>
      <c r="G59" s="1199"/>
      <c r="H59" s="1494"/>
      <c r="I59" s="1494"/>
      <c r="J59" s="1459"/>
    </row>
    <row r="60" spans="1:16" x14ac:dyDescent="0.25">
      <c r="A60" s="687" t="s">
        <v>514</v>
      </c>
      <c r="B60" s="1172"/>
      <c r="C60" s="880">
        <v>0</v>
      </c>
      <c r="D60" s="880">
        <f>+D47</f>
        <v>0</v>
      </c>
      <c r="E60" s="881">
        <f t="shared" ref="E60:E67" si="4">SUM(C60:D60)</f>
        <v>0</v>
      </c>
      <c r="F60" s="1199"/>
      <c r="G60" s="1199"/>
      <c r="H60" s="1501"/>
      <c r="I60" s="1501"/>
      <c r="J60" s="1459"/>
    </row>
    <row r="61" spans="1:16" x14ac:dyDescent="0.25">
      <c r="A61" s="687" t="s">
        <v>445</v>
      </c>
      <c r="B61" s="1172"/>
      <c r="C61" s="880">
        <v>79636472.989999995</v>
      </c>
      <c r="D61" s="880">
        <v>348615398.00999999</v>
      </c>
      <c r="E61" s="881">
        <f t="shared" si="4"/>
        <v>428251871</v>
      </c>
      <c r="F61" s="1199"/>
      <c r="G61" s="1199"/>
      <c r="H61" s="1501"/>
      <c r="I61" s="1501"/>
      <c r="J61" s="1459"/>
    </row>
    <row r="62" spans="1:16" x14ac:dyDescent="0.25">
      <c r="A62" s="687" t="s">
        <v>515</v>
      </c>
      <c r="B62" s="1172"/>
      <c r="C62" s="880">
        <v>71318096.5</v>
      </c>
      <c r="D62" s="880">
        <v>0</v>
      </c>
      <c r="E62" s="881">
        <f t="shared" si="4"/>
        <v>71318096.5</v>
      </c>
      <c r="F62" s="1199"/>
      <c r="G62" s="1199"/>
      <c r="H62" s="1501"/>
      <c r="I62" s="1501"/>
      <c r="J62" s="1459"/>
    </row>
    <row r="63" spans="1:16" x14ac:dyDescent="0.25">
      <c r="A63" s="687" t="s">
        <v>1495</v>
      </c>
      <c r="B63" s="1172"/>
      <c r="C63" s="880">
        <f>+'9N_14-21'!D77</f>
        <v>139053</v>
      </c>
      <c r="D63" s="880">
        <v>0</v>
      </c>
      <c r="E63" s="881">
        <f t="shared" si="4"/>
        <v>139053</v>
      </c>
      <c r="F63" s="1199"/>
      <c r="G63" s="1199"/>
      <c r="H63" s="1501"/>
      <c r="I63" s="1501"/>
      <c r="J63" s="1459"/>
    </row>
    <row r="64" spans="1:16" x14ac:dyDescent="0.25">
      <c r="A64" s="687" t="str">
        <f>+A51</f>
        <v>Payable to employees</v>
      </c>
      <c r="B64" s="1172"/>
      <c r="C64" s="880">
        <f>+'9N_14-21'!D92</f>
        <v>140661</v>
      </c>
      <c r="D64" s="880">
        <v>0</v>
      </c>
      <c r="E64" s="881">
        <f t="shared" si="4"/>
        <v>140661</v>
      </c>
      <c r="F64" s="1199"/>
      <c r="G64" s="1199"/>
      <c r="H64" s="1501"/>
      <c r="I64" s="1501"/>
      <c r="J64" s="1459"/>
    </row>
    <row r="65" spans="1:10" x14ac:dyDescent="0.25">
      <c r="A65" s="687" t="str">
        <f>+A53</f>
        <v xml:space="preserve"> Security deposits</v>
      </c>
      <c r="B65" s="1172"/>
      <c r="C65" s="880">
        <f>+'9N_14-21'!D90+'9N_14-21'!D91</f>
        <v>6604675.3300000001</v>
      </c>
      <c r="D65" s="880">
        <v>0</v>
      </c>
      <c r="E65" s="881">
        <f t="shared" si="4"/>
        <v>6604675.3300000001</v>
      </c>
      <c r="F65" s="1199"/>
      <c r="G65" s="1199"/>
      <c r="H65" s="1501"/>
      <c r="I65" s="1501"/>
      <c r="J65" s="1459"/>
    </row>
    <row r="66" spans="1:10" x14ac:dyDescent="0.25">
      <c r="A66" s="687" t="str">
        <f>+A52</f>
        <v>Provision for Bonus</v>
      </c>
      <c r="B66" s="1172"/>
      <c r="C66" s="880">
        <f>+'9N_14-21'!D93</f>
        <v>0</v>
      </c>
      <c r="D66" s="880">
        <v>0</v>
      </c>
      <c r="E66" s="881">
        <f t="shared" si="4"/>
        <v>0</v>
      </c>
      <c r="F66" s="1199"/>
      <c r="G66" s="1199"/>
      <c r="H66" s="1501"/>
      <c r="I66" s="1501"/>
      <c r="J66" s="1459"/>
    </row>
    <row r="67" spans="1:10" x14ac:dyDescent="0.25">
      <c r="A67" s="687" t="str">
        <f>+A54</f>
        <v>License fee payable</v>
      </c>
      <c r="B67" s="1172"/>
      <c r="C67" s="880">
        <f>+C54</f>
        <v>38850000</v>
      </c>
      <c r="D67" s="880">
        <f>+'9N_14-21'!D42-C67</f>
        <v>-38850000</v>
      </c>
      <c r="E67" s="881">
        <f t="shared" si="4"/>
        <v>0</v>
      </c>
      <c r="F67" s="1199"/>
      <c r="G67" s="1199"/>
      <c r="H67" s="1501"/>
      <c r="I67" s="1501"/>
      <c r="J67" s="1459"/>
    </row>
    <row r="68" spans="1:10" x14ac:dyDescent="0.25">
      <c r="A68" s="1116" t="s">
        <v>409</v>
      </c>
      <c r="B68" s="883"/>
      <c r="C68" s="884">
        <f>SUM(C60:C67)</f>
        <v>196688958.82000002</v>
      </c>
      <c r="D68" s="884">
        <f>SUM(D60:D67)</f>
        <v>309765398.00999999</v>
      </c>
      <c r="E68" s="884">
        <f>SUM(E60:E67)</f>
        <v>506454356.82999998</v>
      </c>
      <c r="F68" s="1199"/>
      <c r="G68" s="1504"/>
      <c r="H68" s="1505"/>
      <c r="I68" s="1505"/>
      <c r="J68" s="1459"/>
    </row>
    <row r="69" spans="1:10" ht="16.5" hidden="1" x14ac:dyDescent="0.25">
      <c r="A69" s="885"/>
      <c r="B69" s="1172"/>
      <c r="C69" s="887"/>
      <c r="D69" s="887"/>
      <c r="E69" s="887"/>
      <c r="F69" s="1199"/>
      <c r="G69" s="1506"/>
      <c r="H69" s="1505"/>
      <c r="I69" s="1505"/>
      <c r="J69" s="1459"/>
    </row>
    <row r="70" spans="1:10" ht="16.5" hidden="1" x14ac:dyDescent="0.25">
      <c r="A70" s="874" t="s">
        <v>364</v>
      </c>
      <c r="B70" s="1172"/>
      <c r="C70" s="888"/>
      <c r="D70" s="889"/>
      <c r="E70" s="889"/>
      <c r="F70" s="1199"/>
      <c r="G70" s="1507"/>
      <c r="H70" s="1508"/>
      <c r="I70" s="1509"/>
      <c r="J70" s="1459"/>
    </row>
    <row r="71" spans="1:10" ht="16.5" hidden="1" x14ac:dyDescent="0.25">
      <c r="A71" s="890" t="s">
        <v>408</v>
      </c>
      <c r="B71" s="1172"/>
      <c r="C71" s="891"/>
      <c r="D71" s="891"/>
      <c r="E71" s="891"/>
      <c r="F71" s="1199"/>
      <c r="G71" s="1510"/>
      <c r="H71" s="1501"/>
      <c r="I71" s="1501"/>
      <c r="J71" s="1459"/>
    </row>
    <row r="72" spans="1:10" hidden="1" x14ac:dyDescent="0.25">
      <c r="A72" s="687" t="s">
        <v>355</v>
      </c>
      <c r="B72" s="1172"/>
      <c r="C72" s="891">
        <v>134590512.71000001</v>
      </c>
      <c r="D72" s="892">
        <v>0</v>
      </c>
      <c r="E72" s="893">
        <f t="shared" ref="E72:E78" si="5">SUM(C72:D72)</f>
        <v>134590512.71000001</v>
      </c>
      <c r="F72" s="1199"/>
      <c r="G72" s="1199"/>
      <c r="H72" s="1501"/>
      <c r="I72" s="1501"/>
      <c r="J72" s="1459"/>
    </row>
    <row r="73" spans="1:10" hidden="1" x14ac:dyDescent="0.25">
      <c r="A73" s="687" t="s">
        <v>514</v>
      </c>
      <c r="B73" s="1172"/>
      <c r="C73" s="891">
        <v>22500000</v>
      </c>
      <c r="D73" s="892">
        <v>384375000</v>
      </c>
      <c r="E73" s="893">
        <f t="shared" si="5"/>
        <v>406875000</v>
      </c>
      <c r="F73" s="1199"/>
      <c r="G73" s="1199"/>
      <c r="H73" s="1501"/>
      <c r="I73" s="1501"/>
      <c r="J73" s="1459"/>
    </row>
    <row r="74" spans="1:10" hidden="1" x14ac:dyDescent="0.25">
      <c r="A74" s="687" t="s">
        <v>515</v>
      </c>
      <c r="B74" s="1172"/>
      <c r="C74" s="891">
        <v>73503206.629999995</v>
      </c>
      <c r="D74" s="892">
        <v>0</v>
      </c>
      <c r="E74" s="893">
        <f t="shared" si="5"/>
        <v>73503206.629999995</v>
      </c>
      <c r="F74" s="1199"/>
      <c r="G74" s="1199"/>
      <c r="H74" s="1501"/>
      <c r="I74" s="1501"/>
      <c r="J74" s="1459"/>
    </row>
    <row r="75" spans="1:10" hidden="1" x14ac:dyDescent="0.25">
      <c r="A75" s="687" t="s">
        <v>375</v>
      </c>
      <c r="B75" s="1172"/>
      <c r="C75" s="894">
        <v>94636502</v>
      </c>
      <c r="D75" s="892">
        <v>0</v>
      </c>
      <c r="E75" s="893">
        <f t="shared" si="5"/>
        <v>94636502</v>
      </c>
      <c r="F75" s="1199"/>
      <c r="G75" s="1199"/>
      <c r="H75" s="1501"/>
      <c r="I75" s="1501"/>
      <c r="J75" s="1459"/>
    </row>
    <row r="76" spans="1:10" hidden="1" x14ac:dyDescent="0.25">
      <c r="A76" s="687" t="s">
        <v>516</v>
      </c>
      <c r="B76" s="1172"/>
      <c r="C76" s="891">
        <v>4509246.58</v>
      </c>
      <c r="D76" s="892">
        <v>0</v>
      </c>
      <c r="E76" s="893">
        <f t="shared" si="5"/>
        <v>4509246.58</v>
      </c>
      <c r="F76" s="1199"/>
      <c r="G76" s="1199"/>
      <c r="H76" s="1501"/>
      <c r="I76" s="1501"/>
      <c r="J76" s="1459"/>
    </row>
    <row r="77" spans="1:10" hidden="1" x14ac:dyDescent="0.25">
      <c r="A77" s="687" t="s">
        <v>517</v>
      </c>
      <c r="B77" s="1172"/>
      <c r="C77" s="892">
        <v>20054.86</v>
      </c>
      <c r="D77" s="892">
        <v>0</v>
      </c>
      <c r="E77" s="893">
        <f t="shared" si="5"/>
        <v>20054.86</v>
      </c>
      <c r="F77" s="1199"/>
      <c r="G77" s="1199"/>
      <c r="H77" s="1501"/>
      <c r="I77" s="1501"/>
      <c r="J77" s="1459"/>
    </row>
    <row r="78" spans="1:10" hidden="1" x14ac:dyDescent="0.25">
      <c r="A78" s="687" t="s">
        <v>518</v>
      </c>
      <c r="B78" s="1172"/>
      <c r="C78" s="892">
        <v>7808954.9299999997</v>
      </c>
      <c r="D78" s="892">
        <v>0</v>
      </c>
      <c r="E78" s="893">
        <f t="shared" si="5"/>
        <v>7808954.9299999997</v>
      </c>
      <c r="F78" s="1199"/>
      <c r="G78" s="1199"/>
      <c r="H78" s="1501"/>
      <c r="I78" s="1505"/>
      <c r="J78" s="1459"/>
    </row>
    <row r="79" spans="1:10" hidden="1" x14ac:dyDescent="0.25">
      <c r="A79" s="882" t="s">
        <v>409</v>
      </c>
      <c r="B79" s="883"/>
      <c r="C79" s="895">
        <f>SUM(C72:C78)</f>
        <v>337568477.71000004</v>
      </c>
      <c r="D79" s="895">
        <f>SUM(D72:D78)</f>
        <v>384375000</v>
      </c>
      <c r="E79" s="895">
        <f>SUM(E72:E78)</f>
        <v>721943477.71000004</v>
      </c>
      <c r="F79" s="1199"/>
      <c r="G79" s="1504"/>
      <c r="H79" s="1501"/>
      <c r="I79" s="1501"/>
      <c r="J79" s="1459"/>
    </row>
    <row r="80" spans="1:10" ht="16.5" x14ac:dyDescent="0.25">
      <c r="A80" s="1441"/>
      <c r="B80" s="897"/>
      <c r="C80" s="897"/>
      <c r="D80" s="898"/>
      <c r="E80" s="898"/>
      <c r="F80" s="1511"/>
      <c r="G80" s="1199"/>
      <c r="H80" s="1494"/>
      <c r="I80" s="1494"/>
      <c r="J80" s="1459"/>
    </row>
    <row r="81" spans="1:10" x14ac:dyDescent="0.25">
      <c r="A81" s="1436" t="s">
        <v>410</v>
      </c>
      <c r="B81" s="1087"/>
      <c r="C81" s="1087"/>
      <c r="D81" s="1087"/>
      <c r="E81" s="1087"/>
      <c r="F81" s="1088"/>
      <c r="G81" s="1199"/>
      <c r="H81" s="1088"/>
      <c r="I81" s="1088"/>
      <c r="J81" s="1459"/>
    </row>
    <row r="82" spans="1:10" x14ac:dyDescent="0.25">
      <c r="A82" s="1091"/>
      <c r="B82" s="1087"/>
      <c r="C82" s="1087"/>
      <c r="D82" s="1087"/>
      <c r="E82" s="1087"/>
      <c r="F82" s="1088"/>
      <c r="G82" s="1199"/>
      <c r="H82" s="1088"/>
      <c r="I82" s="1088"/>
      <c r="J82" s="1459"/>
    </row>
    <row r="83" spans="1:10" x14ac:dyDescent="0.25">
      <c r="A83" s="1436" t="s">
        <v>411</v>
      </c>
      <c r="B83" s="1087"/>
      <c r="C83" s="1087"/>
      <c r="D83" s="1087"/>
      <c r="E83" s="1087"/>
      <c r="F83" s="1088"/>
      <c r="G83" s="1088"/>
      <c r="H83" s="1088"/>
      <c r="I83" s="1088"/>
      <c r="J83" s="1459"/>
    </row>
    <row r="84" spans="1:10" ht="36.75" customHeight="1" x14ac:dyDescent="0.25">
      <c r="A84" s="1757" t="s">
        <v>412</v>
      </c>
      <c r="B84" s="1758"/>
      <c r="C84" s="1758"/>
      <c r="D84" s="1758"/>
      <c r="E84" s="1758"/>
      <c r="F84" s="1088"/>
      <c r="G84" s="1088"/>
      <c r="H84" s="1088"/>
      <c r="I84" s="1088"/>
      <c r="J84" s="1459"/>
    </row>
    <row r="85" spans="1:10" ht="78.75" customHeight="1" x14ac:dyDescent="0.25">
      <c r="A85" s="1753" t="s">
        <v>413</v>
      </c>
      <c r="B85" s="1754"/>
      <c r="C85" s="1754"/>
      <c r="D85" s="1754"/>
      <c r="E85" s="1754"/>
      <c r="F85" s="1088"/>
      <c r="G85" s="1088"/>
      <c r="H85" s="1088"/>
      <c r="I85" s="1088"/>
      <c r="J85" s="1459"/>
    </row>
    <row r="86" spans="1:10" x14ac:dyDescent="0.25">
      <c r="A86" s="1442"/>
      <c r="B86" s="899"/>
      <c r="C86" s="1189"/>
      <c r="D86" s="900"/>
      <c r="E86" s="901" t="s">
        <v>414</v>
      </c>
      <c r="F86" s="1512"/>
      <c r="G86" s="1513"/>
      <c r="H86" s="1514"/>
      <c r="I86" s="1199"/>
      <c r="J86" s="1459"/>
    </row>
    <row r="87" spans="1:10" x14ac:dyDescent="0.25">
      <c r="A87" s="902"/>
      <c r="B87" s="903"/>
      <c r="C87" s="1119" t="s">
        <v>586</v>
      </c>
      <c r="D87" s="1119" t="s">
        <v>374</v>
      </c>
      <c r="E87" s="1000" t="s">
        <v>364</v>
      </c>
      <c r="F87" s="1515"/>
      <c r="G87" s="1513"/>
      <c r="H87" s="1199"/>
      <c r="I87" s="1199"/>
      <c r="J87" s="1459"/>
    </row>
    <row r="88" spans="1:10" x14ac:dyDescent="0.25">
      <c r="A88" s="904"/>
      <c r="B88" s="905"/>
      <c r="C88" s="1120" t="s">
        <v>415</v>
      </c>
      <c r="D88" s="1120" t="s">
        <v>415</v>
      </c>
      <c r="E88" s="906" t="s">
        <v>415</v>
      </c>
      <c r="F88" s="1515"/>
      <c r="G88" s="1513"/>
      <c r="H88" s="1199"/>
      <c r="I88" s="1199"/>
      <c r="J88" s="1459"/>
    </row>
    <row r="89" spans="1:10" x14ac:dyDescent="0.25">
      <c r="A89" s="907" t="s">
        <v>352</v>
      </c>
      <c r="B89" s="908"/>
      <c r="C89" s="909">
        <v>208823.70000000004</v>
      </c>
      <c r="D89" s="910">
        <v>113505.33</v>
      </c>
      <c r="E89" s="911">
        <v>6611740.4699999997</v>
      </c>
      <c r="F89" s="1515"/>
      <c r="G89" s="1513"/>
      <c r="H89" s="1199"/>
      <c r="I89" s="1199"/>
      <c r="J89" s="1459"/>
    </row>
    <row r="90" spans="1:10" x14ac:dyDescent="0.25">
      <c r="A90" s="907" t="s">
        <v>367</v>
      </c>
      <c r="B90" s="908"/>
      <c r="C90" s="912">
        <v>972627.7</v>
      </c>
      <c r="D90" s="913">
        <v>42304.97</v>
      </c>
      <c r="E90" s="914">
        <v>37323977.359999999</v>
      </c>
      <c r="F90" s="1515"/>
      <c r="G90" s="1513"/>
      <c r="H90" s="1199"/>
      <c r="I90" s="1199"/>
      <c r="J90" s="1459"/>
    </row>
    <row r="91" spans="1:10" ht="17.25" customHeight="1" x14ac:dyDescent="0.25">
      <c r="A91" s="1742" t="s">
        <v>416</v>
      </c>
      <c r="B91" s="1743"/>
      <c r="C91" s="915">
        <v>-763803.99999999988</v>
      </c>
      <c r="D91" s="916">
        <v>71200.36</v>
      </c>
      <c r="E91" s="917">
        <f t="shared" ref="E91" si="6">E89-E90</f>
        <v>-30712236.890000001</v>
      </c>
      <c r="F91" s="1515"/>
      <c r="G91" s="1513"/>
      <c r="H91" s="1199"/>
      <c r="I91" s="1199"/>
      <c r="J91" s="1459"/>
    </row>
    <row r="92" spans="1:10" x14ac:dyDescent="0.25">
      <c r="A92" s="1759"/>
      <c r="B92" s="1760"/>
      <c r="C92" s="1001"/>
      <c r="D92" s="918"/>
      <c r="E92" s="919"/>
      <c r="F92" s="1516"/>
      <c r="G92" s="1513"/>
      <c r="H92" s="1088"/>
      <c r="I92" s="1088"/>
      <c r="J92" s="1459"/>
    </row>
    <row r="93" spans="1:10" x14ac:dyDescent="0.25">
      <c r="A93" s="920"/>
      <c r="B93" s="921"/>
      <c r="C93" s="921"/>
      <c r="D93" s="922"/>
      <c r="E93" s="923"/>
      <c r="F93" s="1516"/>
      <c r="G93" s="1513"/>
      <c r="H93" s="1088"/>
      <c r="I93" s="1088"/>
      <c r="J93" s="1459"/>
    </row>
    <row r="94" spans="1:10" x14ac:dyDescent="0.25">
      <c r="A94" s="902"/>
      <c r="B94" s="903"/>
      <c r="C94" s="1119" t="s">
        <v>586</v>
      </c>
      <c r="D94" s="1119" t="s">
        <v>374</v>
      </c>
      <c r="E94" s="1000" t="s">
        <v>364</v>
      </c>
      <c r="F94" s="1516"/>
      <c r="G94" s="1088"/>
      <c r="H94" s="1088"/>
      <c r="I94" s="1088"/>
      <c r="J94" s="1459"/>
    </row>
    <row r="95" spans="1:10" x14ac:dyDescent="0.25">
      <c r="A95" s="904"/>
      <c r="B95" s="905"/>
      <c r="C95" s="1121" t="s">
        <v>417</v>
      </c>
      <c r="D95" s="1120" t="s">
        <v>417</v>
      </c>
      <c r="E95" s="906" t="s">
        <v>417</v>
      </c>
      <c r="F95" s="1516"/>
      <c r="G95" s="1088"/>
      <c r="H95" s="1088"/>
      <c r="I95" s="1088"/>
      <c r="J95" s="1459"/>
    </row>
    <row r="96" spans="1:10" x14ac:dyDescent="0.25">
      <c r="A96" s="907" t="s">
        <v>352</v>
      </c>
      <c r="B96" s="908"/>
      <c r="C96" s="924">
        <v>3234.08</v>
      </c>
      <c r="D96" s="925">
        <v>522.95000000000005</v>
      </c>
      <c r="E96" s="911">
        <v>231920.45</v>
      </c>
      <c r="F96" s="1516"/>
      <c r="G96" s="1088"/>
      <c r="H96" s="1088"/>
      <c r="I96" s="1088"/>
      <c r="J96" s="1459"/>
    </row>
    <row r="97" spans="1:10" x14ac:dyDescent="0.25">
      <c r="A97" s="907" t="s">
        <v>367</v>
      </c>
      <c r="B97" s="908"/>
      <c r="C97" s="924">
        <v>785.4</v>
      </c>
      <c r="D97" s="926">
        <v>422.89</v>
      </c>
      <c r="E97" s="914">
        <v>229575419.41</v>
      </c>
      <c r="F97" s="1516"/>
      <c r="G97" s="1088"/>
      <c r="H97" s="1088"/>
      <c r="I97" s="1088"/>
      <c r="J97" s="1459"/>
    </row>
    <row r="98" spans="1:10" ht="36.75" customHeight="1" x14ac:dyDescent="0.25">
      <c r="A98" s="1742" t="s">
        <v>416</v>
      </c>
      <c r="B98" s="1743"/>
      <c r="C98" s="927">
        <v>2448.6799999999998</v>
      </c>
      <c r="D98" s="928">
        <v>100.06000000000006</v>
      </c>
      <c r="E98" s="917">
        <f t="shared" ref="E98" si="7">E96-E97</f>
        <v>-229343498.96000001</v>
      </c>
      <c r="F98" s="1516"/>
      <c r="G98" s="1088"/>
      <c r="H98" s="1088"/>
      <c r="I98" s="1088"/>
      <c r="J98" s="1459"/>
    </row>
    <row r="99" spans="1:10" x14ac:dyDescent="0.25">
      <c r="A99" s="920"/>
      <c r="B99" s="921"/>
      <c r="C99" s="921"/>
      <c r="D99" s="922"/>
      <c r="E99" s="923"/>
      <c r="F99" s="1516"/>
      <c r="G99" s="1088"/>
      <c r="H99" s="1088"/>
      <c r="I99" s="1088"/>
      <c r="J99" s="1459"/>
    </row>
    <row r="100" spans="1:10" x14ac:dyDescent="0.25">
      <c r="A100" s="1436" t="s">
        <v>418</v>
      </c>
      <c r="B100" s="1184"/>
      <c r="C100" s="1184"/>
      <c r="D100" s="1184"/>
      <c r="E100" s="1190"/>
      <c r="F100" s="1088"/>
      <c r="G100" s="1088"/>
      <c r="H100" s="1088"/>
      <c r="I100" s="1088"/>
      <c r="J100" s="1459"/>
    </row>
    <row r="101" spans="1:10" ht="30.6" customHeight="1" x14ac:dyDescent="0.25">
      <c r="A101" s="1763" t="s">
        <v>419</v>
      </c>
      <c r="B101" s="1764"/>
      <c r="C101" s="1764"/>
      <c r="D101" s="1764"/>
      <c r="E101" s="1764"/>
      <c r="F101" s="1517"/>
      <c r="G101" s="1517"/>
      <c r="H101" s="1517"/>
      <c r="I101" s="1517"/>
      <c r="J101" s="1459"/>
    </row>
    <row r="102" spans="1:10" x14ac:dyDescent="0.25">
      <c r="A102" s="929"/>
      <c r="B102" s="930"/>
      <c r="C102" s="1122" t="s">
        <v>1500</v>
      </c>
      <c r="D102" s="1747" t="s">
        <v>420</v>
      </c>
      <c r="E102" s="1748"/>
      <c r="F102" s="1199"/>
      <c r="G102" s="1088"/>
      <c r="H102" s="1088"/>
      <c r="I102" s="1088"/>
      <c r="J102" s="1459"/>
    </row>
    <row r="103" spans="1:10" x14ac:dyDescent="0.25">
      <c r="A103" s="931"/>
      <c r="B103" s="932"/>
      <c r="C103" s="1122" t="s">
        <v>1501</v>
      </c>
      <c r="D103" s="1123" t="s">
        <v>586</v>
      </c>
      <c r="E103" s="1124" t="s">
        <v>374</v>
      </c>
      <c r="F103" s="1199"/>
      <c r="G103" s="1088"/>
      <c r="H103" s="1088"/>
      <c r="I103" s="1088"/>
      <c r="J103" s="1459"/>
    </row>
    <row r="104" spans="1:10" ht="16.5" x14ac:dyDescent="0.3">
      <c r="A104" s="1125" t="s">
        <v>421</v>
      </c>
      <c r="B104" s="933"/>
      <c r="C104" s="934"/>
      <c r="D104" s="935"/>
      <c r="E104" s="935"/>
      <c r="F104" s="1199"/>
      <c r="G104" s="1088"/>
      <c r="H104" s="1088"/>
      <c r="I104" s="1088"/>
      <c r="J104" s="1459"/>
    </row>
    <row r="105" spans="1:10" ht="16.5" x14ac:dyDescent="0.3">
      <c r="A105" s="936" t="s">
        <v>1502</v>
      </c>
      <c r="B105" s="937"/>
      <c r="C105" s="938">
        <v>0.05</v>
      </c>
      <c r="D105" s="939">
        <f>-C91*C105</f>
        <v>38190.199999999997</v>
      </c>
      <c r="E105" s="939">
        <f>+-D91*C105</f>
        <v>-3560.018</v>
      </c>
      <c r="F105" s="1199"/>
      <c r="G105" s="1088"/>
      <c r="H105" s="1088"/>
      <c r="I105" s="1088"/>
      <c r="J105" s="1459"/>
    </row>
    <row r="106" spans="1:10" ht="16.5" x14ac:dyDescent="0.3">
      <c r="A106" s="936" t="s">
        <v>1503</v>
      </c>
      <c r="B106" s="937"/>
      <c r="C106" s="938">
        <v>-0.05</v>
      </c>
      <c r="D106" s="939">
        <f>+-D105</f>
        <v>-38190.199999999997</v>
      </c>
      <c r="E106" s="940">
        <f>-E105</f>
        <v>3560.018</v>
      </c>
      <c r="F106" s="1199"/>
      <c r="G106" s="1088"/>
      <c r="H106" s="1088"/>
      <c r="I106" s="1088"/>
      <c r="J106" s="1459"/>
    </row>
    <row r="107" spans="1:10" ht="16.5" x14ac:dyDescent="0.3">
      <c r="A107" s="1125" t="s">
        <v>422</v>
      </c>
      <c r="B107" s="933"/>
      <c r="C107" s="938"/>
      <c r="D107" s="941"/>
      <c r="E107" s="941"/>
      <c r="F107" s="1199"/>
      <c r="G107" s="1088"/>
      <c r="H107" s="1088"/>
      <c r="I107" s="1088"/>
      <c r="J107" s="1459"/>
    </row>
    <row r="108" spans="1:10" ht="16.5" x14ac:dyDescent="0.3">
      <c r="A108" s="936" t="s">
        <v>1502</v>
      </c>
      <c r="B108" s="933"/>
      <c r="C108" s="938">
        <v>0.05</v>
      </c>
      <c r="D108" s="940">
        <f>-C98*C108</f>
        <v>-122.434</v>
      </c>
      <c r="E108" s="940">
        <f>-D98*C108</f>
        <v>-5.0030000000000037</v>
      </c>
      <c r="F108" s="1199"/>
      <c r="G108" s="1088"/>
      <c r="H108" s="1088"/>
      <c r="I108" s="1088"/>
      <c r="J108" s="1459"/>
    </row>
    <row r="109" spans="1:10" ht="16.5" x14ac:dyDescent="0.3">
      <c r="A109" s="936" t="s">
        <v>1503</v>
      </c>
      <c r="B109" s="933"/>
      <c r="C109" s="938">
        <v>-0.05</v>
      </c>
      <c r="D109" s="940">
        <f>++-D108</f>
        <v>122.434</v>
      </c>
      <c r="E109" s="940">
        <f>+-E108</f>
        <v>5.0030000000000037</v>
      </c>
      <c r="F109" s="1199"/>
      <c r="G109" s="1088"/>
      <c r="H109" s="1088"/>
      <c r="I109" s="1088"/>
      <c r="J109" s="1459"/>
    </row>
    <row r="110" spans="1:10" x14ac:dyDescent="0.25">
      <c r="A110" s="1437"/>
      <c r="B110" s="921"/>
      <c r="C110" s="921"/>
      <c r="D110" s="1191"/>
      <c r="E110" s="1190"/>
      <c r="F110" s="1088"/>
      <c r="G110" s="1088"/>
      <c r="H110" s="1088"/>
      <c r="I110" s="1088"/>
      <c r="J110" s="1459"/>
    </row>
    <row r="111" spans="1:10" x14ac:dyDescent="0.25">
      <c r="A111" s="1437" t="s">
        <v>423</v>
      </c>
      <c r="B111" s="921"/>
      <c r="C111" s="1192"/>
      <c r="D111" s="1191"/>
      <c r="E111" s="1190"/>
      <c r="F111" s="1088"/>
      <c r="G111" s="1088"/>
      <c r="H111" s="1088"/>
      <c r="I111" s="1088"/>
      <c r="J111" s="1459"/>
    </row>
    <row r="112" spans="1:10" x14ac:dyDescent="0.25">
      <c r="A112" s="1443"/>
      <c r="B112" s="1190"/>
      <c r="C112" s="1190"/>
      <c r="D112" s="1190"/>
      <c r="E112" s="1190"/>
      <c r="F112" s="1088"/>
      <c r="G112" s="1088"/>
      <c r="H112" s="1088"/>
      <c r="I112" s="1088"/>
      <c r="J112" s="1459"/>
    </row>
    <row r="113" spans="1:10" ht="38.25" customHeight="1" x14ac:dyDescent="0.25">
      <c r="A113" s="1761" t="s">
        <v>424</v>
      </c>
      <c r="B113" s="1762"/>
      <c r="C113" s="1762"/>
      <c r="D113" s="1762"/>
      <c r="E113" s="1190"/>
      <c r="F113" s="1088"/>
      <c r="G113" s="1088"/>
      <c r="H113" s="1088"/>
      <c r="I113" s="1088"/>
      <c r="J113" s="1459"/>
    </row>
    <row r="114" spans="1:10" x14ac:dyDescent="0.25">
      <c r="A114" s="1443"/>
      <c r="B114" s="1190"/>
      <c r="C114" s="1190"/>
      <c r="D114" s="1190"/>
      <c r="E114" s="1190"/>
      <c r="F114" s="1088"/>
      <c r="G114" s="1088"/>
      <c r="H114" s="1088"/>
      <c r="I114" s="1088"/>
      <c r="J114" s="1459"/>
    </row>
    <row r="115" spans="1:10" x14ac:dyDescent="0.25">
      <c r="A115" s="1436" t="s">
        <v>425</v>
      </c>
      <c r="B115" s="1172"/>
      <c r="C115" s="1172"/>
      <c r="D115" s="1172"/>
      <c r="E115" s="1172"/>
      <c r="F115" s="1199"/>
      <c r="G115" s="1199"/>
      <c r="H115" s="1199"/>
      <c r="I115" s="1199"/>
      <c r="J115" s="1459"/>
    </row>
    <row r="116" spans="1:10" ht="76.5" customHeight="1" x14ac:dyDescent="0.25">
      <c r="A116" s="1749" t="s">
        <v>426</v>
      </c>
      <c r="B116" s="1750"/>
      <c r="C116" s="1750"/>
      <c r="D116" s="1750"/>
      <c r="E116" s="1750"/>
      <c r="F116" s="1040"/>
      <c r="G116" s="1199"/>
      <c r="H116" s="1199"/>
      <c r="I116" s="1199"/>
      <c r="J116" s="1459"/>
    </row>
    <row r="117" spans="1:10" x14ac:dyDescent="0.25">
      <c r="A117" s="537" t="s">
        <v>427</v>
      </c>
      <c r="B117" s="1172"/>
      <c r="C117" s="1172"/>
      <c r="D117" s="1172"/>
      <c r="E117" s="1172"/>
      <c r="F117" s="1199"/>
      <c r="G117" s="1199"/>
      <c r="H117" s="1199"/>
      <c r="I117" s="1199"/>
      <c r="J117" s="1459"/>
    </row>
    <row r="118" spans="1:10" ht="81.75" customHeight="1" x14ac:dyDescent="0.25">
      <c r="A118" s="1751" t="s">
        <v>428</v>
      </c>
      <c r="B118" s="1752"/>
      <c r="C118" s="1752"/>
      <c r="D118" s="1752"/>
      <c r="E118" s="1752"/>
      <c r="F118" s="1518"/>
      <c r="G118" s="1518"/>
      <c r="H118" s="1518"/>
      <c r="I118" s="1519"/>
      <c r="J118" s="1520"/>
    </row>
  </sheetData>
  <mergeCells count="28">
    <mergeCell ref="D102:E102"/>
    <mergeCell ref="A1:E1"/>
    <mergeCell ref="A116:E116"/>
    <mergeCell ref="A118:E118"/>
    <mergeCell ref="A21:E21"/>
    <mergeCell ref="A40:E40"/>
    <mergeCell ref="A85:E85"/>
    <mergeCell ref="A38:E38"/>
    <mergeCell ref="A92:B92"/>
    <mergeCell ref="A113:D113"/>
    <mergeCell ref="A15:E15"/>
    <mergeCell ref="A18:E18"/>
    <mergeCell ref="A19:E19"/>
    <mergeCell ref="A6:E6"/>
    <mergeCell ref="A84:E84"/>
    <mergeCell ref="A101:E101"/>
    <mergeCell ref="A2:E2"/>
    <mergeCell ref="B43:C43"/>
    <mergeCell ref="J23:J24"/>
    <mergeCell ref="A91:B91"/>
    <mergeCell ref="A98:B98"/>
    <mergeCell ref="B8:C8"/>
    <mergeCell ref="B9:C9"/>
    <mergeCell ref="B10:C10"/>
    <mergeCell ref="B11:C11"/>
    <mergeCell ref="B12:C12"/>
    <mergeCell ref="B23:C23"/>
    <mergeCell ref="D23:E23"/>
  </mergeCells>
  <printOptions horizontalCentered="1"/>
  <pageMargins left="0.15748031496062992" right="0.27559055118110237" top="3.937007874015748E-2" bottom="1.1811023622047245" header="3.937007874015748E-2" footer="3.937007874015748E-2"/>
  <pageSetup paperSize="9" scale="56" fitToWidth="0" fitToHeight="0" orientation="portrait" r:id="rId1"/>
  <rowBreaks count="1" manualBreakCount="1">
    <brk id="40" max="9"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E16"/>
  <sheetViews>
    <sheetView showGridLines="0" view="pageBreakPreview" zoomScale="90" zoomScaleSheetLayoutView="90" workbookViewId="0">
      <selection activeCell="C7" sqref="C7"/>
    </sheetView>
  </sheetViews>
  <sheetFormatPr defaultColWidth="8.85546875" defaultRowHeight="15" x14ac:dyDescent="0.25"/>
  <cols>
    <col min="1" max="1" width="54.7109375" customWidth="1"/>
    <col min="3" max="4" width="20.42578125" style="1276" bestFit="1" customWidth="1"/>
  </cols>
  <sheetData>
    <row r="1" spans="1:5" ht="16.5" customHeight="1" x14ac:dyDescent="0.25">
      <c r="A1" s="1772" t="s">
        <v>0</v>
      </c>
      <c r="B1" s="1773"/>
      <c r="C1" s="1773"/>
      <c r="D1" s="1773"/>
      <c r="E1" s="1444"/>
    </row>
    <row r="2" spans="1:5" ht="15.75" x14ac:dyDescent="0.25">
      <c r="A2" s="1736" t="s">
        <v>1084</v>
      </c>
      <c r="B2" s="1737"/>
      <c r="C2" s="1737"/>
      <c r="D2" s="1737"/>
      <c r="E2" s="1774"/>
    </row>
    <row r="3" spans="1:5" ht="16.5" x14ac:dyDescent="0.3">
      <c r="A3" s="1445"/>
      <c r="B3" s="1194"/>
      <c r="C3" s="1271"/>
      <c r="D3" s="1271"/>
      <c r="E3" s="1446"/>
    </row>
    <row r="4" spans="1:5" ht="16.5" x14ac:dyDescent="0.3">
      <c r="A4" s="1447" t="s">
        <v>519</v>
      </c>
      <c r="B4" s="1195"/>
      <c r="C4" s="1272"/>
      <c r="D4" s="1272"/>
      <c r="E4" s="1448"/>
    </row>
    <row r="5" spans="1:5" ht="15.75" x14ac:dyDescent="0.25">
      <c r="A5" s="1449" t="s">
        <v>430</v>
      </c>
      <c r="B5" s="1196"/>
      <c r="C5" s="1273"/>
      <c r="D5" s="1273"/>
      <c r="E5" s="1448"/>
    </row>
    <row r="6" spans="1:5" x14ac:dyDescent="0.25">
      <c r="A6" s="1450"/>
      <c r="B6" s="1196"/>
      <c r="C6" s="1273"/>
      <c r="D6" s="1273"/>
      <c r="E6" s="1448"/>
    </row>
    <row r="7" spans="1:5" x14ac:dyDescent="0.25">
      <c r="A7" s="1451" t="s">
        <v>431</v>
      </c>
      <c r="B7" s="1206"/>
      <c r="C7" s="1206"/>
      <c r="D7" s="1206"/>
      <c r="E7" s="1448"/>
    </row>
    <row r="8" spans="1:5" ht="33" customHeight="1" x14ac:dyDescent="0.25">
      <c r="A8" s="1766" t="s">
        <v>435</v>
      </c>
      <c r="B8" s="1767"/>
      <c r="C8" s="1767"/>
      <c r="D8" s="1767"/>
      <c r="E8" s="1448"/>
    </row>
    <row r="9" spans="1:5" ht="30" customHeight="1" x14ac:dyDescent="0.25">
      <c r="A9" s="1770" t="s">
        <v>436</v>
      </c>
      <c r="B9" s="1771"/>
      <c r="C9" s="1771"/>
      <c r="D9" s="1771"/>
      <c r="E9" s="1448"/>
    </row>
    <row r="10" spans="1:5" ht="51" customHeight="1" x14ac:dyDescent="0.25">
      <c r="A10" s="1768" t="s">
        <v>432</v>
      </c>
      <c r="B10" s="1769"/>
      <c r="C10" s="1769"/>
      <c r="D10" s="1769"/>
      <c r="E10" s="1448"/>
    </row>
    <row r="11" spans="1:5" ht="16.5" x14ac:dyDescent="0.25">
      <c r="A11" s="1452"/>
      <c r="B11" s="1197"/>
      <c r="C11" s="1274"/>
      <c r="D11" s="1274"/>
      <c r="E11" s="1448"/>
    </row>
    <row r="12" spans="1:5" ht="16.5" x14ac:dyDescent="0.25">
      <c r="A12" s="1436" t="s">
        <v>433</v>
      </c>
      <c r="B12" s="1198"/>
      <c r="C12" s="921"/>
      <c r="D12" s="921"/>
      <c r="E12" s="1448"/>
    </row>
    <row r="13" spans="1:5" ht="15.75" x14ac:dyDescent="0.25">
      <c r="A13" s="1765" t="s">
        <v>22</v>
      </c>
      <c r="B13" s="1765"/>
      <c r="C13" s="1128" t="s">
        <v>586</v>
      </c>
      <c r="D13" s="1128" t="s">
        <v>374</v>
      </c>
      <c r="E13" s="1448"/>
    </row>
    <row r="14" spans="1:5" ht="16.5" x14ac:dyDescent="0.25">
      <c r="A14" s="1127"/>
      <c r="B14" s="1126"/>
      <c r="C14" s="1275"/>
      <c r="D14" s="1275"/>
      <c r="E14" s="1448"/>
    </row>
    <row r="15" spans="1:5" ht="16.5" x14ac:dyDescent="0.25">
      <c r="A15" s="1453" t="s">
        <v>434</v>
      </c>
      <c r="B15" s="1454"/>
      <c r="C15" s="1455">
        <f>-'5SOCE'!F18</f>
        <v>843900560</v>
      </c>
      <c r="D15" s="1455">
        <f>-'5SOCE'!F13</f>
        <v>685381143.63</v>
      </c>
      <c r="E15" s="1456"/>
    </row>
    <row r="16" spans="1:5" ht="16.5" x14ac:dyDescent="0.3">
      <c r="A16" s="942"/>
      <c r="B16" s="942"/>
      <c r="C16" s="826"/>
      <c r="D16" s="826"/>
    </row>
  </sheetData>
  <mergeCells count="6">
    <mergeCell ref="A13:B13"/>
    <mergeCell ref="A8:D8"/>
    <mergeCell ref="A10:D10"/>
    <mergeCell ref="A9:D9"/>
    <mergeCell ref="A1:D1"/>
    <mergeCell ref="A2:E2"/>
  </mergeCells>
  <printOptions horizontalCentered="1"/>
  <pageMargins left="0.7" right="0.7" top="0.75" bottom="0.75" header="0.3" footer="0.3"/>
  <pageSetup paperSize="9" scale="77"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S133"/>
  <sheetViews>
    <sheetView showGridLines="0" view="pageBreakPreview" zoomScale="90" zoomScaleNormal="90" zoomScaleSheetLayoutView="90" zoomScalePageLayoutView="90" workbookViewId="0">
      <selection activeCell="C7" sqref="C7"/>
    </sheetView>
  </sheetViews>
  <sheetFormatPr defaultColWidth="8.85546875" defaultRowHeight="16.5" x14ac:dyDescent="0.3"/>
  <cols>
    <col min="1" max="1" width="4.85546875" style="942" customWidth="1"/>
    <col min="2" max="2" width="48.28515625" style="951" customWidth="1"/>
    <col min="3" max="3" width="10.7109375" style="951" customWidth="1"/>
    <col min="4" max="4" width="22.7109375" style="951" hidden="1" customWidth="1"/>
    <col min="5" max="6" width="22.7109375" style="951" customWidth="1"/>
    <col min="7" max="7" width="20.42578125" style="951" customWidth="1"/>
    <col min="8" max="8" width="6" style="953" hidden="1" customWidth="1"/>
    <col min="9" max="9" width="0" style="951" hidden="1" customWidth="1"/>
    <col min="10" max="10" width="13.7109375" style="942" hidden="1" customWidth="1"/>
    <col min="11" max="11" width="15.42578125" style="942" hidden="1" customWidth="1"/>
    <col min="12" max="12" width="19.85546875" style="942" hidden="1" customWidth="1"/>
    <col min="13" max="13" width="3.85546875" style="942" customWidth="1"/>
    <col min="14" max="14" width="2.7109375" style="942" hidden="1" customWidth="1"/>
    <col min="15" max="38" width="9.140625" style="942" hidden="1" customWidth="1"/>
    <col min="39" max="41" width="0" style="942" hidden="1" customWidth="1"/>
    <col min="42" max="42" width="5.42578125" style="942" customWidth="1"/>
    <col min="43" max="45" width="9.140625" style="942" hidden="1" customWidth="1"/>
    <col min="46" max="46" width="9.140625" style="942" customWidth="1"/>
    <col min="47" max="16384" width="8.85546875" style="942"/>
  </cols>
  <sheetData>
    <row r="1" spans="1:13" x14ac:dyDescent="0.3">
      <c r="A1" s="1457"/>
      <c r="B1" s="1605" t="s">
        <v>0</v>
      </c>
      <c r="C1" s="1605"/>
      <c r="D1" s="1605"/>
      <c r="E1" s="1605"/>
      <c r="F1" s="1605"/>
      <c r="G1" s="1458"/>
    </row>
    <row r="2" spans="1:13" x14ac:dyDescent="0.3">
      <c r="A2" s="1144"/>
      <c r="B2" s="1737" t="s">
        <v>1084</v>
      </c>
      <c r="C2" s="1737"/>
      <c r="D2" s="1737"/>
      <c r="E2" s="1737"/>
      <c r="F2" s="1737"/>
      <c r="G2" s="1459"/>
    </row>
    <row r="3" spans="1:13" x14ac:dyDescent="0.3">
      <c r="A3" s="1144"/>
      <c r="B3" s="1557"/>
      <c r="C3" s="1557"/>
      <c r="D3" s="1557"/>
      <c r="E3" s="1557"/>
      <c r="F3" s="1557"/>
      <c r="G3" s="1459"/>
    </row>
    <row r="4" spans="1:13" x14ac:dyDescent="0.3">
      <c r="A4" s="1447" t="s">
        <v>1678</v>
      </c>
      <c r="B4" s="1199"/>
      <c r="C4" s="1199"/>
      <c r="D4" s="1199"/>
      <c r="E4" s="1199"/>
      <c r="F4" s="1199"/>
      <c r="G4" s="942"/>
    </row>
    <row r="5" spans="1:13" x14ac:dyDescent="0.3">
      <c r="A5" s="1447"/>
      <c r="B5" s="1199"/>
      <c r="C5" s="1199"/>
      <c r="D5" s="1199"/>
      <c r="E5" s="1199"/>
      <c r="F5" s="1199"/>
      <c r="G5" s="942"/>
    </row>
    <row r="6" spans="1:13" x14ac:dyDescent="0.3">
      <c r="A6" s="1447" t="s">
        <v>1679</v>
      </c>
      <c r="B6" s="1579" t="s">
        <v>1680</v>
      </c>
      <c r="C6" s="1199"/>
      <c r="D6" s="1199"/>
      <c r="E6" s="1199"/>
      <c r="F6" s="1199"/>
      <c r="G6" s="942"/>
    </row>
    <row r="7" spans="1:13" x14ac:dyDescent="0.3">
      <c r="A7" s="1447"/>
      <c r="B7" s="1579"/>
      <c r="C7" s="1199"/>
      <c r="D7" s="1199"/>
      <c r="E7" s="1199"/>
      <c r="F7" s="1199"/>
      <c r="G7" s="1460" t="s">
        <v>68</v>
      </c>
    </row>
    <row r="8" spans="1:13" ht="31.5" x14ac:dyDescent="0.3">
      <c r="A8" s="1697" t="s">
        <v>22</v>
      </c>
      <c r="B8" s="1697"/>
      <c r="C8" s="1151" t="s">
        <v>105</v>
      </c>
      <c r="D8" s="519" t="s">
        <v>1080</v>
      </c>
      <c r="E8" s="519" t="s">
        <v>1542</v>
      </c>
      <c r="F8" s="519" t="s">
        <v>113</v>
      </c>
      <c r="G8" s="519" t="s">
        <v>593</v>
      </c>
    </row>
    <row r="9" spans="1:13" x14ac:dyDescent="0.3">
      <c r="A9" s="1144"/>
      <c r="B9" s="1152" t="s">
        <v>101</v>
      </c>
      <c r="C9" s="1147"/>
      <c r="D9" s="965"/>
      <c r="E9" s="966"/>
      <c r="F9" s="966"/>
      <c r="G9" s="967"/>
      <c r="J9" s="942">
        <f>4+5+8+3+9</f>
        <v>29</v>
      </c>
    </row>
    <row r="10" spans="1:13" x14ac:dyDescent="0.3">
      <c r="A10" s="1144"/>
      <c r="B10" s="1153" t="s">
        <v>481</v>
      </c>
      <c r="C10" s="1147"/>
      <c r="D10" s="968"/>
      <c r="E10" s="969"/>
      <c r="F10" s="969"/>
      <c r="G10" s="970"/>
    </row>
    <row r="11" spans="1:13" x14ac:dyDescent="0.3">
      <c r="A11" s="1144"/>
      <c r="B11" s="1154" t="s">
        <v>542</v>
      </c>
      <c r="C11" s="1147" t="s">
        <v>1543</v>
      </c>
      <c r="D11" s="971">
        <v>3035956266.0529108</v>
      </c>
      <c r="E11" s="1207">
        <f>SUM(F11:G11)</f>
        <v>3353676889.1871982</v>
      </c>
      <c r="F11" s="1207">
        <f>-([3]AE!E133+[3]AE!E153-[3]AE!F157-[3]AE!F138)</f>
        <v>-369652985.5828017</v>
      </c>
      <c r="G11" s="807">
        <f>3723329874.37+0.4</f>
        <v>3723329874.77</v>
      </c>
      <c r="J11" s="942">
        <v>3353676889.9371982</v>
      </c>
    </row>
    <row r="12" spans="1:13" x14ac:dyDescent="0.3">
      <c r="A12" s="1144"/>
      <c r="B12" s="1155" t="s">
        <v>242</v>
      </c>
      <c r="C12" s="1147" t="s">
        <v>1544</v>
      </c>
      <c r="D12" s="971">
        <v>1129198308.3640366</v>
      </c>
      <c r="E12" s="1207">
        <f t="shared" ref="E12:E18" si="0">SUM(F12:G12)</f>
        <v>1337580391.4133863</v>
      </c>
      <c r="F12" s="1207">
        <f>[3]AE!E83-[3]AE!F85-[3]AE!F138-[3]AE!F157</f>
        <v>250073992.9333863</v>
      </c>
      <c r="G12" s="807">
        <v>1087506398.48</v>
      </c>
      <c r="J12" s="942">
        <v>1337580391.4133863</v>
      </c>
    </row>
    <row r="13" spans="1:13" x14ac:dyDescent="0.3">
      <c r="A13" s="1144"/>
      <c r="B13" s="1155" t="s">
        <v>23</v>
      </c>
      <c r="C13" s="1147"/>
      <c r="D13" s="971">
        <v>83416952.069999993</v>
      </c>
      <c r="E13" s="1207">
        <f t="shared" si="0"/>
        <v>15077014.659999996</v>
      </c>
      <c r="F13" s="1207">
        <v>0</v>
      </c>
      <c r="G13" s="807">
        <v>15077014.659999996</v>
      </c>
      <c r="J13" s="942">
        <v>15077014.659999996</v>
      </c>
    </row>
    <row r="14" spans="1:13" x14ac:dyDescent="0.3">
      <c r="A14" s="1144"/>
      <c r="B14" s="1153" t="s">
        <v>1356</v>
      </c>
      <c r="C14" s="1147"/>
      <c r="D14" s="971"/>
      <c r="E14" s="1207"/>
      <c r="F14" s="1207"/>
      <c r="G14" s="807"/>
    </row>
    <row r="15" spans="1:13" x14ac:dyDescent="0.3">
      <c r="A15" s="1144"/>
      <c r="B15" s="1156" t="s">
        <v>1357</v>
      </c>
      <c r="C15" s="1147"/>
      <c r="D15" s="971">
        <v>0</v>
      </c>
      <c r="E15" s="1207">
        <f t="shared" si="0"/>
        <v>92308400</v>
      </c>
      <c r="F15" s="1207">
        <v>0</v>
      </c>
      <c r="G15" s="807">
        <v>92308400</v>
      </c>
      <c r="J15" s="942">
        <v>92308400</v>
      </c>
      <c r="L15" s="942">
        <v>107008946.00000001</v>
      </c>
      <c r="M15" s="979">
        <f>+L15-E22</f>
        <v>-0.12999998033046722</v>
      </c>
    </row>
    <row r="16" spans="1:13" x14ac:dyDescent="0.3">
      <c r="A16" s="1144"/>
      <c r="B16" s="1156" t="s">
        <v>1358</v>
      </c>
      <c r="C16" s="1147"/>
      <c r="D16" s="971">
        <v>189682582.52000001</v>
      </c>
      <c r="E16" s="1207">
        <f t="shared" si="0"/>
        <v>124734293</v>
      </c>
      <c r="F16" s="1207">
        <v>0</v>
      </c>
      <c r="G16" s="807">
        <v>124734293</v>
      </c>
      <c r="J16" s="942">
        <v>124734293.09</v>
      </c>
      <c r="M16" s="979">
        <f t="shared" ref="M16:M20" si="1">+L16-E23</f>
        <v>0</v>
      </c>
    </row>
    <row r="17" spans="1:14" x14ac:dyDescent="0.3">
      <c r="A17" s="1144"/>
      <c r="B17" s="1156" t="s">
        <v>541</v>
      </c>
      <c r="C17" s="1147"/>
      <c r="D17" s="971">
        <v>9659868.5</v>
      </c>
      <c r="E17" s="1207">
        <f t="shared" si="0"/>
        <v>9659868.5</v>
      </c>
      <c r="F17" s="1207">
        <v>0</v>
      </c>
      <c r="G17" s="807">
        <v>9659868.5</v>
      </c>
      <c r="J17" s="942">
        <v>9659868.5</v>
      </c>
      <c r="L17" s="942">
        <v>127062333.34999998</v>
      </c>
      <c r="M17" s="979">
        <f t="shared" si="1"/>
        <v>-0.40000000596046448</v>
      </c>
    </row>
    <row r="18" spans="1:14" x14ac:dyDescent="0.3">
      <c r="A18" s="1144"/>
      <c r="B18" s="1155" t="s">
        <v>243</v>
      </c>
      <c r="C18" s="1147" t="s">
        <v>1545</v>
      </c>
      <c r="D18" s="971">
        <v>2282728.96</v>
      </c>
      <c r="E18" s="1207">
        <f t="shared" si="0"/>
        <v>0</v>
      </c>
      <c r="F18" s="1207">
        <f>-[3]AE!F77</f>
        <v>-12950000</v>
      </c>
      <c r="G18" s="807">
        <v>12950000</v>
      </c>
      <c r="J18" s="942">
        <v>0</v>
      </c>
      <c r="L18" s="942">
        <v>172043085.68000001</v>
      </c>
      <c r="M18" s="979">
        <f t="shared" si="1"/>
        <v>0</v>
      </c>
    </row>
    <row r="19" spans="1:14" x14ac:dyDescent="0.3">
      <c r="A19" s="1144"/>
      <c r="B19" s="1157" t="s">
        <v>482</v>
      </c>
      <c r="C19" s="1147"/>
      <c r="D19" s="972">
        <v>4450196706.4669476</v>
      </c>
      <c r="E19" s="1208">
        <f>SUM(E11:E18)</f>
        <v>4933036856.7605839</v>
      </c>
      <c r="F19" s="1208">
        <f>SUM(F11:F18)</f>
        <v>-132528992.6494154</v>
      </c>
      <c r="G19" s="1461">
        <f>SUM(G11:G18)</f>
        <v>5065565849.4099998</v>
      </c>
      <c r="J19" s="942">
        <v>4933036857.7005844</v>
      </c>
      <c r="L19" s="942">
        <v>2860642</v>
      </c>
      <c r="M19" s="979">
        <f t="shared" si="1"/>
        <v>0.14000000013038516</v>
      </c>
    </row>
    <row r="20" spans="1:14" x14ac:dyDescent="0.3">
      <c r="A20" s="1144"/>
      <c r="B20" s="1158"/>
      <c r="C20" s="1147"/>
      <c r="D20" s="973"/>
      <c r="E20" s="1205"/>
      <c r="F20" s="1205"/>
      <c r="G20" s="1462"/>
      <c r="L20" s="942">
        <v>4115127.4100000006</v>
      </c>
      <c r="M20" s="979">
        <f t="shared" si="1"/>
        <v>0.49999999860301614</v>
      </c>
    </row>
    <row r="21" spans="1:14" x14ac:dyDescent="0.3">
      <c r="A21" s="1144"/>
      <c r="B21" s="1159" t="s">
        <v>483</v>
      </c>
      <c r="C21" s="1147"/>
      <c r="D21" s="971"/>
      <c r="E21" s="1207"/>
      <c r="F21" s="1207"/>
      <c r="G21" s="729"/>
      <c r="J21" s="942">
        <f>9+1+5+3+9</f>
        <v>27</v>
      </c>
    </row>
    <row r="22" spans="1:14" x14ac:dyDescent="0.3">
      <c r="A22" s="1144"/>
      <c r="B22" s="1156" t="s">
        <v>24</v>
      </c>
      <c r="C22" s="1147"/>
      <c r="D22" s="971">
        <v>98877104.174999982</v>
      </c>
      <c r="E22" s="1207">
        <f t="shared" ref="E22:E28" si="2">SUM(F22:G22)</f>
        <v>107008946.13</v>
      </c>
      <c r="F22" s="1207">
        <v>0</v>
      </c>
      <c r="G22" s="807">
        <v>107008946.13</v>
      </c>
    </row>
    <row r="23" spans="1:14" x14ac:dyDescent="0.3">
      <c r="A23" s="1144"/>
      <c r="B23" s="1153" t="s">
        <v>1356</v>
      </c>
      <c r="C23" s="1147"/>
      <c r="D23" s="971"/>
      <c r="E23" s="1207"/>
      <c r="F23" s="1207"/>
      <c r="G23" s="807"/>
    </row>
    <row r="24" spans="1:14" x14ac:dyDescent="0.3">
      <c r="A24" s="1144"/>
      <c r="B24" s="1156" t="s">
        <v>1546</v>
      </c>
      <c r="C24" s="1147" t="s">
        <v>1547</v>
      </c>
      <c r="D24" s="971">
        <v>108911295.59889999</v>
      </c>
      <c r="E24" s="1207">
        <f t="shared" si="2"/>
        <v>127062333.74999999</v>
      </c>
      <c r="F24" s="1207">
        <f>-[3]Regrouping!F45+0.4</f>
        <v>-4215469.09</v>
      </c>
      <c r="G24" s="807">
        <v>131277802.83999999</v>
      </c>
      <c r="I24" s="951">
        <f>13-9</f>
        <v>4</v>
      </c>
      <c r="J24" s="942">
        <f>131277803-4215469</f>
        <v>127062334</v>
      </c>
      <c r="L24" s="1025">
        <f>-4215469.49+0.14</f>
        <v>-4215469.3500000006</v>
      </c>
    </row>
    <row r="25" spans="1:14" x14ac:dyDescent="0.3">
      <c r="A25" s="1144"/>
      <c r="B25" s="1156" t="s">
        <v>1548</v>
      </c>
      <c r="C25" s="1147"/>
      <c r="D25" s="971">
        <v>633519823.8499999</v>
      </c>
      <c r="E25" s="1207">
        <f t="shared" si="2"/>
        <v>172043085.68000001</v>
      </c>
      <c r="F25" s="1207">
        <v>0</v>
      </c>
      <c r="G25" s="807">
        <v>172043085.68000001</v>
      </c>
    </row>
    <row r="26" spans="1:14" x14ac:dyDescent="0.3">
      <c r="A26" s="1144"/>
      <c r="B26" s="1156" t="s">
        <v>1549</v>
      </c>
      <c r="C26" s="1147" t="s">
        <v>1550</v>
      </c>
      <c r="D26" s="971">
        <v>1278270</v>
      </c>
      <c r="E26" s="1207">
        <f t="shared" si="2"/>
        <v>2860641.86</v>
      </c>
      <c r="F26" s="1207">
        <f>2007812+0.3</f>
        <v>2007812.3</v>
      </c>
      <c r="G26" s="807">
        <v>852829.55999999994</v>
      </c>
      <c r="K26" s="1025">
        <f>131277802.84+0.4</f>
        <v>131277803.24000001</v>
      </c>
    </row>
    <row r="27" spans="1:14" x14ac:dyDescent="0.3">
      <c r="A27" s="1144"/>
      <c r="B27" s="1156" t="s">
        <v>246</v>
      </c>
      <c r="C27" s="1147" t="s">
        <v>1545</v>
      </c>
      <c r="D27" s="974">
        <v>227083405.02999997</v>
      </c>
      <c r="E27" s="1207">
        <f t="shared" si="2"/>
        <v>4115126.910000002</v>
      </c>
      <c r="F27" s="813">
        <f>-[3]AE!F78-2007812.9-0.5</f>
        <v>-14957813.4</v>
      </c>
      <c r="G27" s="729">
        <v>19072940.310000002</v>
      </c>
      <c r="I27" s="951">
        <f>6+3+6</f>
        <v>15</v>
      </c>
    </row>
    <row r="28" spans="1:14" x14ac:dyDescent="0.3">
      <c r="A28" s="1144"/>
      <c r="B28" s="1156" t="s">
        <v>1348</v>
      </c>
      <c r="C28" s="1147"/>
      <c r="D28" s="974">
        <v>99285178.310000002</v>
      </c>
      <c r="E28" s="1207">
        <f t="shared" si="2"/>
        <v>0</v>
      </c>
      <c r="F28" s="813">
        <v>0</v>
      </c>
      <c r="G28" s="807">
        <v>0</v>
      </c>
    </row>
    <row r="29" spans="1:14" x14ac:dyDescent="0.3">
      <c r="A29" s="1144"/>
      <c r="B29" s="1157" t="s">
        <v>484</v>
      </c>
      <c r="C29" s="1148"/>
      <c r="D29" s="975">
        <v>1168955076.9638999</v>
      </c>
      <c r="E29" s="821">
        <f>SUM(E22:E28)</f>
        <v>413090134.33000004</v>
      </c>
      <c r="F29" s="821">
        <f>SUM(F22:F28)</f>
        <v>-17165470.190000001</v>
      </c>
      <c r="G29" s="732">
        <f>SUM(G22:G28)</f>
        <v>430255604.51999998</v>
      </c>
      <c r="J29" s="942">
        <f>6+3+6+2+7</f>
        <v>24</v>
      </c>
      <c r="L29" s="1025">
        <v>413090134.28000003</v>
      </c>
      <c r="M29" s="1025">
        <v>-17165470.240000002</v>
      </c>
      <c r="N29" s="1025">
        <v>430255604.51999998</v>
      </c>
    </row>
    <row r="30" spans="1:14" x14ac:dyDescent="0.3">
      <c r="A30" s="1144"/>
      <c r="B30" s="1080"/>
      <c r="C30" s="1148"/>
      <c r="D30" s="976"/>
      <c r="E30" s="820"/>
      <c r="F30" s="820"/>
      <c r="G30" s="1364"/>
    </row>
    <row r="31" spans="1:14" x14ac:dyDescent="0.3">
      <c r="A31" s="1144"/>
      <c r="B31" s="1160" t="s">
        <v>485</v>
      </c>
      <c r="C31" s="1148"/>
      <c r="D31" s="975">
        <v>5619151783.4308472</v>
      </c>
      <c r="E31" s="821">
        <f>E29+E19</f>
        <v>5346126991.0905838</v>
      </c>
      <c r="F31" s="821">
        <f>F29+F19</f>
        <v>-149694462.8394154</v>
      </c>
      <c r="G31" s="732">
        <f>G29+G19</f>
        <v>5495821453.9300003</v>
      </c>
    </row>
    <row r="32" spans="1:14" x14ac:dyDescent="0.3">
      <c r="A32" s="1144"/>
      <c r="B32" s="1148"/>
      <c r="C32" s="1148"/>
      <c r="D32" s="974"/>
      <c r="E32" s="813"/>
      <c r="F32" s="813"/>
      <c r="G32" s="729"/>
    </row>
    <row r="33" spans="1:10" x14ac:dyDescent="0.3">
      <c r="A33" s="1144"/>
      <c r="B33" s="1072" t="s">
        <v>102</v>
      </c>
      <c r="C33" s="1148"/>
      <c r="D33" s="974"/>
      <c r="E33" s="813"/>
      <c r="F33" s="813"/>
      <c r="G33" s="729"/>
    </row>
    <row r="34" spans="1:10" x14ac:dyDescent="0.3">
      <c r="A34" s="1144"/>
      <c r="B34" s="1153" t="s">
        <v>111</v>
      </c>
      <c r="C34" s="1148"/>
      <c r="D34" s="974"/>
      <c r="E34" s="813"/>
      <c r="F34" s="813"/>
      <c r="G34" s="1463"/>
    </row>
    <row r="35" spans="1:10" x14ac:dyDescent="0.3">
      <c r="A35" s="1144"/>
      <c r="B35" s="1161" t="s">
        <v>247</v>
      </c>
      <c r="C35" s="1149"/>
      <c r="D35" s="977">
        <v>854082000</v>
      </c>
      <c r="E35" s="1209">
        <f>SUM(F35:G35)</f>
        <v>854082000</v>
      </c>
      <c r="F35" s="1209">
        <v>0</v>
      </c>
      <c r="G35" s="1464">
        <v>854082000</v>
      </c>
    </row>
    <row r="36" spans="1:10" x14ac:dyDescent="0.3">
      <c r="A36" s="1144"/>
      <c r="B36" s="1156" t="s">
        <v>250</v>
      </c>
      <c r="C36" s="1147"/>
      <c r="D36" s="971">
        <v>2885519399.0819049</v>
      </c>
      <c r="E36" s="1209">
        <f>+'2SFP'!E32</f>
        <v>2213483987.8036513</v>
      </c>
      <c r="F36" s="1207">
        <f>G36-E36</f>
        <v>1156779358.6363487</v>
      </c>
      <c r="G36" s="807">
        <v>3370263346.4400001</v>
      </c>
    </row>
    <row r="37" spans="1:10" x14ac:dyDescent="0.3">
      <c r="A37" s="1144"/>
      <c r="B37" s="1157" t="s">
        <v>486</v>
      </c>
      <c r="C37" s="1080"/>
      <c r="D37" s="975">
        <v>3739601399.0819049</v>
      </c>
      <c r="E37" s="821">
        <f>SUM(E35:E36)</f>
        <v>3067565987.8036513</v>
      </c>
      <c r="F37" s="821">
        <f>SUM(F35:F36)</f>
        <v>1156779358.6363487</v>
      </c>
      <c r="G37" s="732">
        <f>SUM(G35:G36)</f>
        <v>4224345346.4400001</v>
      </c>
    </row>
    <row r="38" spans="1:10" x14ac:dyDescent="0.3">
      <c r="A38" s="1144"/>
      <c r="B38" s="1162"/>
      <c r="C38" s="1080"/>
      <c r="D38" s="976"/>
      <c r="E38" s="820"/>
      <c r="F38" s="820"/>
      <c r="G38" s="729"/>
    </row>
    <row r="39" spans="1:10" x14ac:dyDescent="0.3">
      <c r="A39" s="1144"/>
      <c r="B39" s="1156" t="s">
        <v>1551</v>
      </c>
      <c r="C39" s="1147" t="s">
        <v>1605</v>
      </c>
      <c r="D39" s="976"/>
      <c r="E39" s="813">
        <f>+'2SFP'!E35</f>
        <v>110957564.75</v>
      </c>
      <c r="F39" s="813">
        <f>E39-G39</f>
        <v>22791408.010000005</v>
      </c>
      <c r="G39" s="729">
        <v>88166156.739999995</v>
      </c>
      <c r="I39" s="951">
        <f>8+7</f>
        <v>15</v>
      </c>
    </row>
    <row r="40" spans="1:10" x14ac:dyDescent="0.3">
      <c r="A40" s="1144"/>
      <c r="B40" s="1159" t="s">
        <v>1552</v>
      </c>
      <c r="C40" s="1148"/>
      <c r="D40" s="974"/>
      <c r="E40" s="813"/>
      <c r="F40" s="813"/>
      <c r="G40" s="1463"/>
    </row>
    <row r="41" spans="1:10" x14ac:dyDescent="0.3">
      <c r="A41" s="1144"/>
      <c r="B41" s="1153" t="s">
        <v>367</v>
      </c>
      <c r="C41" s="1148"/>
      <c r="D41" s="974"/>
      <c r="E41" s="813"/>
      <c r="F41" s="813"/>
      <c r="G41" s="1463"/>
    </row>
    <row r="42" spans="1:10" x14ac:dyDescent="0.3">
      <c r="A42" s="1144"/>
      <c r="B42" s="1156" t="s">
        <v>1553</v>
      </c>
      <c r="C42" s="1147"/>
      <c r="D42" s="974">
        <v>602627143.24000001</v>
      </c>
      <c r="E42" s="813">
        <f>+'2SFP'!E40</f>
        <v>648615398</v>
      </c>
      <c r="F42" s="813">
        <v>0</v>
      </c>
      <c r="G42" s="729">
        <v>648615398.00999999</v>
      </c>
      <c r="J42" s="942">
        <f>8+5+6</f>
        <v>19</v>
      </c>
    </row>
    <row r="43" spans="1:10" x14ac:dyDescent="0.3">
      <c r="A43" s="1144"/>
      <c r="B43" s="1156" t="s">
        <v>1554</v>
      </c>
      <c r="C43" s="1147"/>
      <c r="D43" s="974">
        <v>0</v>
      </c>
      <c r="E43" s="813">
        <f>+'2SFP'!E41</f>
        <v>-38850000</v>
      </c>
      <c r="F43" s="813">
        <v>0</v>
      </c>
      <c r="G43" s="729">
        <v>0</v>
      </c>
    </row>
    <row r="44" spans="1:10" x14ac:dyDescent="0.3">
      <c r="A44" s="1144"/>
      <c r="B44" s="1156" t="s">
        <v>1555</v>
      </c>
      <c r="C44" s="1147" t="s">
        <v>1545</v>
      </c>
      <c r="D44" s="974">
        <v>194250000</v>
      </c>
      <c r="E44" s="813">
        <f>+'2SFP'!E42</f>
        <v>0</v>
      </c>
      <c r="F44" s="813">
        <f>194250000</f>
        <v>194250000</v>
      </c>
      <c r="G44" s="1463">
        <v>0</v>
      </c>
    </row>
    <row r="45" spans="1:10" x14ac:dyDescent="0.3">
      <c r="A45" s="1144"/>
      <c r="B45" s="1156" t="s">
        <v>251</v>
      </c>
      <c r="C45" s="1147"/>
      <c r="D45" s="974">
        <v>40829210.400000006</v>
      </c>
      <c r="E45" s="813">
        <f>+'2SFP'!E43</f>
        <v>67340966</v>
      </c>
      <c r="F45" s="813">
        <v>0</v>
      </c>
      <c r="G45" s="729">
        <v>67340966.400000006</v>
      </c>
    </row>
    <row r="46" spans="1:10" x14ac:dyDescent="0.3">
      <c r="A46" s="1144"/>
      <c r="B46" s="1157" t="s">
        <v>487</v>
      </c>
      <c r="C46" s="1080"/>
      <c r="D46" s="978">
        <v>904483723.03999996</v>
      </c>
      <c r="E46" s="1078">
        <f>SUM(E42:E45)</f>
        <v>677106364</v>
      </c>
      <c r="F46" s="1078">
        <f>SUM(F42:F45)</f>
        <v>194250000</v>
      </c>
      <c r="G46" s="732">
        <f>SUM(G42:G45)</f>
        <v>715956364.40999997</v>
      </c>
    </row>
    <row r="47" spans="1:10" x14ac:dyDescent="0.3">
      <c r="A47" s="1144"/>
      <c r="B47" s="1158"/>
      <c r="C47" s="1080"/>
      <c r="D47" s="978"/>
      <c r="E47" s="1078"/>
      <c r="F47" s="1078"/>
      <c r="G47" s="1465"/>
    </row>
    <row r="48" spans="1:10" x14ac:dyDescent="0.3">
      <c r="A48" s="1144"/>
      <c r="B48" s="1159" t="s">
        <v>1556</v>
      </c>
      <c r="C48" s="1148"/>
      <c r="D48" s="974"/>
      <c r="E48" s="813"/>
      <c r="F48" s="813"/>
      <c r="G48" s="1463"/>
    </row>
    <row r="49" spans="1:10" x14ac:dyDescent="0.3">
      <c r="A49" s="1144"/>
      <c r="B49" s="1156" t="s">
        <v>1557</v>
      </c>
      <c r="C49" s="1147" t="s">
        <v>1619</v>
      </c>
      <c r="D49" s="971">
        <v>163359081.71000001</v>
      </c>
      <c r="E49" s="813">
        <f>+'2SFP'!E48</f>
        <v>84834013.549999997</v>
      </c>
      <c r="F49" s="1207">
        <f>E49-G49</f>
        <v>-10175723.159999996</v>
      </c>
      <c r="G49" s="807">
        <v>95009736.709999993</v>
      </c>
    </row>
    <row r="50" spans="1:10" x14ac:dyDescent="0.3">
      <c r="A50" s="1144"/>
      <c r="B50" s="1156" t="s">
        <v>265</v>
      </c>
      <c r="C50" s="1147" t="s">
        <v>1620</v>
      </c>
      <c r="D50" s="971">
        <v>241749546.42909047</v>
      </c>
      <c r="E50" s="813">
        <f>+'2SFP'!E49</f>
        <v>45595336.299999997</v>
      </c>
      <c r="F50" s="1207">
        <f>E50-G50</f>
        <v>-27554988.74000001</v>
      </c>
      <c r="G50" s="807">
        <v>73150325.040000007</v>
      </c>
    </row>
    <row r="51" spans="1:10" x14ac:dyDescent="0.3">
      <c r="A51" s="1144"/>
      <c r="B51" s="1156" t="s">
        <v>253</v>
      </c>
      <c r="C51" s="1147" t="s">
        <v>1605</v>
      </c>
      <c r="D51" s="971">
        <v>475758700.34485161</v>
      </c>
      <c r="E51" s="813">
        <f>+'2SFP'!E50</f>
        <v>219436301.28999999</v>
      </c>
      <c r="F51" s="1207">
        <f t="shared" ref="F51" si="3">E51-G51</f>
        <v>-120750</v>
      </c>
      <c r="G51" s="807">
        <v>219557051.28999999</v>
      </c>
    </row>
    <row r="52" spans="1:10" x14ac:dyDescent="0.3">
      <c r="A52" s="1144"/>
      <c r="B52" s="1156" t="s">
        <v>252</v>
      </c>
      <c r="C52" s="1147" t="s">
        <v>1606</v>
      </c>
      <c r="D52" s="974"/>
      <c r="E52" s="813">
        <f>+'2SFP'!E51</f>
        <v>78310984.109999999</v>
      </c>
      <c r="F52" s="813">
        <f>E52-G52</f>
        <v>-1325488.8799999952</v>
      </c>
      <c r="G52" s="1463">
        <v>79636472.989999995</v>
      </c>
    </row>
    <row r="53" spans="1:10" x14ac:dyDescent="0.3">
      <c r="A53" s="1144"/>
      <c r="B53" s="1157" t="s">
        <v>488</v>
      </c>
      <c r="C53" s="1148"/>
      <c r="D53" s="978">
        <v>975066660.93394208</v>
      </c>
      <c r="E53" s="1078">
        <f>SUM(E49:E52)</f>
        <v>428176635.25</v>
      </c>
      <c r="F53" s="1078">
        <f>SUM(F49:F52)</f>
        <v>-39176950.780000001</v>
      </c>
      <c r="G53" s="1077">
        <f>SUM(G49:G52)</f>
        <v>467353586.02999997</v>
      </c>
      <c r="I53" s="951">
        <f>7+5+1+3</f>
        <v>16</v>
      </c>
      <c r="J53" s="942">
        <f>9+6-7-3</f>
        <v>5</v>
      </c>
    </row>
    <row r="54" spans="1:10" x14ac:dyDescent="0.3">
      <c r="A54" s="1144"/>
      <c r="B54" s="1163"/>
      <c r="C54" s="1148"/>
      <c r="D54" s="978"/>
      <c r="E54" s="1078"/>
      <c r="F54" s="1078"/>
      <c r="G54" s="1077"/>
    </row>
    <row r="55" spans="1:10" x14ac:dyDescent="0.3">
      <c r="A55" s="1144"/>
      <c r="B55" s="1157" t="s">
        <v>1558</v>
      </c>
      <c r="C55" s="1080"/>
      <c r="D55" s="978">
        <v>1879550383.973942</v>
      </c>
      <c r="E55" s="1078">
        <f>SUM(E53+E46)+E39</f>
        <v>1216240564</v>
      </c>
      <c r="F55" s="1078">
        <f>SUM(F53+F46)+F39</f>
        <v>177864457.23000002</v>
      </c>
      <c r="G55" s="732">
        <f>G46+G53+G39</f>
        <v>1271476107.1800001</v>
      </c>
    </row>
    <row r="56" spans="1:10" x14ac:dyDescent="0.3">
      <c r="A56" s="1144"/>
      <c r="B56" s="1074"/>
      <c r="C56" s="1080"/>
      <c r="D56" s="978"/>
      <c r="E56" s="1078"/>
      <c r="F56" s="1078"/>
      <c r="G56" s="1077"/>
    </row>
    <row r="57" spans="1:10" x14ac:dyDescent="0.3">
      <c r="A57" s="1145"/>
      <c r="B57" s="1164" t="s">
        <v>489</v>
      </c>
      <c r="C57" s="1150"/>
      <c r="D57" s="975">
        <v>5619151783.0558472</v>
      </c>
      <c r="E57" s="821">
        <f>E55+E37</f>
        <v>4283806551.8036513</v>
      </c>
      <c r="F57" s="821">
        <f>F55-F37</f>
        <v>-978914901.40634871</v>
      </c>
      <c r="G57" s="732">
        <f>G55+G37</f>
        <v>5495821453.6199999</v>
      </c>
    </row>
    <row r="58" spans="1:10" x14ac:dyDescent="0.3">
      <c r="A58" s="1145"/>
      <c r="B58" s="1466"/>
      <c r="C58" s="1466"/>
      <c r="D58" s="1466"/>
      <c r="E58" s="1467"/>
      <c r="F58" s="1467"/>
      <c r="G58" s="1468"/>
    </row>
    <row r="59" spans="1:10" x14ac:dyDescent="0.3">
      <c r="A59" s="1457"/>
      <c r="B59" s="1469"/>
      <c r="C59" s="1469"/>
      <c r="D59" s="1469"/>
      <c r="E59" s="1470"/>
      <c r="F59" s="1470"/>
      <c r="G59" s="1471"/>
    </row>
    <row r="60" spans="1:10" x14ac:dyDescent="0.3">
      <c r="A60" s="1447" t="s">
        <v>1679</v>
      </c>
      <c r="B60" s="1579" t="s">
        <v>1681</v>
      </c>
      <c r="C60" s="1134"/>
      <c r="D60" s="1134"/>
      <c r="E60" s="1172"/>
      <c r="F60" s="1172"/>
      <c r="G60" s="1408"/>
    </row>
    <row r="61" spans="1:10" x14ac:dyDescent="0.3">
      <c r="A61" s="1447"/>
      <c r="B61" s="1579"/>
      <c r="C61" s="1134"/>
      <c r="D61" s="1134"/>
      <c r="E61" s="1172"/>
      <c r="F61" s="1172"/>
      <c r="G61" s="1460" t="s">
        <v>68</v>
      </c>
    </row>
    <row r="62" spans="1:10" x14ac:dyDescent="0.3">
      <c r="A62" s="1785" t="s">
        <v>22</v>
      </c>
      <c r="B62" s="1785"/>
      <c r="C62" s="1780" t="s">
        <v>1559</v>
      </c>
      <c r="D62" s="1782" t="s">
        <v>1560</v>
      </c>
      <c r="E62" s="1784" t="s">
        <v>1561</v>
      </c>
      <c r="F62" s="1784"/>
      <c r="G62" s="1784"/>
      <c r="H62" s="955"/>
    </row>
    <row r="63" spans="1:10" ht="33" x14ac:dyDescent="0.3">
      <c r="A63" s="1785"/>
      <c r="B63" s="1785"/>
      <c r="C63" s="1781"/>
      <c r="D63" s="1783"/>
      <c r="E63" s="519" t="s">
        <v>1562</v>
      </c>
      <c r="F63" s="519" t="s">
        <v>1563</v>
      </c>
      <c r="G63" s="519" t="s">
        <v>1564</v>
      </c>
      <c r="H63" s="956" t="s">
        <v>1565</v>
      </c>
    </row>
    <row r="64" spans="1:10" x14ac:dyDescent="0.3">
      <c r="A64" s="1144"/>
      <c r="B64" s="1073" t="s">
        <v>1126</v>
      </c>
      <c r="C64" s="981"/>
      <c r="D64" s="964"/>
      <c r="E64" s="547"/>
      <c r="F64" s="1210"/>
      <c r="G64" s="1472"/>
      <c r="H64" s="957"/>
    </row>
    <row r="65" spans="1:9" x14ac:dyDescent="0.3">
      <c r="A65" s="1144"/>
      <c r="B65" s="1076" t="s">
        <v>1128</v>
      </c>
      <c r="C65" s="981" t="s">
        <v>1607</v>
      </c>
      <c r="D65" s="982">
        <v>3456823404.3795891</v>
      </c>
      <c r="E65" s="1211">
        <f>SUM(F65:G65)</f>
        <v>3039804838.4999995</v>
      </c>
      <c r="F65" s="1211">
        <v>15557378</v>
      </c>
      <c r="G65" s="1473">
        <v>3024247460.4999995</v>
      </c>
      <c r="H65" s="958" t="e">
        <f>'[4]10N_22-33'!E42+'[4]10N_22-33'!E54</f>
        <v>#REF!</v>
      </c>
      <c r="I65" s="954"/>
    </row>
    <row r="66" spans="1:9" x14ac:dyDescent="0.3">
      <c r="A66" s="1144"/>
      <c r="B66" s="1076" t="s">
        <v>1127</v>
      </c>
      <c r="C66" s="981" t="s">
        <v>1608</v>
      </c>
      <c r="D66" s="982">
        <v>116914504.89636236</v>
      </c>
      <c r="E66" s="1211">
        <v>135248243</v>
      </c>
      <c r="F66" s="1211">
        <v>-14771020</v>
      </c>
      <c r="G66" s="1473">
        <v>150019263.11000001</v>
      </c>
      <c r="H66" s="958" t="s">
        <v>1566</v>
      </c>
      <c r="I66" s="954"/>
    </row>
    <row r="67" spans="1:9" x14ac:dyDescent="0.3">
      <c r="A67" s="1144"/>
      <c r="B67" s="1135" t="s">
        <v>1567</v>
      </c>
      <c r="C67" s="1131" t="s">
        <v>1608</v>
      </c>
      <c r="D67" s="983"/>
      <c r="E67" s="1211">
        <v>0</v>
      </c>
      <c r="F67" s="1211">
        <f>-19819798</f>
        <v>-19819798</v>
      </c>
      <c r="G67" s="1473">
        <v>19819798.859999999</v>
      </c>
      <c r="H67" s="958" t="s">
        <v>1566</v>
      </c>
      <c r="I67" s="954"/>
    </row>
    <row r="68" spans="1:9" x14ac:dyDescent="0.3">
      <c r="A68" s="1144"/>
      <c r="B68" s="1136"/>
      <c r="C68" s="981"/>
      <c r="D68" s="984">
        <v>3573737909.2759514</v>
      </c>
      <c r="E68" s="1212">
        <f>SUM(E65:E67)</f>
        <v>3175053081.4999995</v>
      </c>
      <c r="F68" s="1212">
        <f>SUM(F65:F67)</f>
        <v>-19033440</v>
      </c>
      <c r="G68" s="1474">
        <f>SUM(G65:G67)</f>
        <v>3194086522.4699998</v>
      </c>
      <c r="H68" s="959" t="e">
        <f>SUM(H65:H67)</f>
        <v>#REF!</v>
      </c>
      <c r="I68" s="954"/>
    </row>
    <row r="69" spans="1:9" x14ac:dyDescent="0.3">
      <c r="A69" s="1144"/>
      <c r="B69" s="1137"/>
      <c r="C69" s="981"/>
      <c r="D69" s="985"/>
      <c r="E69" s="1213"/>
      <c r="F69" s="1213"/>
      <c r="G69" s="1475"/>
      <c r="H69" s="960"/>
      <c r="I69" s="954"/>
    </row>
    <row r="70" spans="1:9" x14ac:dyDescent="0.3">
      <c r="A70" s="1144"/>
      <c r="B70" s="1073" t="s">
        <v>1132</v>
      </c>
      <c r="C70" s="981"/>
      <c r="D70" s="982"/>
      <c r="E70" s="1211"/>
      <c r="F70" s="1211"/>
      <c r="G70" s="1473"/>
      <c r="H70" s="961"/>
      <c r="I70" s="954"/>
    </row>
    <row r="71" spans="1:9" x14ac:dyDescent="0.3">
      <c r="A71" s="1144"/>
      <c r="B71" s="1076" t="s">
        <v>1133</v>
      </c>
      <c r="C71" s="981" t="s">
        <v>1609</v>
      </c>
      <c r="D71" s="982">
        <v>563149712.08999979</v>
      </c>
      <c r="E71" s="1211">
        <f t="shared" ref="E71:E76" si="4">SUM(F71:G71)</f>
        <v>495438293</v>
      </c>
      <c r="F71" s="1211">
        <f>119906010+8024683+193866488+173641112</f>
        <v>495438293</v>
      </c>
      <c r="G71" s="1473">
        <v>0</v>
      </c>
      <c r="H71" s="958" t="s">
        <v>1568</v>
      </c>
      <c r="I71" s="954"/>
    </row>
    <row r="72" spans="1:9" x14ac:dyDescent="0.3">
      <c r="A72" s="1144"/>
      <c r="B72" s="1076" t="s">
        <v>1137</v>
      </c>
      <c r="C72" s="981" t="s">
        <v>1575</v>
      </c>
      <c r="D72" s="982">
        <v>13476389.920000285</v>
      </c>
      <c r="E72" s="1211">
        <f t="shared" si="4"/>
        <v>44969988.469999999</v>
      </c>
      <c r="F72" s="1211">
        <f>44969988.47</f>
        <v>44969988.469999999</v>
      </c>
      <c r="G72" s="1473">
        <v>0</v>
      </c>
      <c r="H72" s="958" t="s">
        <v>1569</v>
      </c>
      <c r="I72" s="954"/>
    </row>
    <row r="73" spans="1:9" x14ac:dyDescent="0.3">
      <c r="A73" s="1144"/>
      <c r="B73" s="1076" t="s">
        <v>1134</v>
      </c>
      <c r="C73" s="981" t="s">
        <v>1570</v>
      </c>
      <c r="D73" s="982">
        <v>325889675.2697795</v>
      </c>
      <c r="E73" s="1211">
        <f t="shared" si="4"/>
        <v>316625054.13</v>
      </c>
      <c r="F73" s="1211">
        <f>-[3]Regrouping!F10-[3]Regrouping!F13-[3]AE!F54+[3]AE!E41-[3]AE!E38</f>
        <v>-11803020.549999982</v>
      </c>
      <c r="G73" s="1473">
        <v>328428074.68000001</v>
      </c>
      <c r="H73" s="958" t="s">
        <v>1571</v>
      </c>
      <c r="I73" s="954"/>
    </row>
    <row r="74" spans="1:9" x14ac:dyDescent="0.3">
      <c r="A74" s="1144"/>
      <c r="B74" s="1076" t="s">
        <v>1135</v>
      </c>
      <c r="C74" s="981" t="s">
        <v>1573</v>
      </c>
      <c r="D74" s="982">
        <v>182487416.28</v>
      </c>
      <c r="E74" s="1211">
        <f t="shared" si="4"/>
        <v>166818458.46000001</v>
      </c>
      <c r="F74" s="1211">
        <v>166818458.46000001</v>
      </c>
      <c r="G74" s="1473">
        <v>0</v>
      </c>
      <c r="I74" s="954"/>
    </row>
    <row r="75" spans="1:9" x14ac:dyDescent="0.3">
      <c r="A75" s="1144"/>
      <c r="B75" s="1076" t="s">
        <v>1572</v>
      </c>
      <c r="C75" s="981" t="s">
        <v>1573</v>
      </c>
      <c r="D75" s="982"/>
      <c r="E75" s="1211">
        <f t="shared" si="4"/>
        <v>0</v>
      </c>
      <c r="F75" s="1211">
        <f>-166818458.46-140194233-37324189-[3]AE!F113-119906010-[3]Regrouping!F39-27.18</f>
        <v>-516284420.59000003</v>
      </c>
      <c r="G75" s="1473">
        <v>516284420.58999991</v>
      </c>
      <c r="H75" s="958"/>
      <c r="I75" s="954"/>
    </row>
    <row r="76" spans="1:9" x14ac:dyDescent="0.3">
      <c r="A76" s="1144"/>
      <c r="B76" s="1076" t="s">
        <v>1574</v>
      </c>
      <c r="C76" s="981" t="s">
        <v>1575</v>
      </c>
      <c r="D76" s="982" t="s">
        <v>98</v>
      </c>
      <c r="E76" s="1211">
        <f t="shared" si="4"/>
        <v>0</v>
      </c>
      <c r="F76" s="1211">
        <f>-44969988.47-8024683-6909943.91</f>
        <v>-59904615.379999995</v>
      </c>
      <c r="G76" s="1473">
        <v>59904615.380000003</v>
      </c>
      <c r="H76" s="958" t="s">
        <v>1576</v>
      </c>
      <c r="I76" s="954"/>
    </row>
    <row r="77" spans="1:9" x14ac:dyDescent="0.3">
      <c r="A77" s="1144"/>
      <c r="B77" s="1076" t="s">
        <v>1577</v>
      </c>
      <c r="C77" s="981" t="s">
        <v>1578</v>
      </c>
      <c r="D77" s="982"/>
      <c r="E77" s="1211">
        <v>0</v>
      </c>
      <c r="F77" s="1211">
        <f>-173641112-19541150</f>
        <v>-193182262</v>
      </c>
      <c r="G77" s="1473">
        <v>193182263.19000003</v>
      </c>
      <c r="H77" s="958" t="s">
        <v>1579</v>
      </c>
      <c r="I77" s="954"/>
    </row>
    <row r="78" spans="1:9" x14ac:dyDescent="0.3">
      <c r="A78" s="1144"/>
      <c r="B78" s="1076" t="s">
        <v>1580</v>
      </c>
      <c r="C78" s="981" t="s">
        <v>1581</v>
      </c>
      <c r="D78" s="982"/>
      <c r="E78" s="1211">
        <f>SUM(F78:G78)</f>
        <v>0</v>
      </c>
      <c r="F78" s="1211">
        <f>-193866488.52</f>
        <v>-193866488.52000001</v>
      </c>
      <c r="G78" s="1473">
        <v>193866488.51999998</v>
      </c>
      <c r="H78" s="958" t="s">
        <v>1582</v>
      </c>
      <c r="I78" s="954"/>
    </row>
    <row r="79" spans="1:9" x14ac:dyDescent="0.3">
      <c r="A79" s="1144"/>
      <c r="B79" s="1076" t="s">
        <v>1138</v>
      </c>
      <c r="C79" s="981"/>
      <c r="D79" s="982">
        <v>54242697.980000004</v>
      </c>
      <c r="E79" s="1211">
        <f>SUM(F79:G79)</f>
        <v>38604314</v>
      </c>
      <c r="F79" s="1211">
        <f>37324189+[3]Regrouping!E9+[3]Regrouping!E12</f>
        <v>38604314</v>
      </c>
      <c r="G79" s="1473">
        <v>0</v>
      </c>
      <c r="H79" s="958" t="s">
        <v>1583</v>
      </c>
      <c r="I79" s="954"/>
    </row>
    <row r="80" spans="1:9" x14ac:dyDescent="0.3">
      <c r="A80" s="1144"/>
      <c r="B80" s="1138" t="s">
        <v>1584</v>
      </c>
      <c r="C80" s="981" t="s">
        <v>1608</v>
      </c>
      <c r="D80" s="982"/>
      <c r="E80" s="1211">
        <v>0</v>
      </c>
      <c r="F80" s="1211">
        <v>-18138661</v>
      </c>
      <c r="G80" s="1473">
        <v>18138661.109999999</v>
      </c>
      <c r="H80" s="958" t="s">
        <v>1585</v>
      </c>
      <c r="I80" s="954"/>
    </row>
    <row r="81" spans="1:9" x14ac:dyDescent="0.3">
      <c r="A81" s="1144"/>
      <c r="B81" s="1076" t="s">
        <v>1136</v>
      </c>
      <c r="C81" s="981" t="s">
        <v>1610</v>
      </c>
      <c r="D81" s="982">
        <v>116230118.52000001</v>
      </c>
      <c r="E81" s="1211">
        <v>165750573.25</v>
      </c>
      <c r="F81" s="1211">
        <f>E81</f>
        <v>165750573.25</v>
      </c>
      <c r="G81" s="1473">
        <v>0</v>
      </c>
      <c r="H81" s="958" t="s">
        <v>1586</v>
      </c>
      <c r="I81" s="954"/>
    </row>
    <row r="82" spans="1:9" x14ac:dyDescent="0.3">
      <c r="A82" s="1144"/>
      <c r="B82" s="1076" t="s">
        <v>1141</v>
      </c>
      <c r="C82" s="981"/>
      <c r="D82" s="982">
        <v>952836073.99000001</v>
      </c>
      <c r="E82" s="1214">
        <f>SUM(F82:G82)</f>
        <v>719666260</v>
      </c>
      <c r="F82" s="1211">
        <f>[3]Regrouping!F39</f>
        <v>51800000</v>
      </c>
      <c r="G82" s="1473">
        <v>667866260</v>
      </c>
      <c r="H82" s="958"/>
      <c r="I82" s="954"/>
    </row>
    <row r="83" spans="1:9" x14ac:dyDescent="0.3">
      <c r="A83" s="1144"/>
      <c r="B83" s="1082"/>
      <c r="C83" s="980"/>
      <c r="D83" s="984">
        <v>1255476010.0597796</v>
      </c>
      <c r="E83" s="1215">
        <f>SUM(E71:E82)</f>
        <v>1947872941.3099999</v>
      </c>
      <c r="F83" s="1212">
        <f>SUM(F71:F81)</f>
        <v>-81597840.859999925</v>
      </c>
      <c r="G83" s="1474">
        <f>SUM(G71:G81)</f>
        <v>1309804523.4699998</v>
      </c>
      <c r="H83" s="959">
        <f>SUM(H71:H81)</f>
        <v>0</v>
      </c>
      <c r="I83" s="954"/>
    </row>
    <row r="84" spans="1:9" x14ac:dyDescent="0.3">
      <c r="A84" s="1144"/>
      <c r="B84" s="1082"/>
      <c r="C84" s="981"/>
      <c r="D84" s="985"/>
      <c r="E84" s="1216"/>
      <c r="F84" s="1213"/>
      <c r="G84" s="1475"/>
      <c r="H84" s="961"/>
      <c r="I84" s="954"/>
    </row>
    <row r="85" spans="1:9" x14ac:dyDescent="0.3">
      <c r="A85" s="1144"/>
      <c r="B85" s="1139" t="s">
        <v>492</v>
      </c>
      <c r="C85" s="980"/>
      <c r="D85" s="984" t="e">
        <f>#REF!-#REF!</f>
        <v>#REF!</v>
      </c>
      <c r="E85" s="1215">
        <f>E83</f>
        <v>1947872941.3099999</v>
      </c>
      <c r="F85" s="1212">
        <f>F83</f>
        <v>-81597840.859999925</v>
      </c>
      <c r="G85" s="1474">
        <f>G83</f>
        <v>1309804523.4699998</v>
      </c>
      <c r="H85" s="959" t="e">
        <f>#REF!-#REF!</f>
        <v>#REF!</v>
      </c>
      <c r="I85" s="954"/>
    </row>
    <row r="86" spans="1:9" x14ac:dyDescent="0.3">
      <c r="A86" s="1144"/>
      <c r="B86" s="1139" t="s">
        <v>551</v>
      </c>
      <c r="C86" s="981"/>
      <c r="D86" s="982"/>
      <c r="E86" s="1211"/>
      <c r="F86" s="1211"/>
      <c r="G86" s="1473"/>
      <c r="H86" s="958"/>
      <c r="I86" s="954"/>
    </row>
    <row r="87" spans="1:9" x14ac:dyDescent="0.3">
      <c r="A87" s="1144"/>
      <c r="B87" s="1076" t="s">
        <v>1143</v>
      </c>
      <c r="C87" s="981"/>
      <c r="D87" s="982">
        <v>10737614.48</v>
      </c>
      <c r="E87" s="1211">
        <f>SUM(F87:G87)</f>
        <v>0</v>
      </c>
      <c r="F87" s="1211"/>
      <c r="G87" s="1473">
        <v>0</v>
      </c>
      <c r="H87" s="958"/>
      <c r="I87" s="954"/>
    </row>
    <row r="88" spans="1:9" x14ac:dyDescent="0.3">
      <c r="A88" s="1144"/>
      <c r="B88" s="1076" t="s">
        <v>553</v>
      </c>
      <c r="C88" s="1132" t="s">
        <v>98</v>
      </c>
      <c r="D88" s="982">
        <v>444274878.84485161</v>
      </c>
      <c r="E88" s="1211">
        <f>SUM(F88:G88)</f>
        <v>403952707.54000002</v>
      </c>
      <c r="F88" s="1211">
        <v>0</v>
      </c>
      <c r="G88" s="1473">
        <v>403952707.54000002</v>
      </c>
      <c r="H88" s="958"/>
      <c r="I88" s="954"/>
    </row>
    <row r="89" spans="1:9" x14ac:dyDescent="0.3">
      <c r="A89" s="1144"/>
      <c r="B89" s="1076" t="s">
        <v>552</v>
      </c>
      <c r="C89" s="981"/>
      <c r="D89" s="986"/>
      <c r="E89" s="1211">
        <f>SUM(F89:G89)</f>
        <v>-16443370.33</v>
      </c>
      <c r="F89" s="1217">
        <v>0</v>
      </c>
      <c r="G89" s="1476">
        <v>-16443370.33</v>
      </c>
      <c r="H89" s="962"/>
      <c r="I89" s="954"/>
    </row>
    <row r="90" spans="1:9" x14ac:dyDescent="0.3">
      <c r="A90" s="1144"/>
      <c r="B90" s="1073" t="s">
        <v>497</v>
      </c>
      <c r="C90" s="981"/>
      <c r="D90" s="987">
        <v>455012493.32485163</v>
      </c>
      <c r="E90" s="1218">
        <f>SUM(E88:E89)</f>
        <v>387509337.21000004</v>
      </c>
      <c r="F90" s="1218">
        <f>SUM(F88:F89)</f>
        <v>0</v>
      </c>
      <c r="G90" s="779">
        <f>SUM(G88:G89)</f>
        <v>387509337.21000004</v>
      </c>
      <c r="H90" s="959">
        <f>SUM(H87:H89)</f>
        <v>0</v>
      </c>
      <c r="I90" s="954"/>
    </row>
    <row r="91" spans="1:9" x14ac:dyDescent="0.3">
      <c r="A91" s="1144"/>
      <c r="B91" s="1140"/>
      <c r="C91" s="981"/>
      <c r="D91" s="988"/>
      <c r="E91" s="709"/>
      <c r="F91" s="709"/>
      <c r="G91" s="663"/>
      <c r="H91" s="958"/>
      <c r="I91" s="954"/>
    </row>
    <row r="92" spans="1:9" x14ac:dyDescent="0.3">
      <c r="A92" s="1144"/>
      <c r="B92" s="1139" t="s">
        <v>493</v>
      </c>
      <c r="C92" s="1082"/>
      <c r="D92" s="987">
        <v>910413331.9013201</v>
      </c>
      <c r="E92" s="1218">
        <f>E85-E90</f>
        <v>1560363604.0999999</v>
      </c>
      <c r="F92" s="1218">
        <f>F85-F90</f>
        <v>-81597840.859999925</v>
      </c>
      <c r="G92" s="779">
        <f>G85-G90</f>
        <v>922295186.25999975</v>
      </c>
      <c r="H92" s="959" t="e">
        <f>H85-H90</f>
        <v>#REF!</v>
      </c>
      <c r="I92" s="954"/>
    </row>
    <row r="93" spans="1:9" x14ac:dyDescent="0.3">
      <c r="A93" s="1144"/>
      <c r="B93" s="1141"/>
      <c r="C93" s="1082"/>
      <c r="D93" s="988"/>
      <c r="E93" s="709"/>
      <c r="F93" s="709"/>
      <c r="G93" s="663"/>
      <c r="H93" s="958"/>
      <c r="I93" s="954"/>
    </row>
    <row r="94" spans="1:9" x14ac:dyDescent="0.3">
      <c r="A94" s="1144"/>
      <c r="B94" s="1142" t="s">
        <v>494</v>
      </c>
      <c r="C94" s="981"/>
      <c r="D94" s="982"/>
      <c r="E94" s="1211"/>
      <c r="F94" s="1211"/>
      <c r="G94" s="1473"/>
      <c r="H94" s="958"/>
      <c r="I94" s="954"/>
    </row>
    <row r="95" spans="1:9" x14ac:dyDescent="0.3">
      <c r="A95" s="1144"/>
      <c r="B95" s="1143" t="s">
        <v>81</v>
      </c>
      <c r="C95" s="981"/>
      <c r="D95" s="982">
        <v>20624316</v>
      </c>
      <c r="E95" s="1211">
        <f>SUM(F95:G95)</f>
        <v>46380</v>
      </c>
      <c r="F95" s="1211">
        <v>0</v>
      </c>
      <c r="G95" s="1473">
        <v>46380</v>
      </c>
      <c r="H95" s="958" t="e">
        <f>'[4]10N_22-33'!E257</f>
        <v>#REF!</v>
      </c>
      <c r="I95" s="954"/>
    </row>
    <row r="96" spans="1:9" ht="30" x14ac:dyDescent="0.3">
      <c r="A96" s="1144"/>
      <c r="B96" s="1143" t="s">
        <v>600</v>
      </c>
      <c r="C96" s="981"/>
      <c r="D96" s="982"/>
      <c r="E96" s="1211">
        <f>SUM(F96:G96)</f>
        <v>0</v>
      </c>
      <c r="F96" s="1211">
        <v>0</v>
      </c>
      <c r="G96" s="1473"/>
      <c r="H96" s="958"/>
      <c r="I96" s="954"/>
    </row>
    <row r="97" spans="1:9" x14ac:dyDescent="0.3">
      <c r="A97" s="1144"/>
      <c r="B97" s="1143" t="s">
        <v>554</v>
      </c>
      <c r="C97" s="981"/>
      <c r="D97" s="988">
        <v>20624316</v>
      </c>
      <c r="E97" s="1211">
        <f>SUM(F97:G97)</f>
        <v>46380</v>
      </c>
      <c r="F97" s="709">
        <v>0</v>
      </c>
      <c r="G97" s="663">
        <v>46380</v>
      </c>
      <c r="H97" s="958" t="e">
        <f>H95-H96</f>
        <v>#REF!</v>
      </c>
      <c r="I97" s="954"/>
    </row>
    <row r="98" spans="1:9" x14ac:dyDescent="0.3">
      <c r="A98" s="1145"/>
      <c r="B98" s="1146" t="s">
        <v>495</v>
      </c>
      <c r="C98" s="1133"/>
      <c r="D98" s="984">
        <v>889789015.9013201</v>
      </c>
      <c r="E98" s="1215">
        <f>E92-E97</f>
        <v>1560317224.0999999</v>
      </c>
      <c r="F98" s="1212">
        <f>F92-F97</f>
        <v>-81597840.859999925</v>
      </c>
      <c r="G98" s="1474">
        <f>G92-G97</f>
        <v>922248806.25999975</v>
      </c>
      <c r="H98" s="959" t="e">
        <f>H92-H97</f>
        <v>#REF!</v>
      </c>
      <c r="I98" s="954"/>
    </row>
    <row r="99" spans="1:9" x14ac:dyDescent="0.3">
      <c r="A99" s="1144"/>
      <c r="B99" s="1134"/>
      <c r="C99" s="1134"/>
      <c r="D99" s="1134"/>
      <c r="E99" s="1134"/>
      <c r="F99" s="1134"/>
      <c r="G99" s="1477"/>
    </row>
    <row r="100" spans="1:9" x14ac:dyDescent="0.3">
      <c r="A100" s="1478" t="s">
        <v>1559</v>
      </c>
      <c r="B100" s="1200"/>
      <c r="C100" s="1172"/>
      <c r="D100" s="1172"/>
      <c r="E100" s="1172"/>
      <c r="F100" s="1172"/>
      <c r="G100" s="1408"/>
      <c r="H100" s="951"/>
    </row>
    <row r="101" spans="1:9" s="952" customFormat="1" ht="42" customHeight="1" x14ac:dyDescent="0.3">
      <c r="A101" s="1479" t="s">
        <v>1587</v>
      </c>
      <c r="B101" s="1777" t="s">
        <v>1588</v>
      </c>
      <c r="C101" s="1777"/>
      <c r="D101" s="1777"/>
      <c r="E101" s="1777"/>
      <c r="F101" s="1777"/>
      <c r="G101" s="1778"/>
      <c r="H101" s="963"/>
      <c r="I101" s="963"/>
    </row>
    <row r="102" spans="1:9" ht="75" customHeight="1" x14ac:dyDescent="0.3">
      <c r="A102" s="1480" t="s">
        <v>1589</v>
      </c>
      <c r="B102" s="1777" t="s">
        <v>1590</v>
      </c>
      <c r="C102" s="1777"/>
      <c r="D102" s="1777"/>
      <c r="E102" s="1777"/>
      <c r="F102" s="1777"/>
      <c r="G102" s="1778"/>
      <c r="H102" s="951"/>
    </row>
    <row r="103" spans="1:9" ht="45.75" customHeight="1" x14ac:dyDescent="0.3">
      <c r="A103" s="1480" t="s">
        <v>1591</v>
      </c>
      <c r="B103" s="1775" t="s">
        <v>1592</v>
      </c>
      <c r="C103" s="1775"/>
      <c r="D103" s="1775"/>
      <c r="E103" s="1775"/>
      <c r="F103" s="1775"/>
      <c r="G103" s="1776"/>
      <c r="H103" s="951"/>
    </row>
    <row r="104" spans="1:9" ht="48" customHeight="1" x14ac:dyDescent="0.3">
      <c r="A104" s="1480" t="s">
        <v>1593</v>
      </c>
      <c r="B104" s="1775" t="s">
        <v>1594</v>
      </c>
      <c r="C104" s="1775"/>
      <c r="D104" s="1775"/>
      <c r="E104" s="1775"/>
      <c r="F104" s="1775"/>
      <c r="G104" s="1776"/>
      <c r="H104" s="951"/>
    </row>
    <row r="105" spans="1:9" ht="44.25" customHeight="1" x14ac:dyDescent="0.3">
      <c r="A105" s="1480" t="s">
        <v>1595</v>
      </c>
      <c r="B105" s="1779" t="s">
        <v>1596</v>
      </c>
      <c r="C105" s="1779"/>
      <c r="D105" s="1779"/>
      <c r="E105" s="1779"/>
      <c r="F105" s="1779"/>
      <c r="G105" s="1779"/>
      <c r="H105" s="951"/>
    </row>
    <row r="106" spans="1:9" ht="41.25" customHeight="1" x14ac:dyDescent="0.3">
      <c r="A106" s="1480" t="s">
        <v>1597</v>
      </c>
      <c r="B106" s="1775" t="s">
        <v>1598</v>
      </c>
      <c r="C106" s="1775"/>
      <c r="D106" s="1775"/>
      <c r="E106" s="1775"/>
      <c r="F106" s="1775"/>
      <c r="G106" s="1776"/>
      <c r="H106" s="951"/>
    </row>
    <row r="107" spans="1:9" ht="45.75" customHeight="1" x14ac:dyDescent="0.3">
      <c r="A107" s="1480" t="s">
        <v>1599</v>
      </c>
      <c r="B107" s="1775" t="s">
        <v>1600</v>
      </c>
      <c r="C107" s="1775"/>
      <c r="D107" s="1775"/>
      <c r="E107" s="1775"/>
      <c r="F107" s="1775"/>
      <c r="G107" s="1776"/>
      <c r="H107" s="951"/>
    </row>
    <row r="108" spans="1:9" ht="33.75" customHeight="1" x14ac:dyDescent="0.3">
      <c r="A108" s="1480" t="s">
        <v>1601</v>
      </c>
      <c r="B108" s="1775" t="s">
        <v>1602</v>
      </c>
      <c r="C108" s="1775"/>
      <c r="D108" s="1775"/>
      <c r="E108" s="1775"/>
      <c r="F108" s="1775"/>
      <c r="G108" s="1776"/>
      <c r="H108" s="951"/>
    </row>
    <row r="109" spans="1:9" ht="32.25" customHeight="1" x14ac:dyDescent="0.3">
      <c r="A109" s="1480" t="s">
        <v>1603</v>
      </c>
      <c r="B109" s="1775" t="s">
        <v>1604</v>
      </c>
      <c r="C109" s="1775"/>
      <c r="D109" s="1775"/>
      <c r="E109" s="1775"/>
      <c r="F109" s="1775"/>
      <c r="G109" s="1776"/>
      <c r="H109" s="951"/>
    </row>
    <row r="110" spans="1:9" x14ac:dyDescent="0.3">
      <c r="A110" s="1480" t="s">
        <v>1611</v>
      </c>
      <c r="B110" s="1779" t="s">
        <v>1612</v>
      </c>
      <c r="C110" s="1779"/>
      <c r="D110" s="1779"/>
      <c r="E110" s="1779"/>
      <c r="F110" s="1779"/>
      <c r="G110" s="1779"/>
    </row>
    <row r="111" spans="1:9" x14ac:dyDescent="0.3">
      <c r="A111" s="1480" t="s">
        <v>1613</v>
      </c>
      <c r="B111" s="1775" t="s">
        <v>1614</v>
      </c>
      <c r="C111" s="1775"/>
      <c r="D111" s="1775"/>
      <c r="E111" s="1775"/>
      <c r="F111" s="1775"/>
      <c r="G111" s="1776"/>
    </row>
    <row r="112" spans="1:9" x14ac:dyDescent="0.3">
      <c r="A112" s="1144" t="s">
        <v>1615</v>
      </c>
      <c r="B112" s="1775" t="s">
        <v>1648</v>
      </c>
      <c r="C112" s="1775"/>
      <c r="D112" s="1775"/>
      <c r="E112" s="1775"/>
      <c r="F112" s="1775"/>
      <c r="G112" s="1776"/>
    </row>
    <row r="113" spans="1:7" x14ac:dyDescent="0.3">
      <c r="A113" s="1144" t="s">
        <v>1616</v>
      </c>
      <c r="B113" s="1775" t="s">
        <v>1617</v>
      </c>
      <c r="C113" s="1775"/>
      <c r="D113" s="1775"/>
      <c r="E113" s="1775"/>
      <c r="F113" s="1775"/>
      <c r="G113" s="1776"/>
    </row>
    <row r="114" spans="1:7" x14ac:dyDescent="0.3">
      <c r="A114" s="1145" t="s">
        <v>1618</v>
      </c>
      <c r="B114" s="1786" t="s">
        <v>1649</v>
      </c>
      <c r="C114" s="1786"/>
      <c r="D114" s="1786"/>
      <c r="E114" s="1786"/>
      <c r="F114" s="1786"/>
      <c r="G114" s="1787"/>
    </row>
    <row r="115" spans="1:7" x14ac:dyDescent="0.3">
      <c r="A115" s="1134"/>
      <c r="B115" s="1788"/>
      <c r="C115" s="1788"/>
      <c r="D115" s="1788"/>
      <c r="E115" s="1788"/>
      <c r="F115" s="1788"/>
      <c r="G115" s="1788"/>
    </row>
    <row r="116" spans="1:7" x14ac:dyDescent="0.3">
      <c r="B116" s="1789"/>
      <c r="C116" s="1789"/>
      <c r="D116" s="1789"/>
      <c r="E116" s="1789"/>
      <c r="F116" s="1789"/>
      <c r="G116" s="1789"/>
    </row>
    <row r="117" spans="1:7" x14ac:dyDescent="0.3">
      <c r="B117" s="1789"/>
      <c r="C117" s="1789"/>
      <c r="D117" s="1789"/>
      <c r="E117" s="1789"/>
      <c r="F117" s="1789"/>
      <c r="G117" s="1789"/>
    </row>
    <row r="118" spans="1:7" x14ac:dyDescent="0.3">
      <c r="B118" s="1789"/>
      <c r="C118" s="1789"/>
      <c r="D118" s="1789"/>
      <c r="E118" s="1789"/>
      <c r="F118" s="1789"/>
      <c r="G118" s="1789"/>
    </row>
    <row r="119" spans="1:7" x14ac:dyDescent="0.3">
      <c r="B119" s="1789"/>
      <c r="C119" s="1789"/>
      <c r="D119" s="1789"/>
      <c r="E119" s="1789"/>
      <c r="F119" s="1789"/>
      <c r="G119" s="1789"/>
    </row>
    <row r="120" spans="1:7" x14ac:dyDescent="0.3">
      <c r="B120" s="1779"/>
      <c r="C120" s="1779"/>
      <c r="D120" s="1779"/>
      <c r="E120" s="1779"/>
      <c r="F120" s="1779"/>
      <c r="G120" s="1779"/>
    </row>
    <row r="121" spans="1:7" x14ac:dyDescent="0.3">
      <c r="B121" s="1789"/>
      <c r="C121" s="1789"/>
      <c r="D121" s="1789"/>
      <c r="E121" s="1789"/>
      <c r="F121" s="1789"/>
      <c r="G121" s="1789"/>
    </row>
    <row r="122" spans="1:7" x14ac:dyDescent="0.3">
      <c r="B122" s="1789"/>
      <c r="C122" s="1789"/>
      <c r="D122" s="1789"/>
      <c r="E122" s="1789"/>
      <c r="F122" s="1789"/>
      <c r="G122" s="1789"/>
    </row>
    <row r="123" spans="1:7" x14ac:dyDescent="0.3">
      <c r="B123" s="1789"/>
      <c r="C123" s="1789"/>
      <c r="D123" s="1789"/>
      <c r="E123" s="1789"/>
      <c r="F123" s="1789"/>
      <c r="G123" s="1789"/>
    </row>
    <row r="124" spans="1:7" x14ac:dyDescent="0.3">
      <c r="B124" s="1790"/>
      <c r="C124" s="1790"/>
      <c r="D124" s="1790"/>
      <c r="E124" s="1790"/>
      <c r="F124" s="1790"/>
      <c r="G124" s="1790"/>
    </row>
    <row r="125" spans="1:7" x14ac:dyDescent="0.3">
      <c r="B125" s="1791"/>
      <c r="C125" s="1791"/>
      <c r="D125" s="1791"/>
      <c r="E125" s="1791"/>
      <c r="F125" s="1791"/>
      <c r="G125" s="1791"/>
    </row>
    <row r="126" spans="1:7" x14ac:dyDescent="0.3">
      <c r="B126" s="1790"/>
      <c r="C126" s="1790"/>
      <c r="D126" s="1790"/>
      <c r="E126" s="1790"/>
      <c r="F126" s="1790"/>
      <c r="G126" s="1790"/>
    </row>
    <row r="127" spans="1:7" x14ac:dyDescent="0.3">
      <c r="B127" s="1790"/>
      <c r="C127" s="1790"/>
      <c r="D127" s="1790"/>
      <c r="E127" s="1790"/>
      <c r="F127" s="1790"/>
      <c r="G127" s="1790"/>
    </row>
    <row r="128" spans="1:7" x14ac:dyDescent="0.3">
      <c r="B128" s="1790"/>
      <c r="C128" s="1790"/>
      <c r="D128" s="1790"/>
      <c r="E128" s="1790"/>
      <c r="F128" s="1790"/>
      <c r="G128" s="1790"/>
    </row>
    <row r="129" spans="2:7" x14ac:dyDescent="0.3">
      <c r="B129" s="1790"/>
      <c r="C129" s="1790"/>
      <c r="D129" s="1790"/>
      <c r="E129" s="1790"/>
      <c r="F129" s="1790"/>
      <c r="G129" s="1790"/>
    </row>
    <row r="130" spans="2:7" x14ac:dyDescent="0.3">
      <c r="B130" s="1791"/>
      <c r="C130" s="1791"/>
      <c r="D130" s="1791"/>
      <c r="E130" s="1791"/>
      <c r="F130" s="1791"/>
      <c r="G130" s="1791"/>
    </row>
    <row r="131" spans="2:7" x14ac:dyDescent="0.3">
      <c r="B131" s="1790"/>
      <c r="C131" s="1790"/>
      <c r="D131" s="1790"/>
      <c r="E131" s="1790"/>
      <c r="F131" s="1790"/>
      <c r="G131" s="1790"/>
    </row>
    <row r="132" spans="2:7" x14ac:dyDescent="0.3">
      <c r="B132" s="1790"/>
      <c r="C132" s="1790"/>
      <c r="D132" s="1790"/>
      <c r="E132" s="1790"/>
      <c r="F132" s="1790"/>
      <c r="G132" s="1790"/>
    </row>
    <row r="133" spans="2:7" x14ac:dyDescent="0.3">
      <c r="B133" s="1790"/>
      <c r="C133" s="1790"/>
      <c r="D133" s="1790"/>
      <c r="E133" s="1790"/>
      <c r="F133" s="1790"/>
      <c r="G133" s="1790"/>
    </row>
  </sheetData>
  <mergeCells count="40">
    <mergeCell ref="B130:G130"/>
    <mergeCell ref="B131:G131"/>
    <mergeCell ref="B132:G132"/>
    <mergeCell ref="B133:G133"/>
    <mergeCell ref="B125:G125"/>
    <mergeCell ref="B126:G126"/>
    <mergeCell ref="B127:G127"/>
    <mergeCell ref="B128:G128"/>
    <mergeCell ref="B129:G129"/>
    <mergeCell ref="B120:G120"/>
    <mergeCell ref="B121:G121"/>
    <mergeCell ref="B122:G122"/>
    <mergeCell ref="B123:G123"/>
    <mergeCell ref="B124:G124"/>
    <mergeCell ref="B115:G115"/>
    <mergeCell ref="B116:G116"/>
    <mergeCell ref="B117:G117"/>
    <mergeCell ref="B118:G118"/>
    <mergeCell ref="B119:G119"/>
    <mergeCell ref="B110:G110"/>
    <mergeCell ref="B111:G111"/>
    <mergeCell ref="B112:G112"/>
    <mergeCell ref="B113:G113"/>
    <mergeCell ref="B114:G114"/>
    <mergeCell ref="C62:C63"/>
    <mergeCell ref="D62:D63"/>
    <mergeCell ref="E62:G62"/>
    <mergeCell ref="B1:F1"/>
    <mergeCell ref="B2:F2"/>
    <mergeCell ref="A62:B63"/>
    <mergeCell ref="A8:B8"/>
    <mergeCell ref="B107:G107"/>
    <mergeCell ref="B108:G108"/>
    <mergeCell ref="B109:G109"/>
    <mergeCell ref="B101:G101"/>
    <mergeCell ref="B102:G102"/>
    <mergeCell ref="B103:G103"/>
    <mergeCell ref="B104:G104"/>
    <mergeCell ref="B105:G105"/>
    <mergeCell ref="B106:G106"/>
  </mergeCells>
  <pageMargins left="0.78740157480314965" right="0" top="7.874015748031496E-2" bottom="0.74803149606299213" header="0.31496062992125984" footer="0.31496062992125984"/>
  <pageSetup paperSize="9" scale="63" orientation="portrait" r:id="rId1"/>
  <rowBreaks count="1" manualBreakCount="1">
    <brk id="58" max="6"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B1:P72"/>
  <sheetViews>
    <sheetView showGridLines="0" view="pageBreakPreview" zoomScale="80" zoomScaleSheetLayoutView="80" workbookViewId="0">
      <selection activeCell="C7" sqref="C7"/>
    </sheetView>
  </sheetViews>
  <sheetFormatPr defaultColWidth="9.140625" defaultRowHeight="16.5" x14ac:dyDescent="0.3"/>
  <cols>
    <col min="1" max="5" width="2.85546875" style="145" customWidth="1"/>
    <col min="6" max="6" width="64" style="942" bestFit="1" customWidth="1"/>
    <col min="7" max="7" width="15.42578125" style="946" customWidth="1"/>
    <col min="8" max="9" width="16.42578125" style="946" customWidth="1"/>
    <col min="10" max="10" width="8.85546875" style="201" bestFit="1" customWidth="1"/>
    <col min="11" max="11" width="66.42578125" style="201" bestFit="1" customWidth="1"/>
    <col min="12" max="12" width="23.28515625" style="66" bestFit="1" customWidth="1"/>
    <col min="13" max="13" width="3" style="145" bestFit="1" customWidth="1"/>
    <col min="14" max="16384" width="9.140625" style="145"/>
  </cols>
  <sheetData>
    <row r="1" spans="2:16" ht="15.75" x14ac:dyDescent="0.25">
      <c r="B1" s="1552"/>
      <c r="C1" s="1572"/>
      <c r="D1" s="1572"/>
      <c r="E1" s="1572"/>
      <c r="F1" s="1792" t="s">
        <v>0</v>
      </c>
      <c r="G1" s="1792"/>
      <c r="H1" s="1792"/>
      <c r="I1" s="1481"/>
      <c r="J1" s="200"/>
      <c r="K1" s="200"/>
    </row>
    <row r="2" spans="2:16" ht="15.75" hidden="1" x14ac:dyDescent="0.25">
      <c r="B2" s="1553"/>
      <c r="C2" s="1562"/>
      <c r="D2" s="1562"/>
      <c r="E2" s="1562"/>
      <c r="F2" s="1793" t="s">
        <v>4</v>
      </c>
      <c r="G2" s="1793"/>
      <c r="H2" s="1793"/>
      <c r="I2" s="1482"/>
      <c r="J2" s="200"/>
      <c r="K2" s="200"/>
      <c r="L2" s="65"/>
    </row>
    <row r="3" spans="2:16" ht="15.75" x14ac:dyDescent="0.25">
      <c r="B3" s="1553"/>
      <c r="C3" s="1562"/>
      <c r="D3" s="1562"/>
      <c r="E3" s="1562"/>
      <c r="F3" s="1737" t="s">
        <v>1092</v>
      </c>
      <c r="G3" s="1737"/>
      <c r="H3" s="1737"/>
      <c r="I3" s="1483"/>
      <c r="J3" s="200"/>
    </row>
    <row r="4" spans="2:16" ht="15.75" x14ac:dyDescent="0.25">
      <c r="B4" s="1553"/>
      <c r="C4" s="1562"/>
      <c r="D4" s="1562"/>
      <c r="E4" s="1562"/>
      <c r="F4" s="1002"/>
      <c r="G4" s="1002"/>
      <c r="H4" s="1002"/>
      <c r="I4" s="1483"/>
      <c r="J4" s="200"/>
    </row>
    <row r="5" spans="2:16" ht="15.75" x14ac:dyDescent="0.25">
      <c r="B5" s="1553"/>
      <c r="C5" s="1562"/>
      <c r="D5" s="1562"/>
      <c r="E5" s="1562"/>
      <c r="F5" s="1556" t="s">
        <v>22</v>
      </c>
      <c r="G5" s="1555">
        <v>2018</v>
      </c>
      <c r="H5" s="1555">
        <v>2017</v>
      </c>
      <c r="I5" s="1484"/>
      <c r="J5" s="200"/>
    </row>
    <row r="6" spans="2:16" x14ac:dyDescent="0.25">
      <c r="B6" s="1553"/>
      <c r="C6" s="1562"/>
      <c r="D6" s="1562"/>
      <c r="E6" s="1562"/>
      <c r="F6" s="1563" t="s">
        <v>5</v>
      </c>
      <c r="G6" s="1219"/>
      <c r="H6" s="1220"/>
      <c r="I6" s="1149"/>
      <c r="K6" s="201" t="s">
        <v>203</v>
      </c>
      <c r="L6" s="160"/>
    </row>
    <row r="7" spans="2:16" x14ac:dyDescent="0.25">
      <c r="B7" s="1553"/>
      <c r="C7" s="1562"/>
      <c r="D7" s="1562"/>
      <c r="E7" s="1562"/>
      <c r="F7" s="1564" t="s">
        <v>60</v>
      </c>
      <c r="G7" s="1221" t="str">
        <f>J7 &amp;":"&amp;1</f>
        <v>0.69:1</v>
      </c>
      <c r="H7" s="540" t="s">
        <v>578</v>
      </c>
      <c r="I7" s="1149"/>
      <c r="J7" s="470">
        <f>TRUNC(SUM('2SFP'!D25/'2SFP'!D52),2)</f>
        <v>0.69</v>
      </c>
      <c r="K7" s="202" t="s">
        <v>204</v>
      </c>
      <c r="L7" s="161"/>
      <c r="M7" s="5" t="s">
        <v>98</v>
      </c>
      <c r="N7" s="5" t="s">
        <v>98</v>
      </c>
      <c r="O7" s="5" t="s">
        <v>98</v>
      </c>
      <c r="P7" s="5"/>
    </row>
    <row r="8" spans="2:16" x14ac:dyDescent="0.25">
      <c r="B8" s="1553"/>
      <c r="C8" s="1562"/>
      <c r="D8" s="1562"/>
      <c r="E8" s="1562"/>
      <c r="F8" s="1564" t="s">
        <v>50</v>
      </c>
      <c r="G8" s="1221" t="str">
        <f>J8 &amp;":"&amp;1</f>
        <v>0.74:1</v>
      </c>
      <c r="H8" s="540" t="s">
        <v>579</v>
      </c>
      <c r="I8" s="1149"/>
      <c r="J8" s="470">
        <f>TRUNC(SUM('2SFP'!D25-'2SFP'!D18)/'2SFP'!D52,2)</f>
        <v>0.74</v>
      </c>
      <c r="K8" s="202" t="s">
        <v>205</v>
      </c>
      <c r="L8" s="161"/>
      <c r="M8" s="5" t="s">
        <v>98</v>
      </c>
      <c r="N8" s="5" t="s">
        <v>98</v>
      </c>
      <c r="O8" s="5" t="s">
        <v>98</v>
      </c>
      <c r="P8" s="5"/>
    </row>
    <row r="9" spans="2:16" ht="16.5" customHeight="1" x14ac:dyDescent="0.25">
      <c r="B9" s="1553"/>
      <c r="C9" s="1562"/>
      <c r="D9" s="1562"/>
      <c r="E9" s="1562"/>
      <c r="F9" s="1565" t="s">
        <v>6</v>
      </c>
      <c r="G9" s="1221"/>
      <c r="H9" s="540"/>
      <c r="I9" s="1149"/>
      <c r="J9" s="66"/>
      <c r="K9" s="66"/>
      <c r="M9" s="5"/>
      <c r="N9" s="5"/>
      <c r="O9" s="5"/>
      <c r="P9" s="5"/>
    </row>
    <row r="10" spans="2:16" x14ac:dyDescent="0.25">
      <c r="B10" s="1553"/>
      <c r="C10" s="1562"/>
      <c r="D10" s="1562"/>
      <c r="E10" s="1562"/>
      <c r="F10" s="1566" t="s">
        <v>51</v>
      </c>
      <c r="G10" s="1222" t="s">
        <v>1508</v>
      </c>
      <c r="H10" s="540" t="s">
        <v>559</v>
      </c>
      <c r="I10" s="1149"/>
      <c r="J10" s="473">
        <f>TRUNC(365/(L10/(AVERAGE('7N_3-12'!E72+'7N_3-12'!E74,'7N_3-12'!F72+'7N_3-12'!F74))),3)</f>
        <v>32.518999999999998</v>
      </c>
      <c r="K10" s="202" t="s">
        <v>557</v>
      </c>
      <c r="L10" s="469">
        <v>1277412973.9000001</v>
      </c>
      <c r="M10" s="5" t="s">
        <v>98</v>
      </c>
      <c r="N10" s="5" t="s">
        <v>98</v>
      </c>
      <c r="O10" s="5" t="s">
        <v>98</v>
      </c>
      <c r="P10" s="5"/>
    </row>
    <row r="11" spans="2:16" x14ac:dyDescent="0.25">
      <c r="B11" s="1553"/>
      <c r="C11" s="1562"/>
      <c r="D11" s="1562"/>
      <c r="E11" s="1562"/>
      <c r="F11" s="1567" t="s">
        <v>530</v>
      </c>
      <c r="G11" s="1221"/>
      <c r="H11" s="540"/>
      <c r="I11" s="1149"/>
      <c r="J11" s="66"/>
      <c r="K11" s="66"/>
      <c r="M11" s="5"/>
      <c r="N11" s="5"/>
      <c r="O11" s="5"/>
      <c r="P11" s="5"/>
    </row>
    <row r="12" spans="2:16" x14ac:dyDescent="0.25">
      <c r="B12" s="1553"/>
      <c r="C12" s="1562"/>
      <c r="D12" s="1562"/>
      <c r="E12" s="1562"/>
      <c r="F12" s="1564" t="s">
        <v>52</v>
      </c>
      <c r="G12" s="1223">
        <f>J12</f>
        <v>0.16958496529487541</v>
      </c>
      <c r="H12" s="1224">
        <v>8.9043963437925276E-3</v>
      </c>
      <c r="I12" s="1485"/>
      <c r="J12" s="471">
        <f>(AVERAGE('2SFP'!D25,'2SFP'!E25)-AVERAGE('2SFP'!D52,'2SFP'!E52))/('3SOCI'!D6)</f>
        <v>0.16958496529487541</v>
      </c>
      <c r="K12" s="66" t="s">
        <v>1504</v>
      </c>
      <c r="M12" s="162"/>
      <c r="N12" s="162"/>
      <c r="O12" s="162"/>
      <c r="P12" s="5"/>
    </row>
    <row r="13" spans="2:16" x14ac:dyDescent="0.25">
      <c r="B13" s="1553"/>
      <c r="C13" s="1562"/>
      <c r="D13" s="1562"/>
      <c r="E13" s="1562"/>
      <c r="F13" s="1567" t="s">
        <v>558</v>
      </c>
      <c r="G13" s="1221"/>
      <c r="H13" s="540"/>
      <c r="I13" s="1149"/>
      <c r="J13" s="205"/>
      <c r="K13" s="66"/>
      <c r="M13" s="5"/>
      <c r="N13" s="5"/>
      <c r="O13" s="5"/>
      <c r="P13" s="5"/>
    </row>
    <row r="14" spans="2:16" x14ac:dyDescent="0.25">
      <c r="B14" s="1553"/>
      <c r="C14" s="1562"/>
      <c r="D14" s="1562"/>
      <c r="E14" s="1562"/>
      <c r="F14" s="1568" t="s">
        <v>7</v>
      </c>
      <c r="G14" s="1221"/>
      <c r="H14" s="540"/>
      <c r="I14" s="1149"/>
      <c r="J14" s="66"/>
      <c r="K14" s="66"/>
      <c r="M14" s="5"/>
      <c r="N14" s="5"/>
      <c r="O14" s="5"/>
      <c r="P14" s="5"/>
    </row>
    <row r="15" spans="2:16" x14ac:dyDescent="0.25">
      <c r="B15" s="1553"/>
      <c r="C15" s="1562"/>
      <c r="D15" s="1562"/>
      <c r="E15" s="1562"/>
      <c r="F15" s="1564" t="s">
        <v>53</v>
      </c>
      <c r="G15" s="1225" t="str">
        <f>J15 &amp;"%"</f>
        <v>2.19%</v>
      </c>
      <c r="H15" s="1224" t="s">
        <v>580</v>
      </c>
      <c r="I15" s="1485"/>
      <c r="J15" s="470">
        <f>TRUNC('2SFP'!D40/SUM('2SFP'!D7:D9)*100,2)</f>
        <v>2.19</v>
      </c>
      <c r="K15" s="66" t="s">
        <v>206</v>
      </c>
      <c r="M15" s="5"/>
      <c r="N15" s="5"/>
      <c r="O15" s="5"/>
      <c r="P15" s="5"/>
    </row>
    <row r="16" spans="2:16" x14ac:dyDescent="0.25">
      <c r="B16" s="1553"/>
      <c r="C16" s="1562"/>
      <c r="D16" s="1562"/>
      <c r="E16" s="1562"/>
      <c r="F16" s="1569" t="s">
        <v>8</v>
      </c>
      <c r="G16" s="1221"/>
      <c r="H16" s="540"/>
      <c r="I16" s="1149"/>
      <c r="J16" s="66"/>
      <c r="K16" s="66"/>
      <c r="M16" s="5"/>
      <c r="N16" s="5"/>
      <c r="O16" s="5"/>
      <c r="P16" s="5"/>
    </row>
    <row r="17" spans="2:16" x14ac:dyDescent="0.25">
      <c r="B17" s="1553"/>
      <c r="C17" s="1562"/>
      <c r="D17" s="1562"/>
      <c r="E17" s="1562"/>
      <c r="F17" s="1564" t="s">
        <v>54</v>
      </c>
      <c r="G17" s="1221" t="str">
        <f>J17&amp;":" &amp;1</f>
        <v>0.04:1</v>
      </c>
      <c r="H17" s="540" t="s">
        <v>581</v>
      </c>
      <c r="I17" s="1149"/>
      <c r="J17" s="470">
        <f>TRUNC('2SFP'!D40/'2SFP'!D33,2)</f>
        <v>0.04</v>
      </c>
      <c r="K17" s="203" t="s">
        <v>555</v>
      </c>
      <c r="M17" s="37" t="s">
        <v>98</v>
      </c>
      <c r="N17" s="37" t="s">
        <v>98</v>
      </c>
      <c r="O17" s="37" t="s">
        <v>98</v>
      </c>
      <c r="P17" s="5"/>
    </row>
    <row r="18" spans="2:16" x14ac:dyDescent="0.25">
      <c r="B18" s="1553"/>
      <c r="C18" s="1562"/>
      <c r="D18" s="1562"/>
      <c r="E18" s="1562"/>
      <c r="F18" s="1569" t="s">
        <v>9</v>
      </c>
      <c r="G18" s="1221"/>
      <c r="H18" s="540"/>
      <c r="I18" s="1149"/>
      <c r="J18" s="66"/>
      <c r="K18" s="66"/>
      <c r="M18" s="5"/>
      <c r="N18" s="5"/>
      <c r="O18" s="5"/>
      <c r="P18" s="5"/>
    </row>
    <row r="19" spans="2:16" x14ac:dyDescent="0.25">
      <c r="B19" s="1553"/>
      <c r="C19" s="1562"/>
      <c r="D19" s="1562"/>
      <c r="E19" s="1562"/>
      <c r="F19" s="1568" t="s">
        <v>10</v>
      </c>
      <c r="G19" s="1221"/>
      <c r="H19" s="540"/>
      <c r="I19" s="1149"/>
      <c r="J19" s="66"/>
      <c r="K19" s="66"/>
      <c r="M19" s="5"/>
      <c r="N19" s="5"/>
      <c r="O19" s="5"/>
      <c r="P19" s="5"/>
    </row>
    <row r="20" spans="2:16" x14ac:dyDescent="0.25">
      <c r="B20" s="1553"/>
      <c r="C20" s="1562"/>
      <c r="D20" s="1562"/>
      <c r="E20" s="1562"/>
      <c r="F20" s="1564" t="s">
        <v>55</v>
      </c>
      <c r="G20" s="1221"/>
      <c r="H20" s="540"/>
      <c r="I20" s="1149"/>
      <c r="J20" s="66"/>
      <c r="K20" s="66"/>
      <c r="M20" s="5"/>
      <c r="N20" s="5"/>
      <c r="O20" s="5"/>
      <c r="P20" s="5"/>
    </row>
    <row r="21" spans="2:16" x14ac:dyDescent="0.25">
      <c r="B21" s="1553"/>
      <c r="C21" s="1562"/>
      <c r="D21" s="1562"/>
      <c r="E21" s="1562"/>
      <c r="F21" s="1569" t="s">
        <v>11</v>
      </c>
      <c r="G21" s="1223" t="str">
        <f>J21&amp;"%"</f>
        <v>7.58%</v>
      </c>
      <c r="H21" s="1226" t="s">
        <v>582</v>
      </c>
      <c r="I21" s="1486"/>
      <c r="J21" s="470">
        <f>TRUNC('3SOCI'!D25/('2SFP'!D33+'2SFP'!D40)*100,2)</f>
        <v>7.58</v>
      </c>
      <c r="K21" s="66" t="s">
        <v>207</v>
      </c>
      <c r="M21" s="5"/>
      <c r="N21" s="5"/>
      <c r="O21" s="5"/>
      <c r="P21" s="5"/>
    </row>
    <row r="22" spans="2:16" x14ac:dyDescent="0.25">
      <c r="B22" s="1553"/>
      <c r="C22" s="1562"/>
      <c r="D22" s="1562"/>
      <c r="E22" s="1562"/>
      <c r="F22" s="1569" t="s">
        <v>12</v>
      </c>
      <c r="G22" s="1223">
        <v>0.18770000000000001</v>
      </c>
      <c r="H22" s="1226">
        <v>0.1701</v>
      </c>
      <c r="I22" s="1486"/>
      <c r="J22" s="470">
        <f>TRUNC('3SOCI'!D32/SUM('2SFP'!D33+'2SFP'!D40)*100,3)</f>
        <v>5.306</v>
      </c>
      <c r="K22" s="66" t="s">
        <v>208</v>
      </c>
      <c r="M22" s="5"/>
      <c r="N22" s="5"/>
      <c r="O22" s="5"/>
      <c r="P22" s="5"/>
    </row>
    <row r="23" spans="2:16" x14ac:dyDescent="0.25">
      <c r="B23" s="1553"/>
      <c r="C23" s="1562"/>
      <c r="D23" s="1562"/>
      <c r="E23" s="1562"/>
      <c r="F23" s="1570" t="s">
        <v>13</v>
      </c>
      <c r="G23" s="1221"/>
      <c r="H23" s="540"/>
      <c r="I23" s="1149"/>
      <c r="J23" s="66"/>
      <c r="K23" s="66"/>
      <c r="M23" s="5"/>
      <c r="N23" s="5"/>
      <c r="O23" s="5"/>
      <c r="P23" s="5"/>
    </row>
    <row r="24" spans="2:16" x14ac:dyDescent="0.25">
      <c r="B24" s="1553"/>
      <c r="C24" s="1562"/>
      <c r="D24" s="1562"/>
      <c r="E24" s="1562"/>
      <c r="F24" s="1564" t="s">
        <v>56</v>
      </c>
      <c r="G24" s="1223" t="str">
        <f>J24&amp;"%"</f>
        <v>5.52%</v>
      </c>
      <c r="H24" s="1226" t="s">
        <v>583</v>
      </c>
      <c r="I24" s="1486"/>
      <c r="J24" s="470">
        <f>TRUNC('3SOCI'!D32/SUM('2SFP'!D33)*100,2)</f>
        <v>5.52</v>
      </c>
      <c r="K24" s="66" t="s">
        <v>209</v>
      </c>
      <c r="M24" s="5"/>
      <c r="N24" s="5"/>
      <c r="O24" s="5"/>
      <c r="P24" s="5"/>
    </row>
    <row r="25" spans="2:16" x14ac:dyDescent="0.25">
      <c r="B25" s="1553"/>
      <c r="C25" s="1562"/>
      <c r="D25" s="1562"/>
      <c r="E25" s="1562"/>
      <c r="F25" s="1570" t="s">
        <v>14</v>
      </c>
      <c r="G25" s="1221"/>
      <c r="H25" s="540"/>
      <c r="I25" s="1149"/>
      <c r="J25" s="66"/>
      <c r="K25" s="66"/>
      <c r="M25" s="5"/>
      <c r="N25" s="5"/>
      <c r="O25" s="5"/>
      <c r="P25" s="5"/>
    </row>
    <row r="26" spans="2:16" x14ac:dyDescent="0.25">
      <c r="B26" s="1553"/>
      <c r="C26" s="1562"/>
      <c r="D26" s="1562"/>
      <c r="E26" s="1562"/>
      <c r="F26" s="1569" t="s">
        <v>15</v>
      </c>
      <c r="G26" s="1221"/>
      <c r="H26" s="540"/>
      <c r="I26" s="1149"/>
      <c r="J26" s="66"/>
      <c r="K26" s="66"/>
      <c r="M26" s="5"/>
      <c r="N26" s="5"/>
      <c r="O26" s="5"/>
      <c r="P26" s="5"/>
    </row>
    <row r="27" spans="2:16" x14ac:dyDescent="0.25">
      <c r="B27" s="1553"/>
      <c r="C27" s="1562"/>
      <c r="D27" s="1562"/>
      <c r="E27" s="1562"/>
      <c r="F27" s="1564" t="s">
        <v>57</v>
      </c>
      <c r="G27" s="1223" t="str">
        <f>J27&amp;"%"</f>
        <v>55.35%</v>
      </c>
      <c r="H27" s="1226" t="s">
        <v>584</v>
      </c>
      <c r="I27" s="1486"/>
      <c r="J27" s="470">
        <f>TRUNC('3SOCI'!D25/SUM('3SOCI'!D6:D6)*100,2)</f>
        <v>55.35</v>
      </c>
      <c r="K27" s="204" t="s">
        <v>1506</v>
      </c>
      <c r="L27" s="165"/>
      <c r="M27" s="5"/>
      <c r="N27" s="5"/>
      <c r="O27" s="5"/>
      <c r="P27" s="5"/>
    </row>
    <row r="28" spans="2:16" x14ac:dyDescent="0.25">
      <c r="B28" s="1553"/>
      <c r="C28" s="1562"/>
      <c r="D28" s="1562"/>
      <c r="E28" s="1562"/>
      <c r="F28" s="1569" t="s">
        <v>16</v>
      </c>
      <c r="G28" s="1221"/>
      <c r="H28" s="540"/>
      <c r="I28" s="1149"/>
      <c r="J28" s="66"/>
      <c r="K28" s="66"/>
      <c r="M28" s="5"/>
      <c r="N28" s="5"/>
      <c r="O28" s="5"/>
      <c r="P28" s="5"/>
    </row>
    <row r="29" spans="2:16" x14ac:dyDescent="0.25">
      <c r="B29" s="1553"/>
      <c r="C29" s="1562"/>
      <c r="D29" s="1562"/>
      <c r="E29" s="1562"/>
      <c r="F29" s="1564" t="s">
        <v>58</v>
      </c>
      <c r="G29" s="1223">
        <v>9.4399999999999998E-2</v>
      </c>
      <c r="H29" s="1226">
        <v>0.1086</v>
      </c>
      <c r="I29" s="1486"/>
      <c r="J29" s="470">
        <f>TRUNC('3SOCI'!D13/SUM('3SOCI'!D6:D6)*100,3)</f>
        <v>6.52</v>
      </c>
      <c r="K29" s="66" t="s">
        <v>1505</v>
      </c>
      <c r="M29" s="5"/>
      <c r="N29" s="5"/>
      <c r="O29" s="5"/>
      <c r="P29" s="5"/>
    </row>
    <row r="30" spans="2:16" x14ac:dyDescent="0.25">
      <c r="B30" s="1553"/>
      <c r="C30" s="1562"/>
      <c r="D30" s="1562"/>
      <c r="E30" s="1562"/>
      <c r="F30" s="1569" t="s">
        <v>17</v>
      </c>
      <c r="G30" s="1221"/>
      <c r="H30" s="540"/>
      <c r="I30" s="1149"/>
      <c r="J30" s="66"/>
      <c r="K30" s="66"/>
      <c r="M30" s="5"/>
      <c r="N30" s="5"/>
      <c r="O30" s="5"/>
      <c r="P30" s="5"/>
    </row>
    <row r="31" spans="2:16" x14ac:dyDescent="0.25">
      <c r="B31" s="1553"/>
      <c r="C31" s="1562"/>
      <c r="D31" s="1562"/>
      <c r="E31" s="1562"/>
      <c r="F31" s="1564" t="s">
        <v>59</v>
      </c>
      <c r="G31" s="1221" t="s">
        <v>1507</v>
      </c>
      <c r="H31" s="540" t="s">
        <v>556</v>
      </c>
      <c r="I31" s="1149"/>
      <c r="J31" s="472">
        <f>TRUNC('3SOCI'!D32/'10N_22-33'!E304/1000000,3)</f>
        <v>0.188</v>
      </c>
      <c r="K31" s="66" t="s">
        <v>215</v>
      </c>
      <c r="M31" s="5" t="s">
        <v>98</v>
      </c>
      <c r="N31" s="5" t="s">
        <v>98</v>
      </c>
      <c r="O31" s="5" t="s">
        <v>98</v>
      </c>
      <c r="P31" s="5"/>
    </row>
    <row r="32" spans="2:16" x14ac:dyDescent="0.25">
      <c r="B32" s="1553"/>
      <c r="C32" s="1562"/>
      <c r="D32" s="1562"/>
      <c r="E32" s="1562"/>
      <c r="F32" s="1571" t="s">
        <v>18</v>
      </c>
      <c r="G32" s="1227"/>
      <c r="H32" s="1228"/>
      <c r="I32" s="1149"/>
      <c r="J32" s="66"/>
      <c r="K32" s="66"/>
      <c r="M32" s="5" t="s">
        <v>98</v>
      </c>
      <c r="N32" s="5" t="s">
        <v>98</v>
      </c>
      <c r="O32" s="5" t="s">
        <v>98</v>
      </c>
      <c r="P32" s="5"/>
    </row>
    <row r="33" spans="2:16" x14ac:dyDescent="0.3">
      <c r="B33" s="1553"/>
      <c r="C33" s="1562"/>
      <c r="D33" s="1562"/>
      <c r="E33" s="1562"/>
      <c r="F33" s="1134"/>
      <c r="G33" s="1165"/>
      <c r="H33" s="1165"/>
      <c r="I33" s="1487"/>
      <c r="M33" s="5"/>
      <c r="N33" s="5"/>
      <c r="O33" s="5"/>
      <c r="P33" s="5"/>
    </row>
    <row r="34" spans="2:16" x14ac:dyDescent="0.3">
      <c r="B34" s="1553"/>
      <c r="C34" s="1562"/>
      <c r="D34" s="1562"/>
      <c r="E34" s="1562"/>
      <c r="F34" s="1134"/>
      <c r="G34" s="1165"/>
      <c r="H34" s="1165"/>
      <c r="I34" s="1487"/>
      <c r="M34" s="5"/>
      <c r="N34" s="5"/>
      <c r="O34" s="5"/>
      <c r="P34" s="5"/>
    </row>
    <row r="35" spans="2:16" x14ac:dyDescent="0.3">
      <c r="B35" s="1553"/>
      <c r="C35" s="1562"/>
      <c r="D35" s="1562"/>
      <c r="E35" s="1562"/>
      <c r="F35" s="1134"/>
      <c r="G35" s="1165"/>
      <c r="H35" s="1165"/>
      <c r="I35" s="1487"/>
      <c r="M35" s="5"/>
      <c r="N35" s="5"/>
      <c r="O35" s="5"/>
      <c r="P35" s="5"/>
    </row>
    <row r="36" spans="2:16" x14ac:dyDescent="0.3">
      <c r="B36" s="1553"/>
      <c r="C36" s="1562"/>
      <c r="D36" s="1562"/>
      <c r="E36" s="1562"/>
      <c r="F36" s="1134"/>
      <c r="G36" s="1165"/>
      <c r="H36" s="1165"/>
      <c r="I36" s="1487"/>
      <c r="M36" s="5"/>
      <c r="N36" s="5"/>
      <c r="O36" s="5"/>
      <c r="P36" s="5"/>
    </row>
    <row r="37" spans="2:16" x14ac:dyDescent="0.3">
      <c r="B37" s="1553"/>
      <c r="C37" s="1562"/>
      <c r="D37" s="1562"/>
      <c r="E37" s="1562"/>
      <c r="F37" s="1134"/>
      <c r="G37" s="1165"/>
      <c r="H37" s="1165"/>
      <c r="I37" s="1487"/>
      <c r="M37" s="5"/>
      <c r="N37" s="5"/>
      <c r="O37" s="5"/>
      <c r="P37" s="5"/>
    </row>
    <row r="38" spans="2:16" x14ac:dyDescent="0.3">
      <c r="B38" s="1553"/>
      <c r="C38" s="1562"/>
      <c r="D38" s="1562"/>
      <c r="E38" s="1562"/>
      <c r="F38" s="1561" t="str">
        <f>'2SFP'!B61</f>
        <v>For GSA &amp; Associates.</v>
      </c>
      <c r="G38" s="1201" t="str">
        <f>'2SFP'!E61</f>
        <v>for and on behalf of board of directors</v>
      </c>
      <c r="H38" s="1202"/>
      <c r="I38" s="1487"/>
    </row>
    <row r="39" spans="2:16" x14ac:dyDescent="0.25">
      <c r="B39" s="1553"/>
      <c r="C39" s="1562"/>
      <c r="D39" s="1562"/>
      <c r="E39" s="1562"/>
      <c r="F39" s="1199" t="str">
        <f>'2SFP'!B62</f>
        <v>Chartered accountants</v>
      </c>
      <c r="G39" s="1202"/>
      <c r="H39" s="1202"/>
      <c r="I39" s="1487"/>
    </row>
    <row r="40" spans="2:16" x14ac:dyDescent="0.25">
      <c r="B40" s="1553"/>
      <c r="C40" s="1562"/>
      <c r="D40" s="1562"/>
      <c r="E40" s="1562"/>
      <c r="F40" s="1199" t="str">
        <f>'2SFP'!B63</f>
        <v>(Firm Reg. No. 000257N)</v>
      </c>
      <c r="G40" s="1202"/>
      <c r="H40" s="1202"/>
      <c r="I40" s="1487"/>
    </row>
    <row r="41" spans="2:16" x14ac:dyDescent="0.25">
      <c r="B41" s="1553"/>
      <c r="C41" s="1562"/>
      <c r="D41" s="1562"/>
      <c r="E41" s="1562"/>
      <c r="F41" s="1199"/>
      <c r="G41" s="1202"/>
      <c r="H41" s="1202"/>
      <c r="I41" s="1487"/>
    </row>
    <row r="42" spans="2:16" x14ac:dyDescent="0.25">
      <c r="B42" s="1553"/>
      <c r="C42" s="1562"/>
      <c r="D42" s="1562"/>
      <c r="E42" s="1562"/>
      <c r="F42" s="1199"/>
      <c r="G42" s="1202"/>
      <c r="H42" s="1202"/>
      <c r="I42" s="1487"/>
    </row>
    <row r="43" spans="2:16" x14ac:dyDescent="0.25">
      <c r="B43" s="1553"/>
      <c r="C43" s="1562"/>
      <c r="D43" s="1562"/>
      <c r="E43" s="1562"/>
      <c r="F43" s="1199"/>
      <c r="G43" s="1202"/>
      <c r="H43" s="1202"/>
      <c r="I43" s="1487"/>
    </row>
    <row r="44" spans="2:16" x14ac:dyDescent="0.3">
      <c r="B44" s="1553"/>
      <c r="C44" s="1562"/>
      <c r="D44" s="1562"/>
      <c r="E44" s="1562"/>
      <c r="F44" s="1561" t="str">
        <f>'2SFP'!B67</f>
        <v>Tanuj Chugh</v>
      </c>
      <c r="G44" s="1166" t="str">
        <f>'2SFP'!E65</f>
        <v>Chairman</v>
      </c>
      <c r="H44" s="1202"/>
      <c r="I44" s="1487"/>
    </row>
    <row r="45" spans="2:16" x14ac:dyDescent="0.25">
      <c r="B45" s="1553"/>
      <c r="C45" s="1562"/>
      <c r="D45" s="1562"/>
      <c r="E45" s="1562"/>
      <c r="F45" s="1199" t="str">
        <f>'2SFP'!B68</f>
        <v>Partner</v>
      </c>
      <c r="G45" s="1202"/>
      <c r="H45" s="1202"/>
      <c r="I45" s="1487"/>
    </row>
    <row r="46" spans="2:16" x14ac:dyDescent="0.25">
      <c r="B46" s="1553"/>
      <c r="C46" s="1562"/>
      <c r="D46" s="1562"/>
      <c r="E46" s="1562"/>
      <c r="F46" s="1199" t="str">
        <f>'2SFP'!B69</f>
        <v>M. No. 529619</v>
      </c>
      <c r="G46" s="1202"/>
      <c r="H46" s="1202"/>
      <c r="I46" s="1487"/>
    </row>
    <row r="47" spans="2:16" x14ac:dyDescent="0.25">
      <c r="B47" s="1553"/>
      <c r="C47" s="1562"/>
      <c r="D47" s="1562"/>
      <c r="E47" s="1562"/>
      <c r="F47" s="1199"/>
      <c r="G47" s="1202"/>
      <c r="H47" s="1202"/>
      <c r="I47" s="1487"/>
    </row>
    <row r="48" spans="2:16" x14ac:dyDescent="0.25">
      <c r="B48" s="1553"/>
      <c r="C48" s="1562"/>
      <c r="D48" s="1562"/>
      <c r="E48" s="1562"/>
      <c r="F48" s="1199" t="str">
        <f>'2SFP'!B71</f>
        <v xml:space="preserve">Place: </v>
      </c>
      <c r="G48" s="1202"/>
      <c r="H48" s="1202"/>
      <c r="I48" s="1487"/>
    </row>
    <row r="49" spans="2:9" x14ac:dyDescent="0.25">
      <c r="B49" s="1553"/>
      <c r="C49" s="1562"/>
      <c r="D49" s="1562"/>
      <c r="E49" s="1562"/>
      <c r="F49" s="1199" t="str">
        <f>'2SFP'!B72</f>
        <v xml:space="preserve">Date: </v>
      </c>
      <c r="G49" s="1574" t="str">
        <f>'2SFP'!E69</f>
        <v>Chief Executive Officer</v>
      </c>
      <c r="H49" s="1575"/>
      <c r="I49" s="1487"/>
    </row>
    <row r="50" spans="2:9" x14ac:dyDescent="0.3">
      <c r="B50" s="1554"/>
      <c r="C50" s="1573"/>
      <c r="D50" s="1573"/>
      <c r="E50" s="1573"/>
      <c r="F50" s="1466"/>
      <c r="G50" s="1488"/>
      <c r="H50" s="1488"/>
      <c r="I50" s="1489"/>
    </row>
    <row r="51" spans="2:9" x14ac:dyDescent="0.3">
      <c r="F51" s="1144"/>
      <c r="G51" s="1165"/>
      <c r="H51" s="1165"/>
      <c r="I51" s="1487"/>
    </row>
    <row r="52" spans="2:9" x14ac:dyDescent="0.3">
      <c r="F52" s="1144"/>
      <c r="G52" s="1165"/>
      <c r="H52" s="1165"/>
      <c r="I52" s="1487"/>
    </row>
    <row r="53" spans="2:9" x14ac:dyDescent="0.3">
      <c r="F53" s="1144"/>
      <c r="G53" s="1165"/>
      <c r="H53" s="1165"/>
      <c r="I53" s="1487"/>
    </row>
    <row r="54" spans="2:9" x14ac:dyDescent="0.3">
      <c r="F54" s="1144"/>
      <c r="G54" s="1165"/>
      <c r="H54" s="1165"/>
      <c r="I54" s="1487"/>
    </row>
    <row r="55" spans="2:9" x14ac:dyDescent="0.3">
      <c r="F55" s="1144"/>
      <c r="G55" s="1165"/>
      <c r="H55" s="1165"/>
      <c r="I55" s="1487"/>
    </row>
    <row r="56" spans="2:9" x14ac:dyDescent="0.3">
      <c r="F56" s="1144"/>
      <c r="G56" s="1165"/>
      <c r="H56" s="1165"/>
      <c r="I56" s="1487"/>
    </row>
    <row r="57" spans="2:9" x14ac:dyDescent="0.3">
      <c r="F57" s="1144"/>
      <c r="G57" s="1165"/>
      <c r="H57" s="1165"/>
      <c r="I57" s="1487"/>
    </row>
    <row r="58" spans="2:9" x14ac:dyDescent="0.3">
      <c r="F58" s="1144"/>
      <c r="G58" s="1165"/>
      <c r="H58" s="1165"/>
      <c r="I58" s="1487"/>
    </row>
    <row r="59" spans="2:9" x14ac:dyDescent="0.3">
      <c r="F59" s="1144"/>
      <c r="G59" s="1165"/>
      <c r="H59" s="1165"/>
      <c r="I59" s="1487"/>
    </row>
    <row r="60" spans="2:9" x14ac:dyDescent="0.3">
      <c r="F60" s="1144"/>
      <c r="G60" s="1165"/>
      <c r="H60" s="1165"/>
      <c r="I60" s="1487"/>
    </row>
    <row r="61" spans="2:9" x14ac:dyDescent="0.3">
      <c r="F61" s="1144"/>
      <c r="G61" s="1165"/>
      <c r="H61" s="1165"/>
      <c r="I61" s="1487"/>
    </row>
    <row r="62" spans="2:9" x14ac:dyDescent="0.3">
      <c r="F62" s="1144"/>
      <c r="G62" s="1165"/>
      <c r="H62" s="1165"/>
      <c r="I62" s="1487"/>
    </row>
    <row r="63" spans="2:9" x14ac:dyDescent="0.3">
      <c r="F63" s="1144"/>
      <c r="G63" s="1165"/>
      <c r="H63" s="1165"/>
      <c r="I63" s="1487"/>
    </row>
    <row r="64" spans="2:9" x14ac:dyDescent="0.3">
      <c r="F64" s="1144"/>
      <c r="G64" s="1165"/>
      <c r="H64" s="1165"/>
      <c r="I64" s="1487"/>
    </row>
    <row r="65" spans="6:9" x14ac:dyDescent="0.3">
      <c r="F65" s="1144"/>
      <c r="G65" s="1165"/>
      <c r="H65" s="1165"/>
      <c r="I65" s="1487"/>
    </row>
    <row r="66" spans="6:9" x14ac:dyDescent="0.3">
      <c r="F66" s="1144"/>
      <c r="G66" s="1165"/>
      <c r="H66" s="1165"/>
      <c r="I66" s="1487"/>
    </row>
    <row r="67" spans="6:9" x14ac:dyDescent="0.3">
      <c r="F67" s="1144"/>
      <c r="G67" s="1165"/>
      <c r="H67" s="1165"/>
      <c r="I67" s="1487"/>
    </row>
    <row r="68" spans="6:9" x14ac:dyDescent="0.3">
      <c r="F68" s="1144"/>
      <c r="G68" s="1165"/>
      <c r="H68" s="1165"/>
      <c r="I68" s="1487"/>
    </row>
    <row r="69" spans="6:9" x14ac:dyDescent="0.3">
      <c r="F69" s="1144"/>
      <c r="G69" s="1165"/>
      <c r="H69" s="1165"/>
      <c r="I69" s="1487"/>
    </row>
    <row r="70" spans="6:9" x14ac:dyDescent="0.3">
      <c r="F70" s="1144"/>
      <c r="G70" s="1165"/>
      <c r="H70" s="1165"/>
      <c r="I70" s="1487"/>
    </row>
    <row r="71" spans="6:9" x14ac:dyDescent="0.3">
      <c r="F71" s="1144"/>
      <c r="G71" s="1165"/>
      <c r="H71" s="1165"/>
      <c r="I71" s="1487"/>
    </row>
    <row r="72" spans="6:9" x14ac:dyDescent="0.3">
      <c r="F72" s="1145"/>
      <c r="G72" s="1488"/>
      <c r="H72" s="1488"/>
      <c r="I72" s="1489"/>
    </row>
  </sheetData>
  <mergeCells count="3">
    <mergeCell ref="F1:H1"/>
    <mergeCell ref="F2:H2"/>
    <mergeCell ref="F3:H3"/>
  </mergeCells>
  <printOptions horizontalCentered="1"/>
  <pageMargins left="0.95" right="0.26" top="0.56000000000000005" bottom="0.2" header="0.05" footer="0.05"/>
  <pageSetup scale="75" fitToHeight="0" orientation="portrait" r:id="rId1"/>
  <ignoredErrors>
    <ignoredError sqref="H15:H3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2:Q67"/>
  <sheetViews>
    <sheetView showGridLines="0" workbookViewId="0">
      <selection activeCell="D7" sqref="D7"/>
    </sheetView>
  </sheetViews>
  <sheetFormatPr defaultColWidth="9.140625" defaultRowHeight="15.75" x14ac:dyDescent="0.25"/>
  <cols>
    <col min="1" max="1" width="3.42578125" style="39" customWidth="1"/>
    <col min="2" max="2" width="9.140625" style="39"/>
    <col min="3" max="3" width="45.42578125" style="39" bestFit="1" customWidth="1"/>
    <col min="4" max="5" width="18.7109375" style="516" bestFit="1" customWidth="1"/>
    <col min="6" max="6" width="20.42578125" style="39" bestFit="1" customWidth="1"/>
    <col min="7" max="7" width="16.42578125" style="39" bestFit="1" customWidth="1"/>
    <col min="8" max="8" width="15.28515625" style="39" bestFit="1" customWidth="1"/>
    <col min="9" max="9" width="15" style="39" bestFit="1" customWidth="1"/>
    <col min="10" max="10" width="14.28515625" style="39" bestFit="1" customWidth="1"/>
    <col min="11" max="11" width="9.140625" style="39"/>
    <col min="12" max="12" width="15" style="39" bestFit="1" customWidth="1"/>
    <col min="13" max="13" width="18.42578125" style="39" customWidth="1"/>
    <col min="14" max="16" width="9.140625" style="39"/>
    <col min="17" max="17" width="18.140625" style="39" customWidth="1"/>
    <col min="18" max="16384" width="9.140625" style="39"/>
  </cols>
  <sheetData>
    <row r="2" spans="1:15" x14ac:dyDescent="0.25">
      <c r="B2" s="151"/>
      <c r="C2" s="1794" t="s">
        <v>154</v>
      </c>
      <c r="D2" s="1794"/>
      <c r="E2" s="1795"/>
      <c r="F2" s="38"/>
    </row>
    <row r="3" spans="1:15" x14ac:dyDescent="0.25">
      <c r="B3" s="152"/>
      <c r="C3" s="35" t="s">
        <v>31</v>
      </c>
      <c r="D3" s="499"/>
      <c r="E3" s="504"/>
    </row>
    <row r="4" spans="1:15" x14ac:dyDescent="0.25">
      <c r="B4" s="153"/>
      <c r="C4" s="150" t="s">
        <v>1090</v>
      </c>
      <c r="D4" s="505"/>
      <c r="E4" s="506"/>
    </row>
    <row r="5" spans="1:15" x14ac:dyDescent="0.25">
      <c r="B5" s="154" t="s">
        <v>126</v>
      </c>
      <c r="C5" s="149" t="s">
        <v>19</v>
      </c>
      <c r="D5" s="507" t="s">
        <v>32</v>
      </c>
      <c r="E5" s="517">
        <v>2018</v>
      </c>
      <c r="F5" s="17"/>
      <c r="G5" s="17"/>
      <c r="H5" s="17"/>
      <c r="I5" s="17"/>
      <c r="J5" s="17"/>
      <c r="K5" s="17"/>
      <c r="L5" s="17"/>
      <c r="M5" s="17"/>
      <c r="N5" s="17"/>
      <c r="O5" s="17"/>
    </row>
    <row r="6" spans="1:15" x14ac:dyDescent="0.25">
      <c r="B6" s="152"/>
      <c r="C6" s="152"/>
      <c r="D6" s="504"/>
      <c r="E6" s="504"/>
      <c r="F6" s="34"/>
      <c r="G6" s="17"/>
      <c r="H6" s="17"/>
      <c r="I6" s="17"/>
      <c r="J6" s="17"/>
      <c r="K6" s="17"/>
      <c r="L6" s="17"/>
      <c r="M6" s="17"/>
      <c r="N6" s="17"/>
      <c r="O6" s="17"/>
    </row>
    <row r="7" spans="1:15" x14ac:dyDescent="0.25">
      <c r="B7" s="152"/>
      <c r="C7" s="124" t="s">
        <v>521</v>
      </c>
      <c r="D7" s="504">
        <f>'3SOCI'!D25-'3SOCI'!D35</f>
        <v>177611993.08260721</v>
      </c>
      <c r="E7" s="508"/>
      <c r="F7" s="34"/>
      <c r="G7" s="17"/>
      <c r="H7" s="37"/>
      <c r="I7" s="17"/>
      <c r="J7" s="17"/>
      <c r="K7" s="17"/>
      <c r="L7" s="17"/>
      <c r="M7" s="17"/>
      <c r="N7" s="17"/>
      <c r="O7" s="17"/>
    </row>
    <row r="8" spans="1:15" x14ac:dyDescent="0.25">
      <c r="B8" s="152"/>
      <c r="C8" s="152"/>
      <c r="D8" s="504"/>
      <c r="E8" s="504"/>
      <c r="F8" s="34"/>
      <c r="G8" s="17"/>
      <c r="H8" s="9"/>
      <c r="I8" s="17"/>
      <c r="J8" s="17"/>
      <c r="K8" s="17"/>
      <c r="L8" s="17"/>
      <c r="M8" s="17"/>
      <c r="N8" s="17"/>
      <c r="O8" s="17"/>
    </row>
    <row r="9" spans="1:15" x14ac:dyDescent="0.25">
      <c r="B9" s="152"/>
      <c r="C9" s="124" t="s">
        <v>33</v>
      </c>
      <c r="D9" s="504"/>
      <c r="E9" s="504"/>
      <c r="F9" s="17"/>
      <c r="G9" s="17"/>
      <c r="H9" s="17"/>
      <c r="I9" s="17"/>
      <c r="J9" s="17"/>
      <c r="K9" s="17"/>
      <c r="L9" s="17"/>
      <c r="M9" s="17"/>
      <c r="N9" s="17"/>
      <c r="O9" s="17"/>
    </row>
    <row r="10" spans="1:15" x14ac:dyDescent="0.25">
      <c r="B10" s="152"/>
      <c r="C10" s="152"/>
      <c r="D10" s="504"/>
      <c r="E10" s="504"/>
      <c r="F10" s="17"/>
      <c r="G10" s="17"/>
      <c r="H10" s="17"/>
      <c r="I10" s="17"/>
      <c r="J10" s="17"/>
      <c r="K10" s="17"/>
      <c r="L10" s="17"/>
      <c r="M10" s="17"/>
      <c r="N10" s="17"/>
      <c r="O10" s="17"/>
    </row>
    <row r="11" spans="1:15" x14ac:dyDescent="0.25">
      <c r="A11" s="59"/>
      <c r="B11" s="152">
        <v>1</v>
      </c>
      <c r="C11" s="123" t="s">
        <v>211</v>
      </c>
      <c r="D11" s="504"/>
      <c r="E11" s="504"/>
      <c r="F11" s="34"/>
      <c r="G11" s="17"/>
      <c r="H11" s="17"/>
      <c r="I11" s="17"/>
      <c r="J11" s="17"/>
      <c r="K11" s="17"/>
      <c r="L11" s="17"/>
      <c r="M11" s="17"/>
      <c r="N11" s="17"/>
      <c r="O11" s="17"/>
    </row>
    <row r="12" spans="1:15" x14ac:dyDescent="0.25">
      <c r="B12" s="152"/>
      <c r="C12" s="123"/>
      <c r="D12" s="504"/>
      <c r="E12" s="504"/>
      <c r="F12" s="17"/>
      <c r="G12" s="17"/>
      <c r="H12" s="17"/>
      <c r="I12" s="17"/>
      <c r="J12" s="17"/>
      <c r="K12" s="17"/>
      <c r="L12" s="17"/>
      <c r="M12" s="17"/>
      <c r="N12" s="17"/>
      <c r="O12" s="17"/>
    </row>
    <row r="13" spans="1:15" x14ac:dyDescent="0.25">
      <c r="B13" s="152">
        <v>2</v>
      </c>
      <c r="C13" s="123" t="s">
        <v>216</v>
      </c>
      <c r="D13" s="504"/>
      <c r="E13" s="504"/>
      <c r="F13" s="17"/>
      <c r="G13" s="17"/>
      <c r="H13" s="17"/>
      <c r="I13" s="17"/>
      <c r="J13" s="17"/>
      <c r="K13" s="17"/>
      <c r="L13" s="17"/>
      <c r="M13" s="17"/>
      <c r="N13" s="17"/>
      <c r="O13" s="17"/>
    </row>
    <row r="14" spans="1:15" x14ac:dyDescent="0.25">
      <c r="B14" s="152"/>
      <c r="C14" s="152"/>
      <c r="D14" s="504"/>
      <c r="E14" s="504"/>
      <c r="F14" s="17"/>
      <c r="G14" s="17"/>
      <c r="H14" s="17"/>
      <c r="I14" s="17"/>
      <c r="J14" s="17"/>
      <c r="K14" s="17"/>
      <c r="L14" s="17"/>
      <c r="M14" s="17"/>
      <c r="N14" s="17"/>
      <c r="O14" s="17"/>
    </row>
    <row r="15" spans="1:15" x14ac:dyDescent="0.25">
      <c r="B15" s="152">
        <v>3</v>
      </c>
      <c r="C15" s="152" t="s">
        <v>223</v>
      </c>
      <c r="D15" s="504">
        <f>'10N_22-33'!E238+'10N_22-33'!E237</f>
        <v>60000</v>
      </c>
      <c r="E15" s="504"/>
      <c r="F15" s="17"/>
      <c r="G15" s="17"/>
      <c r="H15" s="17"/>
      <c r="I15" s="17"/>
      <c r="J15" s="17"/>
      <c r="K15" s="17"/>
      <c r="L15" s="17"/>
      <c r="M15" s="17"/>
      <c r="N15" s="17"/>
      <c r="O15" s="17"/>
    </row>
    <row r="16" spans="1:15" x14ac:dyDescent="0.25">
      <c r="B16" s="152"/>
      <c r="C16" s="123"/>
      <c r="D16" s="504"/>
      <c r="E16" s="504"/>
      <c r="F16" s="17"/>
      <c r="G16" s="17"/>
      <c r="H16" s="17"/>
      <c r="I16" s="17"/>
      <c r="J16" s="17"/>
      <c r="K16" s="17"/>
      <c r="L16" s="17"/>
      <c r="M16" s="17"/>
      <c r="N16" s="17"/>
      <c r="O16" s="17"/>
    </row>
    <row r="17" spans="2:15" x14ac:dyDescent="0.25">
      <c r="B17" s="152">
        <v>4</v>
      </c>
      <c r="C17" s="123" t="s">
        <v>522</v>
      </c>
      <c r="D17" s="504">
        <f>'10N_22-33'!E155+'10N_22-33'!E156+'10N_22-33'!E157+'10N_22-33'!E158</f>
        <v>295591</v>
      </c>
      <c r="E17" s="504"/>
      <c r="F17" s="17"/>
      <c r="G17" s="17"/>
      <c r="H17" s="17"/>
      <c r="I17" s="17"/>
      <c r="J17" s="17"/>
      <c r="K17" s="17"/>
      <c r="L17" s="17"/>
      <c r="M17" s="17"/>
      <c r="N17" s="17"/>
      <c r="O17" s="17"/>
    </row>
    <row r="18" spans="2:15" x14ac:dyDescent="0.25">
      <c r="B18" s="152"/>
      <c r="C18" s="123"/>
      <c r="D18" s="509"/>
      <c r="E18" s="504"/>
      <c r="F18" s="17"/>
      <c r="G18" s="17"/>
      <c r="H18" s="17"/>
      <c r="I18" s="17"/>
      <c r="J18" s="17"/>
      <c r="K18" s="17"/>
      <c r="L18" s="17"/>
      <c r="M18" s="17"/>
      <c r="N18" s="17"/>
      <c r="O18" s="17"/>
    </row>
    <row r="19" spans="2:15" x14ac:dyDescent="0.25">
      <c r="B19" s="152">
        <v>5</v>
      </c>
      <c r="C19" s="123" t="s">
        <v>212</v>
      </c>
      <c r="D19" s="509"/>
      <c r="E19" s="504"/>
      <c r="F19" s="34"/>
      <c r="G19" s="17"/>
      <c r="H19" s="17"/>
      <c r="I19" s="17"/>
      <c r="J19" s="17"/>
      <c r="K19" s="17"/>
      <c r="L19" s="17"/>
      <c r="M19" s="17"/>
      <c r="N19" s="17"/>
      <c r="O19" s="17"/>
    </row>
    <row r="20" spans="2:15" x14ac:dyDescent="0.25">
      <c r="B20" s="152"/>
      <c r="C20" s="123"/>
      <c r="D20" s="509"/>
      <c r="E20" s="504"/>
      <c r="F20" s="17"/>
      <c r="G20" s="17"/>
      <c r="H20" s="17"/>
      <c r="I20" s="17"/>
      <c r="J20" s="17"/>
      <c r="K20" s="17"/>
      <c r="L20" s="17"/>
      <c r="M20" s="17"/>
      <c r="N20" s="17"/>
      <c r="O20" s="17"/>
    </row>
    <row r="21" spans="2:15" x14ac:dyDescent="0.25">
      <c r="B21" s="152">
        <v>6</v>
      </c>
      <c r="C21" s="123" t="s">
        <v>523</v>
      </c>
      <c r="D21" s="509">
        <f>'10N_22-33'!E214</f>
        <v>0</v>
      </c>
      <c r="E21" s="504"/>
      <c r="F21" s="17"/>
      <c r="G21" s="17"/>
      <c r="H21" s="17"/>
      <c r="I21" s="17"/>
      <c r="J21" s="17"/>
      <c r="K21" s="17"/>
      <c r="L21" s="17"/>
      <c r="M21" s="17"/>
      <c r="N21" s="17"/>
      <c r="O21" s="17"/>
    </row>
    <row r="22" spans="2:15" x14ac:dyDescent="0.25">
      <c r="B22" s="152"/>
      <c r="C22" s="123"/>
      <c r="D22" s="509"/>
      <c r="E22" s="504"/>
      <c r="F22" s="17"/>
      <c r="G22" s="17"/>
      <c r="H22" s="17"/>
      <c r="I22" s="17"/>
      <c r="J22" s="17"/>
      <c r="K22" s="17"/>
      <c r="L22" s="17"/>
      <c r="M22" s="17"/>
      <c r="N22" s="17"/>
      <c r="O22" s="17"/>
    </row>
    <row r="23" spans="2:15" x14ac:dyDescent="0.25">
      <c r="B23" s="152">
        <v>7</v>
      </c>
      <c r="C23" s="123" t="s">
        <v>520</v>
      </c>
      <c r="D23" s="509"/>
      <c r="E23" s="504"/>
      <c r="F23" s="17"/>
      <c r="G23" s="17"/>
      <c r="H23" s="17"/>
      <c r="I23" s="17"/>
      <c r="J23" s="17"/>
      <c r="K23" s="17"/>
      <c r="L23" s="17"/>
      <c r="M23" s="17"/>
      <c r="N23" s="17"/>
      <c r="O23" s="17"/>
    </row>
    <row r="24" spans="2:15" x14ac:dyDescent="0.25">
      <c r="B24" s="152"/>
      <c r="C24" s="123"/>
      <c r="D24" s="509">
        <f>'3SOCI'!D20</f>
        <v>0</v>
      </c>
      <c r="E24" s="504"/>
      <c r="F24" s="17"/>
      <c r="G24" s="17"/>
      <c r="H24" s="17"/>
      <c r="I24" s="17"/>
      <c r="J24" s="17"/>
      <c r="K24" s="17"/>
      <c r="L24" s="17"/>
      <c r="M24" s="17"/>
      <c r="N24" s="17"/>
      <c r="O24" s="17"/>
    </row>
    <row r="25" spans="2:15" x14ac:dyDescent="0.25">
      <c r="B25" s="152">
        <v>8</v>
      </c>
      <c r="C25" s="123" t="s">
        <v>1091</v>
      </c>
      <c r="D25" s="509"/>
      <c r="E25" s="504"/>
      <c r="F25" s="17"/>
      <c r="G25" s="17"/>
      <c r="H25" s="17"/>
      <c r="I25" s="17"/>
      <c r="J25" s="17"/>
      <c r="K25" s="17"/>
      <c r="L25" s="17"/>
      <c r="M25" s="17"/>
      <c r="N25" s="17"/>
      <c r="O25" s="17"/>
    </row>
    <row r="26" spans="2:15" x14ac:dyDescent="0.25">
      <c r="B26" s="152"/>
      <c r="C26" s="123"/>
      <c r="D26" s="509"/>
      <c r="E26" s="504"/>
      <c r="F26" s="17"/>
      <c r="G26" s="17"/>
      <c r="H26" s="17"/>
      <c r="I26" s="17"/>
      <c r="J26" s="17"/>
      <c r="K26" s="17"/>
      <c r="L26" s="17"/>
      <c r="M26" s="17"/>
      <c r="N26" s="17"/>
      <c r="O26" s="17"/>
    </row>
    <row r="27" spans="2:15" x14ac:dyDescent="0.25">
      <c r="B27" s="152"/>
      <c r="C27" s="124" t="s">
        <v>34</v>
      </c>
      <c r="D27" s="504"/>
      <c r="E27" s="508">
        <f>SUM(D11:D27)</f>
        <v>355591</v>
      </c>
      <c r="F27" s="34"/>
      <c r="G27" s="17"/>
      <c r="H27" s="17"/>
      <c r="I27" s="17"/>
      <c r="J27" s="17"/>
      <c r="K27" s="17"/>
      <c r="L27" s="17"/>
      <c r="M27" s="17"/>
      <c r="N27" s="17"/>
      <c r="O27" s="17"/>
    </row>
    <row r="28" spans="2:15" x14ac:dyDescent="0.25">
      <c r="B28" s="152"/>
      <c r="C28" s="124"/>
      <c r="D28" s="504"/>
      <c r="E28" s="508"/>
      <c r="F28" s="17"/>
      <c r="G28" s="34"/>
      <c r="H28" s="17"/>
      <c r="I28" s="17"/>
      <c r="J28" s="17"/>
      <c r="K28" s="17"/>
      <c r="L28" s="17"/>
      <c r="M28" s="17"/>
      <c r="N28" s="17"/>
      <c r="O28" s="17"/>
    </row>
    <row r="29" spans="2:15" x14ac:dyDescent="0.25">
      <c r="B29" s="152"/>
      <c r="C29" s="124" t="s">
        <v>524</v>
      </c>
      <c r="D29" s="508"/>
      <c r="E29" s="508"/>
      <c r="F29" s="17"/>
      <c r="G29" s="34"/>
      <c r="H29" s="17"/>
      <c r="I29" s="17"/>
      <c r="J29" s="17"/>
      <c r="K29" s="17"/>
      <c r="L29" s="17"/>
      <c r="M29" s="17"/>
      <c r="N29" s="17"/>
      <c r="O29" s="17"/>
    </row>
    <row r="30" spans="2:15" x14ac:dyDescent="0.25">
      <c r="B30" s="152"/>
      <c r="C30" s="123"/>
      <c r="D30" s="508"/>
      <c r="E30" s="508"/>
      <c r="F30" s="17"/>
      <c r="G30" s="17"/>
      <c r="H30" s="17"/>
      <c r="I30" s="17"/>
      <c r="J30" s="17"/>
      <c r="K30" s="17"/>
      <c r="L30" s="17"/>
      <c r="M30" s="17"/>
      <c r="N30" s="17"/>
      <c r="O30" s="17"/>
    </row>
    <row r="31" spans="2:15" x14ac:dyDescent="0.25">
      <c r="B31" s="152">
        <v>1</v>
      </c>
      <c r="C31" s="123" t="s">
        <v>525</v>
      </c>
      <c r="D31" s="509"/>
      <c r="E31" s="508"/>
      <c r="F31" s="34"/>
      <c r="G31" s="34"/>
      <c r="H31" s="17"/>
      <c r="I31" s="17"/>
      <c r="J31" s="17"/>
      <c r="K31" s="17"/>
      <c r="L31" s="34"/>
      <c r="M31" s="17"/>
      <c r="N31" s="17"/>
      <c r="O31" s="17"/>
    </row>
    <row r="32" spans="2:15" x14ac:dyDescent="0.25">
      <c r="B32" s="152"/>
      <c r="C32" s="123"/>
      <c r="D32" s="508"/>
      <c r="E32" s="508"/>
      <c r="F32" s="17"/>
      <c r="G32" s="17"/>
      <c r="H32" s="17"/>
      <c r="I32" s="17"/>
      <c r="J32" s="17"/>
      <c r="K32" s="17"/>
      <c r="L32" s="17"/>
      <c r="M32" s="17"/>
      <c r="N32" s="17"/>
      <c r="O32" s="17"/>
    </row>
    <row r="33" spans="2:17" x14ac:dyDescent="0.25">
      <c r="B33" s="152">
        <v>2</v>
      </c>
      <c r="C33" s="123" t="s">
        <v>526</v>
      </c>
      <c r="D33" s="504"/>
      <c r="E33" s="504"/>
      <c r="F33" s="17"/>
      <c r="G33" s="17"/>
      <c r="H33" s="17"/>
      <c r="I33" s="17"/>
      <c r="J33" s="17"/>
      <c r="K33" s="17"/>
      <c r="L33" s="17"/>
      <c r="M33" s="17"/>
      <c r="N33" s="17"/>
      <c r="O33" s="17"/>
    </row>
    <row r="34" spans="2:17" x14ac:dyDescent="0.25">
      <c r="B34" s="155" t="s">
        <v>217</v>
      </c>
      <c r="C34" s="123" t="s">
        <v>2056</v>
      </c>
      <c r="D34" s="504">
        <f>D17</f>
        <v>295591</v>
      </c>
      <c r="E34" s="504"/>
      <c r="F34" s="17"/>
      <c r="G34" s="17"/>
      <c r="H34" s="17"/>
      <c r="I34" s="17"/>
      <c r="J34" s="17"/>
      <c r="K34" s="17"/>
      <c r="L34" s="17"/>
      <c r="M34" s="17"/>
      <c r="N34" s="17"/>
      <c r="O34" s="17"/>
    </row>
    <row r="35" spans="2:17" x14ac:dyDescent="0.25">
      <c r="B35" s="155"/>
      <c r="C35" s="123"/>
      <c r="D35" s="509"/>
      <c r="E35" s="504"/>
      <c r="F35" s="43"/>
      <c r="G35" s="42"/>
      <c r="H35" s="33"/>
      <c r="I35" s="17"/>
      <c r="J35" s="17"/>
      <c r="K35" s="17"/>
      <c r="L35" s="17"/>
      <c r="M35" s="17"/>
      <c r="N35" s="17"/>
      <c r="O35" s="17"/>
    </row>
    <row r="36" spans="2:17" x14ac:dyDescent="0.25">
      <c r="B36" s="155" t="s">
        <v>218</v>
      </c>
      <c r="C36" s="123" t="s">
        <v>575</v>
      </c>
      <c r="D36" s="504">
        <v>0</v>
      </c>
      <c r="E36" s="504"/>
      <c r="F36" s="17"/>
      <c r="G36" s="34"/>
      <c r="H36" s="34"/>
      <c r="I36" s="17"/>
      <c r="J36" s="34"/>
      <c r="K36" s="17"/>
      <c r="L36" s="34"/>
      <c r="M36" s="34"/>
      <c r="N36" s="17"/>
      <c r="O36" s="17"/>
    </row>
    <row r="37" spans="2:17" x14ac:dyDescent="0.25">
      <c r="B37" s="155"/>
      <c r="C37" s="123"/>
      <c r="D37" s="504"/>
      <c r="E37" s="509"/>
      <c r="F37" s="17"/>
      <c r="G37" s="17"/>
      <c r="H37" s="34"/>
      <c r="I37" s="17"/>
      <c r="J37" s="17"/>
      <c r="K37" s="17"/>
      <c r="L37" s="17"/>
      <c r="M37" s="17"/>
      <c r="N37" s="17"/>
      <c r="O37" s="17"/>
    </row>
    <row r="38" spans="2:17" x14ac:dyDescent="0.25">
      <c r="B38" s="155" t="s">
        <v>219</v>
      </c>
      <c r="C38" s="123" t="s">
        <v>527</v>
      </c>
      <c r="D38" s="504"/>
      <c r="E38" s="510"/>
      <c r="F38" s="17"/>
      <c r="G38" s="17"/>
      <c r="H38" s="34"/>
      <c r="I38" s="17"/>
      <c r="K38" s="17"/>
      <c r="L38" s="17"/>
      <c r="M38" s="17"/>
      <c r="N38" s="17"/>
      <c r="O38" s="17"/>
      <c r="Q38" s="34">
        <f>D38*0.3</f>
        <v>0</v>
      </c>
    </row>
    <row r="39" spans="2:17" x14ac:dyDescent="0.25">
      <c r="B39" s="152"/>
      <c r="C39" s="123"/>
      <c r="D39" s="509"/>
      <c r="E39" s="508"/>
      <c r="F39" s="17"/>
      <c r="G39" s="17"/>
      <c r="H39" s="40"/>
      <c r="I39" s="17"/>
      <c r="J39" s="17"/>
      <c r="K39" s="17"/>
      <c r="L39" s="17"/>
      <c r="M39" s="17"/>
      <c r="N39" s="17"/>
      <c r="O39" s="17"/>
    </row>
    <row r="40" spans="2:17" x14ac:dyDescent="0.25">
      <c r="B40" s="152"/>
      <c r="C40" s="124" t="s">
        <v>35</v>
      </c>
      <c r="D40" s="504"/>
      <c r="E40" s="508">
        <f>SUM(D29:D40)</f>
        <v>295591</v>
      </c>
      <c r="F40" s="34"/>
      <c r="G40" s="34"/>
      <c r="H40" s="34"/>
      <c r="I40" s="34"/>
      <c r="J40" s="34"/>
      <c r="K40" s="17"/>
      <c r="L40" s="17"/>
      <c r="M40" s="17"/>
      <c r="N40" s="17"/>
      <c r="O40" s="17"/>
    </row>
    <row r="41" spans="2:17" x14ac:dyDescent="0.25">
      <c r="B41" s="152"/>
      <c r="C41" s="152"/>
      <c r="D41" s="504"/>
      <c r="E41" s="504"/>
      <c r="F41" s="17"/>
      <c r="G41" s="17"/>
      <c r="H41" s="17"/>
      <c r="I41" s="17"/>
      <c r="J41" s="34"/>
      <c r="K41" s="17"/>
      <c r="L41" s="17"/>
      <c r="M41" s="17"/>
      <c r="N41" s="17"/>
      <c r="O41" s="17"/>
    </row>
    <row r="42" spans="2:17" x14ac:dyDescent="0.25">
      <c r="B42" s="152"/>
      <c r="C42" s="124" t="s">
        <v>528</v>
      </c>
      <c r="D42" s="504"/>
      <c r="E42" s="504">
        <f>D7+E27-E40</f>
        <v>177671993.08260721</v>
      </c>
      <c r="F42" s="34"/>
      <c r="G42" s="17"/>
      <c r="H42" s="41"/>
      <c r="I42" s="17"/>
      <c r="J42" s="34"/>
      <c r="K42" s="17"/>
      <c r="L42" s="17"/>
      <c r="M42" s="17"/>
      <c r="N42" s="17"/>
      <c r="O42" s="17"/>
    </row>
    <row r="43" spans="2:17" x14ac:dyDescent="0.25">
      <c r="B43" s="152"/>
      <c r="C43" s="152"/>
      <c r="D43" s="504"/>
      <c r="E43" s="508"/>
      <c r="F43" s="34"/>
      <c r="G43" s="17"/>
      <c r="H43" s="17"/>
      <c r="I43" s="17"/>
      <c r="J43" s="17"/>
      <c r="K43" s="17"/>
      <c r="L43" s="17"/>
      <c r="M43" s="17"/>
      <c r="N43" s="17"/>
      <c r="O43" s="17"/>
    </row>
    <row r="44" spans="2:17" x14ac:dyDescent="0.25">
      <c r="B44" s="152"/>
      <c r="C44" s="152" t="s">
        <v>36</v>
      </c>
      <c r="D44" s="504"/>
      <c r="E44" s="509">
        <f>E46-E45</f>
        <v>53301597.924782164</v>
      </c>
      <c r="F44" s="34"/>
      <c r="G44" s="17"/>
      <c r="H44" s="17"/>
      <c r="I44" s="17"/>
      <c r="J44" s="17"/>
      <c r="K44" s="17"/>
      <c r="L44" s="17"/>
      <c r="M44" s="17"/>
      <c r="N44" s="17"/>
      <c r="O44" s="17"/>
    </row>
    <row r="45" spans="2:17" x14ac:dyDescent="0.25">
      <c r="B45" s="152"/>
      <c r="C45" s="152" t="s">
        <v>99</v>
      </c>
      <c r="D45" s="504"/>
      <c r="E45" s="504">
        <f>'3SOCI'!D36</f>
        <v>0</v>
      </c>
      <c r="F45" s="17"/>
      <c r="G45" s="17"/>
      <c r="H45" s="17"/>
      <c r="I45" s="17"/>
      <c r="J45" s="17"/>
      <c r="K45" s="17"/>
      <c r="L45" s="17"/>
      <c r="M45" s="17"/>
      <c r="N45" s="17"/>
      <c r="O45" s="17"/>
    </row>
    <row r="46" spans="2:17" x14ac:dyDescent="0.25">
      <c r="B46" s="152"/>
      <c r="C46" s="149" t="s">
        <v>125</v>
      </c>
      <c r="D46" s="511"/>
      <c r="E46" s="512">
        <f>E42*30%</f>
        <v>53301597.924782164</v>
      </c>
      <c r="F46" s="17"/>
      <c r="G46" s="17"/>
      <c r="H46" s="17"/>
      <c r="I46" s="17"/>
      <c r="J46" s="17"/>
      <c r="K46" s="17"/>
      <c r="L46" s="17"/>
      <c r="M46" s="17"/>
      <c r="N46" s="17"/>
      <c r="O46" s="17"/>
    </row>
    <row r="47" spans="2:17" x14ac:dyDescent="0.25">
      <c r="B47" s="152"/>
      <c r="C47" s="152" t="s">
        <v>37</v>
      </c>
      <c r="D47" s="504"/>
      <c r="E47" s="504"/>
      <c r="F47" s="17"/>
      <c r="G47" s="17"/>
      <c r="H47" s="17"/>
      <c r="I47" s="17"/>
      <c r="J47" s="17"/>
      <c r="K47" s="17"/>
      <c r="L47" s="17"/>
      <c r="M47" s="17"/>
      <c r="N47" s="17"/>
      <c r="O47" s="17"/>
    </row>
    <row r="48" spans="2:17" x14ac:dyDescent="0.25">
      <c r="B48" s="152"/>
      <c r="C48" s="152" t="s">
        <v>529</v>
      </c>
      <c r="D48" s="504"/>
      <c r="E48" s="504">
        <v>220145039.47</v>
      </c>
      <c r="F48" s="17"/>
      <c r="G48" s="17"/>
      <c r="H48" s="17"/>
      <c r="I48" s="17"/>
      <c r="J48" s="17"/>
      <c r="K48" s="17"/>
      <c r="L48" s="17"/>
      <c r="M48" s="17"/>
      <c r="N48" s="17"/>
      <c r="O48" s="17"/>
    </row>
    <row r="49" spans="2:15" x14ac:dyDescent="0.25">
      <c r="B49" s="152"/>
      <c r="C49" s="152" t="s">
        <v>1093</v>
      </c>
      <c r="D49" s="508"/>
      <c r="E49" s="513">
        <v>2528315.2000000002</v>
      </c>
      <c r="F49" s="37"/>
      <c r="G49" s="34"/>
      <c r="H49" s="17"/>
      <c r="I49" s="17"/>
      <c r="J49" s="17"/>
      <c r="K49" s="17"/>
      <c r="L49" s="17"/>
      <c r="M49" s="17"/>
      <c r="N49" s="17"/>
      <c r="O49" s="17"/>
    </row>
    <row r="50" spans="2:15" x14ac:dyDescent="0.25">
      <c r="B50" s="153"/>
      <c r="C50" s="156" t="s">
        <v>1</v>
      </c>
      <c r="D50" s="506"/>
      <c r="E50" s="506"/>
      <c r="F50" s="17"/>
      <c r="G50" s="17"/>
      <c r="H50" s="17"/>
      <c r="I50" s="17"/>
      <c r="J50" s="17"/>
      <c r="K50" s="17"/>
      <c r="L50" s="17"/>
      <c r="M50" s="17"/>
      <c r="N50" s="17"/>
      <c r="O50" s="17"/>
    </row>
    <row r="51" spans="2:15" x14ac:dyDescent="0.25">
      <c r="B51" s="158"/>
      <c r="C51" s="149" t="s">
        <v>38</v>
      </c>
      <c r="D51" s="514"/>
      <c r="E51" s="515">
        <f>E46-E48-E49</f>
        <v>-169371756.74521783</v>
      </c>
      <c r="F51" s="17"/>
      <c r="G51" s="17"/>
      <c r="H51" s="17"/>
      <c r="I51" s="17"/>
      <c r="J51" s="17"/>
      <c r="K51" s="17"/>
      <c r="L51" s="17"/>
      <c r="M51" s="17"/>
      <c r="N51" s="17"/>
      <c r="O51" s="17"/>
    </row>
    <row r="52" spans="2:15" x14ac:dyDescent="0.25">
      <c r="F52" s="34"/>
      <c r="G52" s="17"/>
      <c r="H52" s="17"/>
      <c r="I52" s="17"/>
      <c r="J52" s="17"/>
      <c r="K52" s="17"/>
      <c r="L52" s="17"/>
      <c r="M52" s="17"/>
      <c r="N52" s="17"/>
      <c r="O52" s="17"/>
    </row>
    <row r="56" spans="2:15" x14ac:dyDescent="0.25">
      <c r="C56" s="30"/>
    </row>
    <row r="57" spans="2:15" x14ac:dyDescent="0.25">
      <c r="C57" s="29"/>
    </row>
    <row r="58" spans="2:15" x14ac:dyDescent="0.25">
      <c r="C58" s="29"/>
    </row>
    <row r="59" spans="2:15" x14ac:dyDescent="0.25">
      <c r="C59" s="29"/>
    </row>
    <row r="60" spans="2:15" x14ac:dyDescent="0.25">
      <c r="C60" s="29"/>
    </row>
    <row r="61" spans="2:15" x14ac:dyDescent="0.25">
      <c r="C61" s="29"/>
    </row>
    <row r="62" spans="2:15" x14ac:dyDescent="0.25">
      <c r="C62" s="30"/>
    </row>
    <row r="63" spans="2:15" x14ac:dyDescent="0.25">
      <c r="C63" s="29"/>
    </row>
    <row r="64" spans="2:15" x14ac:dyDescent="0.25">
      <c r="C64" s="29"/>
    </row>
    <row r="65" spans="3:3" x14ac:dyDescent="0.25">
      <c r="C65" s="29"/>
    </row>
    <row r="66" spans="3:3" x14ac:dyDescent="0.25">
      <c r="C66" s="29"/>
    </row>
    <row r="67" spans="3:3" x14ac:dyDescent="0.25">
      <c r="C67" s="29"/>
    </row>
  </sheetData>
  <mergeCells count="1">
    <mergeCell ref="C2:E2"/>
  </mergeCells>
  <pageMargins left="0.33" right="0.25" top="1" bottom="1" header="0.5" footer="0.5"/>
  <pageSetup scale="8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24"/>
  <sheetViews>
    <sheetView showGridLines="0" workbookViewId="0">
      <selection activeCell="B1" sqref="B1"/>
    </sheetView>
  </sheetViews>
  <sheetFormatPr defaultColWidth="8.85546875" defaultRowHeight="15.75" x14ac:dyDescent="0.25"/>
  <cols>
    <col min="1" max="1" width="5.42578125" style="166" customWidth="1"/>
    <col min="2" max="2" width="129" style="166" customWidth="1"/>
    <col min="3" max="20" width="8.85546875" style="166"/>
    <col min="21" max="21" width="13.85546875" style="166" bestFit="1" customWidth="1"/>
    <col min="22" max="16384" width="8.85546875" style="166"/>
  </cols>
  <sheetData>
    <row r="1" spans="1:11" x14ac:dyDescent="0.25">
      <c r="B1" s="167" t="s">
        <v>0</v>
      </c>
    </row>
    <row r="2" spans="1:11" x14ac:dyDescent="0.25">
      <c r="A2" s="168"/>
      <c r="B2" s="169" t="s">
        <v>1122</v>
      </c>
    </row>
    <row r="3" spans="1:11" x14ac:dyDescent="0.25">
      <c r="B3" s="170" t="s">
        <v>1112</v>
      </c>
      <c r="C3" s="170"/>
      <c r="D3" s="170"/>
      <c r="E3" s="170"/>
      <c r="F3" s="170"/>
    </row>
    <row r="4" spans="1:11" ht="31.5" x14ac:dyDescent="0.25">
      <c r="B4" s="171" t="s">
        <v>1111</v>
      </c>
      <c r="C4" s="171"/>
      <c r="D4" s="171"/>
      <c r="E4" s="172"/>
      <c r="F4" s="172"/>
    </row>
    <row r="5" spans="1:11" x14ac:dyDescent="0.25">
      <c r="B5" s="169" t="s">
        <v>437</v>
      </c>
      <c r="C5" s="169"/>
      <c r="D5" s="169"/>
      <c r="E5" s="169"/>
      <c r="F5" s="169"/>
    </row>
    <row r="6" spans="1:11" ht="31.5" x14ac:dyDescent="0.25">
      <c r="B6" s="173" t="s">
        <v>1113</v>
      </c>
      <c r="C6" s="171"/>
      <c r="D6" s="171"/>
      <c r="E6" s="171"/>
      <c r="F6" s="171"/>
    </row>
    <row r="7" spans="1:11" x14ac:dyDescent="0.25">
      <c r="B7" s="174" t="s">
        <v>1114</v>
      </c>
      <c r="C7" s="175"/>
      <c r="D7" s="175"/>
      <c r="E7" s="175"/>
      <c r="F7" s="175"/>
      <c r="G7" s="175"/>
      <c r="H7" s="175"/>
      <c r="I7" s="175"/>
      <c r="J7" s="175"/>
      <c r="K7" s="175"/>
    </row>
    <row r="8" spans="1:11" x14ac:dyDescent="0.25">
      <c r="B8" s="174" t="s">
        <v>438</v>
      </c>
      <c r="C8" s="175"/>
      <c r="D8" s="175"/>
      <c r="E8" s="175"/>
      <c r="F8" s="175"/>
      <c r="G8" s="175"/>
      <c r="H8" s="175"/>
      <c r="I8" s="175"/>
      <c r="J8" s="175"/>
      <c r="K8" s="175"/>
    </row>
    <row r="9" spans="1:11" ht="47.25" x14ac:dyDescent="0.25">
      <c r="B9" s="176" t="s">
        <v>1115</v>
      </c>
      <c r="C9" s="177"/>
      <c r="D9" s="177"/>
      <c r="E9" s="177"/>
      <c r="F9" s="177"/>
      <c r="G9" s="177"/>
      <c r="H9" s="177"/>
      <c r="I9" s="177"/>
      <c r="J9" s="177"/>
      <c r="K9" s="177"/>
    </row>
    <row r="10" spans="1:11" x14ac:dyDescent="0.25">
      <c r="B10" s="178" t="s">
        <v>1116</v>
      </c>
      <c r="C10" s="178"/>
      <c r="D10" s="178"/>
      <c r="E10" s="178"/>
      <c r="F10" s="178"/>
      <c r="G10" s="178"/>
      <c r="H10" s="178"/>
      <c r="I10" s="178"/>
      <c r="J10" s="178"/>
      <c r="K10" s="178"/>
    </row>
    <row r="11" spans="1:11" x14ac:dyDescent="0.25">
      <c r="B11" s="179" t="s">
        <v>1117</v>
      </c>
    </row>
    <row r="12" spans="1:11" x14ac:dyDescent="0.25">
      <c r="B12" s="179" t="s">
        <v>439</v>
      </c>
    </row>
    <row r="13" spans="1:11" ht="105" customHeight="1" x14ac:dyDescent="0.25">
      <c r="B13" s="180" t="s">
        <v>1118</v>
      </c>
    </row>
    <row r="14" spans="1:11" x14ac:dyDescent="0.25">
      <c r="B14" s="179" t="s">
        <v>440</v>
      </c>
    </row>
    <row r="15" spans="1:11" ht="78.75" x14ac:dyDescent="0.25">
      <c r="B15" s="166" t="s">
        <v>1119</v>
      </c>
    </row>
    <row r="17" spans="2:2" x14ac:dyDescent="0.25">
      <c r="B17" s="179" t="s">
        <v>441</v>
      </c>
    </row>
    <row r="18" spans="2:2" ht="63" x14ac:dyDescent="0.25">
      <c r="B18" s="166" t="s">
        <v>1120</v>
      </c>
    </row>
    <row r="20" spans="2:2" x14ac:dyDescent="0.25">
      <c r="B20" s="179" t="s">
        <v>442</v>
      </c>
    </row>
    <row r="21" spans="2:2" ht="141.75" x14ac:dyDescent="0.25">
      <c r="B21" s="181" t="s">
        <v>1121</v>
      </c>
    </row>
    <row r="23" spans="2:2" x14ac:dyDescent="0.25">
      <c r="B23" s="179" t="s">
        <v>443</v>
      </c>
    </row>
    <row r="24" spans="2:2" ht="47.25" x14ac:dyDescent="0.25">
      <c r="B24" s="166" t="s">
        <v>444</v>
      </c>
    </row>
  </sheetData>
  <pageMargins left="0.95" right="0.26" top="0.56000000000000005" bottom="0.2" header="0.05" footer="0.05"/>
  <pageSetup paperSize="9" scale="90" fitToWidth="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S26"/>
  <sheetViews>
    <sheetView showGridLines="0" workbookViewId="0">
      <selection activeCell="C1" sqref="C1"/>
    </sheetView>
  </sheetViews>
  <sheetFormatPr defaultColWidth="9.140625" defaultRowHeight="13.5" x14ac:dyDescent="0.25"/>
  <cols>
    <col min="1" max="1" width="16.140625" style="48" customWidth="1"/>
    <col min="2" max="2" width="39.28515625" style="48" bestFit="1" customWidth="1"/>
    <col min="3" max="3" width="15" style="48" bestFit="1" customWidth="1"/>
    <col min="4" max="4" width="14.42578125" style="189" hidden="1" customWidth="1"/>
    <col min="5" max="5" width="3.7109375" style="48" hidden="1" customWidth="1"/>
    <col min="6" max="6" width="107.85546875" style="48" hidden="1" customWidth="1"/>
    <col min="7" max="18" width="9.140625" style="48"/>
    <col min="19" max="19" width="10.28515625" style="48" bestFit="1" customWidth="1"/>
    <col min="20" max="16384" width="9.140625" style="48"/>
  </cols>
  <sheetData>
    <row r="1" spans="1:19" ht="23.25" customHeight="1" x14ac:dyDescent="0.25">
      <c r="A1" s="47"/>
      <c r="B1" s="1801" t="s">
        <v>129</v>
      </c>
      <c r="C1" s="1801"/>
    </row>
    <row r="2" spans="1:19" s="49" customFormat="1" ht="39" customHeight="1" x14ac:dyDescent="0.25">
      <c r="A2" s="1802" t="s">
        <v>22</v>
      </c>
      <c r="B2" s="1803"/>
      <c r="C2" s="52" t="s">
        <v>1081</v>
      </c>
      <c r="D2" s="188" t="s">
        <v>606</v>
      </c>
      <c r="F2" s="49" t="s">
        <v>130</v>
      </c>
    </row>
    <row r="3" spans="1:19" ht="15" x14ac:dyDescent="0.3">
      <c r="A3" s="1799" t="s">
        <v>902</v>
      </c>
      <c r="B3" s="1800"/>
      <c r="C3" s="53">
        <f>'4CF'!C51/1000000</f>
        <v>172.04308568000002</v>
      </c>
      <c r="D3" s="190">
        <v>303.39999999999998</v>
      </c>
      <c r="F3" s="48" t="s">
        <v>131</v>
      </c>
    </row>
    <row r="4" spans="1:19" ht="15" x14ac:dyDescent="0.3">
      <c r="A4" s="1796" t="s">
        <v>133</v>
      </c>
      <c r="B4" s="214" t="s">
        <v>135</v>
      </c>
      <c r="C4" s="194"/>
      <c r="D4" s="191"/>
      <c r="F4" s="48" t="s">
        <v>132</v>
      </c>
    </row>
    <row r="5" spans="1:19" ht="15" customHeight="1" x14ac:dyDescent="0.25">
      <c r="A5" s="1797"/>
      <c r="B5" s="215" t="s">
        <v>137</v>
      </c>
      <c r="C5" s="216">
        <f>'3SOCI'!D8/1000000-C9</f>
        <v>321.22350053999992</v>
      </c>
      <c r="D5" s="54">
        <f>C5/6*2</f>
        <v>107.07450017999997</v>
      </c>
      <c r="F5" s="48" t="s">
        <v>134</v>
      </c>
    </row>
    <row r="6" spans="1:19" ht="15" customHeight="1" x14ac:dyDescent="0.25">
      <c r="A6" s="1797"/>
      <c r="B6" s="215" t="s">
        <v>151</v>
      </c>
      <c r="C6" s="216"/>
      <c r="D6" s="54"/>
      <c r="F6" s="48" t="s">
        <v>136</v>
      </c>
    </row>
    <row r="7" spans="1:19" ht="15" x14ac:dyDescent="0.3">
      <c r="A7" s="1797"/>
      <c r="B7" s="217" t="s">
        <v>139</v>
      </c>
      <c r="C7" s="216"/>
      <c r="D7" s="192"/>
      <c r="F7" s="48" t="s">
        <v>138</v>
      </c>
    </row>
    <row r="8" spans="1:19" ht="15" customHeight="1" x14ac:dyDescent="0.25">
      <c r="A8" s="1797"/>
      <c r="B8" s="215" t="s">
        <v>141</v>
      </c>
      <c r="C8" s="216"/>
      <c r="D8" s="192">
        <v>0</v>
      </c>
      <c r="F8" s="48" t="s">
        <v>140</v>
      </c>
    </row>
    <row r="9" spans="1:19" ht="15" customHeight="1" x14ac:dyDescent="0.25">
      <c r="A9" s="1797"/>
      <c r="B9" s="215" t="s">
        <v>152</v>
      </c>
      <c r="C9" s="216">
        <f>'4CF'!C39/1000000</f>
        <v>0</v>
      </c>
      <c r="D9" s="192">
        <f>C9/6*2</f>
        <v>0</v>
      </c>
      <c r="F9" s="48" t="s">
        <v>142</v>
      </c>
    </row>
    <row r="10" spans="1:19" ht="15" x14ac:dyDescent="0.3">
      <c r="A10" s="1797"/>
      <c r="B10" s="217" t="s">
        <v>143</v>
      </c>
      <c r="C10" s="216"/>
      <c r="D10" s="192"/>
      <c r="F10" s="48" t="s">
        <v>144</v>
      </c>
    </row>
    <row r="11" spans="1:19" ht="13.5" customHeight="1" x14ac:dyDescent="0.25">
      <c r="A11" s="1797"/>
      <c r="B11" s="215" t="s">
        <v>145</v>
      </c>
      <c r="C11" s="216">
        <f>'4CF'!C46/1000000</f>
        <v>0</v>
      </c>
      <c r="D11" s="192">
        <f>C11*3</f>
        <v>0</v>
      </c>
      <c r="F11" s="50"/>
    </row>
    <row r="12" spans="1:19" ht="13.5" customHeight="1" x14ac:dyDescent="0.25">
      <c r="A12" s="1798"/>
      <c r="B12" s="218" t="s">
        <v>236</v>
      </c>
      <c r="C12" s="219">
        <f>'4CF'!C44/1000000</f>
        <v>-554.68497883999999</v>
      </c>
      <c r="D12" s="192">
        <v>0</v>
      </c>
      <c r="R12" s="48">
        <f>O12/1000000</f>
        <v>0</v>
      </c>
      <c r="S12" s="48">
        <f>S8+R12</f>
        <v>0</v>
      </c>
    </row>
    <row r="13" spans="1:19" ht="15" x14ac:dyDescent="0.3">
      <c r="A13" s="1796" t="s">
        <v>146</v>
      </c>
      <c r="B13" s="214" t="s">
        <v>135</v>
      </c>
      <c r="C13" s="220"/>
      <c r="D13" s="192"/>
      <c r="E13" s="50"/>
    </row>
    <row r="14" spans="1:19" ht="13.5" customHeight="1" x14ac:dyDescent="0.25">
      <c r="A14" s="1797"/>
      <c r="B14" s="215" t="s">
        <v>150</v>
      </c>
      <c r="C14" s="216" t="e">
        <f>-SUM('3SOCI'!D23-'3SOCI'!D22-'3SOCI'!#REF!)/1000000-C22</f>
        <v>#REF!</v>
      </c>
      <c r="D14" s="192" t="e">
        <f>C14/6*2</f>
        <v>#REF!</v>
      </c>
      <c r="G14" s="197"/>
    </row>
    <row r="15" spans="1:19" ht="13.5" customHeight="1" x14ac:dyDescent="0.25">
      <c r="A15" s="1797"/>
      <c r="B15" s="215" t="s">
        <v>147</v>
      </c>
      <c r="C15" s="216">
        <f>'4CF'!D32/1000000-'3SOCI'!D29/1000000</f>
        <v>-441.02909276999998</v>
      </c>
      <c r="D15" s="192">
        <v>-225</v>
      </c>
    </row>
    <row r="16" spans="1:19" ht="15" x14ac:dyDescent="0.3">
      <c r="A16" s="1797"/>
      <c r="B16" s="217" t="s">
        <v>139</v>
      </c>
      <c r="C16" s="216"/>
      <c r="D16" s="192"/>
      <c r="F16" s="50"/>
    </row>
    <row r="17" spans="1:6" ht="13.5" customHeight="1" x14ac:dyDescent="0.25">
      <c r="A17" s="1797"/>
      <c r="B17" s="215" t="s">
        <v>148</v>
      </c>
      <c r="C17" s="216">
        <f>SUM('4CF'!C35:C37)/1000000</f>
        <v>-535.68568232636244</v>
      </c>
      <c r="D17" s="192">
        <v>-454.68</v>
      </c>
      <c r="F17" s="50"/>
    </row>
    <row r="18" spans="1:6" ht="13.5" customHeight="1" x14ac:dyDescent="0.25">
      <c r="A18" s="1797"/>
      <c r="B18" s="215" t="s">
        <v>231</v>
      </c>
      <c r="C18" s="216">
        <f>('4CF'!C7+'4CF'!C8+'4CF'!C9+'4CF'!D30+'4CF'!C38-'3SOCI'!D35)/1000000-C21</f>
        <v>361.91560401478245</v>
      </c>
      <c r="D18" s="192">
        <f>C18/6*2</f>
        <v>120.63853467159414</v>
      </c>
    </row>
    <row r="19" spans="1:6" ht="15" x14ac:dyDescent="0.3">
      <c r="A19" s="1797"/>
      <c r="B19" s="217" t="s">
        <v>143</v>
      </c>
      <c r="C19" s="221"/>
      <c r="D19" s="192"/>
      <c r="F19" s="50"/>
    </row>
    <row r="20" spans="1:6" ht="13.5" customHeight="1" x14ac:dyDescent="0.25">
      <c r="A20" s="1797"/>
      <c r="B20" s="215" t="s">
        <v>577</v>
      </c>
      <c r="C20" s="221">
        <f>('4CF'!C47/1000000)</f>
        <v>-843.90056000000004</v>
      </c>
      <c r="D20" s="192">
        <f>C20</f>
        <v>-843.90056000000004</v>
      </c>
      <c r="F20" s="50"/>
    </row>
    <row r="21" spans="1:6" ht="13.5" customHeight="1" x14ac:dyDescent="0.25">
      <c r="A21" s="1797"/>
      <c r="B21" s="215" t="s">
        <v>240</v>
      </c>
      <c r="C21" s="221">
        <v>-60</v>
      </c>
      <c r="D21" s="192"/>
      <c r="F21" s="50"/>
    </row>
    <row r="22" spans="1:6" ht="13.5" customHeight="1" x14ac:dyDescent="0.25">
      <c r="A22" s="1797"/>
      <c r="B22" s="215" t="s">
        <v>153</v>
      </c>
      <c r="C22" s="221" t="e">
        <f>-'10N_22-33'!#REF!/1000000</f>
        <v>#REF!</v>
      </c>
      <c r="D22" s="192">
        <f>-6.5*2</f>
        <v>-13</v>
      </c>
    </row>
    <row r="23" spans="1:6" ht="13.5" customHeight="1" x14ac:dyDescent="0.25">
      <c r="A23" s="1797"/>
      <c r="B23" s="215" t="s">
        <v>605</v>
      </c>
      <c r="C23" s="221"/>
      <c r="D23" s="192">
        <f>-21.2/3</f>
        <v>-7.0666666666666664</v>
      </c>
    </row>
    <row r="24" spans="1:6" ht="13.5" customHeight="1" x14ac:dyDescent="0.25">
      <c r="A24" s="1798"/>
      <c r="B24" s="218" t="s">
        <v>576</v>
      </c>
      <c r="C24" s="222">
        <f>'4CF'!C45/1000000</f>
        <v>0</v>
      </c>
      <c r="D24" s="195">
        <v>-20.329999999999998</v>
      </c>
    </row>
    <row r="25" spans="1:6" ht="15" x14ac:dyDescent="0.3">
      <c r="A25" s="1799" t="s">
        <v>149</v>
      </c>
      <c r="B25" s="1800"/>
      <c r="C25" s="53" t="e">
        <f>SUM(C3:C24)</f>
        <v>#REF!</v>
      </c>
      <c r="D25" s="193" t="e">
        <f>SUM(D3:D24)</f>
        <v>#REF!</v>
      </c>
      <c r="F25" s="50"/>
    </row>
    <row r="26" spans="1:6" x14ac:dyDescent="0.25">
      <c r="B26" s="51"/>
      <c r="C26" s="185" t="e">
        <f>C25-'4CF'!C61/1000000</f>
        <v>#REF!</v>
      </c>
    </row>
  </sheetData>
  <mergeCells count="6">
    <mergeCell ref="A13:A24"/>
    <mergeCell ref="A4:A12"/>
    <mergeCell ref="A25:B25"/>
    <mergeCell ref="B1:C1"/>
    <mergeCell ref="A2:B2"/>
    <mergeCell ref="A3:B3"/>
  </mergeCells>
  <pageMargins left="0.7" right="0.7" top="0.75" bottom="0.75" header="0.3" footer="0.3"/>
  <pageSetup orientation="portrait" horizontalDpi="4294967295" verticalDpi="4294967295"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3:L40"/>
  <sheetViews>
    <sheetView showGridLines="0" topLeftCell="A10" workbookViewId="0">
      <selection activeCell="C1" sqref="C1"/>
    </sheetView>
  </sheetViews>
  <sheetFormatPr defaultColWidth="9.140625" defaultRowHeight="15.75" x14ac:dyDescent="0.25"/>
  <cols>
    <col min="1" max="1" width="40.140625" style="5" bestFit="1" customWidth="1"/>
    <col min="2" max="2" width="22.28515625" style="1" bestFit="1" customWidth="1"/>
    <col min="3" max="3" width="18.7109375" style="1" bestFit="1" customWidth="1"/>
    <col min="4" max="4" width="3.7109375" style="1" customWidth="1"/>
    <col min="5" max="5" width="18.7109375" style="13" bestFit="1" customWidth="1"/>
    <col min="6" max="6" width="9.140625" style="1"/>
    <col min="7" max="7" width="16.85546875" style="13" bestFit="1" customWidth="1"/>
    <col min="8" max="8" width="9.140625" style="13"/>
    <col min="9" max="9" width="18.7109375" style="13" bestFit="1" customWidth="1"/>
    <col min="10" max="12" width="9.140625" style="13"/>
    <col min="13" max="16384" width="9.140625" style="1"/>
  </cols>
  <sheetData>
    <row r="3" spans="1:12" x14ac:dyDescent="0.25">
      <c r="A3" s="1805" t="s">
        <v>226</v>
      </c>
      <c r="B3" s="1805"/>
      <c r="C3" s="1805"/>
    </row>
    <row r="4" spans="1:12" x14ac:dyDescent="0.25">
      <c r="A4" s="1806" t="s">
        <v>227</v>
      </c>
      <c r="B4" s="1806"/>
      <c r="C4" s="1806"/>
    </row>
    <row r="5" spans="1:12" x14ac:dyDescent="0.25">
      <c r="A5" s="1807" t="s">
        <v>1094</v>
      </c>
      <c r="B5" s="1807"/>
      <c r="C5" s="1807"/>
    </row>
    <row r="6" spans="1:12" x14ac:dyDescent="0.25">
      <c r="A6" s="206"/>
      <c r="B6" s="207"/>
      <c r="C6" s="207"/>
    </row>
    <row r="7" spans="1:12" x14ac:dyDescent="0.25">
      <c r="A7" s="208" t="s">
        <v>212</v>
      </c>
      <c r="B7" s="209">
        <f>Tax!D19</f>
        <v>0</v>
      </c>
      <c r="C7" s="207"/>
      <c r="E7" s="223">
        <v>4358480438.159852</v>
      </c>
      <c r="G7" s="223">
        <f>B7-45330889.54</f>
        <v>-45330889.539999999</v>
      </c>
      <c r="I7" s="223">
        <f>E7+45330889.54</f>
        <v>4403811327.699852</v>
      </c>
    </row>
    <row r="8" spans="1:12" x14ac:dyDescent="0.25">
      <c r="A8" s="208" t="s">
        <v>1096</v>
      </c>
      <c r="B8" s="209">
        <f>Tax!D31</f>
        <v>0</v>
      </c>
      <c r="C8" s="207"/>
      <c r="E8" s="223">
        <v>4495643005.0241184</v>
      </c>
      <c r="G8" s="223">
        <f>B8-19706267.21</f>
        <v>-19706267.210000001</v>
      </c>
      <c r="I8" s="223">
        <f>E8+19706267.21</f>
        <v>4515349272.2341185</v>
      </c>
    </row>
    <row r="9" spans="1:12" x14ac:dyDescent="0.25">
      <c r="A9" s="208" t="s">
        <v>224</v>
      </c>
      <c r="B9" s="207"/>
      <c r="C9" s="209">
        <f>B7-B8</f>
        <v>0</v>
      </c>
      <c r="E9" s="223">
        <f>E8-E7</f>
        <v>137162566.8642664</v>
      </c>
      <c r="G9" s="223">
        <f>G7-G8</f>
        <v>-25624622.329999998</v>
      </c>
      <c r="I9" s="223">
        <f>I7-I8</f>
        <v>-111537944.53426647</v>
      </c>
    </row>
    <row r="10" spans="1:12" x14ac:dyDescent="0.25">
      <c r="A10" s="208"/>
      <c r="B10" s="207"/>
      <c r="C10" s="207"/>
      <c r="E10" s="223"/>
    </row>
    <row r="11" spans="1:12" x14ac:dyDescent="0.25">
      <c r="A11" s="208" t="s">
        <v>531</v>
      </c>
      <c r="B11" s="209">
        <f>Tax!D17</f>
        <v>295591</v>
      </c>
      <c r="C11" s="207"/>
    </row>
    <row r="12" spans="1:12" x14ac:dyDescent="0.25">
      <c r="A12" s="208" t="s">
        <v>1095</v>
      </c>
      <c r="B12" s="209">
        <v>34667846.449999996</v>
      </c>
      <c r="C12" s="207"/>
    </row>
    <row r="13" spans="1:12" x14ac:dyDescent="0.25">
      <c r="A13" s="208" t="s">
        <v>532</v>
      </c>
      <c r="B13" s="209">
        <v>12631131.67</v>
      </c>
      <c r="C13" s="207"/>
    </row>
    <row r="14" spans="1:12" x14ac:dyDescent="0.25">
      <c r="A14" s="208" t="s">
        <v>533</v>
      </c>
      <c r="B14" s="209">
        <v>9745744.4100000001</v>
      </c>
      <c r="C14" s="207"/>
    </row>
    <row r="15" spans="1:12" s="145" customFormat="1" x14ac:dyDescent="0.25">
      <c r="A15" s="208" t="s">
        <v>1405</v>
      </c>
      <c r="B15" s="209">
        <f>+Tax!D23</f>
        <v>0</v>
      </c>
      <c r="C15" s="207"/>
      <c r="E15" s="13"/>
      <c r="G15" s="13"/>
      <c r="H15" s="13"/>
      <c r="I15" s="13"/>
      <c r="J15" s="13"/>
      <c r="K15" s="13"/>
      <c r="L15" s="13"/>
    </row>
    <row r="16" spans="1:12" s="145" customFormat="1" x14ac:dyDescent="0.25">
      <c r="A16" s="208" t="s">
        <v>1406</v>
      </c>
      <c r="B16" s="209">
        <f>+Tax!D11</f>
        <v>0</v>
      </c>
      <c r="C16" s="207"/>
      <c r="E16" s="13"/>
      <c r="G16" s="13"/>
      <c r="H16" s="13"/>
      <c r="I16" s="13"/>
      <c r="J16" s="13"/>
      <c r="K16" s="13"/>
      <c r="L16" s="13"/>
    </row>
    <row r="17" spans="1:12" s="145" customFormat="1" x14ac:dyDescent="0.25">
      <c r="A17" s="208"/>
      <c r="B17" s="209"/>
      <c r="C17" s="207"/>
      <c r="E17" s="13"/>
      <c r="G17" s="13"/>
      <c r="H17" s="13"/>
      <c r="I17" s="13"/>
      <c r="J17" s="13"/>
      <c r="K17" s="13"/>
      <c r="L17" s="13"/>
    </row>
    <row r="18" spans="1:12" x14ac:dyDescent="0.25">
      <c r="A18" s="208"/>
      <c r="B18" s="207"/>
      <c r="C18" s="209">
        <f>B11-SUM(B12:B14)+B15+B16</f>
        <v>-56749131.530000001</v>
      </c>
      <c r="E18" s="223">
        <f>C18</f>
        <v>-56749131.530000001</v>
      </c>
    </row>
    <row r="19" spans="1:12" x14ac:dyDescent="0.25">
      <c r="A19" s="208" t="s">
        <v>534</v>
      </c>
      <c r="B19" s="207"/>
      <c r="C19" s="210">
        <f>SUM(C9:C18)</f>
        <v>-56749131.530000001</v>
      </c>
      <c r="D19" s="147"/>
      <c r="E19" s="223">
        <f>SUM(E9:E18)</f>
        <v>80413435.334266394</v>
      </c>
    </row>
    <row r="20" spans="1:12" x14ac:dyDescent="0.25">
      <c r="A20" s="208"/>
      <c r="B20" s="207"/>
      <c r="C20" s="210"/>
    </row>
    <row r="21" spans="1:12" x14ac:dyDescent="0.25">
      <c r="A21" s="208" t="s">
        <v>535</v>
      </c>
      <c r="B21" s="207"/>
      <c r="C21" s="209">
        <f>C19*30%</f>
        <v>-17024739.458999999</v>
      </c>
      <c r="E21" s="223">
        <f>E19*30%</f>
        <v>24124030.600279916</v>
      </c>
    </row>
    <row r="22" spans="1:12" x14ac:dyDescent="0.25">
      <c r="A22" s="208" t="s">
        <v>536</v>
      </c>
      <c r="B22" s="207"/>
      <c r="C22" s="182">
        <v>9659868.5</v>
      </c>
      <c r="E22" s="223">
        <f>C22</f>
        <v>9659868.5</v>
      </c>
    </row>
    <row r="23" spans="1:12" x14ac:dyDescent="0.25">
      <c r="A23" s="211" t="s">
        <v>538</v>
      </c>
      <c r="B23" s="212"/>
      <c r="C23" s="213">
        <f>C21-C22</f>
        <v>-26684607.958999999</v>
      </c>
      <c r="E23" s="224">
        <f>E21-E22</f>
        <v>14464162.100279916</v>
      </c>
    </row>
    <row r="24" spans="1:12" hidden="1" x14ac:dyDescent="0.25">
      <c r="A24" s="148" t="s">
        <v>537</v>
      </c>
      <c r="B24" s="62"/>
      <c r="C24" s="146">
        <f>C21-C22</f>
        <v>-26684607.958999999</v>
      </c>
    </row>
    <row r="25" spans="1:12" hidden="1" x14ac:dyDescent="0.25">
      <c r="C25" s="147" t="e">
        <f>C24-#REF!</f>
        <v>#REF!</v>
      </c>
    </row>
    <row r="26" spans="1:12" hidden="1" x14ac:dyDescent="0.25"/>
    <row r="27" spans="1:12" hidden="1" x14ac:dyDescent="0.25"/>
    <row r="28" spans="1:12" x14ac:dyDescent="0.25">
      <c r="E28" s="223"/>
    </row>
    <row r="29" spans="1:12" x14ac:dyDescent="0.25">
      <c r="A29" s="30" t="str">
        <f>'2SFP'!B61</f>
        <v>For GSA &amp; Associates.</v>
      </c>
      <c r="B29" s="145"/>
      <c r="C29" s="145"/>
      <c r="D29" s="145"/>
    </row>
    <row r="30" spans="1:12" x14ac:dyDescent="0.25">
      <c r="A30" s="29" t="str">
        <f>'2SFP'!B62</f>
        <v>Chartered accountants</v>
      </c>
      <c r="B30" s="145"/>
      <c r="C30" s="147">
        <f>+C23-C22</f>
        <v>-36344476.458999999</v>
      </c>
      <c r="D30" s="145"/>
    </row>
    <row r="31" spans="1:12" x14ac:dyDescent="0.25">
      <c r="A31" s="29" t="str">
        <f>'2SFP'!B63</f>
        <v>(Firm Reg. No. 000257N)</v>
      </c>
      <c r="B31" s="145"/>
      <c r="C31" s="147"/>
      <c r="D31" s="145"/>
    </row>
    <row r="32" spans="1:12" x14ac:dyDescent="0.25">
      <c r="A32" s="29"/>
      <c r="B32" s="145" t="s">
        <v>1407</v>
      </c>
      <c r="C32" s="8">
        <f>+C30</f>
        <v>-36344476.458999999</v>
      </c>
      <c r="D32" s="8"/>
      <c r="E32" s="381"/>
    </row>
    <row r="33" spans="1:12" x14ac:dyDescent="0.25">
      <c r="A33" s="29"/>
      <c r="B33" s="145" t="s">
        <v>1408</v>
      </c>
      <c r="C33" s="8"/>
      <c r="D33" s="8"/>
      <c r="E33" s="8">
        <f>+C32</f>
        <v>-36344476.458999999</v>
      </c>
    </row>
    <row r="34" spans="1:12" x14ac:dyDescent="0.25">
      <c r="A34" s="29"/>
      <c r="B34" s="145"/>
      <c r="C34" s="145"/>
      <c r="D34" s="145"/>
    </row>
    <row r="35" spans="1:12" x14ac:dyDescent="0.25">
      <c r="A35" s="30" t="str">
        <f>'2SFP'!B67</f>
        <v>Tanuj Chugh</v>
      </c>
      <c r="B35" s="145"/>
      <c r="C35" s="145"/>
      <c r="D35" s="145"/>
    </row>
    <row r="36" spans="1:12" x14ac:dyDescent="0.25">
      <c r="A36" s="29" t="str">
        <f>'2SFP'!B68</f>
        <v>Partner</v>
      </c>
      <c r="B36" s="145"/>
      <c r="C36" s="145"/>
      <c r="D36" s="145"/>
    </row>
    <row r="37" spans="1:12" x14ac:dyDescent="0.25">
      <c r="A37" s="29" t="str">
        <f>'2SFP'!B69</f>
        <v>M. No. 529619</v>
      </c>
      <c r="B37" s="145"/>
      <c r="C37" s="145"/>
      <c r="D37" s="145"/>
    </row>
    <row r="38" spans="1:12" s="145" customFormat="1" x14ac:dyDescent="0.25">
      <c r="A38" s="29"/>
      <c r="E38" s="13"/>
      <c r="G38" s="13"/>
      <c r="H38" s="13"/>
      <c r="I38" s="13"/>
      <c r="J38" s="13"/>
      <c r="K38" s="13"/>
      <c r="L38" s="13"/>
    </row>
    <row r="39" spans="1:12" x14ac:dyDescent="0.25">
      <c r="A39" s="29" t="str">
        <f>'2SFP'!B71</f>
        <v xml:space="preserve">Place: </v>
      </c>
      <c r="B39" s="1804" t="s">
        <v>103</v>
      </c>
      <c r="C39" s="1804"/>
      <c r="D39" s="145"/>
    </row>
    <row r="40" spans="1:12" x14ac:dyDescent="0.25">
      <c r="A40" s="29" t="str">
        <f>'2SFP'!B72</f>
        <v xml:space="preserve">Date: </v>
      </c>
      <c r="B40" s="145"/>
      <c r="C40" s="145"/>
      <c r="D40" s="145"/>
    </row>
  </sheetData>
  <mergeCells count="4">
    <mergeCell ref="B39:C39"/>
    <mergeCell ref="A3:C3"/>
    <mergeCell ref="A4:C4"/>
    <mergeCell ref="A5:C5"/>
  </mergeCells>
  <pageMargins left="1" right="0.7" top="0.75" bottom="0.75" header="0.3" footer="0.3"/>
  <pageSetup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17</vt:i4>
      </vt:variant>
    </vt:vector>
  </HeadingPairs>
  <TitlesOfParts>
    <vt:vector size="40" baseType="lpstr">
      <vt:lpstr>AE</vt:lpstr>
      <vt:lpstr>Regrouping</vt:lpstr>
      <vt:lpstr>SAP </vt:lpstr>
      <vt:lpstr>Trial</vt:lpstr>
      <vt:lpstr>2SFP</vt:lpstr>
      <vt:lpstr>3SOCI</vt:lpstr>
      <vt:lpstr>5SOCE</vt:lpstr>
      <vt:lpstr>4CF</vt:lpstr>
      <vt:lpstr>6N_PPE</vt:lpstr>
      <vt:lpstr>7N_3-12</vt:lpstr>
      <vt:lpstr>8N_13</vt:lpstr>
      <vt:lpstr>9N_14-21</vt:lpstr>
      <vt:lpstr>10N_22-33</vt:lpstr>
      <vt:lpstr>Note 32</vt:lpstr>
      <vt:lpstr>10FV_34</vt:lpstr>
      <vt:lpstr>11FRM_35</vt:lpstr>
      <vt:lpstr>12CapMgt_36</vt:lpstr>
      <vt:lpstr>Note 37</vt:lpstr>
      <vt:lpstr>Ratio</vt:lpstr>
      <vt:lpstr>Tax</vt:lpstr>
      <vt:lpstr>13IFRS</vt:lpstr>
      <vt:lpstr>CFs</vt:lpstr>
      <vt:lpstr>DT</vt:lpstr>
      <vt:lpstr>'10FV_34'!Print_Area</vt:lpstr>
      <vt:lpstr>'10N_22-33'!Print_Area</vt:lpstr>
      <vt:lpstr>'11FRM_35'!Print_Area</vt:lpstr>
      <vt:lpstr>'2SFP'!Print_Area</vt:lpstr>
      <vt:lpstr>'3SOCI'!Print_Area</vt:lpstr>
      <vt:lpstr>'4CF'!Print_Area</vt:lpstr>
      <vt:lpstr>'5SOCE'!Print_Area</vt:lpstr>
      <vt:lpstr>'6N_PPE'!Print_Area</vt:lpstr>
      <vt:lpstr>'8N_13'!Print_Area</vt:lpstr>
      <vt:lpstr>'9N_14-21'!Print_Area</vt:lpstr>
      <vt:lpstr>'Note 32'!Print_Area</vt:lpstr>
      <vt:lpstr>'Note 37'!Print_Area</vt:lpstr>
      <vt:lpstr>Ratio!Print_Area</vt:lpstr>
      <vt:lpstr>'SAP '!Print_Area</vt:lpstr>
      <vt:lpstr>Tax!Print_Area</vt:lpstr>
      <vt:lpstr>Trial!Print_Area</vt:lpstr>
      <vt:lpstr>Trial_Balance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Work.</dc:title>
  <dc:creator>Phub Dorji.</dc:creator>
  <cp:lastModifiedBy>BADALA</cp:lastModifiedBy>
  <cp:lastPrinted>2020-03-11T05:38:33Z</cp:lastPrinted>
  <dcterms:created xsi:type="dcterms:W3CDTF">2009-10-27T07:25:09Z</dcterms:created>
  <dcterms:modified xsi:type="dcterms:W3CDTF">2020-03-13T08:49:22Z</dcterms:modified>
</cp:coreProperties>
</file>