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20730" windowHeight="11760" tabRatio="956" activeTab="3"/>
  </bookViews>
  <sheets>
    <sheet name="SAP " sheetId="61" r:id="rId1"/>
    <sheet name="Trial" sheetId="58" r:id="rId2"/>
    <sheet name="2SFP" sheetId="31" r:id="rId3"/>
    <sheet name="3SOCI" sheetId="23" r:id="rId4"/>
    <sheet name="5SOCE" sheetId="34" r:id="rId5"/>
    <sheet name="4CF" sheetId="15" r:id="rId6"/>
    <sheet name="6N_PPE" sheetId="26" r:id="rId7"/>
    <sheet name="7N_3-12" sheetId="24" r:id="rId8"/>
    <sheet name="8N_13" sheetId="48" r:id="rId9"/>
    <sheet name="9N_14-21" sheetId="49" r:id="rId10"/>
    <sheet name="10N_22-33" sheetId="60" r:id="rId11"/>
    <sheet name="Note 32" sheetId="72" r:id="rId12"/>
    <sheet name="10FV_34" sheetId="65" r:id="rId13"/>
    <sheet name="11FRM_35" sheetId="66" r:id="rId14"/>
    <sheet name="12CapMgt_36" sheetId="67" r:id="rId15"/>
    <sheet name="Note 37" sheetId="73" r:id="rId16"/>
    <sheet name="Ratio" sheetId="32" r:id="rId17"/>
    <sheet name="Tax" sheetId="52" r:id="rId18"/>
    <sheet name="13IFRS" sheetId="68" state="hidden" r:id="rId19"/>
    <sheet name="CFs" sheetId="54" state="hidden" r:id="rId20"/>
    <sheet name="DT" sheetId="63" r:id="rId21"/>
  </sheets>
  <externalReferences>
    <externalReference r:id="rId22"/>
    <externalReference r:id="rId23"/>
    <externalReference r:id="rId24"/>
    <externalReference r:id="rId25"/>
    <externalReference r:id="rId26"/>
  </externalReferences>
  <definedNames>
    <definedName name="_xlnm._FilterDatabase" localSheetId="10" hidden="1">'10N_22-33'!$A$4:$F$281</definedName>
    <definedName name="_xlnm._FilterDatabase" localSheetId="19" hidden="1">CFs!$B$2:$D$26</definedName>
    <definedName name="_xlnm._FilterDatabase" localSheetId="0" hidden="1">'SAP '!$A$1:$D$392</definedName>
    <definedName name="_xlnm._FilterDatabase" localSheetId="1" hidden="1">Trial!$A$1:$F$636</definedName>
    <definedName name="_xlnm.Print_Area" localSheetId="12">'10FV_34'!$A$1:$G$71</definedName>
    <definedName name="_xlnm.Print_Area" localSheetId="10">'10N_22-33'!$A$1:$F$281</definedName>
    <definedName name="_xlnm.Print_Area" localSheetId="13">'11FRM_35'!$A$1:$J$118</definedName>
    <definedName name="_xlnm.Print_Area" localSheetId="2">'2SFP'!$B$1:$E$72</definedName>
    <definedName name="_xlnm.Print_Area" localSheetId="3">'3SOCI'!$B$1:$E$52</definedName>
    <definedName name="_xlnm.Print_Area" localSheetId="5">'4CF'!$A$1:$F$75</definedName>
    <definedName name="_xlnm.Print_Area" localSheetId="4">'5SOCE'!$B$1:$F$33</definedName>
    <definedName name="_xlnm.Print_Area" localSheetId="6">'6N_PPE'!$B$1:$L$56</definedName>
    <definedName name="_xlnm.Print_Area" localSheetId="8">'8N_13'!$B$1:$F$32</definedName>
    <definedName name="_xlnm.Print_Area" localSheetId="9">'9N_14-21'!$A$1:$D$138</definedName>
    <definedName name="_xlnm.Print_Area" localSheetId="11">'Note 32'!$A$1:$E$35</definedName>
    <definedName name="_xlnm.Print_Area" localSheetId="15">'Note 37'!$A$1:$G$114</definedName>
    <definedName name="_xlnm.Print_Area" localSheetId="16">Ratio!$B$1:$I$50</definedName>
    <definedName name="_xlnm.Print_Area" localSheetId="0">'SAP '!$A$1:$D$350</definedName>
    <definedName name="_xlnm.Print_Area" localSheetId="17">Tax!$C$2:$E$51</definedName>
    <definedName name="_xlnm.Print_Area" localSheetId="1">Trial!$A$1:$D$635</definedName>
    <definedName name="Trial_Balance">Trial!$A:$D</definedName>
  </definedNames>
  <calcPr calcId="124519"/>
  <fileRecoveryPr autoRecover="0"/>
  <extLst xmlns:x14="http://schemas.microsoft.com/office/spreadsheetml/2009/9/main">
    <ext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7" i="34"/>
  <c r="G7"/>
  <c r="C421" i="58"/>
  <c r="C617"/>
  <c r="E266" i="60"/>
  <c r="D25" i="23"/>
  <c r="C467" i="58"/>
  <c r="E36" i="60"/>
  <c r="C468" i="58"/>
  <c r="E37" i="60"/>
  <c r="C470" i="58"/>
  <c r="E38" i="60"/>
  <c r="C471" i="58"/>
  <c r="E39" i="60"/>
  <c r="C483" i="58"/>
  <c r="E40" i="60"/>
  <c r="E41"/>
  <c r="C457" i="58"/>
  <c r="E24" i="60"/>
  <c r="C458" i="58"/>
  <c r="E25" i="60"/>
  <c r="C459" i="58"/>
  <c r="E26" i="60"/>
  <c r="C460" i="58"/>
  <c r="E27" i="60"/>
  <c r="C461" i="58"/>
  <c r="E28" i="60"/>
  <c r="C463" i="58"/>
  <c r="E29" i="60"/>
  <c r="C472" i="58"/>
  <c r="E30" i="60"/>
  <c r="C473" i="58"/>
  <c r="E31" i="60"/>
  <c r="C474" i="58"/>
  <c r="E32" i="60"/>
  <c r="C465" i="58"/>
  <c r="E33" i="60"/>
  <c r="C466" i="58"/>
  <c r="E34" i="60"/>
  <c r="E35"/>
  <c r="C450" i="58"/>
  <c r="E12" i="60"/>
  <c r="C451" i="58"/>
  <c r="E13" i="60"/>
  <c r="C452" i="58"/>
  <c r="E14" i="60"/>
  <c r="C453" i="58"/>
  <c r="E15" i="60"/>
  <c r="C456" i="58"/>
  <c r="E16" i="60"/>
  <c r="C469" i="58"/>
  <c r="E17" i="60"/>
  <c r="C475" i="58"/>
  <c r="E18" i="60"/>
  <c r="C447" i="58"/>
  <c r="E19" i="60"/>
  <c r="C448" i="58"/>
  <c r="E20" i="60"/>
  <c r="C449" i="58"/>
  <c r="E21" i="60"/>
  <c r="C496" i="58"/>
  <c r="E22" i="60"/>
  <c r="E23"/>
  <c r="C445" i="58"/>
  <c r="E9" i="60"/>
  <c r="C444" i="58"/>
  <c r="E10" i="60"/>
  <c r="E11"/>
  <c r="E42"/>
  <c r="C482" i="58"/>
  <c r="E52" i="60"/>
  <c r="C481" i="58"/>
  <c r="E53" i="60"/>
  <c r="E54"/>
  <c r="C446" i="58"/>
  <c r="E45" i="60"/>
  <c r="C454" i="58"/>
  <c r="E46" i="60"/>
  <c r="C455" i="58"/>
  <c r="E47" i="60"/>
  <c r="C464" i="58"/>
  <c r="E48" i="60"/>
  <c r="C462" i="58"/>
  <c r="E49" i="60"/>
  <c r="C485" i="58"/>
  <c r="E50" i="60"/>
  <c r="E51"/>
  <c r="E55"/>
  <c r="E56"/>
  <c r="D6" i="23"/>
  <c r="C486" i="58"/>
  <c r="E64" i="60"/>
  <c r="C487" i="58"/>
  <c r="E65" i="60"/>
  <c r="C499" i="58"/>
  <c r="E69" i="60"/>
  <c r="C489" i="58"/>
  <c r="E75" i="60"/>
  <c r="C494" i="58"/>
  <c r="E76" i="60"/>
  <c r="C477" i="58"/>
  <c r="E77" i="60"/>
  <c r="E78"/>
  <c r="C479" i="58"/>
  <c r="E79" i="60"/>
  <c r="C480" i="58"/>
  <c r="E80" i="60"/>
  <c r="C495" i="58"/>
  <c r="E67" i="60"/>
  <c r="C593" i="58"/>
  <c r="E68" i="60"/>
  <c r="E81"/>
  <c r="C497" i="58"/>
  <c r="E82" i="60"/>
  <c r="E74"/>
  <c r="E73"/>
  <c r="E83"/>
  <c r="D7" i="23"/>
  <c r="D8"/>
  <c r="C551" i="58"/>
  <c r="E112" i="60"/>
  <c r="C550" i="58"/>
  <c r="E113" i="60"/>
  <c r="C557" i="58"/>
  <c r="E114" i="60"/>
  <c r="E115"/>
  <c r="C521" i="58"/>
  <c r="E103" i="60"/>
  <c r="C519" i="58"/>
  <c r="E104" i="60"/>
  <c r="C514" i="58"/>
  <c r="E105" i="60"/>
  <c r="C513" i="58"/>
  <c r="E106" i="60"/>
  <c r="C522" i="58"/>
  <c r="E107" i="60"/>
  <c r="C520" i="58"/>
  <c r="E108" i="60"/>
  <c r="C504" i="58"/>
  <c r="E109" i="60"/>
  <c r="C502" i="58"/>
  <c r="E110" i="60"/>
  <c r="E111"/>
  <c r="C511" i="58"/>
  <c r="E96" i="60"/>
  <c r="C508" i="58"/>
  <c r="E97" i="60"/>
  <c r="C512" i="58"/>
  <c r="E98" i="60"/>
  <c r="C510" i="58"/>
  <c r="E99" i="60"/>
  <c r="C509" i="58"/>
  <c r="E100" i="60"/>
  <c r="C579" i="58"/>
  <c r="E101" i="60"/>
  <c r="E102"/>
  <c r="C578" i="58"/>
  <c r="E87" i="60"/>
  <c r="C577" i="58"/>
  <c r="E88" i="60"/>
  <c r="C576" i="58"/>
  <c r="E89" i="60"/>
  <c r="C574" i="58"/>
  <c r="E90" i="60"/>
  <c r="C575" i="58"/>
  <c r="E91" i="60"/>
  <c r="C572" i="58"/>
  <c r="E92" i="60"/>
  <c r="C573" i="58"/>
  <c r="E93" i="60"/>
  <c r="C569" i="58"/>
  <c r="E94" i="60"/>
  <c r="E95"/>
  <c r="E116"/>
  <c r="D11" i="23"/>
  <c r="C506" i="58"/>
  <c r="E121" i="60"/>
  <c r="C507" i="58"/>
  <c r="E122" i="60"/>
  <c r="E123"/>
  <c r="D12" i="23"/>
  <c r="C535" i="58"/>
  <c r="E140" i="60"/>
  <c r="C536" i="58"/>
  <c r="E141" i="60"/>
  <c r="C537" i="58"/>
  <c r="E142" i="60"/>
  <c r="C541" i="58"/>
  <c r="E143" i="60"/>
  <c r="C540" i="58"/>
  <c r="E144" i="60"/>
  <c r="E145"/>
  <c r="C531" i="58"/>
  <c r="E135" i="60"/>
  <c r="C532" i="58"/>
  <c r="E136" i="60"/>
  <c r="C533" i="58"/>
  <c r="E137" i="60"/>
  <c r="C542" i="58"/>
  <c r="E138" i="60"/>
  <c r="E139"/>
  <c r="C545" i="58"/>
  <c r="E134" i="60"/>
  <c r="C544" i="58"/>
  <c r="E133" i="60"/>
  <c r="C526" i="58"/>
  <c r="E126" i="60"/>
  <c r="C527" i="58"/>
  <c r="E127" i="60"/>
  <c r="C528" i="58"/>
  <c r="E128" i="60"/>
  <c r="C529" i="58"/>
  <c r="E129" i="60"/>
  <c r="C543" i="58"/>
  <c r="E130" i="60"/>
  <c r="C530" i="58"/>
  <c r="E131" i="60"/>
  <c r="E132"/>
  <c r="E146"/>
  <c r="D13" i="23"/>
  <c r="C549" i="58"/>
  <c r="E155" i="60"/>
  <c r="E156"/>
  <c r="C547" i="58"/>
  <c r="E152" i="60"/>
  <c r="C570" i="58"/>
  <c r="E154" i="60"/>
  <c r="C553" i="58"/>
  <c r="E153" i="60"/>
  <c r="C546" i="58"/>
  <c r="E151" i="60"/>
  <c r="E157"/>
  <c r="D14" i="23"/>
  <c r="C613" i="58"/>
  <c r="E173" i="60"/>
  <c r="E175"/>
  <c r="C603" i="58"/>
  <c r="E161" i="60"/>
  <c r="C604" i="58"/>
  <c r="E162" i="60"/>
  <c r="C614" i="58"/>
  <c r="E163" i="60"/>
  <c r="C605" i="58"/>
  <c r="E164" i="60"/>
  <c r="C606" i="58"/>
  <c r="E165" i="60"/>
  <c r="C607" i="58"/>
  <c r="E166" i="60"/>
  <c r="C608" i="58"/>
  <c r="E167" i="60"/>
  <c r="C609" i="58"/>
  <c r="E168" i="60"/>
  <c r="C610" i="58"/>
  <c r="E169" i="60"/>
  <c r="C611" i="58"/>
  <c r="E170" i="60"/>
  <c r="C612" i="58"/>
  <c r="E171" i="60"/>
  <c r="E172"/>
  <c r="E176"/>
  <c r="D15" i="23"/>
  <c r="C600" i="58"/>
  <c r="E182" i="60"/>
  <c r="C602" i="58"/>
  <c r="E183" i="60"/>
  <c r="C601" i="58"/>
  <c r="E184" i="60"/>
  <c r="E185"/>
  <c r="D16" i="23"/>
  <c r="C583" i="58"/>
  <c r="E240" i="60"/>
  <c r="C565" i="58"/>
  <c r="E241" i="60"/>
  <c r="C555" i="58"/>
  <c r="E242" i="60"/>
  <c r="C556" i="58"/>
  <c r="E243" i="60"/>
  <c r="C564" i="58"/>
  <c r="E244" i="60"/>
  <c r="C566" i="58"/>
  <c r="E245" i="60"/>
  <c r="C580" i="58"/>
  <c r="E246" i="60"/>
  <c r="C599" i="58"/>
  <c r="E247" i="60"/>
  <c r="C582" i="58"/>
  <c r="E248" i="60"/>
  <c r="C595" i="58"/>
  <c r="E249" i="60"/>
  <c r="C571" i="58"/>
  <c r="E250" i="60"/>
  <c r="C619" i="58"/>
  <c r="E253" i="60"/>
  <c r="C498" i="58"/>
  <c r="E254" i="60"/>
  <c r="E256"/>
  <c r="C503" i="58"/>
  <c r="E231" i="60"/>
  <c r="C516" i="58"/>
  <c r="E232" i="60"/>
  <c r="C517" i="58"/>
  <c r="E233" i="60"/>
  <c r="C501" i="58"/>
  <c r="E234" i="60"/>
  <c r="C518" i="58"/>
  <c r="E235" i="60"/>
  <c r="C525" i="58"/>
  <c r="E236" i="60"/>
  <c r="C500" i="58"/>
  <c r="E237" i="60"/>
  <c r="E238"/>
  <c r="C515" i="58"/>
  <c r="E230" i="60"/>
  <c r="C588" i="58"/>
  <c r="E222" i="60"/>
  <c r="C493" i="58"/>
  <c r="E223" i="60"/>
  <c r="C586" i="58"/>
  <c r="E224" i="60"/>
  <c r="C587" i="58"/>
  <c r="E225" i="60"/>
  <c r="C590" i="58"/>
  <c r="E226" i="60"/>
  <c r="C491" i="58"/>
  <c r="E227" i="60"/>
  <c r="C492" i="58"/>
  <c r="E228" i="60"/>
  <c r="E229"/>
  <c r="C560" i="58"/>
  <c r="E217" i="60"/>
  <c r="C561" i="58"/>
  <c r="E218" i="60"/>
  <c r="E220"/>
  <c r="C559" i="58"/>
  <c r="E221" i="60"/>
  <c r="E219"/>
  <c r="C584" i="58"/>
  <c r="E214" i="60"/>
  <c r="C585" i="58"/>
  <c r="E215" i="60"/>
  <c r="E216"/>
  <c r="C548" i="58"/>
  <c r="E211" i="60"/>
  <c r="C596" i="58"/>
  <c r="E212" i="60"/>
  <c r="E213"/>
  <c r="C591" i="58"/>
  <c r="E207" i="60"/>
  <c r="C592" i="58"/>
  <c r="E208" i="60"/>
  <c r="C484" i="58"/>
  <c r="E209" i="60"/>
  <c r="E210"/>
  <c r="C568" i="58"/>
  <c r="E204" i="60"/>
  <c r="C567" i="58"/>
  <c r="E205" i="60"/>
  <c r="E206"/>
  <c r="C552" i="58"/>
  <c r="E201" i="60"/>
  <c r="C505" i="58"/>
  <c r="E202" i="60"/>
  <c r="E203"/>
  <c r="C597" i="58"/>
  <c r="E198" i="60"/>
  <c r="C598" i="58"/>
  <c r="E199" i="60"/>
  <c r="E200"/>
  <c r="C558" i="58"/>
  <c r="E191" i="60"/>
  <c r="C563" i="58"/>
  <c r="E192" i="60"/>
  <c r="C589" i="58"/>
  <c r="E193" i="60"/>
  <c r="C523" i="58"/>
  <c r="E194" i="60"/>
  <c r="C554" i="58"/>
  <c r="E195" i="60"/>
  <c r="C581" i="58"/>
  <c r="E196" i="60"/>
  <c r="C524" i="58"/>
  <c r="E197" i="60"/>
  <c r="C594" i="58"/>
  <c r="E239" i="60"/>
  <c r="E257"/>
  <c r="D17" i="23"/>
  <c r="D19"/>
  <c r="D21"/>
  <c r="D23"/>
  <c r="C620" i="58"/>
  <c r="E269" i="60"/>
  <c r="D33" i="23"/>
  <c r="D7" i="52"/>
  <c r="D15"/>
  <c r="D17"/>
  <c r="D19"/>
  <c r="D21"/>
  <c r="E27"/>
  <c r="D34"/>
  <c r="E40"/>
  <c r="E42"/>
  <c r="E46"/>
  <c r="D26" i="23"/>
  <c r="C476" i="58"/>
  <c r="E263" i="60"/>
  <c r="D27" i="23"/>
  <c r="D28"/>
  <c r="C99" i="49"/>
  <c r="C103"/>
  <c r="C104"/>
  <c r="D50" i="31"/>
  <c r="D99" i="49"/>
  <c r="D103"/>
  <c r="D104"/>
  <c r="E50" i="31"/>
  <c r="C438" i="58"/>
  <c r="C54" i="49"/>
  <c r="C392" i="58"/>
  <c r="C55" i="49"/>
  <c r="C429" i="58"/>
  <c r="C56" i="49"/>
  <c r="C430" i="58"/>
  <c r="C57" i="49"/>
  <c r="C431" i="58"/>
  <c r="C58" i="49"/>
  <c r="C435" i="58"/>
  <c r="C59" i="49"/>
  <c r="C61"/>
  <c r="C420" i="58"/>
  <c r="C62" i="49"/>
  <c r="C64"/>
  <c r="C437" i="58"/>
  <c r="C65" i="49"/>
  <c r="C66"/>
  <c r="D43" i="31"/>
  <c r="D54" i="49"/>
  <c r="D55"/>
  <c r="D56"/>
  <c r="D57"/>
  <c r="D58"/>
  <c r="D59"/>
  <c r="D61"/>
  <c r="D62"/>
  <c r="D64"/>
  <c r="D65"/>
  <c r="D66"/>
  <c r="E43" i="31"/>
  <c r="C7" i="15"/>
  <c r="C6"/>
  <c r="E7" i="31"/>
  <c r="E8"/>
  <c r="E9"/>
  <c r="D8" i="24"/>
  <c r="D11"/>
  <c r="E11" i="31"/>
  <c r="D15" i="24"/>
  <c r="D16"/>
  <c r="D17"/>
  <c r="D19"/>
  <c r="E12" i="31"/>
  <c r="D23" i="24"/>
  <c r="D24"/>
  <c r="E13" i="31"/>
  <c r="D37" i="24"/>
  <c r="D38"/>
  <c r="D39"/>
  <c r="D40"/>
  <c r="D41"/>
  <c r="D42"/>
  <c r="D43"/>
  <c r="D44"/>
  <c r="D45"/>
  <c r="D46"/>
  <c r="D48"/>
  <c r="E14" i="31"/>
  <c r="E15"/>
  <c r="D52" i="24"/>
  <c r="D53"/>
  <c r="D54"/>
  <c r="D55"/>
  <c r="D56"/>
  <c r="D57"/>
  <c r="D58"/>
  <c r="D59"/>
  <c r="D60"/>
  <c r="D61"/>
  <c r="D62"/>
  <c r="D63"/>
  <c r="E18" i="31"/>
  <c r="D68" i="24"/>
  <c r="D69"/>
  <c r="D70"/>
  <c r="D71"/>
  <c r="D72"/>
  <c r="D75"/>
  <c r="E20" i="31"/>
  <c r="D84" i="24"/>
  <c r="D80"/>
  <c r="D85"/>
  <c r="E21" i="31"/>
  <c r="D91" i="24"/>
  <c r="D92"/>
  <c r="D93"/>
  <c r="D94"/>
  <c r="D95"/>
  <c r="E22" i="31"/>
  <c r="D100" i="24"/>
  <c r="D101"/>
  <c r="D102"/>
  <c r="D103"/>
  <c r="D104"/>
  <c r="D105"/>
  <c r="D106"/>
  <c r="D107"/>
  <c r="D108"/>
  <c r="D109"/>
  <c r="D110"/>
  <c r="D111"/>
  <c r="D112"/>
  <c r="D113"/>
  <c r="E23" i="31"/>
  <c r="D124" i="24"/>
  <c r="D125"/>
  <c r="E24" i="31"/>
  <c r="E25"/>
  <c r="E27"/>
  <c r="F27"/>
  <c r="F15"/>
  <c r="E328" i="61"/>
  <c r="H27" i="26"/>
  <c r="K27"/>
  <c r="C66" i="5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3"/>
  <c r="E4"/>
  <c r="E5"/>
  <c r="E6"/>
  <c r="E7"/>
  <c r="E8"/>
  <c r="E2"/>
  <c r="D10" i="34"/>
  <c r="H18"/>
  <c r="G18"/>
  <c r="F478" i="58"/>
  <c r="F614"/>
  <c r="D5" i="34"/>
  <c r="G18" i="31"/>
  <c r="D9"/>
  <c r="F28" i="26"/>
  <c r="K16"/>
  <c r="K14"/>
  <c r="K18"/>
  <c r="K20"/>
  <c r="D78" i="60"/>
  <c r="D478" i="58"/>
  <c r="F78" i="60"/>
  <c r="D4" i="23"/>
  <c r="F73" i="60"/>
  <c r="D1" i="61"/>
  <c r="B4" i="23"/>
  <c r="C1" i="61"/>
  <c r="F25" i="26"/>
  <c r="J25"/>
  <c r="D10" i="49"/>
  <c r="E31" i="31"/>
  <c r="D32" i="48"/>
  <c r="E29"/>
  <c r="D134" i="49"/>
  <c r="D133"/>
  <c r="D101"/>
  <c r="D100"/>
  <c r="D94"/>
  <c r="D82"/>
  <c r="D81"/>
  <c r="D80"/>
  <c r="D79"/>
  <c r="D76"/>
  <c r="D75"/>
  <c r="D42"/>
  <c r="F21" i="26"/>
  <c r="K21"/>
  <c r="J21"/>
  <c r="L25"/>
  <c r="K25"/>
  <c r="K29"/>
  <c r="F29"/>
  <c r="E20"/>
  <c r="D635" i="58"/>
  <c r="D634"/>
  <c r="D633"/>
  <c r="D632"/>
  <c r="D631"/>
  <c r="D630"/>
  <c r="D629"/>
  <c r="D628"/>
  <c r="D627"/>
  <c r="D626"/>
  <c r="D625"/>
  <c r="D624"/>
  <c r="D623"/>
  <c r="D622"/>
  <c r="F270" i="60"/>
  <c r="E34" i="23"/>
  <c r="D621" i="58"/>
  <c r="D620"/>
  <c r="D619"/>
  <c r="D618"/>
  <c r="D617"/>
  <c r="D616"/>
  <c r="D615"/>
  <c r="D614"/>
  <c r="F163" i="60"/>
  <c r="D613" i="58"/>
  <c r="D612"/>
  <c r="D611"/>
  <c r="D610"/>
  <c r="D609"/>
  <c r="D608"/>
  <c r="D607"/>
  <c r="D606"/>
  <c r="D605"/>
  <c r="D604"/>
  <c r="D603"/>
  <c r="D602"/>
  <c r="D601"/>
  <c r="F184" i="60"/>
  <c r="D600" i="58"/>
  <c r="D599"/>
  <c r="D598"/>
  <c r="D597"/>
  <c r="D596"/>
  <c r="D595"/>
  <c r="D594"/>
  <c r="F239" i="60"/>
  <c r="D593" i="58"/>
  <c r="D592"/>
  <c r="D591"/>
  <c r="D590"/>
  <c r="D589"/>
  <c r="D588"/>
  <c r="D587"/>
  <c r="D586"/>
  <c r="D585"/>
  <c r="D584"/>
  <c r="D583"/>
  <c r="D582"/>
  <c r="D581"/>
  <c r="D580"/>
  <c r="D579"/>
  <c r="D578"/>
  <c r="D577"/>
  <c r="D576"/>
  <c r="D575"/>
  <c r="D574"/>
  <c r="D573"/>
  <c r="D572"/>
  <c r="D571"/>
  <c r="D570"/>
  <c r="D569"/>
  <c r="D568"/>
  <c r="D567"/>
  <c r="D566"/>
  <c r="D565"/>
  <c r="D564"/>
  <c r="D563"/>
  <c r="D562"/>
  <c r="D561"/>
  <c r="D560"/>
  <c r="D559"/>
  <c r="D558"/>
  <c r="D557"/>
  <c r="D556"/>
  <c r="D555"/>
  <c r="D554"/>
  <c r="D553"/>
  <c r="D552"/>
  <c r="D551"/>
  <c r="D550"/>
  <c r="D549"/>
  <c r="D548"/>
  <c r="D547"/>
  <c r="D546"/>
  <c r="D545"/>
  <c r="D544"/>
  <c r="D543"/>
  <c r="D542"/>
  <c r="D541"/>
  <c r="D540"/>
  <c r="D539"/>
  <c r="D538"/>
  <c r="D537"/>
  <c r="D536"/>
  <c r="D535"/>
  <c r="D534"/>
  <c r="D533"/>
  <c r="D532"/>
  <c r="D531"/>
  <c r="D530"/>
  <c r="D529"/>
  <c r="D528"/>
  <c r="D527"/>
  <c r="D526"/>
  <c r="D525"/>
  <c r="D524"/>
  <c r="D523"/>
  <c r="D522"/>
  <c r="D521"/>
  <c r="D520"/>
  <c r="D519"/>
  <c r="D518"/>
  <c r="D517"/>
  <c r="D516"/>
  <c r="D515"/>
  <c r="D514"/>
  <c r="D513"/>
  <c r="D512"/>
  <c r="D511"/>
  <c r="D510"/>
  <c r="D509"/>
  <c r="D508"/>
  <c r="D507"/>
  <c r="D506"/>
  <c r="D505"/>
  <c r="D504"/>
  <c r="D503"/>
  <c r="D502"/>
  <c r="D501"/>
  <c r="D500"/>
  <c r="D499"/>
  <c r="D498"/>
  <c r="D497"/>
  <c r="D496"/>
  <c r="D495"/>
  <c r="D494"/>
  <c r="D493"/>
  <c r="D492"/>
  <c r="D491"/>
  <c r="D490"/>
  <c r="D489"/>
  <c r="D488"/>
  <c r="D487"/>
  <c r="D486"/>
  <c r="D485"/>
  <c r="D484"/>
  <c r="F209" i="60"/>
  <c r="D483" i="58"/>
  <c r="D482"/>
  <c r="D481"/>
  <c r="D480"/>
  <c r="D479"/>
  <c r="D477"/>
  <c r="D476"/>
  <c r="F263" i="60"/>
  <c r="D475" i="58"/>
  <c r="D474"/>
  <c r="D473"/>
  <c r="D472"/>
  <c r="D471"/>
  <c r="D470"/>
  <c r="D469"/>
  <c r="D468"/>
  <c r="D467"/>
  <c r="D466"/>
  <c r="D465"/>
  <c r="D464"/>
  <c r="D463"/>
  <c r="D462"/>
  <c r="D461"/>
  <c r="D460"/>
  <c r="D459"/>
  <c r="D458"/>
  <c r="D457"/>
  <c r="D456"/>
  <c r="D455"/>
  <c r="D454"/>
  <c r="D453"/>
  <c r="D452"/>
  <c r="D451"/>
  <c r="D450"/>
  <c r="D449"/>
  <c r="D448"/>
  <c r="D447"/>
  <c r="D446"/>
  <c r="D445"/>
  <c r="D444"/>
  <c r="D443"/>
  <c r="D442"/>
  <c r="D441"/>
  <c r="D440"/>
  <c r="D439"/>
  <c r="F53" i="15"/>
  <c r="D636" i="58"/>
  <c r="F249" i="60"/>
  <c r="F253"/>
  <c r="F254"/>
  <c r="F67"/>
  <c r="F68"/>
  <c r="F81"/>
  <c r="F255"/>
  <c r="E16" i="34"/>
  <c r="C16"/>
  <c r="E10"/>
  <c r="C10"/>
  <c r="C382" i="58"/>
  <c r="F12" i="26"/>
  <c r="F6"/>
  <c r="F14"/>
  <c r="F16"/>
  <c r="F18"/>
  <c r="J12"/>
  <c r="K12"/>
  <c r="J10"/>
  <c r="J8"/>
  <c r="F382" i="58"/>
  <c r="J24" i="26"/>
  <c r="C6" i="58"/>
  <c r="F6"/>
  <c r="C635"/>
  <c r="C634"/>
  <c r="C633"/>
  <c r="C632"/>
  <c r="C631"/>
  <c r="C630"/>
  <c r="C629"/>
  <c r="F629"/>
  <c r="C628"/>
  <c r="F628"/>
  <c r="C627"/>
  <c r="C626"/>
  <c r="F626"/>
  <c r="C625"/>
  <c r="F625"/>
  <c r="C624"/>
  <c r="C623"/>
  <c r="C622"/>
  <c r="F622"/>
  <c r="C621"/>
  <c r="F621"/>
  <c r="F620"/>
  <c r="C618"/>
  <c r="F618"/>
  <c r="F617"/>
  <c r="C616"/>
  <c r="F616"/>
  <c r="C615"/>
  <c r="F615"/>
  <c r="F612"/>
  <c r="F611"/>
  <c r="F601"/>
  <c r="F597"/>
  <c r="F596"/>
  <c r="F594"/>
  <c r="F592"/>
  <c r="F591"/>
  <c r="F590"/>
  <c r="F589"/>
  <c r="F588"/>
  <c r="F586"/>
  <c r="F583"/>
  <c r="F582"/>
  <c r="F577"/>
  <c r="F568"/>
  <c r="F565"/>
  <c r="C562"/>
  <c r="F562"/>
  <c r="F558"/>
  <c r="F549"/>
  <c r="F545"/>
  <c r="C539"/>
  <c r="F539"/>
  <c r="C538"/>
  <c r="F538"/>
  <c r="C534"/>
  <c r="F534"/>
  <c r="F530"/>
  <c r="F529"/>
  <c r="F522"/>
  <c r="F521"/>
  <c r="F520"/>
  <c r="F517"/>
  <c r="F512"/>
  <c r="F511"/>
  <c r="F494"/>
  <c r="F493"/>
  <c r="F491"/>
  <c r="C490"/>
  <c r="F490"/>
  <c r="F489"/>
  <c r="C488"/>
  <c r="F487"/>
  <c r="F484"/>
  <c r="F480"/>
  <c r="F476"/>
  <c r="F468"/>
  <c r="F463"/>
  <c r="C443"/>
  <c r="F443"/>
  <c r="C442"/>
  <c r="C441"/>
  <c r="C440"/>
  <c r="C439"/>
  <c r="C436"/>
  <c r="F435"/>
  <c r="C434"/>
  <c r="C433"/>
  <c r="C432"/>
  <c r="F432"/>
  <c r="F431"/>
  <c r="F430"/>
  <c r="F429"/>
  <c r="C428"/>
  <c r="F428"/>
  <c r="C427"/>
  <c r="C426"/>
  <c r="F426"/>
  <c r="C425"/>
  <c r="C424"/>
  <c r="C423"/>
  <c r="C422"/>
  <c r="F422"/>
  <c r="C419"/>
  <c r="C418"/>
  <c r="C417"/>
  <c r="C416"/>
  <c r="F416"/>
  <c r="C415"/>
  <c r="C414"/>
  <c r="C413"/>
  <c r="C412"/>
  <c r="C411"/>
  <c r="F411"/>
  <c r="C410"/>
  <c r="F410"/>
  <c r="C409"/>
  <c r="F409"/>
  <c r="C408"/>
  <c r="C407"/>
  <c r="F407"/>
  <c r="C406"/>
  <c r="F406"/>
  <c r="C405"/>
  <c r="F405"/>
  <c r="C404"/>
  <c r="F404"/>
  <c r="C403"/>
  <c r="F403"/>
  <c r="C402"/>
  <c r="C401"/>
  <c r="F401"/>
  <c r="C400"/>
  <c r="F400"/>
  <c r="C399"/>
  <c r="F399"/>
  <c r="C398"/>
  <c r="F398"/>
  <c r="C397"/>
  <c r="C396"/>
  <c r="C395"/>
  <c r="C394"/>
  <c r="C393"/>
  <c r="F392"/>
  <c r="C391"/>
  <c r="C390"/>
  <c r="F390"/>
  <c r="C389"/>
  <c r="C388"/>
  <c r="F388"/>
  <c r="C387"/>
  <c r="C386"/>
  <c r="C385"/>
  <c r="C384"/>
  <c r="F384"/>
  <c r="C383"/>
  <c r="C381"/>
  <c r="C380"/>
  <c r="C379"/>
  <c r="C378"/>
  <c r="C377"/>
  <c r="F377"/>
  <c r="C376"/>
  <c r="C375"/>
  <c r="C374"/>
  <c r="F374"/>
  <c r="C373"/>
  <c r="C372"/>
  <c r="C371"/>
  <c r="F371"/>
  <c r="C370"/>
  <c r="C369"/>
  <c r="C368"/>
  <c r="F368"/>
  <c r="C367"/>
  <c r="C366"/>
  <c r="C365"/>
  <c r="C364"/>
  <c r="C363"/>
  <c r="F363"/>
  <c r="C362"/>
  <c r="C361"/>
  <c r="C360"/>
  <c r="C359"/>
  <c r="C358"/>
  <c r="C357"/>
  <c r="C356"/>
  <c r="C355"/>
  <c r="F355"/>
  <c r="C354"/>
  <c r="F354"/>
  <c r="C353"/>
  <c r="F353"/>
  <c r="C352"/>
  <c r="F352"/>
  <c r="C351"/>
  <c r="C350"/>
  <c r="C349"/>
  <c r="F349"/>
  <c r="C348"/>
  <c r="F348"/>
  <c r="C347"/>
  <c r="C346"/>
  <c r="F346"/>
  <c r="C345"/>
  <c r="C344"/>
  <c r="C343"/>
  <c r="C342"/>
  <c r="C341"/>
  <c r="F341"/>
  <c r="C340"/>
  <c r="C339"/>
  <c r="F339"/>
  <c r="C338"/>
  <c r="F338"/>
  <c r="C337"/>
  <c r="F337"/>
  <c r="C336"/>
  <c r="C335"/>
  <c r="C334"/>
  <c r="F334"/>
  <c r="C333"/>
  <c r="C332"/>
  <c r="F332"/>
  <c r="C331"/>
  <c r="F331"/>
  <c r="C330"/>
  <c r="F330"/>
  <c r="C329"/>
  <c r="C328"/>
  <c r="F328"/>
  <c r="C327"/>
  <c r="C326"/>
  <c r="C325"/>
  <c r="F325"/>
  <c r="C324"/>
  <c r="C323"/>
  <c r="C322"/>
  <c r="C321"/>
  <c r="C320"/>
  <c r="C319"/>
  <c r="C318"/>
  <c r="C317"/>
  <c r="F317"/>
  <c r="C316"/>
  <c r="C315"/>
  <c r="C314"/>
  <c r="C313"/>
  <c r="C312"/>
  <c r="C311"/>
  <c r="C310"/>
  <c r="C309"/>
  <c r="C308"/>
  <c r="F308"/>
  <c r="C307"/>
  <c r="C306"/>
  <c r="C305"/>
  <c r="C304"/>
  <c r="F304"/>
  <c r="C303"/>
  <c r="F303"/>
  <c r="C302"/>
  <c r="C301"/>
  <c r="C300"/>
  <c r="C299"/>
  <c r="F299"/>
  <c r="C298"/>
  <c r="C297"/>
  <c r="F297"/>
  <c r="C296"/>
  <c r="F296"/>
  <c r="C295"/>
  <c r="F295"/>
  <c r="C294"/>
  <c r="F294"/>
  <c r="C293"/>
  <c r="F293"/>
  <c r="C292"/>
  <c r="C291"/>
  <c r="C290"/>
  <c r="C289"/>
  <c r="C288"/>
  <c r="C287"/>
  <c r="C286"/>
  <c r="C285"/>
  <c r="C284"/>
  <c r="C283"/>
  <c r="C282"/>
  <c r="C281"/>
  <c r="F281"/>
  <c r="C280"/>
  <c r="F280"/>
  <c r="C279"/>
  <c r="F279"/>
  <c r="C278"/>
  <c r="C277"/>
  <c r="C276"/>
  <c r="C275"/>
  <c r="C274"/>
  <c r="C273"/>
  <c r="C272"/>
  <c r="F272"/>
  <c r="C271"/>
  <c r="F271"/>
  <c r="C270"/>
  <c r="F270"/>
  <c r="C269"/>
  <c r="F269"/>
  <c r="C268"/>
  <c r="F268"/>
  <c r="C267"/>
  <c r="F267"/>
  <c r="C266"/>
  <c r="F266"/>
  <c r="C265"/>
  <c r="F265"/>
  <c r="C264"/>
  <c r="F264"/>
  <c r="C263"/>
  <c r="F263"/>
  <c r="C262"/>
  <c r="F262"/>
  <c r="C261"/>
  <c r="F261"/>
  <c r="C260"/>
  <c r="C259"/>
  <c r="C258"/>
  <c r="C257"/>
  <c r="F257"/>
  <c r="C256"/>
  <c r="C255"/>
  <c r="C254"/>
  <c r="F254"/>
  <c r="C253"/>
  <c r="C252"/>
  <c r="C251"/>
  <c r="F251"/>
  <c r="C250"/>
  <c r="C249"/>
  <c r="C248"/>
  <c r="F248"/>
  <c r="C247"/>
  <c r="C246"/>
  <c r="C245"/>
  <c r="F245"/>
  <c r="C244"/>
  <c r="C243"/>
  <c r="C242"/>
  <c r="F242"/>
  <c r="C241"/>
  <c r="F241"/>
  <c r="C240"/>
  <c r="F240"/>
  <c r="C239"/>
  <c r="C238"/>
  <c r="C237"/>
  <c r="C236"/>
  <c r="F236"/>
  <c r="C235"/>
  <c r="F235"/>
  <c r="C234"/>
  <c r="C233"/>
  <c r="C232"/>
  <c r="C231"/>
  <c r="C230"/>
  <c r="F230"/>
  <c r="C229"/>
  <c r="C228"/>
  <c r="C227"/>
  <c r="F227"/>
  <c r="C226"/>
  <c r="C225"/>
  <c r="C224"/>
  <c r="F224"/>
  <c r="C223"/>
  <c r="F223"/>
  <c r="C222"/>
  <c r="F222"/>
  <c r="C221"/>
  <c r="F221"/>
  <c r="C220"/>
  <c r="F220"/>
  <c r="C219"/>
  <c r="F219"/>
  <c r="C218"/>
  <c r="F218"/>
  <c r="C217"/>
  <c r="F217"/>
  <c r="C216"/>
  <c r="F216"/>
  <c r="C215"/>
  <c r="F215"/>
  <c r="C214"/>
  <c r="F214"/>
  <c r="C213"/>
  <c r="F213"/>
  <c r="C212"/>
  <c r="F212"/>
  <c r="C211"/>
  <c r="F211"/>
  <c r="C210"/>
  <c r="F210"/>
  <c r="C209"/>
  <c r="C208"/>
  <c r="C207"/>
  <c r="C206"/>
  <c r="C205"/>
  <c r="C204"/>
  <c r="C203"/>
  <c r="C202"/>
  <c r="C201"/>
  <c r="C200"/>
  <c r="C199"/>
  <c r="C198"/>
  <c r="C197"/>
  <c r="C196"/>
  <c r="C195"/>
  <c r="C194"/>
  <c r="C193"/>
  <c r="C192"/>
  <c r="C191"/>
  <c r="C190"/>
  <c r="C189"/>
  <c r="C188"/>
  <c r="C187"/>
  <c r="C186"/>
  <c r="C185"/>
  <c r="C184"/>
  <c r="C183"/>
  <c r="C182"/>
  <c r="C181"/>
  <c r="C180"/>
  <c r="C179"/>
  <c r="F179"/>
  <c r="C178"/>
  <c r="F178"/>
  <c r="C177"/>
  <c r="C176"/>
  <c r="F176"/>
  <c r="C175"/>
  <c r="F175"/>
  <c r="C174"/>
  <c r="F174"/>
  <c r="C173"/>
  <c r="F173"/>
  <c r="C172"/>
  <c r="C171"/>
  <c r="C170"/>
  <c r="F170"/>
  <c r="C169"/>
  <c r="C168"/>
  <c r="C167"/>
  <c r="F167"/>
  <c r="C166"/>
  <c r="F166"/>
  <c r="C165"/>
  <c r="F165"/>
  <c r="C164"/>
  <c r="F164"/>
  <c r="C163"/>
  <c r="F163"/>
  <c r="C162"/>
  <c r="F162"/>
  <c r="C161"/>
  <c r="F161"/>
  <c r="C160"/>
  <c r="F160"/>
  <c r="C159"/>
  <c r="F159"/>
  <c r="C158"/>
  <c r="F158"/>
  <c r="C157"/>
  <c r="F157"/>
  <c r="C156"/>
  <c r="F156"/>
  <c r="C155"/>
  <c r="F155"/>
  <c r="C154"/>
  <c r="F154"/>
  <c r="C153"/>
  <c r="F153"/>
  <c r="C152"/>
  <c r="F152"/>
  <c r="C151"/>
  <c r="F151"/>
  <c r="C150"/>
  <c r="F150"/>
  <c r="C149"/>
  <c r="C148"/>
  <c r="C147"/>
  <c r="C146"/>
  <c r="F146"/>
  <c r="C145"/>
  <c r="C144"/>
  <c r="C143"/>
  <c r="F143"/>
  <c r="C142"/>
  <c r="C141"/>
  <c r="C140"/>
  <c r="F140"/>
  <c r="C139"/>
  <c r="C138"/>
  <c r="C137"/>
  <c r="F137"/>
  <c r="C136"/>
  <c r="C135"/>
  <c r="C134"/>
  <c r="F134"/>
  <c r="C133"/>
  <c r="C132"/>
  <c r="C131"/>
  <c r="F131"/>
  <c r="C130"/>
  <c r="F130"/>
  <c r="C129"/>
  <c r="C128"/>
  <c r="F128"/>
  <c r="C127"/>
  <c r="C126"/>
  <c r="C125"/>
  <c r="F125"/>
  <c r="C124"/>
  <c r="C123"/>
  <c r="C122"/>
  <c r="C121"/>
  <c r="C120"/>
  <c r="C119"/>
  <c r="F119"/>
  <c r="C118"/>
  <c r="C117"/>
  <c r="C116"/>
  <c r="F116"/>
  <c r="C115"/>
  <c r="C114"/>
  <c r="C113"/>
  <c r="F113"/>
  <c r="C112"/>
  <c r="C111"/>
  <c r="C110"/>
  <c r="C109"/>
  <c r="C108"/>
  <c r="F108"/>
  <c r="C107"/>
  <c r="C106"/>
  <c r="C105"/>
  <c r="F105"/>
  <c r="C104"/>
  <c r="C103"/>
  <c r="C102"/>
  <c r="F102"/>
  <c r="C101"/>
  <c r="C100"/>
  <c r="C99"/>
  <c r="F99"/>
  <c r="C98"/>
  <c r="F98"/>
  <c r="C97"/>
  <c r="C96"/>
  <c r="F96"/>
  <c r="C95"/>
  <c r="F95"/>
  <c r="C94"/>
  <c r="F94"/>
  <c r="C93"/>
  <c r="F93"/>
  <c r="C92"/>
  <c r="F92"/>
  <c r="C91"/>
  <c r="F91"/>
  <c r="C90"/>
  <c r="F90"/>
  <c r="C89"/>
  <c r="F89"/>
  <c r="C88"/>
  <c r="F88"/>
  <c r="C87"/>
  <c r="F87"/>
  <c r="C86"/>
  <c r="F86"/>
  <c r="C85"/>
  <c r="F85"/>
  <c r="C84"/>
  <c r="F84"/>
  <c r="C83"/>
  <c r="F83"/>
  <c r="C82"/>
  <c r="F82"/>
  <c r="C81"/>
  <c r="F81"/>
  <c r="C80"/>
  <c r="F80"/>
  <c r="C79"/>
  <c r="F79"/>
  <c r="C78"/>
  <c r="C77"/>
  <c r="C76"/>
  <c r="C75"/>
  <c r="F75"/>
  <c r="C74"/>
  <c r="F74"/>
  <c r="C73"/>
  <c r="F73"/>
  <c r="C72"/>
  <c r="F72"/>
  <c r="C71"/>
  <c r="C70"/>
  <c r="C69"/>
  <c r="F69"/>
  <c r="C68"/>
  <c r="C67"/>
  <c r="C65"/>
  <c r="C64"/>
  <c r="C63"/>
  <c r="F63"/>
  <c r="C62"/>
  <c r="C61"/>
  <c r="C60"/>
  <c r="F60"/>
  <c r="C59"/>
  <c r="C58"/>
  <c r="C57"/>
  <c r="F57"/>
  <c r="C56"/>
  <c r="C55"/>
  <c r="C54"/>
  <c r="F54"/>
  <c r="C53"/>
  <c r="C52"/>
  <c r="C51"/>
  <c r="F51"/>
  <c r="C50"/>
  <c r="C49"/>
  <c r="C48"/>
  <c r="C47"/>
  <c r="C46"/>
  <c r="C45"/>
  <c r="C44"/>
  <c r="C43"/>
  <c r="C42"/>
  <c r="C41"/>
  <c r="C40"/>
  <c r="C39"/>
  <c r="F39"/>
  <c r="C38"/>
  <c r="F38"/>
  <c r="C37"/>
  <c r="C36"/>
  <c r="C35"/>
  <c r="C34"/>
  <c r="C33"/>
  <c r="F33"/>
  <c r="C32"/>
  <c r="F32"/>
  <c r="C31"/>
  <c r="C30"/>
  <c r="C29"/>
  <c r="C28"/>
  <c r="C27"/>
  <c r="F27"/>
  <c r="C26"/>
  <c r="F26"/>
  <c r="C25"/>
  <c r="C24"/>
  <c r="F24"/>
  <c r="C23"/>
  <c r="F23"/>
  <c r="C22"/>
  <c r="C21"/>
  <c r="F21"/>
  <c r="C20"/>
  <c r="F20"/>
  <c r="C19"/>
  <c r="F19"/>
  <c r="C18"/>
  <c r="F18"/>
  <c r="C17"/>
  <c r="C16"/>
  <c r="C15"/>
  <c r="F15"/>
  <c r="C14"/>
  <c r="F14"/>
  <c r="C13"/>
  <c r="C12"/>
  <c r="C11"/>
  <c r="F11"/>
  <c r="C10"/>
  <c r="C9"/>
  <c r="C8"/>
  <c r="C7"/>
  <c r="C5"/>
  <c r="F5"/>
  <c r="C4"/>
  <c r="F4"/>
  <c r="C3"/>
  <c r="F3"/>
  <c r="C2"/>
  <c r="D164" i="60"/>
  <c r="D161"/>
  <c r="C636" i="58"/>
  <c r="F8"/>
  <c r="F40"/>
  <c r="F48"/>
  <c r="F52"/>
  <c r="F56"/>
  <c r="F64"/>
  <c r="F97"/>
  <c r="F101"/>
  <c r="F109"/>
  <c r="F117"/>
  <c r="F133"/>
  <c r="F141"/>
  <c r="F149"/>
  <c r="F169"/>
  <c r="F177"/>
  <c r="F185"/>
  <c r="F193"/>
  <c r="F201"/>
  <c r="F209"/>
  <c r="F225"/>
  <c r="F233"/>
  <c r="F237"/>
  <c r="F253"/>
  <c r="F289"/>
  <c r="F305"/>
  <c r="F313"/>
  <c r="F321"/>
  <c r="F345"/>
  <c r="F361"/>
  <c r="F369"/>
  <c r="F386"/>
  <c r="F418"/>
  <c r="F434"/>
  <c r="F438"/>
  <c r="F450"/>
  <c r="F454"/>
  <c r="F466"/>
  <c r="F470"/>
  <c r="F483"/>
  <c r="F499"/>
  <c r="F523"/>
  <c r="F527"/>
  <c r="F531"/>
  <c r="F535"/>
  <c r="F543"/>
  <c r="F547"/>
  <c r="F555"/>
  <c r="F567"/>
  <c r="F575"/>
  <c r="F579"/>
  <c r="F599"/>
  <c r="F603"/>
  <c r="F607"/>
  <c r="F624"/>
  <c r="F632"/>
  <c r="F9"/>
  <c r="F13"/>
  <c r="F17"/>
  <c r="F25"/>
  <c r="F29"/>
  <c r="F37"/>
  <c r="F45"/>
  <c r="F53"/>
  <c r="F106"/>
  <c r="F114"/>
  <c r="F122"/>
  <c r="F138"/>
  <c r="F190"/>
  <c r="F198"/>
  <c r="F206"/>
  <c r="F238"/>
  <c r="F246"/>
  <c r="F250"/>
  <c r="F258"/>
  <c r="F274"/>
  <c r="F282"/>
  <c r="F290"/>
  <c r="F298"/>
  <c r="F302"/>
  <c r="F310"/>
  <c r="F318"/>
  <c r="F362"/>
  <c r="F370"/>
  <c r="F378"/>
  <c r="F387"/>
  <c r="F395"/>
  <c r="F439"/>
  <c r="F471"/>
  <c r="F492"/>
  <c r="F516"/>
  <c r="F552"/>
  <c r="F556"/>
  <c r="F560"/>
  <c r="F564"/>
  <c r="F572"/>
  <c r="F10"/>
  <c r="F22"/>
  <c r="F30"/>
  <c r="F34"/>
  <c r="F42"/>
  <c r="F62"/>
  <c r="F107"/>
  <c r="F147"/>
  <c r="F171"/>
  <c r="F187"/>
  <c r="F195"/>
  <c r="F203"/>
  <c r="F207"/>
  <c r="F243"/>
  <c r="F287"/>
  <c r="F311"/>
  <c r="F319"/>
  <c r="F335"/>
  <c r="F343"/>
  <c r="F379"/>
  <c r="F396"/>
  <c r="F408"/>
  <c r="F412"/>
  <c r="F420"/>
  <c r="F424"/>
  <c r="F436"/>
  <c r="F440"/>
  <c r="F444"/>
  <c r="F448"/>
  <c r="F452"/>
  <c r="F456"/>
  <c r="F460"/>
  <c r="F464"/>
  <c r="F472"/>
  <c r="F481"/>
  <c r="F485"/>
  <c r="F497"/>
  <c r="F501"/>
  <c r="F505"/>
  <c r="F509"/>
  <c r="F513"/>
  <c r="F525"/>
  <c r="F533"/>
  <c r="F537"/>
  <c r="F541"/>
  <c r="F553"/>
  <c r="F557"/>
  <c r="F561"/>
  <c r="F569"/>
  <c r="F573"/>
  <c r="F581"/>
  <c r="F585"/>
  <c r="F593"/>
  <c r="F605"/>
  <c r="F609"/>
  <c r="F613"/>
  <c r="F630"/>
  <c r="F634"/>
  <c r="F12"/>
  <c r="F16"/>
  <c r="F28"/>
  <c r="F36"/>
  <c r="F44"/>
  <c r="F77"/>
  <c r="F121"/>
  <c r="F129"/>
  <c r="F145"/>
  <c r="F181"/>
  <c r="F189"/>
  <c r="F197"/>
  <c r="F205"/>
  <c r="F229"/>
  <c r="F249"/>
  <c r="F273"/>
  <c r="F277"/>
  <c r="F285"/>
  <c r="F301"/>
  <c r="F309"/>
  <c r="F333"/>
  <c r="F357"/>
  <c r="F365"/>
  <c r="F373"/>
  <c r="F381"/>
  <c r="F402"/>
  <c r="F414"/>
  <c r="F442"/>
  <c r="F446"/>
  <c r="F458"/>
  <c r="F462"/>
  <c r="F474"/>
  <c r="F479"/>
  <c r="F495"/>
  <c r="F503"/>
  <c r="F507"/>
  <c r="F519"/>
  <c r="F551"/>
  <c r="F559"/>
  <c r="F563"/>
  <c r="F571"/>
  <c r="F587"/>
  <c r="F595"/>
  <c r="F41"/>
  <c r="F49"/>
  <c r="F65"/>
  <c r="F70"/>
  <c r="F78"/>
  <c r="F110"/>
  <c r="F118"/>
  <c r="F126"/>
  <c r="F142"/>
  <c r="F182"/>
  <c r="F186"/>
  <c r="F194"/>
  <c r="F202"/>
  <c r="F226"/>
  <c r="F234"/>
  <c r="F278"/>
  <c r="F286"/>
  <c r="F306"/>
  <c r="F314"/>
  <c r="F322"/>
  <c r="F326"/>
  <c r="F342"/>
  <c r="F350"/>
  <c r="F358"/>
  <c r="F366"/>
  <c r="F383"/>
  <c r="F391"/>
  <c r="F415"/>
  <c r="F419"/>
  <c r="F427"/>
  <c r="F447"/>
  <c r="F451"/>
  <c r="F455"/>
  <c r="F459"/>
  <c r="F467"/>
  <c r="F475"/>
  <c r="F488"/>
  <c r="F496"/>
  <c r="F500"/>
  <c r="F504"/>
  <c r="F508"/>
  <c r="F524"/>
  <c r="F528"/>
  <c r="F532"/>
  <c r="F536"/>
  <c r="F540"/>
  <c r="F548"/>
  <c r="F576"/>
  <c r="F580"/>
  <c r="F584"/>
  <c r="F600"/>
  <c r="F604"/>
  <c r="F608"/>
  <c r="F633"/>
  <c r="F46"/>
  <c r="F50"/>
  <c r="F58"/>
  <c r="F67"/>
  <c r="F71"/>
  <c r="F103"/>
  <c r="F111"/>
  <c r="F115"/>
  <c r="F123"/>
  <c r="F127"/>
  <c r="F135"/>
  <c r="F139"/>
  <c r="F183"/>
  <c r="F191"/>
  <c r="F199"/>
  <c r="F231"/>
  <c r="F239"/>
  <c r="F247"/>
  <c r="F255"/>
  <c r="F259"/>
  <c r="F275"/>
  <c r="F283"/>
  <c r="F291"/>
  <c r="F307"/>
  <c r="F315"/>
  <c r="F323"/>
  <c r="F327"/>
  <c r="F347"/>
  <c r="F351"/>
  <c r="F359"/>
  <c r="F367"/>
  <c r="F375"/>
  <c r="F7"/>
  <c r="F31"/>
  <c r="F35"/>
  <c r="F43"/>
  <c r="F47"/>
  <c r="F55"/>
  <c r="F59"/>
  <c r="F68"/>
  <c r="F76"/>
  <c r="F100"/>
  <c r="F104"/>
  <c r="F112"/>
  <c r="F120"/>
  <c r="F124"/>
  <c r="F132"/>
  <c r="F136"/>
  <c r="F144"/>
  <c r="F148"/>
  <c r="F168"/>
  <c r="F172"/>
  <c r="F180"/>
  <c r="F184"/>
  <c r="F188"/>
  <c r="F192"/>
  <c r="F196"/>
  <c r="F200"/>
  <c r="F204"/>
  <c r="F208"/>
  <c r="F228"/>
  <c r="F232"/>
  <c r="F244"/>
  <c r="F252"/>
  <c r="F256"/>
  <c r="F260"/>
  <c r="F276"/>
  <c r="F284"/>
  <c r="F288"/>
  <c r="F292"/>
  <c r="F312"/>
  <c r="F316"/>
  <c r="F320"/>
  <c r="F324"/>
  <c r="F336"/>
  <c r="F340"/>
  <c r="F344"/>
  <c r="F356"/>
  <c r="F360"/>
  <c r="F364"/>
  <c r="F372"/>
  <c r="F376"/>
  <c r="F380"/>
  <c r="F385"/>
  <c r="F389"/>
  <c r="F393"/>
  <c r="F397"/>
  <c r="F417"/>
  <c r="F425"/>
  <c r="F433"/>
  <c r="F437"/>
  <c r="F441"/>
  <c r="F445"/>
  <c r="F449"/>
  <c r="F453"/>
  <c r="F457"/>
  <c r="F461"/>
  <c r="F465"/>
  <c r="F469"/>
  <c r="F473"/>
  <c r="F477"/>
  <c r="F482"/>
  <c r="F486"/>
  <c r="F498"/>
  <c r="F502"/>
  <c r="F506"/>
  <c r="F510"/>
  <c r="F514"/>
  <c r="F518"/>
  <c r="F526"/>
  <c r="F542"/>
  <c r="F546"/>
  <c r="F550"/>
  <c r="F554"/>
  <c r="F566"/>
  <c r="F570"/>
  <c r="F574"/>
  <c r="F578"/>
  <c r="F598"/>
  <c r="F602"/>
  <c r="F606"/>
  <c r="F610"/>
  <c r="F619"/>
  <c r="F623"/>
  <c r="F627"/>
  <c r="F631"/>
  <c r="F635"/>
  <c r="F2"/>
  <c r="F394"/>
  <c r="C114" i="49"/>
  <c r="F329" i="58"/>
  <c r="C62" i="24"/>
  <c r="F61" i="58"/>
  <c r="F66"/>
  <c r="F421"/>
  <c r="F544"/>
  <c r="F515"/>
  <c r="C94" i="49"/>
  <c r="F423" i="58"/>
  <c r="C72" i="24"/>
  <c r="F300" i="58"/>
  <c r="C82" i="49"/>
  <c r="F413" i="58"/>
  <c r="E265" i="60"/>
  <c r="C109" i="24"/>
  <c r="C111"/>
  <c r="C45"/>
  <c r="C10" i="49"/>
  <c r="C42"/>
  <c r="C124" i="24"/>
  <c r="C23"/>
  <c r="C111" i="49"/>
  <c r="C110" i="24"/>
  <c r="C133" i="49"/>
  <c r="C80" i="24"/>
  <c r="C84"/>
  <c r="C51" i="15"/>
  <c r="F31"/>
  <c r="F30"/>
  <c r="F11"/>
  <c r="F15"/>
  <c r="F16"/>
  <c r="F42"/>
  <c r="F49"/>
  <c r="F33"/>
  <c r="F50"/>
  <c r="F54"/>
  <c r="C79" i="49"/>
  <c r="A58" i="65"/>
  <c r="F38" i="32"/>
  <c r="D20" i="34"/>
  <c r="E44" i="73"/>
  <c r="J53"/>
  <c r="I53"/>
  <c r="J42"/>
  <c r="I39"/>
  <c r="M16"/>
  <c r="F27"/>
  <c r="F24"/>
  <c r="F26"/>
  <c r="L24"/>
  <c r="K26"/>
  <c r="J24"/>
  <c r="I24"/>
  <c r="J29"/>
  <c r="I27"/>
  <c r="G11"/>
  <c r="J21"/>
  <c r="J9"/>
  <c r="L6" i="26"/>
  <c r="F5" i="34"/>
  <c r="C20" i="26"/>
  <c r="E97" i="73"/>
  <c r="E96"/>
  <c r="H95"/>
  <c r="H97"/>
  <c r="E95"/>
  <c r="H90"/>
  <c r="G90"/>
  <c r="F90"/>
  <c r="E89"/>
  <c r="E88"/>
  <c r="E87"/>
  <c r="D85"/>
  <c r="F82"/>
  <c r="E82"/>
  <c r="H83"/>
  <c r="G83"/>
  <c r="G85"/>
  <c r="F81"/>
  <c r="F79"/>
  <c r="E79"/>
  <c r="F78"/>
  <c r="E78"/>
  <c r="F77"/>
  <c r="F76"/>
  <c r="E76"/>
  <c r="F75"/>
  <c r="E75"/>
  <c r="E74"/>
  <c r="F73"/>
  <c r="F72"/>
  <c r="E72"/>
  <c r="F71"/>
  <c r="G68"/>
  <c r="F67"/>
  <c r="F68"/>
  <c r="H65"/>
  <c r="H68"/>
  <c r="E65"/>
  <c r="E68"/>
  <c r="G53"/>
  <c r="G46"/>
  <c r="F44"/>
  <c r="G37"/>
  <c r="E35"/>
  <c r="G29"/>
  <c r="E28"/>
  <c r="E27"/>
  <c r="M20"/>
  <c r="E26"/>
  <c r="M19"/>
  <c r="E25"/>
  <c r="M18"/>
  <c r="E22"/>
  <c r="M15"/>
  <c r="G19"/>
  <c r="F18"/>
  <c r="E18"/>
  <c r="E17"/>
  <c r="E16"/>
  <c r="E15"/>
  <c r="E13"/>
  <c r="F12"/>
  <c r="E12"/>
  <c r="F11"/>
  <c r="E11"/>
  <c r="E73"/>
  <c r="F83"/>
  <c r="E19"/>
  <c r="G55"/>
  <c r="G92"/>
  <c r="G98"/>
  <c r="H85"/>
  <c r="H92"/>
  <c r="H98"/>
  <c r="F85"/>
  <c r="F29"/>
  <c r="G57"/>
  <c r="G31"/>
  <c r="E90"/>
  <c r="F19"/>
  <c r="F46"/>
  <c r="E24"/>
  <c r="E71"/>
  <c r="E29"/>
  <c r="E31"/>
  <c r="M17"/>
  <c r="F31"/>
  <c r="E83"/>
  <c r="E85"/>
  <c r="E92"/>
  <c r="E98"/>
  <c r="F92"/>
  <c r="F98"/>
  <c r="F31" i="66"/>
  <c r="F32"/>
  <c r="D31"/>
  <c r="D32"/>
  <c r="C31"/>
  <c r="C32"/>
  <c r="B31"/>
  <c r="B32"/>
  <c r="E26"/>
  <c r="E31"/>
  <c r="E32"/>
  <c r="B2" i="72"/>
  <c r="B1"/>
  <c r="D46" i="49"/>
  <c r="D90"/>
  <c r="E108" i="66"/>
  <c r="E109"/>
  <c r="E105"/>
  <c r="E106"/>
  <c r="D108"/>
  <c r="D109"/>
  <c r="D105"/>
  <c r="D106"/>
  <c r="C67"/>
  <c r="A67"/>
  <c r="A66"/>
  <c r="A65"/>
  <c r="A64"/>
  <c r="E54"/>
  <c r="A62" i="65"/>
  <c r="A65"/>
  <c r="A64"/>
  <c r="A63"/>
  <c r="A61"/>
  <c r="A60"/>
  <c r="A59"/>
  <c r="A54"/>
  <c r="A53"/>
  <c r="A52"/>
  <c r="A51"/>
  <c r="D50"/>
  <c r="E50"/>
  <c r="A50"/>
  <c r="B46"/>
  <c r="C46"/>
  <c r="A46"/>
  <c r="A48"/>
  <c r="A47"/>
  <c r="G71" i="72"/>
  <c r="G70"/>
  <c r="F69"/>
  <c r="G69"/>
  <c r="D69"/>
  <c r="G68"/>
  <c r="D68"/>
  <c r="G67"/>
  <c r="G66"/>
  <c r="G72"/>
  <c r="F64"/>
  <c r="G64"/>
  <c r="D64"/>
  <c r="E26"/>
  <c r="E27"/>
  <c r="F72"/>
  <c r="F73"/>
  <c r="D66"/>
  <c r="C100" i="49"/>
  <c r="C50"/>
  <c r="D50"/>
  <c r="D72" i="72"/>
  <c r="B16" i="63"/>
  <c r="B15"/>
  <c r="L12" i="26"/>
  <c r="L10"/>
  <c r="C125" i="24"/>
  <c r="D24" i="31"/>
  <c r="C28" i="15"/>
  <c r="D27" i="65"/>
  <c r="B64"/>
  <c r="C64"/>
  <c r="G27"/>
  <c r="C47" i="49"/>
  <c r="D47"/>
  <c r="E41" i="31"/>
  <c r="G23" i="65"/>
  <c r="D60"/>
  <c r="E60"/>
  <c r="D67" i="66"/>
  <c r="E67"/>
  <c r="C66"/>
  <c r="E66"/>
  <c r="D64" i="65"/>
  <c r="E64"/>
  <c r="D23"/>
  <c r="B60"/>
  <c r="C60"/>
  <c r="F164" i="60"/>
  <c r="F161"/>
  <c r="D12" i="49"/>
  <c r="D8"/>
  <c r="D13"/>
  <c r="D9"/>
  <c r="E16" i="72"/>
  <c r="E17"/>
  <c r="D25" i="49"/>
  <c r="D27"/>
  <c r="D7"/>
  <c r="D11"/>
  <c r="D240" i="60"/>
  <c r="D231"/>
  <c r="D142"/>
  <c r="D236"/>
  <c r="D110"/>
  <c r="D226"/>
  <c r="D247"/>
  <c r="D252"/>
  <c r="D251"/>
  <c r="D82"/>
  <c r="D223"/>
  <c r="D72"/>
  <c r="D73"/>
  <c r="D71"/>
  <c r="D228"/>
  <c r="D22"/>
  <c r="D14" i="49"/>
  <c r="D15"/>
  <c r="D207" i="60"/>
  <c r="D218"/>
  <c r="D154"/>
  <c r="D242"/>
  <c r="D211"/>
  <c r="D201"/>
  <c r="D155"/>
  <c r="D99"/>
  <c r="D104"/>
  <c r="D93"/>
  <c r="D80"/>
  <c r="E35" i="31"/>
  <c r="D21" i="49"/>
  <c r="D269" i="60"/>
  <c r="D265"/>
  <c r="D264"/>
  <c r="D253"/>
  <c r="D171"/>
  <c r="D173"/>
  <c r="D170"/>
  <c r="D169"/>
  <c r="D168"/>
  <c r="D167"/>
  <c r="D166"/>
  <c r="D165"/>
  <c r="D162"/>
  <c r="D204"/>
  <c r="D225"/>
  <c r="D199"/>
  <c r="D183"/>
  <c r="D212"/>
  <c r="D249"/>
  <c r="D68"/>
  <c r="D215"/>
  <c r="D214"/>
  <c r="D248"/>
  <c r="D246"/>
  <c r="D94"/>
  <c r="D245"/>
  <c r="D244"/>
  <c r="D241"/>
  <c r="D192"/>
  <c r="D217"/>
  <c r="D191"/>
  <c r="D114"/>
  <c r="D195"/>
  <c r="D243"/>
  <c r="D152"/>
  <c r="D98"/>
  <c r="D96"/>
  <c r="D107"/>
  <c r="D235"/>
  <c r="D233"/>
  <c r="D113"/>
  <c r="D222"/>
  <c r="D224"/>
  <c r="D198"/>
  <c r="D208"/>
  <c r="D122"/>
  <c r="D121"/>
  <c r="D202"/>
  <c r="D112"/>
  <c r="D101"/>
  <c r="D133"/>
  <c r="D130"/>
  <c r="D138"/>
  <c r="D144"/>
  <c r="D143"/>
  <c r="D141"/>
  <c r="D140"/>
  <c r="D137"/>
  <c r="D136"/>
  <c r="D135"/>
  <c r="D131"/>
  <c r="D129"/>
  <c r="D128"/>
  <c r="D97"/>
  <c r="D126"/>
  <c r="D77"/>
  <c r="D10"/>
  <c r="D9"/>
  <c r="D250"/>
  <c r="D221"/>
  <c r="D153"/>
  <c r="D196"/>
  <c r="D103"/>
  <c r="D108"/>
  <c r="D197"/>
  <c r="D105"/>
  <c r="D106"/>
  <c r="D232"/>
  <c r="D230"/>
  <c r="D87"/>
  <c r="D88"/>
  <c r="D89"/>
  <c r="D91"/>
  <c r="D90"/>
  <c r="D109"/>
  <c r="D254"/>
  <c r="D70"/>
  <c r="D209"/>
  <c r="D69"/>
  <c r="D67"/>
  <c r="D81"/>
  <c r="D76"/>
  <c r="D227"/>
  <c r="D75"/>
  <c r="D66"/>
  <c r="D65"/>
  <c r="D64"/>
  <c r="D40"/>
  <c r="D52"/>
  <c r="D53"/>
  <c r="D50"/>
  <c r="D49"/>
  <c r="D48"/>
  <c r="D47"/>
  <c r="D46"/>
  <c r="D21"/>
  <c r="D45"/>
  <c r="D39"/>
  <c r="D38"/>
  <c r="D37"/>
  <c r="D36"/>
  <c r="D34"/>
  <c r="D33"/>
  <c r="D32"/>
  <c r="D31"/>
  <c r="D30"/>
  <c r="D29"/>
  <c r="D28"/>
  <c r="D27"/>
  <c r="D26"/>
  <c r="D25"/>
  <c r="D24"/>
  <c r="D20"/>
  <c r="D19"/>
  <c r="D18"/>
  <c r="D17"/>
  <c r="D16"/>
  <c r="D15"/>
  <c r="D14"/>
  <c r="D13"/>
  <c r="D12"/>
  <c r="E39" i="73"/>
  <c r="F39"/>
  <c r="A40" i="63"/>
  <c r="A39"/>
  <c r="A37"/>
  <c r="A36"/>
  <c r="A35"/>
  <c r="A31"/>
  <c r="A30"/>
  <c r="A29"/>
  <c r="E9"/>
  <c r="I8"/>
  <c r="I7"/>
  <c r="I9"/>
  <c r="M45" i="66"/>
  <c r="M46"/>
  <c r="M47"/>
  <c r="M48"/>
  <c r="N48"/>
  <c r="O48"/>
  <c r="P48"/>
  <c r="M49"/>
  <c r="E22" i="63"/>
  <c r="M50" i="66"/>
  <c r="N49"/>
  <c r="O49"/>
  <c r="F10" i="26"/>
  <c r="K10"/>
  <c r="P49" i="66"/>
  <c r="N50"/>
  <c r="O50"/>
  <c r="M51"/>
  <c r="F8" i="26"/>
  <c r="P50" i="66"/>
  <c r="M52"/>
  <c r="N52"/>
  <c r="N51"/>
  <c r="O51"/>
  <c r="D20" i="26"/>
  <c r="P51" i="66"/>
  <c r="O52"/>
  <c r="P52"/>
  <c r="B8" i="63"/>
  <c r="G8"/>
  <c r="K8" i="26"/>
  <c r="H20"/>
  <c r="E66" i="60"/>
  <c r="E70"/>
  <c r="E264"/>
  <c r="E270"/>
  <c r="D34" i="23"/>
  <c r="F13" i="34"/>
  <c r="D29" i="49"/>
  <c r="D24"/>
  <c r="D108"/>
  <c r="C69" i="24"/>
  <c r="G18" i="65"/>
  <c r="D54"/>
  <c r="E54"/>
  <c r="C94" i="24"/>
  <c r="G17" i="65"/>
  <c r="D51"/>
  <c r="E51"/>
  <c r="C102" i="24"/>
  <c r="C103"/>
  <c r="C105"/>
  <c r="C112"/>
  <c r="G13" i="65"/>
  <c r="C38" i="24"/>
  <c r="C39"/>
  <c r="C40"/>
  <c r="C41"/>
  <c r="C42"/>
  <c r="C43"/>
  <c r="C44"/>
  <c r="C46"/>
  <c r="D74" i="49"/>
  <c r="D78"/>
  <c r="D77"/>
  <c r="D93"/>
  <c r="D91"/>
  <c r="D92"/>
  <c r="C116"/>
  <c r="C117"/>
  <c r="C118"/>
  <c r="C119"/>
  <c r="C120"/>
  <c r="C121"/>
  <c r="C122"/>
  <c r="C123"/>
  <c r="C124"/>
  <c r="C125"/>
  <c r="C126"/>
  <c r="C127"/>
  <c r="C128"/>
  <c r="C130"/>
  <c r="C135"/>
  <c r="D110"/>
  <c r="D111"/>
  <c r="D113"/>
  <c r="D114"/>
  <c r="D115"/>
  <c r="D116"/>
  <c r="D117"/>
  <c r="D118"/>
  <c r="D119"/>
  <c r="D120"/>
  <c r="D121"/>
  <c r="D122"/>
  <c r="D123"/>
  <c r="D124"/>
  <c r="D125"/>
  <c r="D126"/>
  <c r="D127"/>
  <c r="D128"/>
  <c r="D129"/>
  <c r="D22" i="54"/>
  <c r="D23"/>
  <c r="C35" i="15"/>
  <c r="C36"/>
  <c r="L28" i="26"/>
  <c r="E61" i="66"/>
  <c r="F6" i="60"/>
  <c r="J6" i="26"/>
  <c r="J14"/>
  <c r="J16"/>
  <c r="J18"/>
  <c r="F24"/>
  <c r="K24"/>
  <c r="G49" i="32"/>
  <c r="G44"/>
  <c r="G38"/>
  <c r="F44"/>
  <c r="F48"/>
  <c r="F49"/>
  <c r="F46"/>
  <c r="F45"/>
  <c r="F40"/>
  <c r="F39"/>
  <c r="B31" i="34"/>
  <c r="B30"/>
  <c r="B28"/>
  <c r="B27"/>
  <c r="B26"/>
  <c r="B22"/>
  <c r="B21"/>
  <c r="B20"/>
  <c r="E64" i="15"/>
  <c r="C38" i="23"/>
  <c r="B38"/>
  <c r="I50" i="66"/>
  <c r="I51"/>
  <c r="E98"/>
  <c r="E91"/>
  <c r="E78"/>
  <c r="E77"/>
  <c r="E76"/>
  <c r="E72"/>
  <c r="E73"/>
  <c r="E74"/>
  <c r="E75"/>
  <c r="D79"/>
  <c r="B19" i="65"/>
  <c r="C19"/>
  <c r="G55"/>
  <c r="F55"/>
  <c r="I29"/>
  <c r="H29"/>
  <c r="I19"/>
  <c r="H19"/>
  <c r="F19"/>
  <c r="E19"/>
  <c r="C79" i="66"/>
  <c r="F66" i="65"/>
  <c r="J19"/>
  <c r="G66"/>
  <c r="J29"/>
  <c r="F22" i="48"/>
  <c r="E22"/>
  <c r="C22"/>
  <c r="D22"/>
  <c r="F11" i="34"/>
  <c r="F9"/>
  <c r="F8"/>
  <c r="F6"/>
  <c r="E6" i="60"/>
  <c r="B1" i="15"/>
  <c r="L8" i="26"/>
  <c r="L16"/>
  <c r="F11" i="48"/>
  <c r="F12"/>
  <c r="C11" i="54"/>
  <c r="L24" i="26"/>
  <c r="C6" i="60"/>
  <c r="F3"/>
  <c r="C1"/>
  <c r="R12" i="54"/>
  <c r="S12"/>
  <c r="D59" i="15"/>
  <c r="D61"/>
  <c r="Q38" i="52"/>
  <c r="B64" i="15"/>
  <c r="B65"/>
  <c r="B66"/>
  <c r="E68"/>
  <c r="D25" i="34"/>
  <c r="B70" i="15"/>
  <c r="B71"/>
  <c r="B72"/>
  <c r="E72"/>
  <c r="D30" i="34"/>
  <c r="B74" i="15"/>
  <c r="B75"/>
  <c r="B51" i="23"/>
  <c r="D42"/>
  <c r="F3" i="34"/>
  <c r="L3" i="26"/>
  <c r="B1"/>
  <c r="B1" i="34"/>
  <c r="D4" i="49"/>
  <c r="D22"/>
  <c r="D40"/>
  <c r="D52"/>
  <c r="C4"/>
  <c r="C22"/>
  <c r="C40"/>
  <c r="C52"/>
  <c r="B4"/>
  <c r="B22"/>
  <c r="B40"/>
  <c r="B52"/>
  <c r="D3"/>
  <c r="B1"/>
  <c r="B4" i="48"/>
  <c r="F3"/>
  <c r="F4"/>
  <c r="E19"/>
  <c r="E26"/>
  <c r="E4"/>
  <c r="C19"/>
  <c r="C26"/>
  <c r="B1"/>
  <c r="E32"/>
  <c r="C29"/>
  <c r="C32"/>
  <c r="B1" i="23"/>
  <c r="D3" i="24"/>
  <c r="D4"/>
  <c r="D13"/>
  <c r="D21"/>
  <c r="D35"/>
  <c r="D50"/>
  <c r="D65"/>
  <c r="D77"/>
  <c r="D87"/>
  <c r="D97"/>
  <c r="D122"/>
  <c r="C4"/>
  <c r="C13"/>
  <c r="C21"/>
  <c r="C35"/>
  <c r="C50"/>
  <c r="C65"/>
  <c r="C77"/>
  <c r="C87"/>
  <c r="C97"/>
  <c r="C122"/>
  <c r="B4"/>
  <c r="B13"/>
  <c r="B21"/>
  <c r="B35"/>
  <c r="B50"/>
  <c r="B65"/>
  <c r="B77"/>
  <c r="B87"/>
  <c r="B97"/>
  <c r="B122"/>
  <c r="C4" i="23"/>
  <c r="B39"/>
  <c r="D50"/>
  <c r="D46"/>
  <c r="B52"/>
  <c r="B50"/>
  <c r="B49"/>
  <c r="B48"/>
  <c r="B44"/>
  <c r="B43"/>
  <c r="B42"/>
  <c r="E3"/>
  <c r="L14" i="26"/>
  <c r="I20"/>
  <c r="G20"/>
  <c r="L18"/>
  <c r="G130" i="49"/>
  <c r="F15" i="34"/>
  <c r="E62" i="66"/>
  <c r="D86" i="49"/>
  <c r="D131"/>
  <c r="D141"/>
  <c r="D95"/>
  <c r="J20" i="26"/>
  <c r="D15" i="67"/>
  <c r="D8" i="31"/>
  <c r="C8" i="24"/>
  <c r="C11"/>
  <c r="D11" i="31"/>
  <c r="C92" i="49"/>
  <c r="C74"/>
  <c r="C8"/>
  <c r="C129"/>
  <c r="C113"/>
  <c r="C91"/>
  <c r="C78"/>
  <c r="C15" i="24"/>
  <c r="D11" i="65"/>
  <c r="C107" i="24"/>
  <c r="C92"/>
  <c r="D18" i="65"/>
  <c r="B54"/>
  <c r="C54"/>
  <c r="C68" i="24"/>
  <c r="C56"/>
  <c r="C52"/>
  <c r="C29" i="49"/>
  <c r="D47" i="66"/>
  <c r="G47"/>
  <c r="C9" i="49"/>
  <c r="C76"/>
  <c r="C16" i="24"/>
  <c r="D12" i="65"/>
  <c r="B50"/>
  <c r="C50"/>
  <c r="C37" i="24"/>
  <c r="C48"/>
  <c r="D14" i="31"/>
  <c r="C17" i="24"/>
  <c r="B48" i="65"/>
  <c r="C48"/>
  <c r="C101" i="24"/>
  <c r="C91"/>
  <c r="D16" i="65"/>
  <c r="B52"/>
  <c r="C52"/>
  <c r="C59" i="24"/>
  <c r="C55"/>
  <c r="C13" i="49"/>
  <c r="E11" i="48"/>
  <c r="E12"/>
  <c r="C12" i="49"/>
  <c r="C134"/>
  <c r="C115"/>
  <c r="C110"/>
  <c r="C109"/>
  <c r="C93"/>
  <c r="D26" i="65"/>
  <c r="C75" i="49"/>
  <c r="C104" i="24"/>
  <c r="C100"/>
  <c r="C60"/>
  <c r="C54"/>
  <c r="C81" i="49"/>
  <c r="K28" i="26"/>
  <c r="C37" i="15"/>
  <c r="C93" i="24"/>
  <c r="D17" i="65"/>
  <c r="B51"/>
  <c r="C51"/>
  <c r="C70" i="24"/>
  <c r="C57"/>
  <c r="C53"/>
  <c r="C52" i="66"/>
  <c r="E52"/>
  <c r="C80" i="49"/>
  <c r="D29" i="48"/>
  <c r="D31" i="31"/>
  <c r="F62" i="60"/>
  <c r="F85"/>
  <c r="F118"/>
  <c r="F124"/>
  <c r="F149"/>
  <c r="F159"/>
  <c r="F180"/>
  <c r="F189"/>
  <c r="F261"/>
  <c r="F272"/>
  <c r="E62"/>
  <c r="E85"/>
  <c r="E118"/>
  <c r="E124"/>
  <c r="E149"/>
  <c r="E159"/>
  <c r="E180"/>
  <c r="E189"/>
  <c r="E261"/>
  <c r="E272"/>
  <c r="C62"/>
  <c r="C85"/>
  <c r="C118"/>
  <c r="C124"/>
  <c r="C149"/>
  <c r="C159"/>
  <c r="C180"/>
  <c r="C189"/>
  <c r="C261"/>
  <c r="C272"/>
  <c r="D71" i="49"/>
  <c r="D88"/>
  <c r="D97"/>
  <c r="D106"/>
  <c r="B71"/>
  <c r="B88"/>
  <c r="B97"/>
  <c r="B106"/>
  <c r="C71"/>
  <c r="C88"/>
  <c r="C97"/>
  <c r="C106"/>
  <c r="G28" i="65"/>
  <c r="D65"/>
  <c r="E65"/>
  <c r="C64" i="66"/>
  <c r="E64"/>
  <c r="G26" i="65"/>
  <c r="D63"/>
  <c r="E63"/>
  <c r="G22"/>
  <c r="D59"/>
  <c r="E59"/>
  <c r="G24"/>
  <c r="D61"/>
  <c r="E61"/>
  <c r="G10"/>
  <c r="D46"/>
  <c r="E46"/>
  <c r="C65" i="66"/>
  <c r="E65"/>
  <c r="C29" i="24"/>
  <c r="C108" i="49"/>
  <c r="C27"/>
  <c r="C48" i="66"/>
  <c r="C25" i="49"/>
  <c r="C24"/>
  <c r="G25" i="65"/>
  <c r="D109" i="49"/>
  <c r="D41" i="31"/>
  <c r="E43" i="73"/>
  <c r="D26" i="49"/>
  <c r="G21" i="65"/>
  <c r="D47"/>
  <c r="K6" i="26"/>
  <c r="L20"/>
  <c r="C47" i="15"/>
  <c r="C20" i="54"/>
  <c r="D20"/>
  <c r="C15" i="67"/>
  <c r="F82" i="60"/>
  <c r="F228"/>
  <c r="F237"/>
  <c r="F109"/>
  <c r="F126"/>
  <c r="F133"/>
  <c r="F140"/>
  <c r="F96"/>
  <c r="F230"/>
  <c r="F217"/>
  <c r="F201"/>
  <c r="F171"/>
  <c r="F88"/>
  <c r="F182"/>
  <c r="F204"/>
  <c r="F212"/>
  <c r="F222"/>
  <c r="F240"/>
  <c r="F101"/>
  <c r="F205"/>
  <c r="F70"/>
  <c r="F122"/>
  <c r="F231"/>
  <c r="F134"/>
  <c r="F130"/>
  <c r="F143"/>
  <c r="F137"/>
  <c r="F129"/>
  <c r="F103"/>
  <c r="F236"/>
  <c r="F235"/>
  <c r="F105"/>
  <c r="F194"/>
  <c r="F221"/>
  <c r="F242"/>
  <c r="F113"/>
  <c r="F151"/>
  <c r="F269"/>
  <c r="E33" i="23"/>
  <c r="E35"/>
  <c r="F265" i="60"/>
  <c r="F170"/>
  <c r="F167"/>
  <c r="F162"/>
  <c r="F89"/>
  <c r="F92"/>
  <c r="F198"/>
  <c r="F207"/>
  <c r="F224"/>
  <c r="F248"/>
  <c r="F250"/>
  <c r="F245"/>
  <c r="F131"/>
  <c r="F97"/>
  <c r="F104"/>
  <c r="F100"/>
  <c r="F243"/>
  <c r="F152"/>
  <c r="F168"/>
  <c r="F93"/>
  <c r="F208"/>
  <c r="F22"/>
  <c r="F121"/>
  <c r="F110"/>
  <c r="F138"/>
  <c r="F142"/>
  <c r="F136"/>
  <c r="F128"/>
  <c r="F108"/>
  <c r="F197"/>
  <c r="F233"/>
  <c r="F106"/>
  <c r="F192"/>
  <c r="F191"/>
  <c r="F195"/>
  <c r="F155"/>
  <c r="F156"/>
  <c r="F264"/>
  <c r="F173"/>
  <c r="F175"/>
  <c r="F166"/>
  <c r="F91"/>
  <c r="F112"/>
  <c r="F193"/>
  <c r="F247"/>
  <c r="F215"/>
  <c r="F196"/>
  <c r="F154"/>
  <c r="F244"/>
  <c r="F69"/>
  <c r="F202"/>
  <c r="F234"/>
  <c r="F144"/>
  <c r="F141"/>
  <c r="F135"/>
  <c r="F127"/>
  <c r="F98"/>
  <c r="F107"/>
  <c r="F232"/>
  <c r="F99"/>
  <c r="F218"/>
  <c r="F114"/>
  <c r="F153"/>
  <c r="F211"/>
  <c r="F266"/>
  <c r="E25" i="23"/>
  <c r="F169" i="60"/>
  <c r="F165"/>
  <c r="F87"/>
  <c r="F90"/>
  <c r="F183"/>
  <c r="F225"/>
  <c r="F199"/>
  <c r="F226"/>
  <c r="F214"/>
  <c r="F246"/>
  <c r="F94"/>
  <c r="F241"/>
  <c r="F29"/>
  <c r="F47"/>
  <c r="F9"/>
  <c r="F223"/>
  <c r="F18"/>
  <c r="F34"/>
  <c r="F49"/>
  <c r="F25"/>
  <c r="F46"/>
  <c r="F12"/>
  <c r="F10"/>
  <c r="F20"/>
  <c r="F227"/>
  <c r="F64"/>
  <c r="F53"/>
  <c r="F17"/>
  <c r="F33"/>
  <c r="F28"/>
  <c r="F24"/>
  <c r="F15"/>
  <c r="F21"/>
  <c r="F32"/>
  <c r="F19"/>
  <c r="F75"/>
  <c r="F50"/>
  <c r="F80"/>
  <c r="F38"/>
  <c r="F36"/>
  <c r="F26"/>
  <c r="F13"/>
  <c r="F30"/>
  <c r="F65"/>
  <c r="F52"/>
  <c r="F39"/>
  <c r="F37"/>
  <c r="F48"/>
  <c r="F27"/>
  <c r="F16"/>
  <c r="F14"/>
  <c r="F45"/>
  <c r="F31"/>
  <c r="F77"/>
  <c r="F76"/>
  <c r="F66"/>
  <c r="F40"/>
  <c r="F79"/>
  <c r="C9" i="54"/>
  <c r="D9"/>
  <c r="C15" i="15"/>
  <c r="C40"/>
  <c r="C22" i="54"/>
  <c r="D48" i="65"/>
  <c r="E48"/>
  <c r="F20" i="26"/>
  <c r="F30"/>
  <c r="C56" i="15"/>
  <c r="G11" i="65"/>
  <c r="C24" i="54"/>
  <c r="D11"/>
  <c r="E79" i="66"/>
  <c r="G16" i="65"/>
  <c r="D52"/>
  <c r="E52"/>
  <c r="F29" i="48"/>
  <c r="F32"/>
  <c r="C131" i="49"/>
  <c r="C137"/>
  <c r="C77"/>
  <c r="C86"/>
  <c r="C95"/>
  <c r="E255" i="60"/>
  <c r="C14" i="15"/>
  <c r="C48"/>
  <c r="C113" i="24"/>
  <c r="D23" i="31"/>
  <c r="E120" i="60"/>
  <c r="B47" i="65"/>
  <c r="C47"/>
  <c r="F210" i="60"/>
  <c r="E12" i="72"/>
  <c r="F238" i="60"/>
  <c r="F256"/>
  <c r="F172"/>
  <c r="F176"/>
  <c r="F74"/>
  <c r="F83"/>
  <c r="F229"/>
  <c r="D137" i="49"/>
  <c r="E49" i="31"/>
  <c r="E50" i="73"/>
  <c r="C7" i="49"/>
  <c r="D28" i="65"/>
  <c r="C53" i="66"/>
  <c r="E53"/>
  <c r="D13" i="65"/>
  <c r="D60" i="66"/>
  <c r="D68"/>
  <c r="D22" i="65"/>
  <c r="B59"/>
  <c r="C59"/>
  <c r="C19" i="24"/>
  <c r="D12" i="31"/>
  <c r="E47" i="66"/>
  <c r="C11" i="49"/>
  <c r="J10" i="32"/>
  <c r="D13" i="72"/>
  <c r="D34"/>
  <c r="C58" i="24"/>
  <c r="C61"/>
  <c r="C63"/>
  <c r="D18" i="31"/>
  <c r="D24" i="65"/>
  <c r="B61"/>
  <c r="C61"/>
  <c r="C23" i="15"/>
  <c r="C95" i="24"/>
  <c r="D22" i="31"/>
  <c r="C19" i="15"/>
  <c r="C71" i="24"/>
  <c r="C3" i="54"/>
  <c r="D35" i="23"/>
  <c r="D7" i="31"/>
  <c r="E51" i="73"/>
  <c r="F185" i="60"/>
  <c r="E16" i="23"/>
  <c r="G14" i="65"/>
  <c r="D49"/>
  <c r="E49"/>
  <c r="C22" i="15"/>
  <c r="D42"/>
  <c r="C29"/>
  <c r="D28" i="49"/>
  <c r="D31"/>
  <c r="E40" i="31"/>
  <c r="D58" i="65"/>
  <c r="E58"/>
  <c r="C63" i="66"/>
  <c r="D62" i="65"/>
  <c r="E62"/>
  <c r="B63"/>
  <c r="C63"/>
  <c r="C51" i="66"/>
  <c r="E51"/>
  <c r="E47" i="65"/>
  <c r="F267" i="60"/>
  <c r="E13" i="72"/>
  <c r="E34"/>
  <c r="F120" i="60"/>
  <c r="C26" i="49"/>
  <c r="C28"/>
  <c r="D147"/>
  <c r="F139" i="60"/>
  <c r="F123"/>
  <c r="E12" i="23"/>
  <c r="F115" i="60"/>
  <c r="F111"/>
  <c r="F95"/>
  <c r="F102"/>
  <c r="F157"/>
  <c r="E14" i="23"/>
  <c r="F213" i="60"/>
  <c r="F216"/>
  <c r="F206"/>
  <c r="F203"/>
  <c r="F145"/>
  <c r="F132"/>
  <c r="E27" i="23"/>
  <c r="F54" i="60"/>
  <c r="F200"/>
  <c r="F220"/>
  <c r="F219"/>
  <c r="F35"/>
  <c r="F41"/>
  <c r="F11"/>
  <c r="F23"/>
  <c r="F51"/>
  <c r="C17" i="54"/>
  <c r="C24" i="15"/>
  <c r="G15" i="65"/>
  <c r="C14" i="49"/>
  <c r="C15"/>
  <c r="B11" i="63"/>
  <c r="C18"/>
  <c r="E18"/>
  <c r="E19"/>
  <c r="E21"/>
  <c r="E23"/>
  <c r="F257" i="60"/>
  <c r="G257"/>
  <c r="F42"/>
  <c r="F43"/>
  <c r="E51" i="31"/>
  <c r="E52" i="73"/>
  <c r="E48" i="31"/>
  <c r="E49" i="73"/>
  <c r="E45"/>
  <c r="B65" i="65"/>
  <c r="C65"/>
  <c r="C75" i="24"/>
  <c r="D51" i="31"/>
  <c r="D48"/>
  <c r="D49"/>
  <c r="C27" i="15"/>
  <c r="E60" i="66"/>
  <c r="C49"/>
  <c r="E49"/>
  <c r="D25" i="65"/>
  <c r="C50" i="66"/>
  <c r="E50"/>
  <c r="C31" i="24"/>
  <c r="D26" i="72"/>
  <c r="D27"/>
  <c r="E45" i="52"/>
  <c r="F45"/>
  <c r="C13" i="15"/>
  <c r="D15"/>
  <c r="E66" i="65"/>
  <c r="D66"/>
  <c r="G29"/>
  <c r="C68" i="66"/>
  <c r="E63"/>
  <c r="D21" i="65"/>
  <c r="G19"/>
  <c r="D53"/>
  <c r="E14" i="72"/>
  <c r="E23"/>
  <c r="E35"/>
  <c r="E15" i="23"/>
  <c r="F55" i="60"/>
  <c r="C20" i="15"/>
  <c r="F116" i="60"/>
  <c r="E11" i="23"/>
  <c r="F146" i="60"/>
  <c r="E13" i="23"/>
  <c r="C21" i="49"/>
  <c r="C147"/>
  <c r="D35" i="31"/>
  <c r="C30" i="15"/>
  <c r="E17" i="23"/>
  <c r="E19"/>
  <c r="C25" i="15"/>
  <c r="E68" i="66"/>
  <c r="C26" i="15"/>
  <c r="D14" i="65"/>
  <c r="B49"/>
  <c r="C49"/>
  <c r="D20" i="31"/>
  <c r="E44"/>
  <c r="E52"/>
  <c r="B62" i="65"/>
  <c r="C62"/>
  <c r="E43" i="60"/>
  <c r="C17" i="15"/>
  <c r="E42" i="73"/>
  <c r="E46"/>
  <c r="C56" i="66"/>
  <c r="B58" i="65"/>
  <c r="D29"/>
  <c r="C31" i="49"/>
  <c r="D40" i="31"/>
  <c r="D44"/>
  <c r="D48" i="66"/>
  <c r="E53" i="65"/>
  <c r="E55"/>
  <c r="D55"/>
  <c r="F56" i="60"/>
  <c r="F59"/>
  <c r="B7" i="63"/>
  <c r="C9"/>
  <c r="C18" i="15"/>
  <c r="J29" i="32"/>
  <c r="E59" i="60"/>
  <c r="E54" i="31"/>
  <c r="D56" i="66"/>
  <c r="E48"/>
  <c r="E56"/>
  <c r="C44" i="15"/>
  <c r="C58" i="65"/>
  <c r="C66"/>
  <c r="B66"/>
  <c r="E6" i="23"/>
  <c r="G7" i="63"/>
  <c r="G9"/>
  <c r="C19"/>
  <c r="C21"/>
  <c r="J15" i="32"/>
  <c r="G15"/>
  <c r="C12" i="54"/>
  <c r="D49" i="15"/>
  <c r="C23" i="63"/>
  <c r="C24"/>
  <c r="C25"/>
  <c r="C30"/>
  <c r="C32"/>
  <c r="C30" i="24"/>
  <c r="C32"/>
  <c r="E33" i="63"/>
  <c r="C14" i="54"/>
  <c r="C24" i="24"/>
  <c r="D14" i="54"/>
  <c r="C57" i="15"/>
  <c r="C59"/>
  <c r="C61"/>
  <c r="C85" i="24"/>
  <c r="D21" i="31"/>
  <c r="D25"/>
  <c r="D16" i="72"/>
  <c r="D17"/>
  <c r="D13" i="31"/>
  <c r="D15"/>
  <c r="C5" i="54"/>
  <c r="D5"/>
  <c r="D25"/>
  <c r="D56" i="23"/>
  <c r="D27" i="31"/>
  <c r="G15"/>
  <c r="G19"/>
  <c r="C52" i="15"/>
  <c r="D53"/>
  <c r="D15" i="65"/>
  <c r="C15" i="54"/>
  <c r="C21" i="15"/>
  <c r="D30"/>
  <c r="C25" i="54"/>
  <c r="C26"/>
  <c r="B53" i="65"/>
  <c r="D19"/>
  <c r="D31" i="72"/>
  <c r="J27" i="32"/>
  <c r="G27"/>
  <c r="E44" i="52"/>
  <c r="B55" i="65"/>
  <c r="C53"/>
  <c r="C55"/>
  <c r="D12" i="72"/>
  <c r="D14"/>
  <c r="D23"/>
  <c r="D35"/>
  <c r="C35"/>
  <c r="E51" i="52"/>
  <c r="D32" i="72"/>
  <c r="C32"/>
  <c r="C34"/>
  <c r="E267" i="60"/>
  <c r="D73" i="72"/>
  <c r="D33"/>
  <c r="C33"/>
  <c r="D30" i="23"/>
  <c r="D36"/>
  <c r="D12" i="34"/>
  <c r="D52" i="31"/>
  <c r="D54"/>
  <c r="D16" i="34"/>
  <c r="D18"/>
  <c r="J31" i="32"/>
  <c r="E274" i="60"/>
  <c r="E277"/>
  <c r="D37" i="23"/>
  <c r="C141" i="49"/>
  <c r="D11" i="15"/>
  <c r="D16"/>
  <c r="F12" i="34"/>
  <c r="E280" i="60"/>
  <c r="E281"/>
  <c r="C18" i="54"/>
  <c r="D18"/>
  <c r="J12" i="32"/>
  <c r="G12"/>
  <c r="J8"/>
  <c r="G8"/>
  <c r="J7"/>
  <c r="G7"/>
  <c r="E7" i="23"/>
  <c r="D31" i="15"/>
  <c r="D33"/>
  <c r="D50"/>
  <c r="D54"/>
  <c r="E8" i="23"/>
  <c r="E21"/>
  <c r="E23"/>
  <c r="E31" i="72"/>
  <c r="E32"/>
  <c r="E26" i="23"/>
  <c r="E28"/>
  <c r="E30"/>
  <c r="E36"/>
  <c r="E33" i="72"/>
  <c r="F7" i="34"/>
  <c r="F10"/>
  <c r="F16"/>
  <c r="F274" i="60"/>
  <c r="F277"/>
  <c r="E37" i="23"/>
  <c r="H6" i="34"/>
  <c r="E32" i="31"/>
  <c r="F32"/>
  <c r="F52" i="73"/>
  <c r="F51"/>
  <c r="F50"/>
  <c r="F49"/>
  <c r="E53"/>
  <c r="E55"/>
  <c r="E17" i="34"/>
  <c r="D32" i="31"/>
  <c r="D33"/>
  <c r="D56"/>
  <c r="E33"/>
  <c r="E56"/>
  <c r="F56"/>
  <c r="E36" i="73"/>
  <c r="F53"/>
  <c r="F55"/>
  <c r="D57" i="31"/>
  <c r="E57"/>
  <c r="J22" i="32"/>
  <c r="D55" i="23"/>
  <c r="J21" i="32"/>
  <c r="G21"/>
  <c r="J17"/>
  <c r="G17"/>
  <c r="F36" i="73"/>
  <c r="F37"/>
  <c r="F57"/>
  <c r="E37"/>
  <c r="E57"/>
  <c r="J24" i="32"/>
  <c r="G24"/>
</calcChain>
</file>

<file path=xl/comments1.xml><?xml version="1.0" encoding="utf-8"?>
<comments xmlns="http://schemas.openxmlformats.org/spreadsheetml/2006/main">
  <authors>
    <author>dell</author>
  </authors>
  <commentList>
    <comment ref="D14" authorId="0">
      <text>
        <r>
          <rPr>
            <b/>
            <sz val="9"/>
            <color indexed="81"/>
            <rFont val="Tahoma"/>
            <family val="2"/>
          </rPr>
          <t>dell:</t>
        </r>
        <r>
          <rPr>
            <sz val="9"/>
            <color indexed="81"/>
            <rFont val="Tahoma"/>
            <family val="2"/>
          </rPr>
          <t xml:space="preserve">
mapping in sap for contract asset current &amp; NC 1710296.11
</t>
        </r>
      </text>
    </comment>
    <comment ref="D24" authorId="0">
      <text>
        <r>
          <rPr>
            <b/>
            <sz val="9"/>
            <color indexed="81"/>
            <rFont val="Tahoma"/>
            <family val="2"/>
          </rPr>
          <t>dell:</t>
        </r>
        <r>
          <rPr>
            <sz val="9"/>
            <color indexed="81"/>
            <rFont val="Tahoma"/>
            <family val="2"/>
          </rPr>
          <t xml:space="preserve">
GL mapping of asset held for sale
</t>
        </r>
      </text>
    </comment>
    <comment ref="D41" authorId="0">
      <text>
        <r>
          <rPr>
            <b/>
            <sz val="9"/>
            <color indexed="81"/>
            <rFont val="Tahoma"/>
            <family val="2"/>
          </rPr>
          <t>dell:</t>
        </r>
        <r>
          <rPr>
            <sz val="9"/>
            <color indexed="81"/>
            <rFont val="Tahoma"/>
            <family val="2"/>
          </rPr>
          <t xml:space="preserve">
sap mapping for license fee BICMA</t>
        </r>
      </text>
    </comment>
    <comment ref="D48" authorId="0">
      <text>
        <r>
          <rPr>
            <b/>
            <sz val="9"/>
            <color indexed="81"/>
            <rFont val="Tahoma"/>
            <family val="2"/>
          </rPr>
          <t>dell:</t>
        </r>
        <r>
          <rPr>
            <sz val="9"/>
            <color indexed="81"/>
            <rFont val="Tahoma"/>
            <family val="2"/>
          </rPr>
          <t xml:space="preserve">
brand mgt fee mapping
</t>
        </r>
      </text>
    </comment>
    <comment ref="D49" authorId="0">
      <text>
        <r>
          <rPr>
            <b/>
            <sz val="9"/>
            <color indexed="81"/>
            <rFont val="Tahoma"/>
            <family val="2"/>
          </rPr>
          <t>dell:</t>
        </r>
        <r>
          <rPr>
            <sz val="9"/>
            <color indexed="81"/>
            <rFont val="Tahoma"/>
            <family val="2"/>
          </rPr>
          <t xml:space="preserve">
mapping</t>
        </r>
      </text>
    </comment>
  </commentList>
</comments>
</file>

<file path=xl/comments2.xml><?xml version="1.0" encoding="utf-8"?>
<comments xmlns="http://schemas.openxmlformats.org/spreadsheetml/2006/main">
  <authors>
    <author>dell</author>
  </authors>
  <commentList>
    <comment ref="C111" authorId="0">
      <text>
        <r>
          <rPr>
            <b/>
            <sz val="9"/>
            <color indexed="81"/>
            <rFont val="Tahoma"/>
            <family val="2"/>
          </rPr>
          <t>dell:</t>
        </r>
        <r>
          <rPr>
            <sz val="9"/>
            <color indexed="81"/>
            <rFont val="Tahoma"/>
            <family val="2"/>
          </rPr>
          <t xml:space="preserve">
no mapping</t>
        </r>
      </text>
    </comment>
  </commentList>
</comments>
</file>

<file path=xl/comments3.xml><?xml version="1.0" encoding="utf-8"?>
<comments xmlns="http://schemas.openxmlformats.org/spreadsheetml/2006/main">
  <authors>
    <author>dell</author>
  </authors>
  <commentList>
    <comment ref="C79" authorId="0">
      <text>
        <r>
          <rPr>
            <b/>
            <sz val="9"/>
            <color indexed="81"/>
            <rFont val="Tahoma"/>
            <family val="2"/>
          </rPr>
          <t>dell:</t>
        </r>
        <r>
          <rPr>
            <sz val="9"/>
            <color indexed="81"/>
            <rFont val="Tahoma"/>
            <family val="2"/>
          </rPr>
          <t xml:space="preserve">
mapping in sap for brand mgt fees</t>
        </r>
      </text>
    </comment>
    <comment ref="C94" authorId="0">
      <text>
        <r>
          <rPr>
            <b/>
            <sz val="9"/>
            <color indexed="81"/>
            <rFont val="Tahoma"/>
            <family val="2"/>
          </rPr>
          <t>dell:</t>
        </r>
        <r>
          <rPr>
            <sz val="9"/>
            <color indexed="81"/>
            <rFont val="Tahoma"/>
            <family val="2"/>
          </rPr>
          <t xml:space="preserve">
mapping</t>
        </r>
      </text>
    </comment>
    <comment ref="C100" authorId="0">
      <text>
        <r>
          <rPr>
            <b/>
            <sz val="9"/>
            <color indexed="81"/>
            <rFont val="Tahoma"/>
            <family val="2"/>
          </rPr>
          <t>dell:</t>
        </r>
        <r>
          <rPr>
            <sz val="9"/>
            <color indexed="81"/>
            <rFont val="Tahoma"/>
            <family val="2"/>
          </rPr>
          <t xml:space="preserve">
mapping</t>
        </r>
      </text>
    </comment>
    <comment ref="C101" authorId="0">
      <text>
        <r>
          <rPr>
            <b/>
            <sz val="9"/>
            <color indexed="81"/>
            <rFont val="Tahoma"/>
            <family val="2"/>
          </rPr>
          <t>dell:</t>
        </r>
        <r>
          <rPr>
            <sz val="9"/>
            <color indexed="81"/>
            <rFont val="Tahoma"/>
            <family val="2"/>
          </rPr>
          <t xml:space="preserve">
mapping</t>
        </r>
      </text>
    </comment>
    <comment ref="C133" authorId="0">
      <text>
        <r>
          <rPr>
            <b/>
            <sz val="9"/>
            <color indexed="81"/>
            <rFont val="Tahoma"/>
            <family val="2"/>
          </rPr>
          <t>dell:</t>
        </r>
        <r>
          <rPr>
            <sz val="9"/>
            <color indexed="81"/>
            <rFont val="Tahoma"/>
            <family val="2"/>
          </rPr>
          <t xml:space="preserve">
GL mapping</t>
        </r>
      </text>
    </comment>
  </commentList>
</comments>
</file>

<file path=xl/sharedStrings.xml><?xml version="1.0" encoding="utf-8"?>
<sst xmlns="http://schemas.openxmlformats.org/spreadsheetml/2006/main" count="2205" uniqueCount="1498">
  <si>
    <t>BHUTAN TELECOM LIMITED</t>
  </si>
  <si>
    <t>Total</t>
  </si>
  <si>
    <t>Depreciation during the year</t>
  </si>
  <si>
    <t>Interest Received</t>
  </si>
  <si>
    <t>THIMPHU, BHUTAN</t>
  </si>
  <si>
    <t>1. LIQUIDITY</t>
  </si>
  <si>
    <t>Quick Assets/Quick Liabilities</t>
  </si>
  <si>
    <t>2. SOLVENCY:</t>
  </si>
  <si>
    <t>Long term Debt/Total Fixed Asset-Net</t>
  </si>
  <si>
    <t>Debt/(Capital Fund+Reserve &amp; Surplus)</t>
  </si>
  <si>
    <t>3. PROFITABILITY:</t>
  </si>
  <si>
    <t>a) PBT/Capital Employed</t>
  </si>
  <si>
    <t>b) PAT/Capital Employed</t>
  </si>
  <si>
    <t>Capital Employed=Equity Capital + Loan Fund</t>
  </si>
  <si>
    <t>Profit After Tax/Total Equity</t>
  </si>
  <si>
    <t>Total Equity= Capital + Reserve &amp; Surplus</t>
  </si>
  <si>
    <t>PBT/Operating Income</t>
  </si>
  <si>
    <t>Total Employee Expenses/Operating Income</t>
  </si>
  <si>
    <t>PAT/Total no. of Employees</t>
  </si>
  <si>
    <t>PARTICULARS</t>
  </si>
  <si>
    <t>Building</t>
  </si>
  <si>
    <t>Particulars</t>
  </si>
  <si>
    <t>Capital work-in-progress</t>
  </si>
  <si>
    <t>Inventories</t>
  </si>
  <si>
    <t>1,500,000 (Previous Year 1,500,000) Equity Shares of Nu. 1,000 each</t>
  </si>
  <si>
    <t>854,082 (previous Year 854,082) Equity Shares of Nu.1,000 each</t>
  </si>
  <si>
    <t>NA</t>
  </si>
  <si>
    <t>5 yrs</t>
  </si>
  <si>
    <t>COMPUTATION OF TAX</t>
  </si>
  <si>
    <t>Amount(Nu.)</t>
  </si>
  <si>
    <t>ADD BACK:</t>
  </si>
  <si>
    <t>Total Add back:</t>
  </si>
  <si>
    <t xml:space="preserve">Total Allowed </t>
  </si>
  <si>
    <t>TAX @ 30 %</t>
  </si>
  <si>
    <t>LESS:</t>
  </si>
  <si>
    <t>Net Payable</t>
  </si>
  <si>
    <t>Total Equity</t>
  </si>
  <si>
    <t xml:space="preserve">Name of Shareholder </t>
  </si>
  <si>
    <t>No. of Shares held</t>
  </si>
  <si>
    <t xml:space="preserve">% of total holding </t>
  </si>
  <si>
    <t>Druk Holdings &amp; Investment Limited</t>
  </si>
  <si>
    <t>Equity Shares</t>
  </si>
  <si>
    <t>No. of Shares</t>
  </si>
  <si>
    <t>Shares outstanding at the beginning of the year</t>
  </si>
  <si>
    <t>Shares bought back during the  year</t>
  </si>
  <si>
    <t>Shares outstanding at the end of the year</t>
  </si>
  <si>
    <t>Earnings Per Share</t>
  </si>
  <si>
    <t>B. Quick Ratio:</t>
  </si>
  <si>
    <t>C. Accounts Receivable Period</t>
  </si>
  <si>
    <t>D. Working Capital to Sales</t>
  </si>
  <si>
    <t>A. Term Debt to Total Fixed Assets</t>
  </si>
  <si>
    <t>B. Debt Equity Ratio:</t>
  </si>
  <si>
    <t>A. Return on Capital Employed:</t>
  </si>
  <si>
    <t>B. Return on Equity:</t>
  </si>
  <si>
    <t>C. Return on Sales</t>
  </si>
  <si>
    <t>D. Employee Cost to Gross Income</t>
  </si>
  <si>
    <t>E. Profit per Employee:</t>
  </si>
  <si>
    <t>A. Current Ratio</t>
  </si>
  <si>
    <t>Income Tax Paid</t>
  </si>
  <si>
    <t>Cash Generated from operating activities</t>
  </si>
  <si>
    <t>Net profit before tax</t>
  </si>
  <si>
    <t>iii Reconciliation of number of shares</t>
  </si>
  <si>
    <t>Cash on hand</t>
  </si>
  <si>
    <t>Fixed deposits placed for a period less than 3 months</t>
  </si>
  <si>
    <t>Amount in Nu.</t>
  </si>
  <si>
    <t>Adjustment for</t>
  </si>
  <si>
    <t>Partner</t>
  </si>
  <si>
    <t>Chairman</t>
  </si>
  <si>
    <t>Group Investment Reserve</t>
  </si>
  <si>
    <t>Equity share Capital</t>
  </si>
  <si>
    <t>Retained Earnings</t>
  </si>
  <si>
    <t xml:space="preserve">                Equity Shares</t>
  </si>
  <si>
    <t>Vehicles</t>
  </si>
  <si>
    <t>Gross Block</t>
  </si>
  <si>
    <t>Accumulated Depreciation</t>
  </si>
  <si>
    <t>Net Block</t>
  </si>
  <si>
    <t>Total (A)</t>
  </si>
  <si>
    <t>Acturial (gains)/losses on defined benefit plans</t>
  </si>
  <si>
    <t>Add/Less: Foreign Exchange Loss/(Gain)</t>
  </si>
  <si>
    <t xml:space="preserve">(Increase)/Decrease in Inventories </t>
  </si>
  <si>
    <t>Add/Less: Gain on sale of Property Plant and Equipments</t>
  </si>
  <si>
    <t>1. Land</t>
  </si>
  <si>
    <t>2. Building</t>
  </si>
  <si>
    <t>50 yrs</t>
  </si>
  <si>
    <t>15 yrs</t>
  </si>
  <si>
    <t>a. Tower</t>
  </si>
  <si>
    <t>30 yrs</t>
  </si>
  <si>
    <t>b. Rest</t>
  </si>
  <si>
    <t>10 yrs</t>
  </si>
  <si>
    <t>5. Furniture</t>
  </si>
  <si>
    <t>7. Vehicle</t>
  </si>
  <si>
    <t>7 yrs</t>
  </si>
  <si>
    <t>Useful life</t>
  </si>
  <si>
    <t xml:space="preserve"> </t>
  </si>
  <si>
    <t>Tax 30% on OCI</t>
  </si>
  <si>
    <t>I. ASSETS :</t>
  </si>
  <si>
    <t>II. EQUITY AND LIABILITIES :</t>
  </si>
  <si>
    <t>Chief Executive Officer</t>
  </si>
  <si>
    <t>The above accompanying notes are an integral part of the financial statements</t>
  </si>
  <si>
    <t>Note no.</t>
  </si>
  <si>
    <t>Unsecured, Considered good</t>
  </si>
  <si>
    <t>(Advances recoverable in cash and/or in kind or for value to be received)</t>
  </si>
  <si>
    <t>Authorised :</t>
  </si>
  <si>
    <t xml:space="preserve"> i. Terms / Rights attached to Equity Shares</t>
  </si>
  <si>
    <t>Shares issued during the year</t>
  </si>
  <si>
    <t>(a) Shareholders Fund</t>
  </si>
  <si>
    <t>Addition</t>
  </si>
  <si>
    <t>Adjustment</t>
  </si>
  <si>
    <t>Closing Cash &amp; Bank Balances</t>
  </si>
  <si>
    <t>Opening Cash &amp; Bank Balances</t>
  </si>
  <si>
    <t>Total issued, subscribed and fully paid-up</t>
  </si>
  <si>
    <t>Investment in Equity Shares, Unquoted</t>
  </si>
  <si>
    <t>Total Tax</t>
  </si>
  <si>
    <t>SL No</t>
  </si>
  <si>
    <t/>
  </si>
  <si>
    <t>Cash Flow Statement</t>
  </si>
  <si>
    <t>Assumption</t>
  </si>
  <si>
    <t>1. Total revenue for 2nd half of the year is equal to total budgeted revenue for 2016 minus total revenue achieved till June 2016</t>
  </si>
  <si>
    <t>2. Shortem Deposit of Nu: 125 million will realised with next 6 months</t>
  </si>
  <si>
    <t>CASH INFLOW</t>
  </si>
  <si>
    <t>3. Total Grant from BICMA amounting to Nu: 88.63 million, Nu:66.47 million will receive in next 6 months</t>
  </si>
  <si>
    <t>I) Operating Activities</t>
  </si>
  <si>
    <t>4. Overdraf Loan from BOB will be utilise in next half of the financial year</t>
  </si>
  <si>
    <t>Revenue</t>
  </si>
  <si>
    <t xml:space="preserve">5. Opex supplementary budget of Nu: 15 million included </t>
  </si>
  <si>
    <t>II) Investing Activities</t>
  </si>
  <si>
    <t>6. Interest on bond has been included in Redumption of Fund for BOB loan rather than reflecting under Opex</t>
  </si>
  <si>
    <t>Investment in Short Term Deposit</t>
  </si>
  <si>
    <t>7. Additional tax during Tax Assessment to be paid in next 6 months</t>
  </si>
  <si>
    <t>III) Financing Activities</t>
  </si>
  <si>
    <t>8. Refund of GIR Fund to be done next 6 months</t>
  </si>
  <si>
    <t>Grant from BICMA</t>
  </si>
  <si>
    <t>CASH OUTFLOW</t>
  </si>
  <si>
    <t>Corporate Income Tax</t>
  </si>
  <si>
    <t>Payment to PPE</t>
  </si>
  <si>
    <t xml:space="preserve">Closing Cash </t>
  </si>
  <si>
    <t>Operations expenses</t>
  </si>
  <si>
    <t>Receivable from DGPC</t>
  </si>
  <si>
    <t>Interest on Short Term Deposit</t>
  </si>
  <si>
    <t xml:space="preserve">Interest on Bond </t>
  </si>
  <si>
    <t>BHUTAN TELECOM LTD(BAC00313).</t>
  </si>
  <si>
    <t>Account Code</t>
  </si>
  <si>
    <t>Account Description</t>
  </si>
  <si>
    <t>Accound Description</t>
  </si>
  <si>
    <t>Loans - Current</t>
  </si>
  <si>
    <t>Income accrued and Due</t>
  </si>
  <si>
    <t>Advance Income Tax</t>
  </si>
  <si>
    <t>Sundry Debtors - Domestic - Non Current</t>
  </si>
  <si>
    <t>Sundry Debtors - International - Non Current</t>
  </si>
  <si>
    <t>Loan to Others - Non Current</t>
  </si>
  <si>
    <t>Other Receivables - Non Current</t>
  </si>
  <si>
    <t>Investment in Fixed Deposit - Long term</t>
  </si>
  <si>
    <t>Advance to Suppliers - Non Current</t>
  </si>
  <si>
    <t>Advance to Others - Non Current</t>
  </si>
  <si>
    <t>Loans to DHI Intra Company- Non Current</t>
  </si>
  <si>
    <t>Advance to Staff, Office Expenses - Non Current</t>
  </si>
  <si>
    <t>DHI Intra Company Revenue</t>
  </si>
  <si>
    <t>Deferred Tax Income</t>
  </si>
  <si>
    <t>Gain on Sale of Fixed Assets</t>
  </si>
  <si>
    <t>Income from Sale of Yellow Page</t>
  </si>
  <si>
    <t>Revaluation of Material - Gain</t>
  </si>
  <si>
    <t>R&amp;M Power - AMC</t>
  </si>
  <si>
    <t>R&amp;M Generator Set - AMC</t>
  </si>
  <si>
    <t>R&amp;M Software Application - Services</t>
  </si>
  <si>
    <t>R&amp;M Cables and Accessories - AMC</t>
  </si>
  <si>
    <t>Education Allowance</t>
  </si>
  <si>
    <t>Scholarship Programme Expenses</t>
  </si>
  <si>
    <t>Gratuity</t>
  </si>
  <si>
    <t>Travel - Deposit Work</t>
  </si>
  <si>
    <t>Insurance on Telecom Equipment</t>
  </si>
  <si>
    <t>Revaluation of Material - Loss</t>
  </si>
  <si>
    <t>Bad and Doubtful Debts</t>
  </si>
  <si>
    <t>Loss/Scrapping/Retirement of Asset</t>
  </si>
  <si>
    <t>Loss on Sale of Fixed Asset</t>
  </si>
  <si>
    <t>Audit Fees</t>
  </si>
  <si>
    <t>Depreciation - Leasehold Building</t>
  </si>
  <si>
    <t>Depreciation - Capital Grants</t>
  </si>
  <si>
    <t>Impairment Loss of PP&amp;E</t>
  </si>
  <si>
    <t>Impairment Loss of Intangibles</t>
  </si>
  <si>
    <t>Prior Period Tax Expense</t>
  </si>
  <si>
    <t>Deferred Tax Expense</t>
  </si>
  <si>
    <t>Deferred Tax Liability</t>
  </si>
  <si>
    <t>Sundry Creditor - Domestic - NC</t>
  </si>
  <si>
    <t>Sundry Creditor - DHI Intra Company - NC</t>
  </si>
  <si>
    <t>Sundry Creditor - International - NC</t>
  </si>
  <si>
    <t>Reference</t>
  </si>
  <si>
    <t>current assets/current liabilities</t>
  </si>
  <si>
    <t>sum(current asset-inventory)/current liabilities</t>
  </si>
  <si>
    <t>Long term borrowings/sum(ppe+intangible asset+cwip)</t>
  </si>
  <si>
    <t>PBT/sum(total shareholder fund+long term borrowing)</t>
  </si>
  <si>
    <t>PAT/sum(total shareholder fund+long term borrowing)</t>
  </si>
  <si>
    <t>PAT/total shareholder fund</t>
  </si>
  <si>
    <t>Add/Less: Net Addition in Provision (Current &amp; Non-Current)</t>
  </si>
  <si>
    <t>Provision for bad and doubtful debt</t>
  </si>
  <si>
    <t>Depreciation as per BAS</t>
  </si>
  <si>
    <t>Profit After tax</t>
  </si>
  <si>
    <t>Earning per employee</t>
  </si>
  <si>
    <t>Profit after tax/no of employee</t>
  </si>
  <si>
    <t>3% TDS booked as expense</t>
  </si>
  <si>
    <t>a</t>
  </si>
  <si>
    <t>b</t>
  </si>
  <si>
    <t>c</t>
  </si>
  <si>
    <t>Interest Paid</t>
  </si>
  <si>
    <t>Fines &amp; Penalty</t>
  </si>
  <si>
    <t>Donation</t>
  </si>
  <si>
    <t>Net Difference</t>
  </si>
  <si>
    <t>TDS on Others</t>
  </si>
  <si>
    <t>BHUTAN TELECOM LTD</t>
  </si>
  <si>
    <t>THIMPHU</t>
  </si>
  <si>
    <t>Deferred Tax Liability-NC</t>
  </si>
  <si>
    <t>Hospitality</t>
  </si>
  <si>
    <t>Other current assets</t>
  </si>
  <si>
    <t>Income from Cloud Service</t>
  </si>
  <si>
    <t>Income from ERP Service</t>
  </si>
  <si>
    <t>a) Term Loan-BOB</t>
  </si>
  <si>
    <t>Income from Data Center</t>
  </si>
  <si>
    <t>Financial Loans</t>
  </si>
  <si>
    <t>ROE</t>
  </si>
  <si>
    <t>Revenue Per employee</t>
  </si>
  <si>
    <t>Redemption Fund for BOB Bond</t>
  </si>
  <si>
    <t>Net profit before tax and after adjustment of provisions</t>
  </si>
  <si>
    <t>Intangible assets</t>
  </si>
  <si>
    <t>Other non-current asset</t>
  </si>
  <si>
    <t>Cash on hand in regions &amp; exchanges</t>
  </si>
  <si>
    <t>Cash at banks</t>
  </si>
  <si>
    <t>Equity share capital</t>
  </si>
  <si>
    <t>Issued, subscibed and paid up :</t>
  </si>
  <si>
    <t xml:space="preserve"> ii. Shares held by the holding company</t>
  </si>
  <si>
    <t>Retained earnings &amp; reserves</t>
  </si>
  <si>
    <t>Long term provision</t>
  </si>
  <si>
    <t>Short term borrowings</t>
  </si>
  <si>
    <t>Short term provision</t>
  </si>
  <si>
    <t>Total Deferred government grants</t>
  </si>
  <si>
    <t>Sundry creditors</t>
  </si>
  <si>
    <t>Other payables</t>
  </si>
  <si>
    <t>(Increase)/Decrease in trade receivables</t>
  </si>
  <si>
    <t>(Increase)/Decrease in other current asset</t>
  </si>
  <si>
    <t>(Increase)/Decrease in other receivables</t>
  </si>
  <si>
    <t>(Increase)/Decrease in deferred tax asset</t>
  </si>
  <si>
    <t>(Increase)/Decrease in investment</t>
  </si>
  <si>
    <t>(Increase)/Decrease in other non-current asset</t>
  </si>
  <si>
    <t>Increase/(Decrease) in other trade payables</t>
  </si>
  <si>
    <t>Increase/(Decrease) in other current liabilitis</t>
  </si>
  <si>
    <t>Other current liabilities</t>
  </si>
  <si>
    <t>Payment for property plant and equipments</t>
  </si>
  <si>
    <t>Payment for intangible assets</t>
  </si>
  <si>
    <t>Payment for capital work in progress</t>
  </si>
  <si>
    <t>Investment in fixed deposits</t>
  </si>
  <si>
    <t>Margin //money provided</t>
  </si>
  <si>
    <t>Cash Flow from operating activities</t>
  </si>
  <si>
    <t>Net profit from operating activities before working capital changes</t>
  </si>
  <si>
    <t>Net cash flow from operating activities</t>
  </si>
  <si>
    <t>Cash flow from investing activities</t>
  </si>
  <si>
    <t>Net cash used in investing activities</t>
  </si>
  <si>
    <t>Cash flow from financing activities</t>
  </si>
  <si>
    <t>Receipt of capital grant from BICMA</t>
  </si>
  <si>
    <t>Payment of dividend</t>
  </si>
  <si>
    <t>Interest paid on bond</t>
  </si>
  <si>
    <t>Net cash used in financing activities</t>
  </si>
  <si>
    <t>Increase/(Decrease) in cash &amp; cash equivalents</t>
  </si>
  <si>
    <t>Reconciliation of cash and cash equivalent with statement of financial position</t>
  </si>
  <si>
    <t xml:space="preserve">Cash and cash equivalents </t>
  </si>
  <si>
    <t>Cash and cash equivalents as per statement of financial position</t>
  </si>
  <si>
    <t>This is the statement of cash flow referred to in our report of even date.</t>
  </si>
  <si>
    <t>Employee Creditor</t>
  </si>
  <si>
    <t>Previous year (A)</t>
  </si>
  <si>
    <t>Previous year</t>
  </si>
  <si>
    <t xml:space="preserve">a. Permanent structure </t>
  </si>
  <si>
    <t>b. Semi-permanent
    structure</t>
  </si>
  <si>
    <t>c. Temporary structure</t>
  </si>
  <si>
    <t>3. Tele-equipment</t>
  </si>
  <si>
    <t>4. Power systems &amp; cable</t>
  </si>
  <si>
    <t>a. Air conditioner</t>
  </si>
  <si>
    <t>6. Office equipment</t>
  </si>
  <si>
    <t>8. Software application</t>
  </si>
  <si>
    <t>Accrued Income Non Current Asset</t>
  </si>
  <si>
    <t>Deferred Tax Asset-Non Current</t>
  </si>
  <si>
    <t>Cash Account - General</t>
  </si>
  <si>
    <t>0000080098051 - CHQ BNB GIR - MB</t>
  </si>
  <si>
    <t>0000080098051 - CHQ BNB GIR - OB</t>
  </si>
  <si>
    <t>0000019474003 - CHQ BT Dis - MB</t>
  </si>
  <si>
    <t>0000019474003 - CHQ BT Dis - IB</t>
  </si>
  <si>
    <t>0000019474003 - CHQ BT Dis - OB</t>
  </si>
  <si>
    <t>0000019557006 - CHQ Depository - MB</t>
  </si>
  <si>
    <t>0000019557006 - CHQ Depository - OB</t>
  </si>
  <si>
    <t>20700220263090014 - CHQ BoB Rev - MB</t>
  </si>
  <si>
    <t>0000020336005 - CHQ Foreign - MB</t>
  </si>
  <si>
    <t>000127110013 - CHQ BDBL Rev - MB</t>
  </si>
  <si>
    <t>5000019474014 - CHQ Insurance - MB</t>
  </si>
  <si>
    <t>100914942- CHQ BoB Dis - MB</t>
  </si>
  <si>
    <t>77712025465001 - Thimphu Tbank Rev - MB</t>
  </si>
  <si>
    <t>77712025465001 - Thimphu Tbank Rev - IB</t>
  </si>
  <si>
    <t>Sundry Debtors - Domestic - Current</t>
  </si>
  <si>
    <t>Sundry Debtors - International - Current</t>
  </si>
  <si>
    <t>Inventory - Vehicle Spares</t>
  </si>
  <si>
    <t>Inventory - Office Equipment Spares</t>
  </si>
  <si>
    <t>Inventory - Equipment Spares</t>
  </si>
  <si>
    <t>Inventory - General Item</t>
  </si>
  <si>
    <t>Inventory - Consumables</t>
  </si>
  <si>
    <t>Inventory - Printing and Stationaries</t>
  </si>
  <si>
    <t>Inventory - Capital Goods</t>
  </si>
  <si>
    <t>Inventory - Trading Goods</t>
  </si>
  <si>
    <t>Investment in the form of Share-TTPL</t>
  </si>
  <si>
    <t>Bond Redemption Reserve</t>
  </si>
  <si>
    <t>Prepaid Expense - Non Current</t>
  </si>
  <si>
    <t>Capital Work-in-Progress</t>
  </si>
  <si>
    <t>Freehold Land</t>
  </si>
  <si>
    <t>Provision for Depreciation - Building</t>
  </si>
  <si>
    <t>Tele Equipments</t>
  </si>
  <si>
    <t>Provision for Depreciation - Tele Equipments</t>
  </si>
  <si>
    <t>Office Equipments</t>
  </si>
  <si>
    <t>Furniture and Fixtures</t>
  </si>
  <si>
    <t>Provision for Depreciation - Office Equipment</t>
  </si>
  <si>
    <t>Provision for Depreciation - Furniture</t>
  </si>
  <si>
    <t>Power System</t>
  </si>
  <si>
    <t>Cables and Accessories</t>
  </si>
  <si>
    <t>Provision for Depreciation - Power System</t>
  </si>
  <si>
    <t>Provision for Depreciation - Cable and Accessories</t>
  </si>
  <si>
    <t>Provision for Depreciation - Vehicle</t>
  </si>
  <si>
    <t>Capital Tools and Measuring Equipment</t>
  </si>
  <si>
    <t>Provision for Depreciation - Tools and Spare Parts</t>
  </si>
  <si>
    <t>Software Applications</t>
  </si>
  <si>
    <t>Provision for Depreciation - Software Application</t>
  </si>
  <si>
    <t>Term Loan Current Liabilities</t>
  </si>
  <si>
    <t>As at December 31, 2015</t>
  </si>
  <si>
    <t>FVPL</t>
  </si>
  <si>
    <t>FVOCI</t>
  </si>
  <si>
    <t xml:space="preserve">Amortised cost </t>
  </si>
  <si>
    <t>Financial assets</t>
  </si>
  <si>
    <t>Total financial assets</t>
  </si>
  <si>
    <t xml:space="preserve">Financial liabilities </t>
  </si>
  <si>
    <t>Loan from Danida</t>
  </si>
  <si>
    <t>Total financial liabilities</t>
  </si>
  <si>
    <t>(i) Fair value hierarchy</t>
  </si>
  <si>
    <t>This section explains the judgements and estimates made in determining the fair values of the financial instruments that are (a) recognised and measured at fair value and (b) measured at amortised cost and for which fair values are disclosed in the financial statements. To provide an indication about the reliability of the inputs used in determining fair value, the Company has classified its financial instruments into the three levels prescribed under the accounting standard. An explanation of each level follows underneath the table.</t>
  </si>
  <si>
    <t>During the year, there has been no movement between fair value levels from previous year.</t>
  </si>
  <si>
    <t>(ii) Valuation technique used to determine fair value</t>
  </si>
  <si>
    <t>Specific valuation techniques used to value financial instruments include:</t>
  </si>
  <si>
    <t>(i) discounted cash flow analysis</t>
  </si>
  <si>
    <t>(iii) Fair value of financial assets and liabilities measured at amortised cost</t>
  </si>
  <si>
    <t>December 31, 2015</t>
  </si>
  <si>
    <t>Carrying amount</t>
  </si>
  <si>
    <t>Fair value</t>
  </si>
  <si>
    <t>Financial liabilities</t>
  </si>
  <si>
    <t>Significant estimates</t>
  </si>
  <si>
    <t>The fair value of financial instruments that are not traded in an active market is determined using valuation techniques. The Company uses its judgement to select a variety of methods and make assumptions that are mainly based on market conditions existing at the end of each reporting period. For details of the key assumptions used and the impact of changes to these assumptions see (ii) above.</t>
  </si>
  <si>
    <t>As at December 31, 2017</t>
  </si>
  <si>
    <t>Financial instruments by category</t>
  </si>
  <si>
    <t>December 31, 2017</t>
  </si>
  <si>
    <t>Term loan-C</t>
  </si>
  <si>
    <t>The company’s activities expose it to market risk, liquidity risk and credit risk.</t>
  </si>
  <si>
    <t>This note explains the sources of risk which the entity is exposed to and how the entity manages the risk and the impact of it in the financial statements.</t>
  </si>
  <si>
    <t xml:space="preserve">Risk </t>
  </si>
  <si>
    <t>Exposure arising from</t>
  </si>
  <si>
    <t>Measurement</t>
  </si>
  <si>
    <t xml:space="preserve">Management
</t>
  </si>
  <si>
    <t>Credit risk</t>
  </si>
  <si>
    <t>Cash and cash equivalents, trade receivables, financial assets measured at amortised cost.</t>
  </si>
  <si>
    <t xml:space="preserve">Aging analysis </t>
  </si>
  <si>
    <t>Diversification of bank deposits, customer base and credit limits</t>
  </si>
  <si>
    <t>Liquidity risk</t>
  </si>
  <si>
    <t>Trade payables and other financial liabilities</t>
  </si>
  <si>
    <t>Rolling cash flow forecasts</t>
  </si>
  <si>
    <t>Availability of  committed credit lines and borrowing facilities</t>
  </si>
  <si>
    <t>Market risk – foreign exchange</t>
  </si>
  <si>
    <t>Recognised financial assets and liabilities not denominated in  Ngultrum(Nu.)</t>
  </si>
  <si>
    <t>Cash flow forecasting Sensitivity analysis</t>
  </si>
  <si>
    <t>Diversification of liability</t>
  </si>
  <si>
    <t>Market risk – interest rate</t>
  </si>
  <si>
    <t>Long-term borrowings at variable rates</t>
  </si>
  <si>
    <t>Sensitivity analysis</t>
  </si>
  <si>
    <t>Portfolio of loan contains fixed interest loans from financial institutions</t>
  </si>
  <si>
    <t>(A) Credit risk</t>
  </si>
  <si>
    <t>(i) Credit risk management</t>
  </si>
  <si>
    <t>(B) liquidity risk</t>
  </si>
  <si>
    <t>(i) Maturities of financial liabilities</t>
  </si>
  <si>
    <t>a) all non-derivative financial liabilities, and</t>
  </si>
  <si>
    <t>The amounts disclosed in the table are the contractual undiscounted cash flows. Balances due within 12 months equal their carrying balances as the impact of discounting is not significant.</t>
  </si>
  <si>
    <t>Contractual maturities of financial liabilities:</t>
  </si>
  <si>
    <t>Less than 1 year</t>
  </si>
  <si>
    <t>More than 1 years</t>
  </si>
  <si>
    <t>Non-derivatives</t>
  </si>
  <si>
    <t>Total non-derivative liabilities</t>
  </si>
  <si>
    <t>(C) Market risk</t>
  </si>
  <si>
    <r>
      <t>(i) Foreign currency risk</t>
    </r>
    <r>
      <rPr>
        <b/>
        <sz val="5"/>
        <rFont val="Georgia"/>
        <family val="1"/>
      </rPr>
      <t/>
    </r>
  </si>
  <si>
    <t>Foreign Currency risk is the risk that the fair value or future cash flows of a financial instrument will fluctuate because of changes in foreign exchange rates.</t>
  </si>
  <si>
    <t>(Values in Nu.)</t>
  </si>
  <si>
    <t>USD</t>
  </si>
  <si>
    <t>Net exposure to foreign currency risk</t>
  </si>
  <si>
    <t>Euro</t>
  </si>
  <si>
    <t>Sensitivity</t>
  </si>
  <si>
    <t>The sensitivity of profit or loss to changes in the exchange rates arises mainly from foreign currency denominated financial instruments.</t>
  </si>
  <si>
    <t>Impact on profit before tax</t>
  </si>
  <si>
    <t>USD sensitivity</t>
  </si>
  <si>
    <t>EURO sensitivity</t>
  </si>
  <si>
    <t>* Holding all other variables constant</t>
  </si>
  <si>
    <t>(ii) Interest rate risk</t>
  </si>
  <si>
    <t xml:space="preserve">Interest rate risk is the risk that the fair value or future cash flows of a financial instrument will fluctuate because of changes in market interest rates. The Company’s exposure to the risk of changes in market interest rates relates primarily to the Company’s long-term debt obligations with floating interest rates. As company does not have any variable rate borrowing outstanding or investment, company is not exposed to significant interest rate risk. </t>
  </si>
  <si>
    <t>(iii) Price risk</t>
  </si>
  <si>
    <t xml:space="preserve">The risk that the fair value or future cash flows of a financial instrument will fluctuate because of changes in market prices (other than those arising from interest rate risk or currency risk), whether those changes are caused by factors specific to the individual financial instrument or its issuer or by factors affecting all similar financial instruments traded in the market. As the company does not have any investment in listed securities which are exposed to price risk, company is not exposed to significant price risk. </t>
  </si>
  <si>
    <t xml:space="preserve"> December 31, 2017</t>
  </si>
  <si>
    <t>(a) Risk management</t>
  </si>
  <si>
    <t>The company’s objectives when managing capital are to</t>
  </si>
  <si>
    <t xml:space="preserve">The Company is formed as an wholly owned subsidiary of Druk Holding &amp; Investments Limited (DHI). Company manages the share capital issued and subscribed along with shareholder's fund appearing in the financial statement as capital of the company. </t>
  </si>
  <si>
    <t>(b) Dividends</t>
  </si>
  <si>
    <t>Final dividend for the year</t>
  </si>
  <si>
    <t>i. safeguard their ability to continue as a going concern, so that they can continue to provide returns for shareholders and benefits for other stakeholders, and</t>
  </si>
  <si>
    <t>ii. maintain an optimal capital structure to reduce the cost of capital.</t>
  </si>
  <si>
    <t>A. Exemptions and exceptions availed</t>
  </si>
  <si>
    <t>A.1.1 Estimates</t>
  </si>
  <si>
    <t>1. Revenue recognition for Deposit Contracts</t>
  </si>
  <si>
    <t>2. Revenue recognition from revenue sharing agreements</t>
  </si>
  <si>
    <t>3. Interest income on fixed deposits</t>
  </si>
  <si>
    <t>4. Fair valuation of security deposits</t>
  </si>
  <si>
    <t>5. Cash Discount</t>
  </si>
  <si>
    <t xml:space="preserve">Under the previous GAAP, all the discount allowed for sale of mobile handset, b-secure equipments, bulk sms etc to the customer has been shown as Disount Allowed seperately under operating expense, however since it a cash discount allowed for the purchase of items, same has been set off against the revenue which are booked on gross basis.  </t>
  </si>
  <si>
    <t>Term loan</t>
  </si>
  <si>
    <t>0000019557006 - CHQ Depository - IB</t>
  </si>
  <si>
    <t>5000019474014 - CHQ Insurance - IB</t>
  </si>
  <si>
    <t>77712025465001 - Thimphu Tbank Rev - OB</t>
  </si>
  <si>
    <t>Accu. Impairment Loss - Land</t>
  </si>
  <si>
    <t>Leasehold Land</t>
  </si>
  <si>
    <t>Accu. Impairment Loss - Building &amp; Civil Structure</t>
  </si>
  <si>
    <t>Leasehold Building</t>
  </si>
  <si>
    <t>Provision for Depreciation - Leasehold Building</t>
  </si>
  <si>
    <t>Accu. Impairment Loss on Leasehold Building</t>
  </si>
  <si>
    <t>Accu. Impairment Tele Equipments</t>
  </si>
  <si>
    <t>Accu. Impairment Loss - Furniture &amp; Office Eqment</t>
  </si>
  <si>
    <t>Accu. Impairment Loss on Cables and Power System</t>
  </si>
  <si>
    <t>Accu. Impairment Loss on Vehicles</t>
  </si>
  <si>
    <t>Accu. Impairment Loss on Tools and Spare Parts</t>
  </si>
  <si>
    <t>Accu. Impairment Loss on Softwares</t>
  </si>
  <si>
    <t>Capital Work-in-Progress - Inventory</t>
  </si>
  <si>
    <t>Inventory - Disposables</t>
  </si>
  <si>
    <t>Inventory - Civil Materials</t>
  </si>
  <si>
    <t>Sundry Debtors - DHI Intra Company - Current</t>
  </si>
  <si>
    <t>Cash Account - Sales</t>
  </si>
  <si>
    <t>Cash Account - Imprest</t>
  </si>
  <si>
    <t>20700220263090014 - CHQ BoB Rev - IB</t>
  </si>
  <si>
    <t>20700220263090014 - CHQ BoB Rev - OB</t>
  </si>
  <si>
    <t>0000020336005 - CHQ Foreign - IB</t>
  </si>
  <si>
    <t>0000020336005 - CHQ Foreign - OB</t>
  </si>
  <si>
    <t>0000034734008 - CHQ BM Dis - MB</t>
  </si>
  <si>
    <t>0000034734008 - CHQ BM Dis - IB</t>
  </si>
  <si>
    <t>0000034734008 - CHQ BM Dis - OB</t>
  </si>
  <si>
    <t>000127110013 - CHQ BDBL Rev - IB</t>
  </si>
  <si>
    <t>000127110013 - CHQ BDBL Rev - OB</t>
  </si>
  <si>
    <t>5000019474014 - CHQ Insurance - OB</t>
  </si>
  <si>
    <t>Term loan (long term borrowings)</t>
  </si>
  <si>
    <t>2(a)</t>
  </si>
  <si>
    <t>2(b)</t>
  </si>
  <si>
    <t>2(c)</t>
  </si>
  <si>
    <t>(a) Non-current assets</t>
  </si>
  <si>
    <t>Total non-current assets</t>
  </si>
  <si>
    <t>(b) Current assets</t>
  </si>
  <si>
    <t>Total current sssets</t>
  </si>
  <si>
    <t>TOTAL ASSETS</t>
  </si>
  <si>
    <t>Total shareholders fund</t>
  </si>
  <si>
    <t>Total non-current liabilities</t>
  </si>
  <si>
    <t>Total current liabilities</t>
  </si>
  <si>
    <t>TOTAL EQUITY &amp; LIABILITIES</t>
  </si>
  <si>
    <t>Chartered accountants</t>
  </si>
  <si>
    <t>for and on behalf of board of directors</t>
  </si>
  <si>
    <t>Profit before tax</t>
  </si>
  <si>
    <t>Profit after tax for the year</t>
  </si>
  <si>
    <t>IV. Other comprehensive income</t>
  </si>
  <si>
    <t>Total comprehensive income for the year</t>
  </si>
  <si>
    <t>Summary of significant accounting policies</t>
  </si>
  <si>
    <t>Total tax expense</t>
  </si>
  <si>
    <t>Note "4" : Investments:</t>
  </si>
  <si>
    <t>Note "5" : Deferred tax asset(net):</t>
  </si>
  <si>
    <t>Note "6" : Other non-current asset:</t>
  </si>
  <si>
    <t>Note "7": Inventories :</t>
  </si>
  <si>
    <t>Note "8": Trade receivables :</t>
  </si>
  <si>
    <t>Note "9": Cash and bank balances :</t>
  </si>
  <si>
    <t>Note "10": Other receivables:</t>
  </si>
  <si>
    <t>Note "11": Other current assets :</t>
  </si>
  <si>
    <t>Note "17" : Long term provision :</t>
  </si>
  <si>
    <t>Note "21" : Other current liabilities:</t>
  </si>
  <si>
    <t>Profit available for equity shareholders</t>
  </si>
  <si>
    <t>Weighted number of equity shares
 outstanding</t>
  </si>
  <si>
    <t>Nominal value of equity shares</t>
  </si>
  <si>
    <t>Basic &amp; dilutted earnings per share</t>
  </si>
  <si>
    <t>Note: "34" Fair value measurements:</t>
  </si>
  <si>
    <t>Note: "35" Financial risk management:</t>
  </si>
  <si>
    <t>Corporate bond</t>
  </si>
  <si>
    <t>Trade payables</t>
  </si>
  <si>
    <t xml:space="preserve"> Expense accrued</t>
  </si>
  <si>
    <t xml:space="preserve"> Stale cheques</t>
  </si>
  <si>
    <t xml:space="preserve"> Security deposits</t>
  </si>
  <si>
    <t>Note: "36" Capital management</t>
  </si>
  <si>
    <t>Provision for leave encashment</t>
  </si>
  <si>
    <t>Profit as per the profit &amp; loss account(PBT)</t>
  </si>
  <si>
    <t>Staff training- current year</t>
  </si>
  <si>
    <t>Fines &amp; penalties</t>
  </si>
  <si>
    <t>Allowable deduction(movement in TD)</t>
  </si>
  <si>
    <t>Depreciation as per income tax act</t>
  </si>
  <si>
    <t>Staff training</t>
  </si>
  <si>
    <t>Less: Staff training 1/3 of 2017</t>
  </si>
  <si>
    <t>Adjusted profit</t>
  </si>
  <si>
    <t>Advance Tax(copy of the receipt attached)</t>
  </si>
  <si>
    <t>365/Accounts receivable turnover</t>
  </si>
  <si>
    <t>Staff training -current year</t>
  </si>
  <si>
    <t>Less: Staff training 1/3 for 2017</t>
  </si>
  <si>
    <t>Less: Staff training 1/3 for 2016</t>
  </si>
  <si>
    <t>Total timing difference</t>
  </si>
  <si>
    <t>Deferred tax @ 30%</t>
  </si>
  <si>
    <t>Opening balance (deferred tax liability)</t>
  </si>
  <si>
    <t>Net deferred tax (Liability)/Asset</t>
  </si>
  <si>
    <t>Deferred tax asset/(liability)</t>
  </si>
  <si>
    <t>Impairment of Trade Receivable</t>
  </si>
  <si>
    <t>Advance from Postpaid Customer</t>
  </si>
  <si>
    <t>Deferred tax assets (net)</t>
  </si>
  <si>
    <t>Property, plant and equipment</t>
  </si>
  <si>
    <t>Note "2 (a)" : Property, Plant &amp; Equipments :</t>
  </si>
  <si>
    <t>Note "2 (c)" : Capital work in progress :</t>
  </si>
  <si>
    <t>Note "2 (b)" : Intangibile assets :</t>
  </si>
  <si>
    <t>The useful lives applied are as follows:</t>
  </si>
  <si>
    <t>Asset type</t>
  </si>
  <si>
    <t>Note "3" : Investment in associate:</t>
  </si>
  <si>
    <t>Deferred tax asset-non current</t>
  </si>
  <si>
    <t>Total cash and bank balancees</t>
  </si>
  <si>
    <t>III. Add/(Less): Tax expenses :</t>
  </si>
  <si>
    <t>Deferred income tax</t>
  </si>
  <si>
    <t>Current tax</t>
  </si>
  <si>
    <t>Other comprehensive income,net of tax</t>
  </si>
  <si>
    <t>long term borrowings/total shareholder funds</t>
  </si>
  <si>
    <t>1.26 million</t>
  </si>
  <si>
    <t>365/(average collection/average accounts receivable)</t>
  </si>
  <si>
    <t>Average Current Assets-Average Current Liabilities/Net sales</t>
  </si>
  <si>
    <t>38.11 Days</t>
  </si>
  <si>
    <t>Income from Online Applications</t>
  </si>
  <si>
    <t>201000487101 - Tendu Rev - MB</t>
  </si>
  <si>
    <t>Commission income from online mobile apps</t>
  </si>
  <si>
    <t>GR/IR Clearing Account</t>
  </si>
  <si>
    <t>BST Clearing Account</t>
  </si>
  <si>
    <t>External Services Clearing Account</t>
  </si>
  <si>
    <t>Material Settlement Clearing Account</t>
  </si>
  <si>
    <t>Capital Advance Clearing Account</t>
  </si>
  <si>
    <t>01.01.2018</t>
  </si>
  <si>
    <t>Changes in equity for 2018</t>
  </si>
  <si>
    <t>Balance at 31st December 2018</t>
  </si>
  <si>
    <t>201000487101 - Tendu Rev - IB</t>
  </si>
  <si>
    <t>201000487101 - Tendu Rev - OB</t>
  </si>
  <si>
    <t>Less: Staff training 1/3 of 2018</t>
  </si>
  <si>
    <t>Repayment of BOB loan</t>
  </si>
  <si>
    <t>Dividend</t>
  </si>
  <si>
    <t>0.92:1</t>
  </si>
  <si>
    <t>0.69:1</t>
  </si>
  <si>
    <t>13.44%</t>
  </si>
  <si>
    <t>0.15:1</t>
  </si>
  <si>
    <t>24.96%</t>
  </si>
  <si>
    <t>19.62%</t>
  </si>
  <si>
    <t>40.22%</t>
  </si>
  <si>
    <t>As at December 31, 2018</t>
  </si>
  <si>
    <t>December 31, 2018</t>
  </si>
  <si>
    <t xml:space="preserve"> December 31, 2018</t>
  </si>
  <si>
    <t>Packing and Forwarding Clearing Account</t>
  </si>
  <si>
    <t>Custom Duty Clearing Account</t>
  </si>
  <si>
    <t>Sales Clearing Account</t>
  </si>
  <si>
    <t>Project Expense Clearing Account</t>
  </si>
  <si>
    <t>Financial Institution Loan</t>
  </si>
  <si>
    <t>As at 31st December,  2017</t>
  </si>
  <si>
    <t>Sale of property plant and equipments (actual cash received)</t>
  </si>
  <si>
    <t>0100071941001- Kanglung Rev - MB</t>
  </si>
  <si>
    <t>0100071941001- Kanglung Rev - IB</t>
  </si>
  <si>
    <t>0100071941001- Kanglung Rev - OB</t>
  </si>
  <si>
    <t>Insurance Clearing Account</t>
  </si>
  <si>
    <t>Handling Charges Clearing Account</t>
  </si>
  <si>
    <t>Income tax relating to component for other comprehensive income</t>
  </si>
  <si>
    <t>This is the statement of comprehensive income referred to in our report of even date</t>
  </si>
  <si>
    <t>This is the statement of financial position referred to in our report of even date</t>
  </si>
  <si>
    <t>Other bank balances</t>
  </si>
  <si>
    <t>Balances with banks in current accounts</t>
  </si>
  <si>
    <t>Interest on BOB loan</t>
  </si>
  <si>
    <t>As of Sept, 18</t>
  </si>
  <si>
    <t>Telephone Service</t>
  </si>
  <si>
    <t>Miscellaneous Income - Fixed Line</t>
  </si>
  <si>
    <t>Mobile -  Sim Cards</t>
  </si>
  <si>
    <t>Mobile - Prepaid Recharge Cards</t>
  </si>
  <si>
    <t>Mobile - Postpaid Services</t>
  </si>
  <si>
    <t>Eload - Mobile</t>
  </si>
  <si>
    <t>Income from IN and VAS</t>
  </si>
  <si>
    <t>Miscellaneous Income - Mobile</t>
  </si>
  <si>
    <t>Sale of Mobile Data Card</t>
  </si>
  <si>
    <t>Broadband - Postpaid</t>
  </si>
  <si>
    <t>Broadband - Prepaid</t>
  </si>
  <si>
    <t>Internet Leaseline</t>
  </si>
  <si>
    <t>Income from Domain Name Registration</t>
  </si>
  <si>
    <t>Income from IPLC - National</t>
  </si>
  <si>
    <t>Miscellaneous Income - Druknet</t>
  </si>
  <si>
    <t>Sale of Internet Modem</t>
  </si>
  <si>
    <t>Broadband - Recharge Card</t>
  </si>
  <si>
    <t>Eload - Broadband</t>
  </si>
  <si>
    <t>Contact Center Revenue</t>
  </si>
  <si>
    <t>Income from Interconnect</t>
  </si>
  <si>
    <t>International ISD</t>
  </si>
  <si>
    <t>Income from International Roaming</t>
  </si>
  <si>
    <t>Income from IPLC - International</t>
  </si>
  <si>
    <t>Income from Domain Name - International</t>
  </si>
  <si>
    <t>Income from Leaseline - International</t>
  </si>
  <si>
    <t>Income from House Rent</t>
  </si>
  <si>
    <t>Income from Hire Charges</t>
  </si>
  <si>
    <t>Income from BT Guide</t>
  </si>
  <si>
    <t>Income from BSecure</t>
  </si>
  <si>
    <t>Income from One Stop Shop (BT Shop)</t>
  </si>
  <si>
    <t>Income from Thuraya Services</t>
  </si>
  <si>
    <t>Income from sale of CPE and Equipments</t>
  </si>
  <si>
    <t>Fines</t>
  </si>
  <si>
    <t>Net Income from Depository Works</t>
  </si>
  <si>
    <t>Physical Verification on Inventory - Gain</t>
  </si>
  <si>
    <t>Rounding Difference - Gain</t>
  </si>
  <si>
    <t>Income from MFS (Paku)</t>
  </si>
  <si>
    <t>Miscellaneous Income</t>
  </si>
  <si>
    <t>Interest from Fixed Deposits</t>
  </si>
  <si>
    <t>Gain on Forex Fluctuation</t>
  </si>
  <si>
    <t>Consumption of Vehicle Spares</t>
  </si>
  <si>
    <t>Consumption of Office Equipment Spares</t>
  </si>
  <si>
    <t>Consumption of Equipment Spares</t>
  </si>
  <si>
    <t>Consumption of General Item</t>
  </si>
  <si>
    <t>Consumables</t>
  </si>
  <si>
    <t>Consumption of Printing and Stationaries</t>
  </si>
  <si>
    <t>Consumption of Trading Goods</t>
  </si>
  <si>
    <t>COGS of Trading Goods</t>
  </si>
  <si>
    <t>Basic Pay</t>
  </si>
  <si>
    <t>Wages</t>
  </si>
  <si>
    <t>Allowances</t>
  </si>
  <si>
    <t>Bonus</t>
  </si>
  <si>
    <t>Medical Expenses</t>
  </si>
  <si>
    <t>Uniform and Livery Expenses</t>
  </si>
  <si>
    <t>Staff Welfare Expenses</t>
  </si>
  <si>
    <t>Training - In Country</t>
  </si>
  <si>
    <t>Training - Ex Country</t>
  </si>
  <si>
    <t>Meeting and Seminar</t>
  </si>
  <si>
    <t>Transfer Grant Expenses</t>
  </si>
  <si>
    <t>BT Day &amp; Development Program Expense</t>
  </si>
  <si>
    <t>Pilgrimage Expenses</t>
  </si>
  <si>
    <t>Leave Encashment</t>
  </si>
  <si>
    <t>Provident Fund Contribution</t>
  </si>
  <si>
    <t>R&amp;M Power - Service</t>
  </si>
  <si>
    <t>Generator Running Expenses</t>
  </si>
  <si>
    <t>R&amp;M Generator Set - Service</t>
  </si>
  <si>
    <t>R&amp;M Plant and Machinery - Service</t>
  </si>
  <si>
    <t>R&amp;M Plant and Machinery - AMC</t>
  </si>
  <si>
    <t>R&amp;M Building - Service</t>
  </si>
  <si>
    <t>R&amp;M Office Equipment - Service</t>
  </si>
  <si>
    <t>R&amp;M Office Equipment - AMC</t>
  </si>
  <si>
    <t>R&amp;M Cables and Accessories - Services</t>
  </si>
  <si>
    <t>R&amp;M Software Application - AMC</t>
  </si>
  <si>
    <t>Vehicle Running Expense - POL</t>
  </si>
  <si>
    <t>R&amp;M Vehicles - Services</t>
  </si>
  <si>
    <t>Deposit Work Expense</t>
  </si>
  <si>
    <t>Business Promotion</t>
  </si>
  <si>
    <t>Discount Allowed</t>
  </si>
  <si>
    <t>Directors Fees</t>
  </si>
  <si>
    <t>Brand &amp; Management Fees</t>
  </si>
  <si>
    <t>Fees and Subscriptions - National</t>
  </si>
  <si>
    <t>Printing and Stationary</t>
  </si>
  <si>
    <t>Advertisement</t>
  </si>
  <si>
    <t>Communication (Fax, Mail, Post)</t>
  </si>
  <si>
    <t>Office Maintenance</t>
  </si>
  <si>
    <t>Water and Sewerage</t>
  </si>
  <si>
    <t>Rent</t>
  </si>
  <si>
    <t>Travel - Foreign</t>
  </si>
  <si>
    <t>Travel - Local</t>
  </si>
  <si>
    <t>Travel - Maintenance &amp; Project</t>
  </si>
  <si>
    <t>Rates and Taxes</t>
  </si>
  <si>
    <t>Registration and Filing Fees/Survey</t>
  </si>
  <si>
    <t>General Insurance</t>
  </si>
  <si>
    <t>Expense on Interconnect Settlement</t>
  </si>
  <si>
    <t>Commission</t>
  </si>
  <si>
    <t>Revenue Sharing - National</t>
  </si>
  <si>
    <t>Electricity</t>
  </si>
  <si>
    <t>Entertainment</t>
  </si>
  <si>
    <t>Carriage Outward &amp; Inward</t>
  </si>
  <si>
    <t>Books, Magazines and Newspapers</t>
  </si>
  <si>
    <t>Corporate Social Responsibility</t>
  </si>
  <si>
    <t>Price Difference of Material - Loss</t>
  </si>
  <si>
    <t>Physical Verification of Inventory - Loss</t>
  </si>
  <si>
    <t>Loss/Scrapping/Retirement of Inventory</t>
  </si>
  <si>
    <t>Rounding Difference - Loss</t>
  </si>
  <si>
    <t>Misc. Expenses</t>
  </si>
  <si>
    <t>Professional Charges</t>
  </si>
  <si>
    <t>Audit Expenses</t>
  </si>
  <si>
    <t>Interest on Loans</t>
  </si>
  <si>
    <t>Bank Charges</t>
  </si>
  <si>
    <t>Fees and Subscriptions - International</t>
  </si>
  <si>
    <t>Satellite Utilization Charges</t>
  </si>
  <si>
    <t>Service fee for IPLC</t>
  </si>
  <si>
    <t>International Traffic Settlement, Voice</t>
  </si>
  <si>
    <t>Internet Port Charges, IP Transit</t>
  </si>
  <si>
    <t>International Roaming</t>
  </si>
  <si>
    <t>Loss on Forex Fluctuation</t>
  </si>
  <si>
    <t>Depreciation - Building</t>
  </si>
  <si>
    <t>Depreciation - Tele Equipment</t>
  </si>
  <si>
    <t>Depreciation - Office Equipment</t>
  </si>
  <si>
    <t>Depreciation - Furniture and Fixtures</t>
  </si>
  <si>
    <t>Depreciation - Power System</t>
  </si>
  <si>
    <t>Depreciation - Cable and Accessories</t>
  </si>
  <si>
    <t>Depreciation - Vehicle</t>
  </si>
  <si>
    <t>Depreciation - Tools and Spare Parts</t>
  </si>
  <si>
    <t>Amortization of Software</t>
  </si>
  <si>
    <t>100914942- CHQ BoB Dis - IB</t>
  </si>
  <si>
    <t>100914942- CHQ BoB Dis - OB</t>
  </si>
  <si>
    <t>0000019474029-CHQ BNB REV-MB</t>
  </si>
  <si>
    <t>0000019474056-BNB MFS-MB</t>
  </si>
  <si>
    <t>0000019474056-BNB MFS-IB</t>
  </si>
  <si>
    <t>201242839-CHQ BOB-MFS-MB</t>
  </si>
  <si>
    <t>201242839-CHQ BOB-MFS-IB</t>
  </si>
  <si>
    <t>0000019474054 - BNB-MPAY-MB</t>
  </si>
  <si>
    <t>0000019474054 - BNB-MPAY-IB</t>
  </si>
  <si>
    <t>2010115395 - BOB-CHARO-MB</t>
  </si>
  <si>
    <t>0003760172006 - Trashigang Rev - MB</t>
  </si>
  <si>
    <t>0003760172006 - Trashigang Rev - IB</t>
  </si>
  <si>
    <t>0006019474005 - Mongar Rev - MB</t>
  </si>
  <si>
    <t>0006019474005 - Mongar Rev - IB</t>
  </si>
  <si>
    <t>0002270057015 - Samdrup Jongkhar Rev - MB</t>
  </si>
  <si>
    <t>0002270057015 - Samdrup Jongkhar Rev - IB</t>
  </si>
  <si>
    <t>20402179000290016 - Pema Gatshel Rev - MB</t>
  </si>
  <si>
    <t>20401975000640019 - Lhuntse Rev - MB</t>
  </si>
  <si>
    <t>20401975000640019 - Lhuntse Rev - IB</t>
  </si>
  <si>
    <t>002227070019 - Wamrong Rev - MB</t>
  </si>
  <si>
    <t>002227070019 - Wamrong Rev - IB</t>
  </si>
  <si>
    <t>20402985000550010 - Nganglam Rev - MB</t>
  </si>
  <si>
    <t>20402985000550010 - Nganglam Rev - IB</t>
  </si>
  <si>
    <t>20402899000950012- Trashiyangtse Rev - MB</t>
  </si>
  <si>
    <t>20402899000950012 - Trashiyangtse Rev - IB</t>
  </si>
  <si>
    <t>002227150011-Khaling Rev - MB</t>
  </si>
  <si>
    <t>000927150001 - Kanglung Rev - MB</t>
  </si>
  <si>
    <t>000927150001 - Kanglung Rev - IB</t>
  </si>
  <si>
    <t>200692298 - Deothang - MB</t>
  </si>
  <si>
    <t>200692298 - Deothang - IB</t>
  </si>
  <si>
    <t>200736600 - Doksum - MB</t>
  </si>
  <si>
    <t>200746212 - Rangjung - MB</t>
  </si>
  <si>
    <t>200746212 - Rangjung - IB</t>
  </si>
  <si>
    <t>200781520 - Gyelpozhing - MB</t>
  </si>
  <si>
    <t>200781520 - Gyelpozhing - IB</t>
  </si>
  <si>
    <t>201237318 - Samdrup Jongkhar Rev - MB</t>
  </si>
  <si>
    <t>201237318 - Samdrup Jongkhar Rev - IB</t>
  </si>
  <si>
    <t>201240547 - Samdrup Jongkhar Dis - MB</t>
  </si>
  <si>
    <t>201240547 - Samdrup Jongkhar Dis - OB</t>
  </si>
  <si>
    <t>0001005964008 - Phuntsholing Rev - MB</t>
  </si>
  <si>
    <t>0001005964008  - Phuntsholing Rev - IB</t>
  </si>
  <si>
    <t>20401771000940017- Gedu Rev - MB</t>
  </si>
  <si>
    <t>20401771000940017 - Gedu Rev - IB</t>
  </si>
  <si>
    <t>000150001900014- Rinchentse Rev - MB</t>
  </si>
  <si>
    <t>2040054000410015 - Tshimasham Rev - MB</t>
  </si>
  <si>
    <t>2040054000410015 - Tshimasham Rev - IB</t>
  </si>
  <si>
    <t>0009760048017  - Gomtu Rev - MB</t>
  </si>
  <si>
    <t>0009760048017  - Gomtu Rev - IB</t>
  </si>
  <si>
    <t>20700642500860017 - Samtse Rev - MB</t>
  </si>
  <si>
    <t>20700642500860017 - Samtse Rev - IB</t>
  </si>
  <si>
    <t>20700642610380000 - Sipsoo Rev - MB</t>
  </si>
  <si>
    <t>20700642610380000 - Sipsoo Rev - IB</t>
  </si>
  <si>
    <t>002827110003 - Lhamoizingkha Rev - MB</t>
  </si>
  <si>
    <t>002827110003 - Lhamoizingkha Rev - IB</t>
  </si>
  <si>
    <t>0001005964016 - Phuntsholing Dis - MB</t>
  </si>
  <si>
    <t>0001005964016 - Phuntsholing Dis - IB</t>
  </si>
  <si>
    <t>0001005964016 - Phuntsholing Dis - OB</t>
  </si>
  <si>
    <t>20702697043750018 - Samdrupcholing Rev - MB</t>
  </si>
  <si>
    <t>20702697043750018 - Samdrupcholing Rev - IB</t>
  </si>
  <si>
    <t>002727140003- Jomotshangkha Rev - MB</t>
  </si>
  <si>
    <t>002727140003 - Jomotshangkha Rev - IB</t>
  </si>
  <si>
    <t>0004002496014 - Gelephu Rev - MB</t>
  </si>
  <si>
    <t>0004002496014 - Gelephu Rev - IB</t>
  </si>
  <si>
    <t>20400848000290019 - Damphu Rev - MB</t>
  </si>
  <si>
    <t>20400848000290019 - Damphu Rev - IB</t>
  </si>
  <si>
    <t>20402493000500011 - Dagana Rev - MB</t>
  </si>
  <si>
    <t>20402493000500011 - Dagana Rev - IB</t>
  </si>
  <si>
    <t>20402391004180022 - Sarpang Rev - MB</t>
  </si>
  <si>
    <t>20402391004180022 - Sarpang Rev - IB</t>
  </si>
  <si>
    <t>20401873019150016 - Zhemgang Rev - MB</t>
  </si>
  <si>
    <t>20401873019150016 - Zhemgang Rev - IB</t>
  </si>
  <si>
    <t>20401567011860014 - Trongsa Rev - MB</t>
  </si>
  <si>
    <t>20401567011860014 - Trongsa Rev - IB</t>
  </si>
  <si>
    <t>0004700084020 - Tingtibi Rev - MB</t>
  </si>
  <si>
    <t>0004700084020 - Tingtibi Rev - IB</t>
  </si>
  <si>
    <t>20401259073920015 - Bumthang Rev - MB</t>
  </si>
  <si>
    <t>20401259073920015 - Bumthang Rev - IB</t>
  </si>
  <si>
    <t>002527110001 - Panbang Rev - MB</t>
  </si>
  <si>
    <t>002527110001 - Panbang Rev - IB</t>
  </si>
  <si>
    <t>0004002520017 - Gelephu Dis - MB</t>
  </si>
  <si>
    <t>0004002520017 - Gelephu Dis - IB</t>
  </si>
  <si>
    <t>0004002520017 - Gelephu Dis - OB</t>
  </si>
  <si>
    <t>0000019473007 - Thimphu Rev - MB</t>
  </si>
  <si>
    <t>0000019473007 - Thimphu Rev - IB</t>
  </si>
  <si>
    <t>0000019474050 - Thimphu BNB Bwallet Rev - MB</t>
  </si>
  <si>
    <t>0000019474050 - Thimphu BNB Bwallet Rev - IB</t>
  </si>
  <si>
    <t>20770220677700011 - Thimphu BoB Bwallet Rev - MB</t>
  </si>
  <si>
    <t>20702200677700011- Thimphu BoB Bwallet Rev - IB</t>
  </si>
  <si>
    <t>2070220677700011 - Thimphu BoB Bwallet Rev - OB</t>
  </si>
  <si>
    <t>0000064465019 - Thimphu BNB Online Rev - MB</t>
  </si>
  <si>
    <t>0000064465019 - Thimphu BNB Online Rev - IB</t>
  </si>
  <si>
    <t>20700220670610012 - Thimphu BoB Online Rev - MB</t>
  </si>
  <si>
    <t>20700220670610012 - Thimphu BoB Online Rev - IB</t>
  </si>
  <si>
    <t>20700220670610012 - Thimphu BoB Online Rev - OB</t>
  </si>
  <si>
    <t>0005601652015 - Paro Rev - MB</t>
  </si>
  <si>
    <t>0005601652015 - Paro Rev - IB</t>
  </si>
  <si>
    <t>0007729062010 - Punakha Rev - MB</t>
  </si>
  <si>
    <t>0007729062010 - Punakha Rev - IB</t>
  </si>
  <si>
    <t>0007720098008 - Wangdue Rev - MB</t>
  </si>
  <si>
    <t>0007720098008 - Wangdue Rev - IB</t>
  </si>
  <si>
    <t>20401669009120014 - Haa Rev - MB</t>
  </si>
  <si>
    <t>20401669009120014 - Haa Rev - IB</t>
  </si>
  <si>
    <t>20703086001290010 - Gasa Rev - MB</t>
  </si>
  <si>
    <t>20703086001290010 - Gasa Rev - IB</t>
  </si>
  <si>
    <t>0000042330019 - Thimphu Dis - MB</t>
  </si>
  <si>
    <t>0000042330019 - Thimphu Dis - IB</t>
  </si>
  <si>
    <t>0000042330019 - Thimphu Dis - OB</t>
  </si>
  <si>
    <t>000127140179-Thimphu-BDBL BWallet Rev - MB</t>
  </si>
  <si>
    <t>000127140179-Thimphu-BDBL BWallet Rev - IB</t>
  </si>
  <si>
    <t>000127140179-Thimphu-BDBL BWallet Rev - OB</t>
  </si>
  <si>
    <t>0100017435001-Dagapela Rev - MB</t>
  </si>
  <si>
    <t>0100017435001-Dagapela Rev - IB</t>
  </si>
  <si>
    <t>20700220791560032-MBOB Rev - MB</t>
  </si>
  <si>
    <t>20700220791560032-MBOB Rev - IB</t>
  </si>
  <si>
    <t>200626734 - BOB OSS Rev - MB</t>
  </si>
  <si>
    <t>200626734 - BOB OSS Rev - IB</t>
  </si>
  <si>
    <t>0000019474053 - BNB Khasadrapchu Rev - MB</t>
  </si>
  <si>
    <t>0000019474053 - BNB Khasadrapchu Rev - IB</t>
  </si>
  <si>
    <t>Security Deposit - Others</t>
  </si>
  <si>
    <t>Advance to Suppliers - Current</t>
  </si>
  <si>
    <t>Advance to Others - Current</t>
  </si>
  <si>
    <t>Income accrued but not Due</t>
  </si>
  <si>
    <t>Other Receivables - Current</t>
  </si>
  <si>
    <t>Advance to Staff, Travel Expense</t>
  </si>
  <si>
    <t>Advance to Staff, Personal Expenses- Current</t>
  </si>
  <si>
    <t>Advance to Staff, Office Expenses - Current</t>
  </si>
  <si>
    <t>Advance to Staff, Imprest</t>
  </si>
  <si>
    <t>Prepaid Expense - Current</t>
  </si>
  <si>
    <t>Tax Deducted at Source - Asset</t>
  </si>
  <si>
    <t>Security Deposit Other - Non Current</t>
  </si>
  <si>
    <t>Grant from RGoB - Current</t>
  </si>
  <si>
    <t>Grant from Govt of India - Current</t>
  </si>
  <si>
    <t>Grant from JICA - Current</t>
  </si>
  <si>
    <t>Sundry Creditors - Domestic</t>
  </si>
  <si>
    <t>Sundry Creditors - DHI Intra Company</t>
  </si>
  <si>
    <t>Sundry Creditors - International</t>
  </si>
  <si>
    <t>Tax Deducted at Source - Liability</t>
  </si>
  <si>
    <t>Tax on Telecom Service Payable (ST)</t>
  </si>
  <si>
    <t>Stale Cheques</t>
  </si>
  <si>
    <t>Advances from Customer</t>
  </si>
  <si>
    <t>Advances from Customer - Deposit Work</t>
  </si>
  <si>
    <t>Salary Payable Account</t>
  </si>
  <si>
    <t>Other Deductions</t>
  </si>
  <si>
    <t>Sundry Creditors - Employees</t>
  </si>
  <si>
    <t>Security Deposits - Customer</t>
  </si>
  <si>
    <t>Security Deposits - Vendor</t>
  </si>
  <si>
    <t>Provision for Leave Encashment</t>
  </si>
  <si>
    <t>Grant from RGoB - Non Current</t>
  </si>
  <si>
    <t>Grant from Govt of India - Non Current</t>
  </si>
  <si>
    <t>Grant from JICA - Non Current</t>
  </si>
  <si>
    <t>Term Loan</t>
  </si>
  <si>
    <t>Corporate Bond</t>
  </si>
  <si>
    <t>Provision for Insurance of Assets - Non Current</t>
  </si>
  <si>
    <t>Provision for Leave Encashment - Non Current</t>
  </si>
  <si>
    <t>Issued, Subscribed and Paid Up</t>
  </si>
  <si>
    <t>Retained Earning</t>
  </si>
  <si>
    <t>Dividend for the Year</t>
  </si>
  <si>
    <t>Freight Clearing Account</t>
  </si>
  <si>
    <t>Miscellaneous Clearing Account</t>
  </si>
  <si>
    <t>0000019474056-BNB MFS-OB</t>
  </si>
  <si>
    <t>201242839-CHQ BOB-MFS-OB</t>
  </si>
  <si>
    <t>201240547 - Samdrup Jongkhar Dis - IB</t>
  </si>
  <si>
    <t>201237318 - Samdrup Jongkhar Rev - OB</t>
  </si>
  <si>
    <t>Leave Travel Concession</t>
  </si>
  <si>
    <t>0000019474029-CHQ BNB REV-IB</t>
  </si>
  <si>
    <t>2010115395 - BOB-CHARO-IB</t>
  </si>
  <si>
    <t>200736600 - Doksum - IB</t>
  </si>
  <si>
    <t>20400848000290019 - Damphu Rev - OB</t>
  </si>
  <si>
    <t>Opening Cash as of 31.12.17</t>
  </si>
  <si>
    <t>0000019474029-CHQ BNB REV-OB</t>
  </si>
  <si>
    <t>20402179000290019 - Pema Gatshel Rev - IB</t>
  </si>
  <si>
    <t>20402179000290019 - Pema Gatshel Rev - OB</t>
  </si>
  <si>
    <t>20402899000950012 - Trashiyangtse Rev - OB</t>
  </si>
  <si>
    <t>200781520 - Gyelpozhing - OB</t>
  </si>
  <si>
    <t>0000019473007 - Thimphu Rev - OB</t>
  </si>
  <si>
    <t>0005601652015 - Paro Rev - OB</t>
  </si>
  <si>
    <t>0007729062010 - Punakha Rev - OB</t>
  </si>
  <si>
    <t>0007720098008 - Wangdue Rev - OB</t>
  </si>
  <si>
    <t>20401669009120014 - Haa Rev - OB</t>
  </si>
  <si>
    <t>20703086001290010 - Gasa Rev - OB</t>
  </si>
  <si>
    <t>0000019474053 - BNB Khasadrapchu Rev - OB</t>
  </si>
  <si>
    <t>0000019474054 - BNB-MPAY-OB</t>
  </si>
  <si>
    <t>2010115395 - BOB-CHARO-OB</t>
  </si>
  <si>
    <t>0003760172006 - Trashigang Rev - OB</t>
  </si>
  <si>
    <t>0006019474005 - Mongar Rev - OB</t>
  </si>
  <si>
    <t>0002270057015 - Samdrup Jongkhar Rev - OB</t>
  </si>
  <si>
    <t>20401975000640019 - Lhuntse Rev - OB</t>
  </si>
  <si>
    <t>002227070019 - Wamrong Rev - OB</t>
  </si>
  <si>
    <t>20402985000550010 - Nganglam Rev - OB</t>
  </si>
  <si>
    <t>0003760172017 - Trashigang Dis - MB</t>
  </si>
  <si>
    <t>0003760172017 - Trashigang Dis - IB</t>
  </si>
  <si>
    <t>0003760172017 - Trashigang Dis - OB</t>
  </si>
  <si>
    <t>0002270058018 - Samdrup Jongkhar Dis - MB</t>
  </si>
  <si>
    <t>0002270058018 - Samdrup Jongkhar Dis - IB</t>
  </si>
  <si>
    <t>0002270058018 - Samdrup Jongkhar Dis - OB</t>
  </si>
  <si>
    <t>0006702336007 - Mongar Dis - MB</t>
  </si>
  <si>
    <t>0006702336007 - Mongar Dis - IB</t>
  </si>
  <si>
    <t>0006702336007 - Mongar Dis - OB</t>
  </si>
  <si>
    <t>20402899000950023 - Trashiyangtse Dis - MB</t>
  </si>
  <si>
    <t>20402899000950023 - Trashiyangtse Dis - IB</t>
  </si>
  <si>
    <t>20402899000950023 - Trashiyangtse Dis - OB</t>
  </si>
  <si>
    <t>20702985028750010 - Nanglam Dis - MB</t>
  </si>
  <si>
    <t>20702985028750010 - Nanglam Dis - IB</t>
  </si>
  <si>
    <t>20702985028750010 - Nanglam Dis - OB</t>
  </si>
  <si>
    <t>000927150001 - Kanglung Rev - OB</t>
  </si>
  <si>
    <t>10141176 - Kanglung Dis - MB</t>
  </si>
  <si>
    <t>10141176 - Kanglung Dis - IB</t>
  </si>
  <si>
    <t>10141176 - Kanglung Dis - OB</t>
  </si>
  <si>
    <t>200692298 - Deothang - OB</t>
  </si>
  <si>
    <t>200736600 - Doksum - OB</t>
  </si>
  <si>
    <t>002227150011-Khaling RV-MB</t>
  </si>
  <si>
    <t>002227150011-Khaling RV-IB</t>
  </si>
  <si>
    <t>002227150011-Khaling RV-OB</t>
  </si>
  <si>
    <t>0001005964008- Phuntsholing Rev - OB</t>
  </si>
  <si>
    <t>20401771000940017- Gedu Rev - OB</t>
  </si>
  <si>
    <t>000150001900014 - Rinchentse Rev - IB</t>
  </si>
  <si>
    <t>000150001900014 - Rinchentse Rev - OB</t>
  </si>
  <si>
    <t>2040054000410015 - Tshimasham Rev - OB</t>
  </si>
  <si>
    <t>0009760048017  - Gomtu Rev - OB</t>
  </si>
  <si>
    <t>20700642500860017 - Samtse Rev - OB</t>
  </si>
  <si>
    <t>20700642610380000 - Sipsoo Rev - OB</t>
  </si>
  <si>
    <t>002827110003 - Lhamoizingkha Rev - OB</t>
  </si>
  <si>
    <t>20401771071860000 - Gedu Dis - MB</t>
  </si>
  <si>
    <t>20401771071860000 - Gedu Dis - IB</t>
  </si>
  <si>
    <t>20401771071860000 - Gedu Dis - OB</t>
  </si>
  <si>
    <t>20700642500860000 - Samtse Dis - MB</t>
  </si>
  <si>
    <t>20700642500860000 - Samtse Dis - IB</t>
  </si>
  <si>
    <t>20700642500860000 - Samtse Dis - OB</t>
  </si>
  <si>
    <t>20700540025070000 - Tshimasham Dis - MB</t>
  </si>
  <si>
    <t>20700540025070000 - Tshimasham Dis - IB</t>
  </si>
  <si>
    <t>20700540025070000 - Tshimasham Dis - OB</t>
  </si>
  <si>
    <t>0001500190003 - Rinchentse Dis - MB</t>
  </si>
  <si>
    <t>0001500190003 - Rinchentse Dis - IB</t>
  </si>
  <si>
    <t>0001500190003 - Rinchentse Dis - OB</t>
  </si>
  <si>
    <t>00000009760047014 - Gomtu Dis - MB</t>
  </si>
  <si>
    <t>00000009760047014 - Gomtu Dis - IB</t>
  </si>
  <si>
    <t>00000009760047014 - Gomtu Dis - OB</t>
  </si>
  <si>
    <t>0000027120001 - Lhamoizingkha Dis - MB</t>
  </si>
  <si>
    <t>0000027120001 - Lhamoizingkha Dis - IB</t>
  </si>
  <si>
    <t>0000027120001 - Lhamoizingkha Dis - OB</t>
  </si>
  <si>
    <t>20702697043750018 - Samdrupcholing Rev - OB</t>
  </si>
  <si>
    <t>002727140003 - Jomotshangkha Rev - OB</t>
  </si>
  <si>
    <t>002710140222 - Jomotshangkha Dis - MB</t>
  </si>
  <si>
    <t>002710140222 - Jomotshangkha Dis - IB</t>
  </si>
  <si>
    <t>002710140222 - Jomotshangkha Dis - OB</t>
  </si>
  <si>
    <t>0004002496014 - Gelephu Rev - OB</t>
  </si>
  <si>
    <t>20402493000500011 - Dagana Rev - OB</t>
  </si>
  <si>
    <t>20402391004180022 - Sarpang Rev - OB</t>
  </si>
  <si>
    <t>20401873019150016 - Zhemgang Rev - OB</t>
  </si>
  <si>
    <t>20401567011860014 - Trongsa Rev - OB</t>
  </si>
  <si>
    <t>0004700084020 - Tingtibi Rev - OB</t>
  </si>
  <si>
    <t>20401259073920015 - Bumthang Rev - OB</t>
  </si>
  <si>
    <t>002527110001 - Panbang Rev - OB</t>
  </si>
  <si>
    <t>20400848046100016 - Damphu Dis - MB</t>
  </si>
  <si>
    <t>20400848046100016 - Damphu Dis - IB</t>
  </si>
  <si>
    <t>20400848046100016 - Damphu Dis - OB</t>
  </si>
  <si>
    <t>20402493000500000 - Dagana Dis - MB</t>
  </si>
  <si>
    <t>20402493000500000 - Dagana Dis - IB</t>
  </si>
  <si>
    <t>20402493000500000 - Dagana Dis - OB</t>
  </si>
  <si>
    <t>20401873028460018 - Zhemgang Dis - MB</t>
  </si>
  <si>
    <t>20401873028460018 - Zhemgang Dis - IB</t>
  </si>
  <si>
    <t>20401873028460018 - Zhemgang Dis - OB</t>
  </si>
  <si>
    <t>20401567011870018 - Trongsa Dis - MB</t>
  </si>
  <si>
    <t>20401567011870018 - Trongsa Dis - IB</t>
  </si>
  <si>
    <t>20401567011870018 - Trongsa Dis - OB</t>
  </si>
  <si>
    <t>0008740183014 - Bumthang Dis - MB</t>
  </si>
  <si>
    <t>0008740183014 - Bumthang Dis - IB</t>
  </si>
  <si>
    <t>0008740183014 - Bumthang Dis - OB</t>
  </si>
  <si>
    <t>0000019474050 - Thimphu BNB Bwallet - OB</t>
  </si>
  <si>
    <t>0000064465019 - Thimphu BNB Online - OB</t>
  </si>
  <si>
    <t>20700220569090014 - Thimphu POS - MB</t>
  </si>
  <si>
    <t>20700220569090014 - Thimphu POS - IB</t>
  </si>
  <si>
    <t>20700220569090014 - Thimphu POS - OB</t>
  </si>
  <si>
    <t>0005600121013 - Paro Dis - MB</t>
  </si>
  <si>
    <t>0005600121013 - Paro Dis - IB</t>
  </si>
  <si>
    <t>0005600121013 - Paro Dis - OB</t>
  </si>
  <si>
    <t>0007729061007 - Punakha Dis - MB</t>
  </si>
  <si>
    <t>0007729061007 - Punakha Dis - IB</t>
  </si>
  <si>
    <t>0007729061007 - Punakha Dis - OB</t>
  </si>
  <si>
    <t>0007720099000 - Wangdue Dis - MB</t>
  </si>
  <si>
    <t>0007720099000 - Wangdue Dis - IB</t>
  </si>
  <si>
    <t>0007720099000 - Wangdue Dis - OB</t>
  </si>
  <si>
    <t>0005300042000 - Haa Dis - MB</t>
  </si>
  <si>
    <t>0005300042000 - Haa Dis - IB</t>
  </si>
  <si>
    <t>0005300042000 - Haa Dis - OB</t>
  </si>
  <si>
    <t>0100017435001-Dagapela-OB</t>
  </si>
  <si>
    <t>000927150001-Kanglung-MB</t>
  </si>
  <si>
    <t>000927150001-Kanglung-IB</t>
  </si>
  <si>
    <t>000927150001-Kanglung-OB</t>
  </si>
  <si>
    <t>200626734 - BOB OSS Rev - OB</t>
  </si>
  <si>
    <t>Investment in the form of FD - Cash Equivalent</t>
  </si>
  <si>
    <t>Investment in Fixed Deposit - Short term</t>
  </si>
  <si>
    <t>General Reserve</t>
  </si>
  <si>
    <t>Provision GL - Current. Use when new GL needed</t>
  </si>
  <si>
    <t>Security Deposit - Non Current</t>
  </si>
  <si>
    <t>Income Tax Payable</t>
  </si>
  <si>
    <t>Advances from Customer - DHI Intra Company</t>
  </si>
  <si>
    <t>Provident Fund Deduction</t>
  </si>
  <si>
    <t>Group Insurance Scheme</t>
  </si>
  <si>
    <t>Health Contribution</t>
  </si>
  <si>
    <t>Salary Tax</t>
  </si>
  <si>
    <t>Salary Savings Scheme</t>
  </si>
  <si>
    <t>Staff Welfare Loan Deduction</t>
  </si>
  <si>
    <t>Installment Deductions</t>
  </si>
  <si>
    <t>Earnest Money Deposit</t>
  </si>
  <si>
    <t>Liability for Unearned Income</t>
  </si>
  <si>
    <t>Bank Overdraft Facility</t>
  </si>
  <si>
    <t>Staff Welfare Contribution</t>
  </si>
  <si>
    <t>House Rent Deduction - BTL Quarters</t>
  </si>
  <si>
    <t>Expense Accrued</t>
  </si>
  <si>
    <t>Provision for Audit Fees</t>
  </si>
  <si>
    <t>House Rent Deduction - Government Quarters</t>
  </si>
  <si>
    <t>Alimony Deduction</t>
  </si>
  <si>
    <t>Other Payables</t>
  </si>
  <si>
    <t>Financial Institution Loans</t>
  </si>
  <si>
    <t>Liability for Deposit Work</t>
  </si>
  <si>
    <t>Income from IN &amp; VAS-INTERNATIONAL</t>
  </si>
  <si>
    <t>Income from Depository Works</t>
  </si>
  <si>
    <t>Income from Sale of Tender Documents</t>
  </si>
  <si>
    <t>Price Difference of Material - Gain</t>
  </si>
  <si>
    <t>Discount Received</t>
  </si>
  <si>
    <t>Study Expenses</t>
  </si>
  <si>
    <t>R&amp;M Furniture &amp; Fixture - Service</t>
  </si>
  <si>
    <t>Custom Clearing Charges</t>
  </si>
  <si>
    <t>Hire Charges</t>
  </si>
  <si>
    <t>GTS Settlement</t>
  </si>
  <si>
    <t>Corporate Income Tax Paid</t>
  </si>
  <si>
    <t>Tax expense on items of Actuarial Employment Benef</t>
  </si>
  <si>
    <t>Tax expense on items of OCI</t>
  </si>
  <si>
    <t>Prepaid expense - non current</t>
  </si>
  <si>
    <t>Sundry debtors - domestic current</t>
  </si>
  <si>
    <t>Sundry debtors - International current</t>
  </si>
  <si>
    <t>Cash and cash equivanlents</t>
  </si>
  <si>
    <t>Note "14" : Deferred government grants non-current:</t>
  </si>
  <si>
    <t>Note "15": Long term borrowings:</t>
  </si>
  <si>
    <t>Note "20" : Short term provision:</t>
  </si>
  <si>
    <t>Provision for Insurance of Assets</t>
  </si>
  <si>
    <t>Rebate Expense</t>
  </si>
  <si>
    <t>002227150011-Khaling Rev - IB</t>
  </si>
  <si>
    <t>(Increase)/Decrease in investment in associate</t>
  </si>
  <si>
    <t>Actuarial G/L  Post Employment Benefit Obligations</t>
  </si>
  <si>
    <t>201800006795 - BDBL-EPAY-IB</t>
  </si>
  <si>
    <t>20700220791560032-MBOB Rev - OB</t>
  </si>
  <si>
    <t>Grant from Others - Non Current</t>
  </si>
  <si>
    <t>Statement of Comprehensive Income for the year ended 31st December, 2018</t>
  </si>
  <si>
    <t>Statement of Financial Position for the year ended 31st December, 2018</t>
  </si>
  <si>
    <t>As at 31st December, 2018</t>
  </si>
  <si>
    <t>As on 31st December, 2018</t>
  </si>
  <si>
    <t>Statement of Cash Flow for the year ended 31st December, 2018</t>
  </si>
  <si>
    <t>Statement of Changes in Equity for the year ended 31st December, 2018</t>
  </si>
  <si>
    <t>Notes forming part of the Financial Statements for the year ended 31st December, 2018</t>
  </si>
  <si>
    <t>31.12.2018</t>
  </si>
  <si>
    <t>201800006795 - BDBL-EPAY-MB</t>
  </si>
  <si>
    <t>201800006795 - BDBL-EPAY-OB</t>
  </si>
  <si>
    <t>Provision for Gratuity-Current</t>
  </si>
  <si>
    <t>Add/Less: Gain or Loss on scrapping/retirement of Assets</t>
  </si>
  <si>
    <t>INCOME YEAR as of 31st December, 2018</t>
  </si>
  <si>
    <t xml:space="preserve">Bonus </t>
  </si>
  <si>
    <t>Ratio Analysis for the year ended 31st December, 2018</t>
  </si>
  <si>
    <t>TDS for 2018</t>
  </si>
  <si>
    <t>Calculation of Deferred Tax For 2018</t>
  </si>
  <si>
    <t>Less: Staff training 1/3 for 2018</t>
  </si>
  <si>
    <t>Depreciation as per IT</t>
  </si>
  <si>
    <t>Credit risk is the risk that counterparty will not meet its obligations under a financial instrument or customer contract, leading to a financial loss. The Company is exposed to credit risk from its operating activities (primarily trade receivables) and from its financing activities, including deposits with banks and financial institutions and other financial instruments.
Credit risk arises from cash and cash equivalents, investments carried at amortised cost and deposits with banks and financial institutions, as well as credit exposures to wholesale customers including outstanding receivables.</t>
  </si>
  <si>
    <t>The tables below analyse the company’s financial liabilities into relevant maturity groupings based on their contractual maturities for:</t>
  </si>
  <si>
    <t>Bond</t>
  </si>
  <si>
    <t>interest rate</t>
  </si>
  <si>
    <t>interest p.a</t>
  </si>
  <si>
    <t>Total interest</t>
  </si>
  <si>
    <t xml:space="preserve">Total liability </t>
  </si>
  <si>
    <t>repayment 2015</t>
  </si>
  <si>
    <t>repayment 2016</t>
  </si>
  <si>
    <t>1 year</t>
  </si>
  <si>
    <t>repayment 2018</t>
  </si>
  <si>
    <t>repayment 2017</t>
  </si>
  <si>
    <t>More than year</t>
  </si>
  <si>
    <t>repayment 2019</t>
  </si>
  <si>
    <t xml:space="preserve">The accounting policies set out in "significant accounting policies" have been applied in preparing the financial statements for the year ended 31 December, 2018 and the comparative information presented in these financial statements for the year ended 31 December, 2017. </t>
  </si>
  <si>
    <t>These are the Company’s financial statements prepared in accordance with complete BFRSs.</t>
  </si>
  <si>
    <t>Set out below are the applicable BFRS 1 optional exemptions and mandatory exceptions applied in the transition from previous GAAP to BFRS.</t>
  </si>
  <si>
    <t>A.1 BFRS mandatory exceptions</t>
  </si>
  <si>
    <t>An entity's estimates in accordance with BFRS at the date of transition to BFRS shall be consistent with estimates made for the same date in accordance with previous GAAP (after adjustments to reflect any difference in accounting policies), unless there is objective evidence that those estimates were in error.</t>
  </si>
  <si>
    <t xml:space="preserve">BFRS estimates as at 1 January 2015 are consistent with the estimates as at the same date made in conformity with previous GAAP. </t>
  </si>
  <si>
    <t>Adjustments made due to BFRS Phase III implementation</t>
  </si>
  <si>
    <t>Company execute various nature of contracts which are classified as deposit contracts. Under such contracts, company is required to provide goods and services to the customer and procure material from its vendor independently. In other words, company execute the contracts independently and caries risk and rewards from the contracts. Under previous standards, revenue from such contracts were recognised on net basis (net profit/loss from the contract). 
Under BFRS, revenue from such contracts is required to be recognised on gross basis with corresponding expense as the company is acting as principal under the contract and not as an agent. Accordingly, necessary adjustment has been made under BFRS.</t>
  </si>
  <si>
    <t xml:space="preserve">Company execute certain contracts where company provides IVR platforms, etc., to the third parties. Under such contracts, company agreed to share total revenue received  by the company with third party in agreed ratio. Under previous standards such revenue was recognised by the company on gross basis with corresponding expense for the amount to be shared with the third party. However, under BFRS revenue from such contracts should be recognised by the company on net basis as a portion of the total revenue received by the company under the contract is received by the company on behalf of third party. Therefore, to that extent revenue should not be recognised by the company.  </t>
  </si>
  <si>
    <t xml:space="preserve">Company has investment in fixed deposits. Interest on majority of the fixed deposits hold by the company is earned on simple interest rate basis and received at the time of maturity (no compounding of the interest is recognised). Under previous GAAP company was recognising interest income on the fixed deposit on the basis of contractual rate. Under BFRS, such fixed deposits should be classified as financial assets measured at amortised cost and interest income should be recognised on effective interest basis. </t>
  </si>
  <si>
    <t xml:space="preserve">Under the previous GAAP, interest free lease security deposits assets (that are refundable in cash on completion of the contract term) are recorded at their transaction value. Under BFRS, all financial assets are required to be recognised at fair value at initial recognition and subsequently at amortised cost. Accordingly, The company has fair valued these security deposits under BFRS. Difference between the fair value and transaction value of the security deposit has been recognised as prepaid rent. 
Under the previous GAAP, security deposits liability (that are refundable in cash on completion of the contract term) are recorded at their transaction value. Under BFRS, these financial liabilities are required to be recognised at fair value at initial recognition and subsequently at amortised cost. Accordingly, The company has fair valued these security deposits under BFRS. Difference between the fair value and transaction value of the security deposit has been recognised as advance rent. </t>
  </si>
  <si>
    <t>Note: 37 Transition to BFRS</t>
  </si>
  <si>
    <t>No. of Employee as on 31.12.18</t>
  </si>
  <si>
    <t>For GSA &amp; Associates.</t>
  </si>
  <si>
    <t>Tanuj Chugh</t>
  </si>
  <si>
    <t>Income:</t>
  </si>
  <si>
    <t>Other income</t>
  </si>
  <si>
    <t>Income from operations</t>
  </si>
  <si>
    <t>Service revenue</t>
  </si>
  <si>
    <t>Sale of products</t>
  </si>
  <si>
    <t>Others</t>
  </si>
  <si>
    <t>Expense</t>
  </si>
  <si>
    <t>Network operating expenses</t>
  </si>
  <si>
    <t>Employee benefit</t>
  </si>
  <si>
    <t>Sales &amp; marketing expenses</t>
  </si>
  <si>
    <t>Other expenses</t>
  </si>
  <si>
    <t>Cost of trading goods</t>
  </si>
  <si>
    <t>Finance cost</t>
  </si>
  <si>
    <t>Depreciation and amortization</t>
  </si>
  <si>
    <t>Profit from operating activities before depreciation &amp; amortization</t>
  </si>
  <si>
    <t>Previous tax</t>
  </si>
  <si>
    <t>-Landline</t>
  </si>
  <si>
    <t>-Mobile</t>
  </si>
  <si>
    <t>-Internet</t>
  </si>
  <si>
    <t>-Others</t>
  </si>
  <si>
    <t>-Telecom products</t>
  </si>
  <si>
    <t>-Accessories</t>
  </si>
  <si>
    <t>Repair &amp; maintenance</t>
  </si>
  <si>
    <t>Power &amp; fuel</t>
  </si>
  <si>
    <t>Salaries &amp; bonus</t>
  </si>
  <si>
    <t>Staff  welfare expenses</t>
  </si>
  <si>
    <t>Travel local</t>
  </si>
  <si>
    <t>Charity &amp; donation</t>
  </si>
  <si>
    <t>Professional fees</t>
  </si>
  <si>
    <t>Loss on sale or retirement of asset</t>
  </si>
  <si>
    <t>Physical verification of inventory loss</t>
  </si>
  <si>
    <t>Insurance</t>
  </si>
  <si>
    <t>Printing and stationary</t>
  </si>
  <si>
    <t>Audit expenses</t>
  </si>
  <si>
    <t>Contract Asset(Current)</t>
  </si>
  <si>
    <t>Contract Asset(Non-Current)</t>
  </si>
  <si>
    <t>Provision for Old Inventories</t>
  </si>
  <si>
    <t>Balance with Govt Authority</t>
  </si>
  <si>
    <t>Trial Balance</t>
  </si>
  <si>
    <t>Interest exp.  - other</t>
  </si>
  <si>
    <t>Provision for Bonus</t>
  </si>
  <si>
    <t>Lisence fees payable</t>
  </si>
  <si>
    <t>Liability for shareholder</t>
  </si>
  <si>
    <t>Non current asset held for sale</t>
  </si>
  <si>
    <t>Leave encashment provision adjusted from opening</t>
  </si>
  <si>
    <t>Interest-Others</t>
  </si>
  <si>
    <t>Financial Assets</t>
  </si>
  <si>
    <t xml:space="preserve"> - Investment in associate</t>
  </si>
  <si>
    <t xml:space="preserve"> - Investments</t>
  </si>
  <si>
    <t>Land*</t>
  </si>
  <si>
    <t>Buildings #</t>
  </si>
  <si>
    <t>Tele. Equipments #</t>
  </si>
  <si>
    <t>Office equipments #</t>
  </si>
  <si>
    <t>Power system &amp; cables #</t>
  </si>
  <si>
    <t>Furniture &amp; fixtures #</t>
  </si>
  <si>
    <t>Vehicles #</t>
  </si>
  <si>
    <t>Software applications #</t>
  </si>
  <si>
    <t>15 yrs (based on agreement)</t>
  </si>
  <si>
    <t>Accrued income on investments</t>
  </si>
  <si>
    <t>Investment for redemption of bond*</t>
  </si>
  <si>
    <t>* Bonds are to be matured in the year 2020</t>
  </si>
  <si>
    <t>* For disclosures related to contract assets refer note 11</t>
  </si>
  <si>
    <t>Inventory - Others</t>
  </si>
  <si>
    <t>Total Inventories*</t>
  </si>
  <si>
    <t>Inventory - Traded Goods</t>
  </si>
  <si>
    <t>Impairment of trade receivables*</t>
  </si>
  <si>
    <t>Balances lying with Bank &amp; Current account</t>
  </si>
  <si>
    <t xml:space="preserve"> - Trade receivables</t>
  </si>
  <si>
    <t xml:space="preserve"> - Cash and bank balances</t>
  </si>
  <si>
    <t xml:space="preserve"> - Other receivables</t>
  </si>
  <si>
    <t>Advance to Suppliers</t>
  </si>
  <si>
    <t>Advance to Others</t>
  </si>
  <si>
    <t>Advance to Staff, Office Expenses</t>
  </si>
  <si>
    <t>Prepaid Expense</t>
  </si>
  <si>
    <t>Contract Asset*</t>
  </si>
  <si>
    <t>* Judgement used for creation of contract assets are as follows:-</t>
  </si>
  <si>
    <t>(a) Expected life of the connection considered to be 5 years</t>
  </si>
  <si>
    <t>(b) Expenses considered as part of contract cost are cost of new sim and cost of drop wire</t>
  </si>
  <si>
    <t>(e) Impairment of contract cost in 2018 is Nu. Nil</t>
  </si>
  <si>
    <t xml:space="preserve">(d) Amortization of contract cost in 2018 of Nu. 427,576.32
</t>
  </si>
  <si>
    <t>Note "12": Non current asset held for sale</t>
  </si>
  <si>
    <t>Asset held for disposal*</t>
  </si>
  <si>
    <t>Note "13" : Share capital :</t>
  </si>
  <si>
    <t>The Company has only one class of equity shares having a par value of Nu.1000/- per share. Each holder of equity shares is entitled to one vote per share. Each holder of these ordinary shares are entitiled to receive dividends as and when declared by the company. Of the above 854,082 (previous year 854,082) shares are held by the Druk Holding &amp; Investment Limited,being the Holding Company.</t>
  </si>
  <si>
    <t xml:space="preserve">  (b) Deferred government grants</t>
  </si>
  <si>
    <t>(c) Non-current liabilities</t>
  </si>
  <si>
    <t>Total liabilities (b+c+d)</t>
  </si>
  <si>
    <t>(d) Current liabilities</t>
  </si>
  <si>
    <t>Leave encashment</t>
  </si>
  <si>
    <t>Provision for doubtful debt</t>
  </si>
  <si>
    <t>DTA</t>
  </si>
  <si>
    <t>SOCI</t>
  </si>
  <si>
    <t>Grant from RGoB</t>
  </si>
  <si>
    <t>Grant from JICA</t>
  </si>
  <si>
    <t>Grant from RGoB*</t>
  </si>
  <si>
    <t>Grant from JICA**</t>
  </si>
  <si>
    <t>Grant from Govt of India*</t>
  </si>
  <si>
    <t>* Monetory grant received against investment in property plant and equipment in rural areas. The same is treated as deferred income and is recognised in the statement of comprehensive income on a systematic or rational basis over the useful life of the assets.</t>
  </si>
  <si>
    <t>** Non-monetory grant received in the form of property plant and equipment where the grant and the corresponding PPE have been accounted on the fair value on the date of receipt. Subsequently, The same is treated as deferred income and is recognised in the statement of comprehensive income on a systematic or rational basis over the useful life of the assets.</t>
  </si>
  <si>
    <t># Amortisation of govt. grant during the year is Nu. 23,323,850</t>
  </si>
  <si>
    <t>Less : Current maturity of long term loan</t>
  </si>
  <si>
    <t>Current maturity of long term loan (refer note 15)</t>
  </si>
  <si>
    <t># Property includes - Vehicles, PPE and tools</t>
  </si>
  <si>
    <t>For details related to charges for fixed asssets (refer note 15)</t>
  </si>
  <si>
    <t>Certain assets are not been fully controlled by company and the same are jointly control with Ms. Bhutan Power Corporation, a fellow subsidiary</t>
  </si>
  <si>
    <t xml:space="preserve">     BOB (NPPF)  - Secured by hypothecation of Property plant &amp; equipment of worth Nu. 100 million</t>
  </si>
  <si>
    <t>Note "16" : Other non current liabilities</t>
  </si>
  <si>
    <t xml:space="preserve"> - Long term borrowings</t>
  </si>
  <si>
    <t xml:space="preserve"> - Other non current liabilities</t>
  </si>
  <si>
    <t>Less :  Current obligation (refer note 20)</t>
  </si>
  <si>
    <t>Provision for Leave Encashment (refer note 17)</t>
  </si>
  <si>
    <t>Provision for Gratuity (refer note 17)</t>
  </si>
  <si>
    <t>Note "18" : Trade and other payables:</t>
  </si>
  <si>
    <t xml:space="preserve"> - Trade and other payables</t>
  </si>
  <si>
    <t xml:space="preserve"> - Other current liabilities</t>
  </si>
  <si>
    <t>Sundry Creditors - related party</t>
  </si>
  <si>
    <t>Payable to employees</t>
  </si>
  <si>
    <t>Note "19" : Other current Financial liabilities</t>
  </si>
  <si>
    <t>Tax deducted at source (TDS)</t>
  </si>
  <si>
    <t>Payable to Government  Authority</t>
  </si>
  <si>
    <t>Contract liability*</t>
  </si>
  <si>
    <t>Liability towards shareholder (refer note 12)</t>
  </si>
  <si>
    <t>*The services are being provided on the basis of usage by the subscribers. Unprovided services will be availed by the subscribers in the next year.</t>
  </si>
  <si>
    <t>Breakup for revenue</t>
  </si>
  <si>
    <t xml:space="preserve">Domestic </t>
  </si>
  <si>
    <t>Export</t>
  </si>
  <si>
    <t>Travel</t>
  </si>
  <si>
    <t xml:space="preserve">Tax Expense related to Prior Period </t>
  </si>
  <si>
    <t>Profit or loss section</t>
  </si>
  <si>
    <t>Current income tax:</t>
  </si>
  <si>
    <t>Adjustments in respect of current income tax of previous years</t>
  </si>
  <si>
    <t>Deferred tax:</t>
  </si>
  <si>
    <t>Deferred tax for the year</t>
  </si>
  <si>
    <t>Income tax expense reported in the Statement of Profit and Loss</t>
  </si>
  <si>
    <t>OCI section</t>
  </si>
  <si>
    <t xml:space="preserve">Tax related to items that will not be reclassified to Profit &amp; Loss </t>
  </si>
  <si>
    <t>Income tax charged to OCI</t>
  </si>
  <si>
    <t xml:space="preserve">Accounting profit before income tax </t>
  </si>
  <si>
    <t>%</t>
  </si>
  <si>
    <t>Effect of non-deductible expenses, exempt income and others</t>
  </si>
  <si>
    <t>Effect of prior year re-assessments</t>
  </si>
  <si>
    <t xml:space="preserve">Income tax expense reported in the Statement of Profit and Loss </t>
  </si>
  <si>
    <t>Reconciliation between average effective tax rate and applicable tax rate for the year ended 31 Dec 2018 and 31 Dec 2017:</t>
  </si>
  <si>
    <t xml:space="preserve">At Bhutan’s statutory income tax rate of 30% (31 Dec 2018: 30%) </t>
  </si>
  <si>
    <t>M. No. 529619</t>
  </si>
  <si>
    <t>Add : Comprehensive income for the year</t>
  </si>
  <si>
    <t>Less : Dividend</t>
  </si>
  <si>
    <t>Less : Dividend for the year</t>
  </si>
  <si>
    <t xml:space="preserve">Less : Liability for free hold land transferred to DHI (refer note 12) </t>
  </si>
  <si>
    <t xml:space="preserve">AS AT </t>
  </si>
  <si>
    <t>Reconciliation of deferred tax assets (net):</t>
  </si>
  <si>
    <t>`</t>
  </si>
  <si>
    <t>` Lakhs</t>
  </si>
  <si>
    <t>Opening balance as of 1 April</t>
  </si>
  <si>
    <t>Tax income/(expense) during the period recognised in retained earnings</t>
  </si>
  <si>
    <t>Tax income/(expense) during the period recognised in profit or loss</t>
  </si>
  <si>
    <t>Tax income/(expense) during the period recognised in OCI</t>
  </si>
  <si>
    <t>Discontinued operation</t>
  </si>
  <si>
    <t>Deferred taxes acquired in business combinations</t>
  </si>
  <si>
    <t>Closing balance as at 31 March</t>
  </si>
  <si>
    <t xml:space="preserve">Opening balance as of 1 Jan </t>
  </si>
  <si>
    <t xml:space="preserve"> Trade receivables</t>
  </si>
  <si>
    <t xml:space="preserve"> Cash and cash equivalent</t>
  </si>
  <si>
    <t xml:space="preserve"> Income accrued but not Due</t>
  </si>
  <si>
    <t xml:space="preserve"> Other Receivables</t>
  </si>
  <si>
    <t>Investment for redemption of bond</t>
  </si>
  <si>
    <t>License fee payable</t>
  </si>
  <si>
    <t>Term loan - BOB</t>
  </si>
  <si>
    <t>Investment in associates</t>
  </si>
  <si>
    <t>Security deposits</t>
  </si>
  <si>
    <t>Change in currency</t>
  </si>
  <si>
    <t>exchange rate</t>
  </si>
  <si>
    <t>Appreciation in Nu.</t>
  </si>
  <si>
    <t>Deprecition in Nu.</t>
  </si>
  <si>
    <t>(Average current asset-current liabilities)/(operating income)</t>
  </si>
  <si>
    <t>Employee cost/sum(operating income)</t>
  </si>
  <si>
    <t>PBT/sum(operating income)</t>
  </si>
  <si>
    <t>1.40 million</t>
  </si>
  <si>
    <t>42.32 Days</t>
  </si>
  <si>
    <t>Increase/(Decrease) in other financial current liabilitis</t>
  </si>
  <si>
    <t>Increase/(Decrease) in Other non current financial liability</t>
  </si>
  <si>
    <t>Increase/(Decrease) in assets held for sale</t>
  </si>
  <si>
    <t>Increase/(Decrease) in Other deferred govt grant</t>
  </si>
  <si>
    <t>Less:- Current maturity (refer note 19)</t>
  </si>
  <si>
    <t>Current maturity for license payable</t>
  </si>
  <si>
    <t># Refer note no. - 37 of the Financials</t>
  </si>
  <si>
    <t>Disclosure for para 79 of BAS 16 "Property Plant and Equipment" - Refer note 42</t>
  </si>
  <si>
    <t>Tax income/(expense) during the period recognised in SOCI</t>
  </si>
  <si>
    <t>* For basis of impairment refer note 35</t>
  </si>
  <si>
    <r>
      <rPr>
        <b/>
        <i/>
        <sz val="11"/>
        <color theme="1"/>
        <rFont val="Book Antiqua"/>
        <family val="1"/>
      </rPr>
      <t xml:space="preserve">Level 1: </t>
    </r>
    <r>
      <rPr>
        <i/>
        <sz val="11"/>
        <color theme="1"/>
        <rFont val="Book Antiqua"/>
        <family val="1"/>
      </rPr>
      <t>Level 1 hierarchy includes financial instruments measured using quoted prices.</t>
    </r>
  </si>
  <si>
    <r>
      <rPr>
        <b/>
        <i/>
        <sz val="11"/>
        <color theme="1"/>
        <rFont val="Book Antiqua"/>
        <family val="1"/>
      </rPr>
      <t>Level 2:</t>
    </r>
    <r>
      <rPr>
        <i/>
        <sz val="11"/>
        <color theme="1"/>
        <rFont val="Book Antiqua"/>
        <family val="1"/>
      </rPr>
      <t xml:space="preserve"> The fair value of financial instruments that are not traded in an active market (for example, traded bonds, over-the-counter derivatives) is determined using valuation techniques which maximise the use of observable market data and rely as little as possible on entity-specific estimates. If all significant inputs required to fair value an instrument are observable, the instrument is included in level 2.</t>
    </r>
  </si>
  <si>
    <r>
      <rPr>
        <b/>
        <i/>
        <sz val="11"/>
        <color theme="1"/>
        <rFont val="Book Antiqua"/>
        <family val="1"/>
      </rPr>
      <t xml:space="preserve">Level 3: </t>
    </r>
    <r>
      <rPr>
        <i/>
        <sz val="11"/>
        <color theme="1"/>
        <rFont val="Book Antiqua"/>
        <family val="1"/>
      </rPr>
      <t xml:space="preserve">If one or more of the significant inputs is not based on observable market data, the instrument is included in level 3. </t>
    </r>
  </si>
  <si>
    <t>Deferred tax liability (net)</t>
  </si>
  <si>
    <t>Impairment of Trade Receivables 2018</t>
  </si>
  <si>
    <t>Phase - I</t>
  </si>
  <si>
    <t>Phase - II</t>
  </si>
  <si>
    <t>Phase - III</t>
  </si>
  <si>
    <t>0-3 Months</t>
  </si>
  <si>
    <t>3-6 Months</t>
  </si>
  <si>
    <t>6-9 Months</t>
  </si>
  <si>
    <t>9-12 Months</t>
  </si>
  <si>
    <t>More Than a YEAR</t>
  </si>
  <si>
    <t>Impairment percentage</t>
  </si>
  <si>
    <t>Domestic SD</t>
  </si>
  <si>
    <t>Other Debtors</t>
  </si>
  <si>
    <t>International</t>
  </si>
  <si>
    <t>Bulk SMS</t>
  </si>
  <si>
    <t>Impairment value</t>
  </si>
  <si>
    <t>Writeoff</t>
  </si>
  <si>
    <t>Provision for Doubtful Debts</t>
  </si>
  <si>
    <t>As at 31-12-2017
(Restated)</t>
  </si>
  <si>
    <t>A</t>
  </si>
  <si>
    <t>A, B</t>
  </si>
  <si>
    <t>B</t>
  </si>
  <si>
    <t>Trade receivables</t>
  </si>
  <si>
    <t>C</t>
  </si>
  <si>
    <t>Cash and bank balances</t>
  </si>
  <si>
    <t>Other receivables</t>
  </si>
  <si>
    <t>D</t>
  </si>
  <si>
    <t>Deferred government grants</t>
  </si>
  <si>
    <t>(b) Non-current liabilities</t>
  </si>
  <si>
    <t>Long term borrowings</t>
  </si>
  <si>
    <t>Deferre tax liability (net)</t>
  </si>
  <si>
    <t>Other non current liabilities</t>
  </si>
  <si>
    <t>(c) Current liabilities</t>
  </si>
  <si>
    <t>Trade and other payables</t>
  </si>
  <si>
    <t>Total liabilities (b+c)</t>
  </si>
  <si>
    <t>Notes</t>
  </si>
  <si>
    <t>As at 31-12-2018</t>
  </si>
  <si>
    <t>For the Year 31-December-2017</t>
  </si>
  <si>
    <t>Restated</t>
  </si>
  <si>
    <t xml:space="preserve">Adjustment </t>
  </si>
  <si>
    <t>As at 31-12-2017</t>
  </si>
  <si>
    <t>Remarks</t>
  </si>
  <si>
    <t>Transfer to other operating expense</t>
  </si>
  <si>
    <t>Gain on forex fluctuations</t>
  </si>
  <si>
    <t>Amt of 119906010 Reclassify from General admin</t>
  </si>
  <si>
    <t>Transfer From Stores &amp; spares</t>
  </si>
  <si>
    <t>F</t>
  </si>
  <si>
    <t>Adjustment of bonus expense &amp; leave Encashment</t>
  </si>
  <si>
    <t>Administartive &amp; general expenses</t>
  </si>
  <si>
    <t>E</t>
  </si>
  <si>
    <t>Stores &amp; Spares</t>
  </si>
  <si>
    <t>G</t>
  </si>
  <si>
    <t xml:space="preserve">amt of 8024683 reclassify to network operating ,amt of 6909943 transfer to other Expenses </t>
  </si>
  <si>
    <t>Repair &amp; Maintenance</t>
  </si>
  <si>
    <t>H</t>
  </si>
  <si>
    <t>Amt of 173641112 transfer to network operating cost &amp; amt of 8800476 transfer to other expenses</t>
  </si>
  <si>
    <t>International Payments</t>
  </si>
  <si>
    <t>I</t>
  </si>
  <si>
    <t>Transfer to Network operating</t>
  </si>
  <si>
    <t>Amt of 37324189 reclassify from Admin.exp</t>
  </si>
  <si>
    <t>Loss on forex fluctuations</t>
  </si>
  <si>
    <t>Transfer to other income</t>
  </si>
  <si>
    <t>Amt of 140194233 reclassify from Admin.exp</t>
  </si>
  <si>
    <t>A)</t>
  </si>
  <si>
    <t xml:space="preserve"> Assest whose life has expired but accumulated depreciation was short accounted for due to SAP transition problem. Same has been adjusted in 2017 with a correspconding impact on retained earnings. Impact Nu. 378 million</t>
  </si>
  <si>
    <t>B)</t>
  </si>
  <si>
    <t xml:space="preserve">C) </t>
  </si>
  <si>
    <t>Advance received from postpaid customers against which invoice had already been raised in year 2017. Hence, advance from customer and debtor balance has been adjusted.</t>
  </si>
  <si>
    <t>D)</t>
  </si>
  <si>
    <t>Income accrued but not due has been reclassified from other current  asset to other receivable</t>
  </si>
  <si>
    <t>E)</t>
  </si>
  <si>
    <t>F)</t>
  </si>
  <si>
    <t>Provision has been created for paying bonus of 2018 &amp; bonus expenses of 2016 which is paid in 2017 has been adjusted from retained earnings</t>
  </si>
  <si>
    <t>G)</t>
  </si>
  <si>
    <t>H)</t>
  </si>
  <si>
    <t>Repairs &amp; maintenance cost has been reclassified into network Operating cost &amp; other operating expense</t>
  </si>
  <si>
    <t>I.)</t>
  </si>
  <si>
    <t>International payments has been reclassified as Network operating Cost</t>
  </si>
  <si>
    <t>L</t>
  </si>
  <si>
    <t>M</t>
  </si>
  <si>
    <t>K</t>
  </si>
  <si>
    <t>J</t>
  </si>
  <si>
    <t>G,E,H,I</t>
  </si>
  <si>
    <t>G,E,H</t>
  </si>
  <si>
    <t>J)</t>
  </si>
  <si>
    <t>K.)</t>
  </si>
  <si>
    <t>L)</t>
  </si>
  <si>
    <t>M)</t>
  </si>
  <si>
    <t>Short term borrowings has been reclassified into other Current liabilities</t>
  </si>
  <si>
    <t>N)</t>
  </si>
  <si>
    <t>N</t>
  </si>
  <si>
    <t>C,M,N</t>
  </si>
  <si>
    <t>Closing balance as at 31 December,18</t>
  </si>
  <si>
    <t>Total (A+B)</t>
  </si>
  <si>
    <t>Deferred government grants#</t>
  </si>
  <si>
    <r>
      <t>b) Corporate Bond - Bank of Bhutan**-</t>
    </r>
    <r>
      <rPr>
        <b/>
        <i/>
        <sz val="11"/>
        <rFont val="Book Antiqua"/>
        <family val="1"/>
      </rPr>
      <t>B</t>
    </r>
  </si>
  <si>
    <t>Investment in the form of Share-TTPL*</t>
  </si>
  <si>
    <t>(Firm Reg. No. 000257N)</t>
  </si>
  <si>
    <t xml:space="preserve">Place: </t>
  </si>
  <si>
    <t xml:space="preserve">Date: </t>
  </si>
  <si>
    <t xml:space="preserve">     Financial Assets</t>
  </si>
  <si>
    <t xml:space="preserve">      Financial liabilities</t>
  </si>
  <si>
    <t xml:space="preserve">       Financial liabilities</t>
  </si>
  <si>
    <t>Provision for Leave Encashment*</t>
  </si>
  <si>
    <t>Provision for Gratuity*</t>
  </si>
  <si>
    <t>* For details refer note 39</t>
  </si>
  <si>
    <t>Income Tax Payable (net of advance tax of Nu. 222,673,354)</t>
  </si>
  <si>
    <t>Gratuity*</t>
  </si>
  <si>
    <t>Others*</t>
  </si>
  <si>
    <t>*For disclosure of post employeement benefits refer note 39</t>
  </si>
  <si>
    <t>Depreciation*</t>
  </si>
  <si>
    <t>Amortization*</t>
  </si>
  <si>
    <t>* Depreciation expense has been netted off with amortisation of govt grant Nu.</t>
  </si>
  <si>
    <t>Interest on Loans*</t>
  </si>
  <si>
    <t>* Interest capitalised shall be Nu 1 Million</t>
  </si>
  <si>
    <t>Provision for Expected credit loss (refer note 35)</t>
  </si>
  <si>
    <t>As at 31st December,2018</t>
  </si>
  <si>
    <t>As at 31st December,2017</t>
  </si>
  <si>
    <r>
      <rPr>
        <b/>
        <i/>
        <sz val="12"/>
        <color theme="1"/>
        <rFont val="Book Antiqua"/>
        <family val="1"/>
      </rPr>
      <t xml:space="preserve">Financial assets </t>
    </r>
    <r>
      <rPr>
        <i/>
        <sz val="12"/>
        <color theme="1"/>
        <rFont val="Book Antiqua"/>
        <family val="1"/>
      </rPr>
      <t xml:space="preserve">
</t>
    </r>
  </si>
  <si>
    <t>(refer note 32 for tax exp. Reconciliation)</t>
  </si>
  <si>
    <t>Note : 32  INCOME TAX</t>
  </si>
  <si>
    <t>Note "22":</t>
  </si>
  <si>
    <t>Revenue from operations:</t>
  </si>
  <si>
    <t>Note "23":</t>
  </si>
  <si>
    <t>Other income:</t>
  </si>
  <si>
    <t>Note "24":</t>
  </si>
  <si>
    <t>Note "25":</t>
  </si>
  <si>
    <t>Cost of trading goods:</t>
  </si>
  <si>
    <t>Network operating expense:</t>
  </si>
  <si>
    <t>Employee benefit:</t>
  </si>
  <si>
    <t>Note "26":</t>
  </si>
  <si>
    <t>Sales &amp; marketing expenses:</t>
  </si>
  <si>
    <t>Note "27":</t>
  </si>
  <si>
    <t>Depreciation &amp; amortization:</t>
  </si>
  <si>
    <t>Note "28":</t>
  </si>
  <si>
    <t>Finance cost:</t>
  </si>
  <si>
    <t>Note "29":</t>
  </si>
  <si>
    <t>Other expenses:</t>
  </si>
  <si>
    <t>Note "30":</t>
  </si>
  <si>
    <t>Earning per Share:</t>
  </si>
  <si>
    <t>Note "33":</t>
  </si>
  <si>
    <t>Note "31":</t>
  </si>
  <si>
    <t>Note: "37" The following reconciliations provides the effect of re-statement in year ending 31st December 2017</t>
  </si>
  <si>
    <t>(A)</t>
  </si>
  <si>
    <t>Reconcilliation of financial Position as at 31st December,2017</t>
  </si>
  <si>
    <t>Reconcilliation of Statement of Comprehensive Income as at 31st December,2017</t>
  </si>
  <si>
    <t>9. License</t>
  </si>
  <si>
    <t>(923084 number of equity shares of face value of Nu. 100)</t>
  </si>
  <si>
    <t>*The land has been transferred to parent company at book value without consideration and the same has been adjusted from the Group investment reserve of the company. The transaction is not carried at fair value as the company was holding the investment on behalf of its parent company i.e Druk Holding &amp; Investment Limited.</t>
  </si>
  <si>
    <t>(As certified by the management)</t>
  </si>
  <si>
    <t>(c) Amortization of contract cost is done on straight line basis in a period of 5 years</t>
  </si>
  <si>
    <t>*In the meeting of the Board of Directors of the company held on 18th January 2018, the Board has decided to transfer the ownership of lands to its Holding Company i.e. Druk holding &amp; investment limited (DHI) in accordance with the DHI land policy 2016 and also the letter received from DHI with refrence number DHI/DOI/PIU/Lands/2017/654 dated 8th November 2017. The transfer is to be done at book value and no consideration will be received from the holding company. 
Non cash asset transfer has been accounted in the books of the company in compliance with the requirements of Accountng Standard Interpretation - 17 " Distributions of Non Cash Assets to owners", issued by Accounting and Auditing Standards Board of Bhutan. ASI 17 requires to recongnise a liability in the books to distribute non cash asset as a dividend to its shareholder at fair value of the assets to be distributed with a corresponding liability for dividend payable.
Measurement of Land:- Due to the large volume of the land and the distinct location of many of the lands, it was impracticable for the company to determine th fair value of the lands and hence, the transaction has been accounted at carrying value of the lands.</t>
  </si>
  <si>
    <t>a) Term Loan-BOB &amp; NPPF*</t>
  </si>
  <si>
    <t>Long term loan - BOB &amp; NPPF-A</t>
  </si>
  <si>
    <t xml:space="preserve">*  Term loan BOB  - Secured by hypothecation of Property# to BOB by way of first charge as security 
</t>
  </si>
  <si>
    <t xml:space="preserve">** 7.50% Secured, non-cumulative,non-convertible, redeemable bonds of 1000 each redeemable at par in full on 15th July 2020. Corporate Bond is secured by hypotheciation of Fixed Assets/ Plant &amp; Machinery of the company.
     </t>
  </si>
  <si>
    <t>Reserve created for Insurance of Assets</t>
  </si>
  <si>
    <t>Internet bandwith &amp; leasedline charges</t>
  </si>
  <si>
    <t>Deposit Work Expenses</t>
  </si>
  <si>
    <t>Repair &amp; maintenance others</t>
  </si>
  <si>
    <t>Tax expenses:</t>
  </si>
  <si>
    <t>The major components of income tax expense for the year ended 31 Dec 2018 and 31 Dec 2017 are:</t>
  </si>
  <si>
    <t>Current income tax charged for the year</t>
  </si>
  <si>
    <t>The carrying amounts of sundry debtor, cash and bank balances, trade receivables, interest accrued, security deposits, other receivables, trade payables and other payables are considered to be the same as their fair values, due to their short-term nature.</t>
  </si>
  <si>
    <t>The fair values for financial instruments were calculated based on cash flows discounted using current borrowing rates. They are classified as level 3 fair values in the fair value hierarchy due to the inclusion of unobservable inputs including  counterparty credit risk.</t>
  </si>
  <si>
    <t>Credit risk from balances with banks and financial institutions is managed by the Company’s finance department. Currently the Company has investment in fixed deposits which are made only with approved counterparties in accordance with the Company’s policy.</t>
  </si>
  <si>
    <t>Apart from cash and cash equivalents, company's majority of the financial assets are in the form of trade receivables only. Customer credit risk is managed by each business unit subject to the Company's established policy, procedures and control relating to customer credit risk management. As significant portion of the company's sale is in cash (all prepaid services), total trade receivables outstanding at the reporting date are also not significant in comparison of the company's total revenue. These trade receivables are non-interest bearing and are generally on credit term of 30-60 days. The Company regularly monitors its outstanding customer receivables.
Company categorised its trade receivables mainly into two categories, due from international customers and from domestic customers. In case of international debtors, there is no history of default and delay risk. Further, as per the arrangement and company's policy in case of majority of the international customers, receivables balances are settled on regular interval. Therefore, considering the forward looking approach management believes that the credit risk in case of international customers is not significant and no loss allowance is required to be provided.
In case of domestic trade receivables, company has history of delay in recovery as well as default in recovery. However, as per the company policy, in case of delay in recovery, company billed and recover delay charges for the delay period.  Accordingly, company is not exposed to delay risk. For default risk, company based on history, past trends and forwarding looking approach provides for loss allowance following expected credit loss method.</t>
  </si>
  <si>
    <r>
      <t xml:space="preserve">Liquidity risk is the risk that an entity will encounter difficulty in meeting obligations associated with financial liabilities that are settled by delivering cash or another financial assets. 
Prudent liquidity risk management implies maintaining sufficient cash and marketable securities and the availability of funding through an adequate amount of committed credit facilities to meet obligations when due and to close out market positions. The company is exposed to significant liquidity risk apart from general financial liabilities such as trade payables, etc., during the financial year 2015, company has also borrowed 300 million through bond for a tenure of 5 years which is payable after 5 years. Further, as per the terms and conditions of the bond, company is required to create a bond redemption reserve every year to repay the bond at maturity. In 2017, company also borrowed 45 million term loan for a tenure of 5 year to finance the LTE project 2017. </t>
    </r>
    <r>
      <rPr>
        <i/>
        <sz val="11"/>
        <color theme="1"/>
        <rFont val="Book Antiqua"/>
        <family val="1"/>
      </rPr>
      <t xml:space="preserve">Company further borrowed 50 million term loan for a terms of 5 years from NPPF to address the routine operational fund. </t>
    </r>
    <r>
      <rPr>
        <i/>
        <sz val="11"/>
        <rFont val="Book Antiqua"/>
        <family val="1"/>
      </rPr>
      <t>Management monitors rolling forecasts of the Company's liquidity position, cash and cash equivalents on the basis of expected cash flows. This is generally performed in accordance with practice and limits set by the Company.</t>
    </r>
  </si>
  <si>
    <t>The company does not operate internationally, however, expose to the foreign currency risk due to receivables/payables denominated in foreign currency for the various transactions such as interconnect agreement with foreign operators, and providing network services to the foreign operator's customers, etc.  Foreign currency risk, is closely monitored by the Management to decide on the requirement of hedging.  The position of foreign currency exposure to the Company as at the end of the year expressed is in Nu. are as follows:</t>
  </si>
  <si>
    <t xml:space="preserve">As value of Nu. is constantly equal to the INR, company is not exposed to any foreign currency risk relating to amount receivables/payables in INR.  </t>
  </si>
  <si>
    <t>Expenses</t>
  </si>
  <si>
    <t>Other incomes</t>
  </si>
  <si>
    <t>License purchased by the Company in 2008 was not capitalised and was accounted for as prepaid expense. Same has now been expensed out with a gross block of Nu. 777 million and accumulated amortization of Nu. 518 million as on 01st January, 2017. Amortization expense booked in year 2017 is Nu. 51.8 million. Unpaid portion has been accounted as license fee payable of Nu. 194.25 million as non-current and Nu. 38.85 million as current.</t>
  </si>
  <si>
    <t>General &amp; administrative expenses has been reclassified into Selling &amp; marketing Expenses of Nu.166 million,Network operating Cost of Nu.11.9 million &amp; the rest amount i.e. Nu. 140 million as other Expenses</t>
  </si>
  <si>
    <t>Stores &amp; spares has been reclassified into cost of  trading  goods of Nu. 8 million. Other Expenses Nu. 6.91 million and the rest amount i.e Nu. 8 million reclassified  as Network Operatiing Cost</t>
  </si>
  <si>
    <t>Gain  and Loss on Forex Fluctuations has been reclassified as Other Incomes</t>
  </si>
  <si>
    <t>Other Incomes of Nu.15 million has been reclassified into Revenue from Operations</t>
  </si>
  <si>
    <t>Deferred govt grant classification change from non current &amp; current  and presented separately</t>
  </si>
  <si>
    <t>There is reclassification between trade payables and other current liabilities</t>
  </si>
  <si>
    <t>Other non-current assets</t>
  </si>
  <si>
    <t>Provision for Brand &amp; Management Fee</t>
  </si>
  <si>
    <t>Impairment of Old Inventories</t>
  </si>
  <si>
    <t>Net Inventories</t>
  </si>
  <si>
    <t>Licence Fees payable</t>
  </si>
  <si>
    <r>
      <t>*</t>
    </r>
    <r>
      <rPr>
        <i/>
        <sz val="12"/>
        <rFont val="Book Antiqua"/>
        <family val="1"/>
      </rPr>
      <t xml:space="preserve"> In the meeting of the Board of Directors of the company held on 18th January 2018, the Board has decided to transfer the ownership of lands to its Holding Company i.e. Druk holding &amp; investment limited (DHI) in accordance with the DHI land policy 2016 and also the letter received from DHI with refrence number DHI/DOI/PIU/Lands/2017/654 dated 8th November 2017. The transfer is to be done at book value and no consideration will be received from the holding company. </t>
    </r>
  </si>
  <si>
    <t>Balance at 1st January 2018</t>
  </si>
  <si>
    <t>Changes in equity for 2019</t>
  </si>
  <si>
    <t>Balance at 31st December 2019</t>
  </si>
  <si>
    <t>Income from Value Added Services</t>
  </si>
  <si>
    <t>Miscellaneous Income - ISP</t>
  </si>
  <si>
    <t>Income from Rent-BT quarter</t>
  </si>
  <si>
    <t>Income from Rent-Others</t>
  </si>
  <si>
    <t>Income from Interest</t>
  </si>
  <si>
    <t>Expense on Corporate Allowance</t>
  </si>
  <si>
    <t>Expense on Board Sitting Fee</t>
  </si>
  <si>
    <t>Travel - Maintenance</t>
  </si>
  <si>
    <t>Expense on Thuraya Services</t>
  </si>
  <si>
    <t>0100017435001-Dagapela Rev - OB</t>
  </si>
  <si>
    <t>Contract Asset for Trading goods - Current</t>
  </si>
  <si>
    <t>Asset Held for Sale - Current</t>
  </si>
  <si>
    <t>Contract Asset Trading Goods - Non Current</t>
  </si>
  <si>
    <t>Liability for shareholder-asset for sale</t>
  </si>
  <si>
    <t>License Fee Payable-NC</t>
  </si>
  <si>
    <t>Income from Value Added Services-International</t>
  </si>
  <si>
    <t>0002270058018 - Samdrup Jongkhar Dis - MB donotuse</t>
  </si>
  <si>
    <t>0002270058018 - Samdrup Jongkhar Dis - IB donotuse</t>
  </si>
  <si>
    <t>0002270058018 - Samdrup Jongkhar Dis - OB donotuse</t>
  </si>
  <si>
    <t>Less: Staff training 1/3 of 2019</t>
  </si>
  <si>
    <t>As at 28th February, 2019</t>
  </si>
  <si>
    <t>As at 31st December ,  2018</t>
  </si>
  <si>
    <t>x</t>
  </si>
  <si>
    <t>Diff</t>
  </si>
</sst>
</file>

<file path=xl/styles.xml><?xml version="1.0" encoding="utf-8"?>
<styleSheet xmlns="http://schemas.openxmlformats.org/spreadsheetml/2006/main">
  <numFmts count="13">
    <numFmt numFmtId="43" formatCode="_(* #,##0.00_);_(* \(#,##0.00\);_(* &quot;-&quot;??_);_(@_)"/>
    <numFmt numFmtId="164" formatCode="_ * #,##0.00_ ;_ * \-#,##0.00_ ;_ * &quot;-&quot;??_ ;_ @_ "/>
    <numFmt numFmtId="165" formatCode="_-* #,##0.00_-;\-* #,##0.00_-;_-* &quot;-&quot;??_-;_-@_-"/>
    <numFmt numFmtId="166" formatCode="_(* #,##0_);_(* \(#,##0\);_(* &quot;-&quot;??_);_(@_)"/>
    <numFmt numFmtId="167" formatCode="_ * #,##0_ ;_ * \-#,##0_ ;_ * &quot;-&quot;??_ ;_ @_ "/>
    <numFmt numFmtId="168" formatCode="_(* #,##0.00_);_(* \(#,##0.00\);_(* \-??_);_(@_)"/>
    <numFmt numFmtId="169" formatCode="#,##0.00\ ;&quot; (&quot;#,##0.00\);&quot; -&quot;#\ ;@\ "/>
    <numFmt numFmtId="170" formatCode="0.000"/>
    <numFmt numFmtId="171" formatCode="_-* #,##0_-;\-* #,##0_-;_-* &quot;-&quot;??_-;_-@_-"/>
    <numFmt numFmtId="172" formatCode="_(* #,##0.0_);_(* \(#,##0.0\);_(* &quot;-&quot;??_);_(@_)"/>
    <numFmt numFmtId="173" formatCode="_(* #,##0.00_);_(* \(#,##0.00\);_(* &quot;-&quot;_);_(@_)"/>
    <numFmt numFmtId="174" formatCode="_ * #,##0.00_ ;_ * \-#,##0.00_ ;_ * &quot;&quot;??_ ;_ @_ "/>
    <numFmt numFmtId="175" formatCode="_(* #,##0.0000000000000_);_(* \(#,##0.0000000000000\);_(* &quot;-&quot;??_);_(@_)"/>
  </numFmts>
  <fonts count="86">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1"/>
      <color indexed="8"/>
      <name val="Calibri"/>
      <family val="2"/>
    </font>
    <font>
      <sz val="12"/>
      <color theme="1"/>
      <name val="Times New Roman"/>
      <family val="1"/>
    </font>
    <font>
      <b/>
      <sz val="12"/>
      <color theme="1"/>
      <name val="Times New Roman"/>
      <family val="1"/>
    </font>
    <font>
      <sz val="12"/>
      <name val="Times New Roman"/>
      <family val="1"/>
    </font>
    <font>
      <b/>
      <sz val="12"/>
      <name val="Times New Roman"/>
      <family val="1"/>
    </font>
    <font>
      <sz val="12"/>
      <color rgb="FF00B050"/>
      <name val="Times New Roman"/>
      <family val="1"/>
    </font>
    <font>
      <b/>
      <u/>
      <sz val="12"/>
      <name val="Times New Roman"/>
      <family val="1"/>
    </font>
    <font>
      <sz val="12"/>
      <color theme="0"/>
      <name val="Times New Roman"/>
      <family val="1"/>
    </font>
    <font>
      <sz val="12"/>
      <color rgb="FFFF0000"/>
      <name val="Times New Roman"/>
      <family val="1"/>
    </font>
    <font>
      <sz val="18"/>
      <color theme="3"/>
      <name val="Cambria"/>
      <family val="2"/>
      <scheme val="major"/>
    </font>
    <font>
      <sz val="11"/>
      <color rgb="FF000000"/>
      <name val="Calibri"/>
      <family val="2"/>
    </font>
    <font>
      <sz val="10"/>
      <name val="SimSun"/>
      <family val="2"/>
    </font>
    <font>
      <sz val="10"/>
      <name val="Arial"/>
      <family val="2"/>
    </font>
    <font>
      <b/>
      <sz val="12"/>
      <color theme="1"/>
      <name val="Book Antiqua"/>
      <family val="1"/>
    </font>
    <font>
      <sz val="10"/>
      <color theme="1"/>
      <name val="Book Antiqua"/>
      <family val="1"/>
    </font>
    <font>
      <b/>
      <sz val="10"/>
      <color theme="1"/>
      <name val="Book Antiqua"/>
      <family val="1"/>
    </font>
    <font>
      <b/>
      <i/>
      <sz val="10"/>
      <color theme="1"/>
      <name val="Book Antiqua"/>
      <family val="1"/>
    </font>
    <font>
      <sz val="10"/>
      <color rgb="FFFF0000"/>
      <name val="Book Antiqua"/>
      <family val="1"/>
    </font>
    <font>
      <sz val="10"/>
      <name val="Georgia"/>
      <family val="1"/>
    </font>
    <font>
      <sz val="10"/>
      <color rgb="FFFF0000"/>
      <name val="Georgia"/>
      <family val="1"/>
    </font>
    <font>
      <b/>
      <sz val="5"/>
      <name val="Georgia"/>
      <family val="1"/>
    </font>
    <font>
      <sz val="11"/>
      <color theme="1"/>
      <name val="Times New Roman"/>
      <family val="2"/>
    </font>
    <font>
      <b/>
      <sz val="12"/>
      <color theme="0"/>
      <name val="Times New Roman"/>
      <family val="1"/>
    </font>
    <font>
      <b/>
      <sz val="12"/>
      <color rgb="FFFF0000"/>
      <name val="Times New Roman"/>
      <family val="1"/>
    </font>
    <font>
      <i/>
      <sz val="12"/>
      <name val="Times New Roman"/>
      <family val="1"/>
    </font>
    <font>
      <b/>
      <i/>
      <sz val="12"/>
      <name val="Times New Roman"/>
      <family val="1"/>
    </font>
    <font>
      <b/>
      <sz val="10"/>
      <color rgb="FFFF0000"/>
      <name val="Book Antiqua"/>
      <family val="1"/>
    </font>
    <font>
      <b/>
      <i/>
      <sz val="10"/>
      <color rgb="FFFF0000"/>
      <name val="Book Antiqua"/>
      <family val="1"/>
    </font>
    <font>
      <sz val="10"/>
      <name val="Book Antiqua"/>
      <family val="1"/>
    </font>
    <font>
      <i/>
      <sz val="12"/>
      <color rgb="FFFF0000"/>
      <name val="Times New Roman"/>
      <family val="1"/>
    </font>
    <font>
      <i/>
      <sz val="12"/>
      <color theme="1"/>
      <name val="Times New Roman"/>
      <family val="1"/>
    </font>
    <font>
      <i/>
      <sz val="12"/>
      <color rgb="FF002060"/>
      <name val="Times New Roman"/>
      <family val="1"/>
    </font>
    <font>
      <b/>
      <i/>
      <sz val="12"/>
      <name val="Book Antiqua"/>
      <family val="1"/>
    </font>
    <font>
      <b/>
      <i/>
      <u/>
      <sz val="12"/>
      <name val="Book Antiqua"/>
      <family val="1"/>
    </font>
    <font>
      <i/>
      <sz val="12"/>
      <name val="Book Antiqua"/>
      <family val="1"/>
    </font>
    <font>
      <i/>
      <sz val="11"/>
      <name val="Book Antiqua"/>
      <family val="1"/>
    </font>
    <font>
      <b/>
      <i/>
      <sz val="11"/>
      <name val="Book Antiqua"/>
      <family val="1"/>
    </font>
    <font>
      <sz val="12"/>
      <name val="Book Antiqua"/>
      <family val="1"/>
    </font>
    <font>
      <b/>
      <u/>
      <sz val="12"/>
      <name val="Book Antiqua"/>
      <family val="1"/>
    </font>
    <font>
      <b/>
      <sz val="12"/>
      <name val="Book Antiqua"/>
      <family val="1"/>
    </font>
    <font>
      <sz val="12"/>
      <color theme="1"/>
      <name val="Book Antiqua"/>
      <family val="1"/>
    </font>
    <font>
      <sz val="12"/>
      <color theme="0"/>
      <name val="Book Antiqua"/>
      <family val="1"/>
    </font>
    <font>
      <i/>
      <sz val="12"/>
      <color theme="1"/>
      <name val="Book Antiqua"/>
      <family val="1"/>
    </font>
    <font>
      <b/>
      <i/>
      <sz val="12"/>
      <color theme="1"/>
      <name val="Book Antiqua"/>
      <family val="1"/>
    </font>
    <font>
      <sz val="11"/>
      <name val="Book Antiqua"/>
      <family val="1"/>
    </font>
    <font>
      <b/>
      <i/>
      <u/>
      <sz val="11"/>
      <name val="Book Antiqua"/>
      <family val="1"/>
    </font>
    <font>
      <i/>
      <sz val="11"/>
      <color theme="1"/>
      <name val="Book Antiqua"/>
      <family val="1"/>
    </font>
    <font>
      <b/>
      <sz val="11"/>
      <name val="Book Antiqua"/>
      <family val="1"/>
    </font>
    <font>
      <b/>
      <u/>
      <sz val="11"/>
      <name val="Book Antiqua"/>
      <family val="1"/>
    </font>
    <font>
      <b/>
      <i/>
      <sz val="11"/>
      <color theme="1"/>
      <name val="Book Antiqua"/>
      <family val="1"/>
    </font>
    <font>
      <b/>
      <i/>
      <sz val="11"/>
      <color theme="0"/>
      <name val="Book Antiqua"/>
      <family val="1"/>
    </font>
    <font>
      <i/>
      <sz val="11"/>
      <color theme="0"/>
      <name val="Book Antiqua"/>
      <family val="1"/>
    </font>
    <font>
      <sz val="11"/>
      <color theme="1"/>
      <name val="Book Antiqua"/>
      <family val="1"/>
    </font>
    <font>
      <b/>
      <sz val="11"/>
      <color theme="1"/>
      <name val="Book Antiqua"/>
      <family val="1"/>
    </font>
    <font>
      <b/>
      <u/>
      <sz val="12"/>
      <color theme="1"/>
      <name val="Book Antiqua"/>
      <family val="1"/>
    </font>
    <font>
      <b/>
      <i/>
      <u/>
      <sz val="12"/>
      <color theme="1"/>
      <name val="Book Antiqua"/>
      <family val="1"/>
    </font>
    <font>
      <i/>
      <sz val="11"/>
      <color theme="1"/>
      <name val="Calibri"/>
      <family val="2"/>
      <scheme val="minor"/>
    </font>
    <font>
      <i/>
      <sz val="12"/>
      <color theme="1"/>
      <name val="Calibri"/>
      <family val="2"/>
      <scheme val="minor"/>
    </font>
    <font>
      <sz val="11"/>
      <name val="Times New Roman"/>
      <family val="1"/>
    </font>
    <font>
      <b/>
      <sz val="11"/>
      <name val="Times New Roman"/>
      <family val="1"/>
    </font>
    <font>
      <i/>
      <sz val="11"/>
      <color theme="1"/>
      <name val="Times New Roman"/>
      <family val="1"/>
    </font>
    <font>
      <i/>
      <sz val="11"/>
      <name val="Times New Roman"/>
      <family val="1"/>
    </font>
    <font>
      <i/>
      <sz val="11"/>
      <color indexed="8"/>
      <name val="Times New Roman"/>
      <family val="1"/>
    </font>
    <font>
      <b/>
      <i/>
      <u/>
      <sz val="12"/>
      <name val="Times New Roman"/>
      <family val="1"/>
    </font>
    <font>
      <i/>
      <sz val="11"/>
      <color rgb="FFFF0000"/>
      <name val="Book Antiqua"/>
      <family val="1"/>
    </font>
    <font>
      <sz val="9"/>
      <color indexed="81"/>
      <name val="Tahoma"/>
      <family val="2"/>
    </font>
    <font>
      <b/>
      <sz val="9"/>
      <color indexed="81"/>
      <name val="Tahoma"/>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indexed="22"/>
        <bgColor indexed="64"/>
      </patternFill>
    </fill>
    <fill>
      <patternFill patternType="solid">
        <fgColor rgb="FF92D05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2" tint="-0.249977111117893"/>
        <bgColor indexed="64"/>
      </patternFill>
    </fill>
  </fills>
  <borders count="5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style="thin">
        <color auto="1"/>
      </top>
      <bottom style="double">
        <color auto="1"/>
      </bottom>
      <diagonal/>
    </border>
    <border>
      <left/>
      <right/>
      <top/>
      <bottom style="medium">
        <color auto="1"/>
      </bottom>
      <diagonal/>
    </border>
    <border>
      <left style="thin">
        <color auto="1"/>
      </left>
      <right style="thin">
        <color auto="1"/>
      </right>
      <top/>
      <bottom style="thin">
        <color auto="1"/>
      </bottom>
      <diagonal/>
    </border>
    <border>
      <left style="medium">
        <color auto="1"/>
      </left>
      <right/>
      <top/>
      <bottom/>
      <diagonal/>
    </border>
    <border>
      <left style="medium">
        <color auto="1"/>
      </left>
      <right/>
      <top/>
      <bottom style="medium">
        <color auto="1"/>
      </bottom>
      <diagonal/>
    </border>
    <border>
      <left style="thin">
        <color auto="1"/>
      </left>
      <right style="thin">
        <color auto="1"/>
      </right>
      <top style="thin">
        <color auto="1"/>
      </top>
      <bottom style="double">
        <color auto="1"/>
      </bottom>
      <diagonal/>
    </border>
    <border>
      <left style="medium">
        <color auto="1"/>
      </left>
      <right style="thin">
        <color auto="1"/>
      </right>
      <top/>
      <bottom/>
      <diagonal/>
    </border>
    <border>
      <left style="thin">
        <color auto="1"/>
      </left>
      <right style="thin">
        <color auto="1"/>
      </right>
      <top style="hair">
        <color auto="1"/>
      </top>
      <bottom style="hair">
        <color auto="1"/>
      </bottom>
      <diagonal/>
    </border>
    <border>
      <left style="thin">
        <color auto="1"/>
      </left>
      <right style="thin">
        <color auto="1"/>
      </right>
      <top style="medium">
        <color auto="1"/>
      </top>
      <bottom/>
      <diagonal/>
    </border>
    <border>
      <left style="thin">
        <color auto="1"/>
      </left>
      <right/>
      <top/>
      <bottom style="medium">
        <color auto="1"/>
      </bottom>
      <diagonal/>
    </border>
    <border>
      <left/>
      <right style="thin">
        <color auto="1"/>
      </right>
      <top/>
      <bottom style="medium">
        <color auto="1"/>
      </bottom>
      <diagonal/>
    </border>
    <border>
      <left style="thin">
        <color auto="1"/>
      </left>
      <right style="thin">
        <color auto="1"/>
      </right>
      <top style="hair">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hair">
        <color auto="1"/>
      </right>
      <top/>
      <bottom/>
      <diagonal/>
    </border>
    <border>
      <left style="hair">
        <color auto="1"/>
      </left>
      <right style="thin">
        <color auto="1"/>
      </right>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style="thin">
        <color auto="1"/>
      </left>
      <right style="thin">
        <color auto="1"/>
      </right>
      <top style="thin">
        <color auto="1"/>
      </top>
      <bottom style="hair">
        <color auto="1"/>
      </bottom>
      <diagonal/>
    </border>
    <border>
      <left style="hair">
        <color auto="1"/>
      </left>
      <right/>
      <top style="thin">
        <color auto="1"/>
      </top>
      <bottom/>
      <diagonal/>
    </border>
    <border>
      <left style="hair">
        <color auto="1"/>
      </left>
      <right/>
      <top/>
      <bottom/>
      <diagonal/>
    </border>
    <border>
      <left style="hair">
        <color auto="1"/>
      </left>
      <right/>
      <top/>
      <bottom style="thin">
        <color auto="1"/>
      </bottom>
      <diagonal/>
    </border>
    <border>
      <left/>
      <right style="medium">
        <color auto="1"/>
      </right>
      <top/>
      <bottom/>
      <diagonal/>
    </border>
    <border>
      <left/>
      <right style="medium">
        <color auto="1"/>
      </right>
      <top/>
      <bottom style="medium">
        <color auto="1"/>
      </bottom>
      <diagonal/>
    </border>
    <border>
      <left/>
      <right/>
      <top style="medium">
        <color auto="1"/>
      </top>
      <bottom style="medium">
        <color auto="1"/>
      </bottom>
      <diagonal/>
    </border>
    <border>
      <left/>
      <right/>
      <top style="thin">
        <color auto="1"/>
      </top>
      <bottom style="medium">
        <color auto="1"/>
      </bottom>
      <diagonal/>
    </border>
    <border>
      <left/>
      <right style="thin">
        <color auto="1"/>
      </right>
      <top style="medium">
        <color auto="1"/>
      </top>
      <bottom/>
      <diagonal/>
    </border>
  </borders>
  <cellStyleXfs count="75">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43" fontId="18" fillId="0" borderId="0" applyFont="0" applyFill="0" applyBorder="0" applyAlignment="0" applyProtection="0"/>
    <xf numFmtId="9" fontId="18" fillId="0" borderId="0" applyFont="0" applyFill="0" applyBorder="0" applyAlignment="0" applyProtection="0"/>
    <xf numFmtId="164" fontId="19"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0" fontId="19" fillId="0" borderId="0"/>
    <xf numFmtId="9" fontId="1" fillId="0" borderId="0" applyFont="0" applyFill="0" applyBorder="0" applyAlignment="0" applyProtection="0"/>
    <xf numFmtId="0" fontId="19" fillId="0" borderId="0"/>
    <xf numFmtId="0" fontId="28" fillId="0" borderId="0" applyNumberFormat="0" applyFill="0" applyBorder="0" applyAlignment="0" applyProtection="0"/>
    <xf numFmtId="0" fontId="29" fillId="0" borderId="0"/>
    <xf numFmtId="168" fontId="19" fillId="0" borderId="0"/>
    <xf numFmtId="168" fontId="30" fillId="0" borderId="0" applyFill="0" applyBorder="0" applyAlignment="0" applyProtection="0"/>
    <xf numFmtId="169" fontId="30" fillId="0" borderId="0" applyFill="0" applyBorder="0" applyAlignment="0" applyProtection="0"/>
    <xf numFmtId="0" fontId="19" fillId="0" borderId="0"/>
    <xf numFmtId="0" fontId="18" fillId="0" borderId="0"/>
    <xf numFmtId="0" fontId="18" fillId="0" borderId="0"/>
    <xf numFmtId="0" fontId="18" fillId="0" borderId="0"/>
    <xf numFmtId="0" fontId="18" fillId="0" borderId="0"/>
    <xf numFmtId="0" fontId="18" fillId="0" borderId="0"/>
    <xf numFmtId="0" fontId="31" fillId="0" borderId="0"/>
    <xf numFmtId="0" fontId="18" fillId="0" borderId="0"/>
    <xf numFmtId="43" fontId="18" fillId="0" borderId="0" applyFont="0" applyFill="0" applyBorder="0" applyAlignment="0" applyProtection="0"/>
    <xf numFmtId="0" fontId="1" fillId="0" borderId="0"/>
    <xf numFmtId="43" fontId="1" fillId="0" borderId="0" applyFont="0" applyFill="0" applyBorder="0" applyAlignment="0" applyProtection="0"/>
    <xf numFmtId="0" fontId="18" fillId="0" borderId="0"/>
    <xf numFmtId="43" fontId="1" fillId="0" borderId="0" applyFont="0" applyFill="0" applyBorder="0" applyAlignment="0" applyProtection="0"/>
    <xf numFmtId="0" fontId="18" fillId="0" borderId="0"/>
    <xf numFmtId="0" fontId="40" fillId="0" borderId="0"/>
    <xf numFmtId="0" fontId="40" fillId="0" borderId="0"/>
    <xf numFmtId="164" fontId="1" fillId="0" borderId="0" applyFont="0" applyFill="0" applyBorder="0" applyAlignment="0" applyProtection="0"/>
    <xf numFmtId="9" fontId="18" fillId="0" borderId="0" applyFont="0" applyFill="0" applyBorder="0" applyAlignment="0" applyProtection="0"/>
  </cellStyleXfs>
  <cellXfs count="1519">
    <xf numFmtId="0" fontId="0" fillId="0" borderId="0" xfId="0"/>
    <xf numFmtId="0" fontId="20" fillId="0" borderId="0" xfId="0" applyFont="1"/>
    <xf numFmtId="43" fontId="22" fillId="0" borderId="0" xfId="1" applyFont="1"/>
    <xf numFmtId="0" fontId="22" fillId="0" borderId="0" xfId="0" applyFont="1" applyAlignment="1">
      <alignment vertical="top"/>
    </xf>
    <xf numFmtId="0" fontId="22" fillId="0" borderId="0" xfId="0" applyFont="1"/>
    <xf numFmtId="166" fontId="20" fillId="0" borderId="0" xfId="1" applyNumberFormat="1" applyFont="1"/>
    <xf numFmtId="166" fontId="22" fillId="0" borderId="0" xfId="0" applyNumberFormat="1" applyFont="1"/>
    <xf numFmtId="43" fontId="22" fillId="0" borderId="0" xfId="0" applyNumberFormat="1" applyFont="1"/>
    <xf numFmtId="0" fontId="20" fillId="0" borderId="0" xfId="0" applyFont="1" applyAlignment="1">
      <alignment vertical="center"/>
    </xf>
    <xf numFmtId="0" fontId="26" fillId="0" borderId="0" xfId="0" applyFont="1"/>
    <xf numFmtId="0" fontId="27" fillId="0" borderId="0" xfId="0" applyFont="1"/>
    <xf numFmtId="43" fontId="26" fillId="0" borderId="0" xfId="0" applyNumberFormat="1" applyFont="1"/>
    <xf numFmtId="0" fontId="22" fillId="33" borderId="0" xfId="43" applyFont="1" applyFill="1"/>
    <xf numFmtId="166" fontId="22" fillId="33" borderId="0" xfId="43" applyNumberFormat="1" applyFont="1" applyFill="1" applyAlignment="1">
      <alignment vertical="top"/>
    </xf>
    <xf numFmtId="0" fontId="22" fillId="33" borderId="0" xfId="43" applyFont="1" applyFill="1" applyAlignment="1">
      <alignment vertical="top"/>
    </xf>
    <xf numFmtId="0" fontId="22" fillId="0" borderId="0" xfId="43" applyFont="1" applyAlignment="1">
      <alignment vertical="top"/>
    </xf>
    <xf numFmtId="166" fontId="22" fillId="33" borderId="0" xfId="1" applyNumberFormat="1" applyFont="1" applyFill="1" applyAlignment="1">
      <alignment vertical="top"/>
    </xf>
    <xf numFmtId="43" fontId="22" fillId="33" borderId="0" xfId="1" applyFont="1" applyFill="1" applyAlignment="1">
      <alignment vertical="top"/>
    </xf>
    <xf numFmtId="43" fontId="22" fillId="33" borderId="0" xfId="43" applyNumberFormat="1" applyFont="1" applyFill="1" applyAlignment="1">
      <alignment vertical="top"/>
    </xf>
    <xf numFmtId="167" fontId="22" fillId="33" borderId="0" xfId="43" applyNumberFormat="1" applyFont="1" applyFill="1" applyAlignment="1">
      <alignment vertical="top"/>
    </xf>
    <xf numFmtId="0" fontId="20" fillId="0" borderId="0" xfId="0" applyFont="1" applyAlignment="1">
      <alignment vertical="top"/>
    </xf>
    <xf numFmtId="0" fontId="27" fillId="0" borderId="0" xfId="0" applyFont="1" applyAlignment="1">
      <alignment vertical="top"/>
    </xf>
    <xf numFmtId="0" fontId="23" fillId="0" borderId="0" xfId="0" applyFont="1" applyAlignment="1">
      <alignment vertical="top"/>
    </xf>
    <xf numFmtId="166" fontId="22" fillId="0" borderId="0" xfId="43" applyNumberFormat="1" applyFont="1" applyAlignment="1">
      <alignment vertical="top"/>
    </xf>
    <xf numFmtId="0" fontId="23" fillId="0" borderId="0" xfId="0" applyFont="1"/>
    <xf numFmtId="0" fontId="25" fillId="0" borderId="0" xfId="0" applyFont="1"/>
    <xf numFmtId="0" fontId="22" fillId="0" borderId="0" xfId="0" applyFont="1" applyAlignment="1">
      <alignment horizontal="right" vertical="center" wrapText="1"/>
    </xf>
    <xf numFmtId="3" fontId="22" fillId="0" borderId="0" xfId="0" applyNumberFormat="1" applyFont="1" applyAlignment="1">
      <alignment horizontal="right" vertical="center" wrapText="1"/>
    </xf>
    <xf numFmtId="1" fontId="22" fillId="0" borderId="0" xfId="0" applyNumberFormat="1" applyFont="1"/>
    <xf numFmtId="3" fontId="22" fillId="0" borderId="0" xfId="0" applyNumberFormat="1" applyFont="1"/>
    <xf numFmtId="43" fontId="22" fillId="0" borderId="0" xfId="1" applyFont="1" applyAlignment="1">
      <alignment vertical="top"/>
    </xf>
    <xf numFmtId="0" fontId="32" fillId="0" borderId="0" xfId="0" applyFont="1" applyAlignment="1">
      <alignment vertical="center"/>
    </xf>
    <xf numFmtId="0" fontId="33" fillId="0" borderId="0" xfId="0" applyFont="1"/>
    <xf numFmtId="0" fontId="33" fillId="0" borderId="0" xfId="0" applyFont="1" applyAlignment="1">
      <alignment vertical="center"/>
    </xf>
    <xf numFmtId="43" fontId="33" fillId="0" borderId="0" xfId="0" applyNumberFormat="1" applyFont="1"/>
    <xf numFmtId="4" fontId="33" fillId="0" borderId="0" xfId="0" applyNumberFormat="1" applyFont="1"/>
    <xf numFmtId="4" fontId="34" fillId="0" borderId="21" xfId="0" applyNumberFormat="1" applyFont="1" applyBorder="1" applyAlignment="1">
      <alignment horizontal="center" vertical="center" wrapText="1"/>
    </xf>
    <xf numFmtId="43" fontId="35" fillId="0" borderId="21" xfId="1" applyFont="1" applyBorder="1" applyAlignment="1">
      <alignment horizontal="right"/>
    </xf>
    <xf numFmtId="43" fontId="36" fillId="0" borderId="21" xfId="1" applyFont="1" applyBorder="1" applyAlignment="1">
      <alignment horizontal="right"/>
    </xf>
    <xf numFmtId="43" fontId="22" fillId="0" borderId="21" xfId="44" applyFont="1" applyBorder="1" applyAlignment="1">
      <alignment horizontal="right" vertical="top"/>
    </xf>
    <xf numFmtId="43" fontId="22" fillId="0" borderId="0" xfId="44" applyFont="1" applyAlignment="1">
      <alignment vertical="top"/>
    </xf>
    <xf numFmtId="0" fontId="22" fillId="0" borderId="0" xfId="0" applyFont="1" applyAlignment="1">
      <alignment horizontal="right" vertical="top"/>
    </xf>
    <xf numFmtId="0" fontId="21" fillId="0" borderId="21" xfId="0" applyFont="1" applyBorder="1"/>
    <xf numFmtId="43" fontId="27" fillId="0" borderId="0" xfId="0" applyNumberFormat="1" applyFont="1"/>
    <xf numFmtId="0" fontId="26" fillId="0" borderId="0" xfId="0" applyFont="1" applyAlignment="1">
      <alignment vertical="top"/>
    </xf>
    <xf numFmtId="43" fontId="20" fillId="0" borderId="0" xfId="0" applyNumberFormat="1" applyFont="1" applyAlignment="1">
      <alignment vertical="top"/>
    </xf>
    <xf numFmtId="166" fontId="20" fillId="0" borderId="0" xfId="1" applyNumberFormat="1" applyFont="1" applyAlignment="1">
      <alignment horizontal="right" vertical="top" wrapText="1"/>
    </xf>
    <xf numFmtId="43" fontId="20" fillId="0" borderId="0" xfId="1" applyFont="1" applyAlignment="1">
      <alignment horizontal="right" vertical="top" wrapText="1"/>
    </xf>
    <xf numFmtId="166" fontId="21" fillId="0" borderId="0" xfId="1" applyNumberFormat="1" applyFont="1" applyAlignment="1">
      <alignment horizontal="right" vertical="top" wrapText="1"/>
    </xf>
    <xf numFmtId="166" fontId="21" fillId="0" borderId="0" xfId="1" applyNumberFormat="1" applyFont="1" applyAlignment="1">
      <alignment horizontal="center" vertical="top" wrapText="1"/>
    </xf>
    <xf numFmtId="43" fontId="21" fillId="0" borderId="0" xfId="1" applyFont="1" applyAlignment="1">
      <alignment horizontal="right" vertical="top" wrapText="1"/>
    </xf>
    <xf numFmtId="166" fontId="20" fillId="0" borderId="0" xfId="1" applyNumberFormat="1" applyFont="1" applyAlignment="1">
      <alignment horizontal="center" vertical="top" wrapText="1"/>
    </xf>
    <xf numFmtId="0" fontId="20" fillId="0" borderId="0" xfId="0" applyFont="1" applyAlignment="1">
      <alignment vertical="top" wrapText="1"/>
    </xf>
    <xf numFmtId="0" fontId="22" fillId="0" borderId="21" xfId="0" applyFont="1" applyBorder="1" applyAlignment="1">
      <alignment horizontal="left"/>
    </xf>
    <xf numFmtId="0" fontId="20" fillId="0" borderId="21" xfId="0" applyFont="1" applyBorder="1" applyAlignment="1">
      <alignment horizontal="left"/>
    </xf>
    <xf numFmtId="0" fontId="22" fillId="0" borderId="0" xfId="0" applyFont="1" applyAlignment="1">
      <alignment horizontal="left"/>
    </xf>
    <xf numFmtId="43" fontId="22" fillId="0" borderId="0" xfId="44" applyFont="1" applyAlignment="1">
      <alignment horizontal="left"/>
    </xf>
    <xf numFmtId="0" fontId="37" fillId="0" borderId="0" xfId="0" applyFont="1"/>
    <xf numFmtId="0" fontId="38" fillId="0" borderId="0" xfId="0" applyFont="1"/>
    <xf numFmtId="0" fontId="22" fillId="0" borderId="23" xfId="0" applyFont="1" applyBorder="1"/>
    <xf numFmtId="0" fontId="23" fillId="0" borderId="23" xfId="0" applyFont="1" applyBorder="1"/>
    <xf numFmtId="0" fontId="23" fillId="34" borderId="21" xfId="0" applyFont="1" applyFill="1" applyBorder="1" applyAlignment="1">
      <alignment horizontal="right" vertical="center" wrapText="1"/>
    </xf>
    <xf numFmtId="0" fontId="23" fillId="34" borderId="21" xfId="0" applyFont="1" applyFill="1" applyBorder="1" applyAlignment="1">
      <alignment horizontal="left" vertical="center"/>
    </xf>
    <xf numFmtId="0" fontId="23" fillId="34" borderId="21" xfId="44" applyNumberFormat="1" applyFont="1" applyFill="1" applyBorder="1" applyAlignment="1">
      <alignment horizontal="center" vertical="center" wrapText="1"/>
    </xf>
    <xf numFmtId="0" fontId="22" fillId="0" borderId="0" xfId="0" applyFont="1" applyAlignment="1">
      <alignment vertical="center"/>
    </xf>
    <xf numFmtId="0" fontId="22" fillId="0" borderId="21" xfId="0" applyFont="1" applyBorder="1" applyAlignment="1">
      <alignment horizontal="left" vertical="top"/>
    </xf>
    <xf numFmtId="43" fontId="21" fillId="0" borderId="21" xfId="0" applyNumberFormat="1" applyFont="1" applyBorder="1"/>
    <xf numFmtId="43" fontId="20" fillId="0" borderId="0" xfId="0" applyNumberFormat="1" applyFont="1"/>
    <xf numFmtId="0" fontId="23" fillId="0" borderId="21" xfId="0" applyFont="1" applyBorder="1"/>
    <xf numFmtId="0" fontId="23" fillId="0" borderId="10" xfId="0" applyFont="1" applyBorder="1"/>
    <xf numFmtId="0" fontId="20" fillId="0" borderId="22" xfId="0" applyFont="1" applyBorder="1"/>
    <xf numFmtId="0" fontId="20" fillId="0" borderId="23" xfId="0" applyFont="1" applyBorder="1"/>
    <xf numFmtId="0" fontId="20" fillId="0" borderId="26" xfId="0" applyFont="1" applyBorder="1"/>
    <xf numFmtId="0" fontId="20" fillId="0" borderId="23" xfId="0" applyFont="1" applyBorder="1" applyAlignment="1">
      <alignment horizontal="right"/>
    </xf>
    <xf numFmtId="0" fontId="23" fillId="0" borderId="26" xfId="0" applyFont="1" applyBorder="1"/>
    <xf numFmtId="0" fontId="20" fillId="0" borderId="21" xfId="0" applyFont="1" applyBorder="1"/>
    <xf numFmtId="0" fontId="42" fillId="0" borderId="0" xfId="0" applyFont="1" applyAlignment="1">
      <alignment horizontal="center"/>
    </xf>
    <xf numFmtId="0" fontId="27" fillId="0" borderId="0" xfId="0" applyFont="1" applyAlignment="1">
      <alignment horizontal="center"/>
    </xf>
    <xf numFmtId="10" fontId="22" fillId="0" borderId="0" xfId="50" applyNumberFormat="1" applyFont="1"/>
    <xf numFmtId="43" fontId="27" fillId="0" borderId="0" xfId="1" applyFont="1"/>
    <xf numFmtId="0" fontId="20" fillId="0" borderId="0" xfId="0" applyFont="1" applyAlignment="1">
      <alignment horizontal="justify"/>
    </xf>
    <xf numFmtId="0" fontId="21" fillId="0" borderId="0" xfId="0" applyFont="1" applyAlignment="1">
      <alignment horizontal="right"/>
    </xf>
    <xf numFmtId="0" fontId="23" fillId="0" borderId="0" xfId="43" applyFont="1" applyAlignment="1">
      <alignment horizontal="justify" vertical="center"/>
    </xf>
    <xf numFmtId="0" fontId="22" fillId="0" borderId="0" xfId="43" applyFont="1" applyAlignment="1">
      <alignment horizontal="justify" vertical="center"/>
    </xf>
    <xf numFmtId="0" fontId="22" fillId="0" borderId="0" xfId="43" applyFont="1" applyAlignment="1">
      <alignment horizontal="justify" vertical="top" wrapText="1"/>
    </xf>
    <xf numFmtId="0" fontId="22" fillId="0" borderId="0" xfId="43" applyFont="1" applyAlignment="1">
      <alignment horizontal="justify" vertical="center" wrapText="1"/>
    </xf>
    <xf numFmtId="0" fontId="22" fillId="0" borderId="0" xfId="43" applyFont="1" applyAlignment="1">
      <alignment horizontal="justify" vertical="top"/>
    </xf>
    <xf numFmtId="0" fontId="23" fillId="0" borderId="0" xfId="70" applyFont="1" applyAlignment="1">
      <alignment horizontal="justify" vertical="top"/>
    </xf>
    <xf numFmtId="0" fontId="22" fillId="0" borderId="0" xfId="70" applyFont="1" applyAlignment="1">
      <alignment horizontal="justify" vertical="top"/>
    </xf>
    <xf numFmtId="0" fontId="22" fillId="0" borderId="0" xfId="70" applyFont="1" applyAlignment="1">
      <alignment horizontal="justify" vertical="top" wrapText="1"/>
    </xf>
    <xf numFmtId="0" fontId="22" fillId="0" borderId="0" xfId="70" applyFont="1" applyAlignment="1">
      <alignment vertical="top"/>
    </xf>
    <xf numFmtId="0" fontId="22" fillId="0" borderId="0" xfId="70" applyFont="1" applyAlignment="1">
      <alignment vertical="top" wrapText="1"/>
    </xf>
    <xf numFmtId="0" fontId="21" fillId="0" borderId="0" xfId="0" applyFont="1" applyAlignment="1">
      <alignment horizontal="justify"/>
    </xf>
    <xf numFmtId="0" fontId="20" fillId="0" borderId="0" xfId="0" applyFont="1" applyAlignment="1">
      <alignment horizontal="left" vertical="center" wrapText="1"/>
    </xf>
    <xf numFmtId="0" fontId="20" fillId="0" borderId="0" xfId="0" applyFont="1" applyAlignment="1">
      <alignment horizontal="justify" wrapText="1"/>
    </xf>
    <xf numFmtId="43" fontId="20" fillId="0" borderId="23" xfId="1" applyFont="1" applyBorder="1"/>
    <xf numFmtId="43" fontId="33" fillId="0" borderId="0" xfId="1" applyFont="1"/>
    <xf numFmtId="0" fontId="45" fillId="0" borderId="21" xfId="0" applyFont="1" applyBorder="1" applyAlignment="1">
      <alignment horizontal="center" vertical="center" wrapText="1"/>
    </xf>
    <xf numFmtId="0" fontId="36" fillId="0" borderId="0" xfId="0" applyFont="1"/>
    <xf numFmtId="43" fontId="36" fillId="0" borderId="21" xfId="0" applyNumberFormat="1" applyFont="1" applyBorder="1" applyAlignment="1">
      <alignment horizontal="right"/>
    </xf>
    <xf numFmtId="0" fontId="36" fillId="0" borderId="21" xfId="0" applyFont="1" applyBorder="1" applyAlignment="1">
      <alignment horizontal="right"/>
    </xf>
    <xf numFmtId="43" fontId="46" fillId="0" borderId="21" xfId="1" applyFont="1" applyBorder="1" applyAlignment="1">
      <alignment horizontal="right"/>
    </xf>
    <xf numFmtId="43" fontId="33" fillId="0" borderId="22" xfId="1" applyFont="1" applyBorder="1" applyAlignment="1">
      <alignment horizontal="right"/>
    </xf>
    <xf numFmtId="43" fontId="36" fillId="0" borderId="22" xfId="1" applyFont="1" applyBorder="1" applyAlignment="1">
      <alignment horizontal="right"/>
    </xf>
    <xf numFmtId="165" fontId="33" fillId="0" borderId="0" xfId="0" applyNumberFormat="1" applyFont="1"/>
    <xf numFmtId="43" fontId="27" fillId="33" borderId="0" xfId="0" applyNumberFormat="1" applyFont="1" applyFill="1"/>
    <xf numFmtId="0" fontId="27" fillId="33" borderId="0" xfId="0" applyFont="1" applyFill="1"/>
    <xf numFmtId="0" fontId="27" fillId="0" borderId="0" xfId="0" applyFont="1" applyAlignment="1">
      <alignment horizontal="left"/>
    </xf>
    <xf numFmtId="2" fontId="27" fillId="0" borderId="0" xfId="0" applyNumberFormat="1" applyFont="1"/>
    <xf numFmtId="170" fontId="27" fillId="0" borderId="0" xfId="0" applyNumberFormat="1" applyFont="1"/>
    <xf numFmtId="172" fontId="27" fillId="0" borderId="0" xfId="0" applyNumberFormat="1" applyFont="1"/>
    <xf numFmtId="43" fontId="20" fillId="0" borderId="23" xfId="0" applyNumberFormat="1" applyFont="1" applyBorder="1"/>
    <xf numFmtId="43" fontId="21" fillId="0" borderId="23" xfId="0" applyNumberFormat="1" applyFont="1" applyBorder="1"/>
    <xf numFmtId="0" fontId="22" fillId="0" borderId="26" xfId="0" applyFont="1" applyBorder="1"/>
    <xf numFmtId="43" fontId="21" fillId="0" borderId="26" xfId="1" applyFont="1" applyBorder="1"/>
    <xf numFmtId="0" fontId="34" fillId="0" borderId="22" xfId="0" applyFont="1" applyBorder="1"/>
    <xf numFmtId="0" fontId="33" fillId="0" borderId="23" xfId="0" applyFont="1" applyBorder="1"/>
    <xf numFmtId="43" fontId="47" fillId="0" borderId="23" xfId="1" applyFont="1" applyBorder="1" applyAlignment="1">
      <alignment horizontal="right"/>
    </xf>
    <xf numFmtId="0" fontId="34" fillId="0" borderId="23" xfId="0" applyFont="1" applyBorder="1"/>
    <xf numFmtId="0" fontId="33" fillId="0" borderId="26" xfId="0" applyFont="1" applyBorder="1"/>
    <xf numFmtId="43" fontId="47" fillId="0" borderId="26" xfId="1" applyFont="1" applyBorder="1" applyAlignment="1">
      <alignment horizontal="right"/>
    </xf>
    <xf numFmtId="43" fontId="47" fillId="0" borderId="22" xfId="1" applyFont="1" applyBorder="1" applyAlignment="1">
      <alignment horizontal="right"/>
    </xf>
    <xf numFmtId="43" fontId="33" fillId="0" borderId="23" xfId="1" applyFont="1" applyBorder="1" applyAlignment="1">
      <alignment horizontal="right"/>
    </xf>
    <xf numFmtId="43" fontId="33" fillId="0" borderId="26" xfId="1" applyFont="1" applyBorder="1" applyAlignment="1">
      <alignment horizontal="right"/>
    </xf>
    <xf numFmtId="43" fontId="41" fillId="0" borderId="0" xfId="0" applyNumberFormat="1" applyFont="1"/>
    <xf numFmtId="0" fontId="43" fillId="0" borderId="0" xfId="0" applyFont="1" applyAlignment="1">
      <alignment vertical="top"/>
    </xf>
    <xf numFmtId="43" fontId="43" fillId="0" borderId="0" xfId="1" applyFont="1" applyAlignment="1">
      <alignment horizontal="right" vertical="top"/>
    </xf>
    <xf numFmtId="0" fontId="43" fillId="0" borderId="0" xfId="0" applyFont="1"/>
    <xf numFmtId="43" fontId="43" fillId="38" borderId="0" xfId="1" applyFont="1" applyFill="1" applyAlignment="1">
      <alignment horizontal="right" vertical="top"/>
    </xf>
    <xf numFmtId="0" fontId="22" fillId="38" borderId="0" xfId="0" applyFont="1" applyFill="1"/>
    <xf numFmtId="0" fontId="43" fillId="38" borderId="0" xfId="0" applyFont="1" applyFill="1"/>
    <xf numFmtId="0" fontId="43" fillId="38" borderId="0" xfId="0" applyFont="1" applyFill="1" applyAlignment="1">
      <alignment vertical="top"/>
    </xf>
    <xf numFmtId="0" fontId="43" fillId="38" borderId="0" xfId="0" applyFont="1" applyFill="1" applyAlignment="1">
      <alignment wrapText="1"/>
    </xf>
    <xf numFmtId="0" fontId="22" fillId="38" borderId="0" xfId="0" applyFont="1" applyFill="1" applyAlignment="1">
      <alignment wrapText="1"/>
    </xf>
    <xf numFmtId="0" fontId="22" fillId="38" borderId="0" xfId="0" applyFont="1" applyFill="1" applyAlignment="1">
      <alignment vertical="top"/>
    </xf>
    <xf numFmtId="0" fontId="23" fillId="38" borderId="0" xfId="0" applyFont="1" applyFill="1" applyAlignment="1">
      <alignment horizontal="left" wrapText="1" indent="10"/>
    </xf>
    <xf numFmtId="166" fontId="26" fillId="0" borderId="0" xfId="1" applyNumberFormat="1" applyFont="1"/>
    <xf numFmtId="43" fontId="44" fillId="38" borderId="15" xfId="1" applyFont="1" applyFill="1" applyBorder="1" applyAlignment="1">
      <alignment horizontal="right" vertical="top"/>
    </xf>
    <xf numFmtId="0" fontId="44" fillId="0" borderId="17" xfId="0" applyFont="1" applyBorder="1" applyAlignment="1">
      <alignment vertical="top"/>
    </xf>
    <xf numFmtId="0" fontId="43" fillId="0" borderId="23" xfId="0" applyFont="1" applyBorder="1" applyAlignment="1">
      <alignment horizontal="center" vertical="top"/>
    </xf>
    <xf numFmtId="166" fontId="43" fillId="0" borderId="18" xfId="1" applyNumberFormat="1" applyFont="1" applyBorder="1" applyAlignment="1">
      <alignment vertical="top"/>
    </xf>
    <xf numFmtId="0" fontId="43" fillId="0" borderId="17" xfId="0" applyFont="1" applyBorder="1" applyAlignment="1">
      <alignment vertical="top"/>
    </xf>
    <xf numFmtId="0" fontId="44" fillId="0" borderId="17" xfId="0" applyFont="1" applyBorder="1" applyAlignment="1">
      <alignment horizontal="center" vertical="top"/>
    </xf>
    <xf numFmtId="0" fontId="44" fillId="0" borderId="17" xfId="0" applyFont="1" applyBorder="1" applyAlignment="1">
      <alignment vertical="top" wrapText="1"/>
    </xf>
    <xf numFmtId="0" fontId="43" fillId="0" borderId="23" xfId="0" applyFont="1" applyBorder="1"/>
    <xf numFmtId="0" fontId="43" fillId="0" borderId="23" xfId="0" applyFont="1" applyBorder="1" applyAlignment="1">
      <alignment horizontal="center"/>
    </xf>
    <xf numFmtId="0" fontId="44" fillId="0" borderId="17" xfId="0" applyFont="1" applyBorder="1" applyAlignment="1">
      <alignment horizontal="left" indent="3"/>
    </xf>
    <xf numFmtId="0" fontId="44" fillId="0" borderId="17" xfId="0" applyFont="1" applyBorder="1" applyAlignment="1">
      <alignment horizontal="left" indent="1"/>
    </xf>
    <xf numFmtId="0" fontId="44" fillId="0" borderId="17" xfId="0" applyFont="1" applyBorder="1"/>
    <xf numFmtId="0" fontId="43" fillId="0" borderId="17" xfId="0" applyFont="1" applyBorder="1"/>
    <xf numFmtId="0" fontId="44" fillId="0" borderId="23" xfId="0" applyFont="1" applyBorder="1"/>
    <xf numFmtId="0" fontId="44" fillId="0" borderId="17" xfId="0" applyFont="1" applyBorder="1" applyAlignment="1">
      <alignment horizontal="left" indent="2"/>
    </xf>
    <xf numFmtId="43" fontId="43" fillId="0" borderId="0" xfId="0" applyNumberFormat="1" applyFont="1"/>
    <xf numFmtId="166" fontId="43" fillId="0" borderId="0" xfId="0" applyNumberFormat="1" applyFont="1"/>
    <xf numFmtId="4" fontId="43" fillId="0" borderId="0" xfId="0" applyNumberFormat="1" applyFont="1"/>
    <xf numFmtId="43" fontId="43" fillId="0" borderId="0" xfId="1" applyFont="1"/>
    <xf numFmtId="166" fontId="43" fillId="0" borderId="23" xfId="1" applyNumberFormat="1" applyFont="1" applyBorder="1"/>
    <xf numFmtId="0" fontId="43" fillId="0" borderId="19" xfId="0" applyFont="1" applyBorder="1"/>
    <xf numFmtId="0" fontId="43" fillId="33" borderId="0" xfId="43" applyFont="1" applyFill="1" applyAlignment="1">
      <alignment vertical="top"/>
    </xf>
    <xf numFmtId="0" fontId="43" fillId="33" borderId="0" xfId="43" applyFont="1" applyFill="1"/>
    <xf numFmtId="166" fontId="43" fillId="0" borderId="19" xfId="1" applyNumberFormat="1" applyFont="1" applyBorder="1"/>
    <xf numFmtId="0" fontId="43" fillId="0" borderId="0" xfId="0" applyFont="1" applyAlignment="1">
      <alignment horizontal="left" indent="1"/>
    </xf>
    <xf numFmtId="0" fontId="43" fillId="0" borderId="18" xfId="0" applyFont="1" applyBorder="1" applyAlignment="1">
      <alignment horizontal="left" indent="1"/>
    </xf>
    <xf numFmtId="0" fontId="43" fillId="0" borderId="17" xfId="0" applyFont="1" applyBorder="1" applyAlignment="1">
      <alignment vertical="center"/>
    </xf>
    <xf numFmtId="166" fontId="44" fillId="0" borderId="10" xfId="0" applyNumberFormat="1" applyFont="1" applyBorder="1"/>
    <xf numFmtId="166" fontId="44" fillId="0" borderId="20" xfId="1" applyNumberFormat="1" applyFont="1" applyBorder="1"/>
    <xf numFmtId="166" fontId="43" fillId="0" borderId="20" xfId="1" applyNumberFormat="1" applyFont="1" applyBorder="1"/>
    <xf numFmtId="0" fontId="44" fillId="0" borderId="0" xfId="49" applyFont="1" applyAlignment="1">
      <alignment vertical="top" wrapText="1"/>
    </xf>
    <xf numFmtId="0" fontId="44" fillId="0" borderId="0" xfId="49" applyFont="1" applyAlignment="1">
      <alignment horizontal="justify" vertical="top" wrapText="1"/>
    </xf>
    <xf numFmtId="166" fontId="44" fillId="0" borderId="0" xfId="1" applyNumberFormat="1" applyFont="1" applyAlignment="1">
      <alignment horizontal="justify" vertical="top" wrapText="1"/>
    </xf>
    <xf numFmtId="166" fontId="44" fillId="0" borderId="0" xfId="1" applyNumberFormat="1" applyFont="1" applyAlignment="1">
      <alignment vertical="top" wrapText="1"/>
    </xf>
    <xf numFmtId="0" fontId="43" fillId="0" borderId="0" xfId="49" applyFont="1" applyAlignment="1">
      <alignment horizontal="left" vertical="justify" wrapText="1"/>
    </xf>
    <xf numFmtId="166" fontId="43" fillId="0" borderId="0" xfId="1" applyNumberFormat="1" applyFont="1" applyAlignment="1">
      <alignment horizontal="left" vertical="justify" wrapText="1"/>
    </xf>
    <xf numFmtId="166" fontId="44" fillId="0" borderId="0" xfId="0" applyNumberFormat="1" applyFont="1"/>
    <xf numFmtId="9" fontId="44" fillId="0" borderId="0" xfId="1" applyNumberFormat="1" applyFont="1" applyAlignment="1">
      <alignment horizontal="center"/>
    </xf>
    <xf numFmtId="166" fontId="44" fillId="0" borderId="0" xfId="1" applyNumberFormat="1" applyFont="1" applyAlignment="1">
      <alignment horizontal="center"/>
    </xf>
    <xf numFmtId="0" fontId="43" fillId="0" borderId="0" xfId="49" applyFont="1" applyAlignment="1">
      <alignment horizontal="center" vertical="top"/>
    </xf>
    <xf numFmtId="43" fontId="44" fillId="0" borderId="0" xfId="48" applyNumberFormat="1" applyFont="1" applyAlignment="1">
      <alignment horizontal="center" vertical="top" wrapText="1"/>
    </xf>
    <xf numFmtId="167" fontId="44" fillId="0" borderId="0" xfId="46" applyNumberFormat="1" applyFont="1" applyAlignment="1">
      <alignment horizontal="center" vertical="top"/>
    </xf>
    <xf numFmtId="0" fontId="49" fillId="0" borderId="0" xfId="0" applyFont="1"/>
    <xf numFmtId="0" fontId="44" fillId="0" borderId="0" xfId="43" applyFont="1" applyAlignment="1">
      <alignment horizontal="left" vertical="top"/>
    </xf>
    <xf numFmtId="0" fontId="43" fillId="0" borderId="0" xfId="43" applyFont="1" applyAlignment="1">
      <alignment horizontal="left" vertical="center"/>
    </xf>
    <xf numFmtId="0" fontId="44" fillId="0" borderId="0" xfId="43" applyFont="1" applyAlignment="1">
      <alignment horizontal="left" vertical="center"/>
    </xf>
    <xf numFmtId="166" fontId="43" fillId="0" borderId="0" xfId="1" applyNumberFormat="1" applyFont="1" applyAlignment="1">
      <alignment vertical="center" wrapText="1"/>
    </xf>
    <xf numFmtId="166" fontId="43" fillId="0" borderId="0" xfId="1" applyNumberFormat="1" applyFont="1"/>
    <xf numFmtId="0" fontId="43" fillId="0" borderId="0" xfId="43" applyFont="1" applyAlignment="1">
      <alignment vertical="center"/>
    </xf>
    <xf numFmtId="0" fontId="43" fillId="0" borderId="0" xfId="43" applyFont="1" applyAlignment="1">
      <alignment vertical="top" wrapText="1"/>
    </xf>
    <xf numFmtId="0" fontId="43" fillId="0" borderId="0" xfId="43" applyFont="1" applyAlignment="1">
      <alignment vertical="top"/>
    </xf>
    <xf numFmtId="0" fontId="43" fillId="0" borderId="0" xfId="43" quotePrefix="1" applyFont="1" applyAlignment="1">
      <alignment horizontal="justify" vertical="top" wrapText="1"/>
    </xf>
    <xf numFmtId="171" fontId="43" fillId="0" borderId="0" xfId="0" applyNumberFormat="1" applyFont="1"/>
    <xf numFmtId="0" fontId="49" fillId="0" borderId="0" xfId="66" applyFont="1" applyAlignment="1">
      <alignment wrapText="1"/>
    </xf>
    <xf numFmtId="0" fontId="49" fillId="0" borderId="0" xfId="66" applyFont="1"/>
    <xf numFmtId="0" fontId="50" fillId="0" borderId="0" xfId="66" applyFont="1"/>
    <xf numFmtId="0" fontId="43" fillId="0" borderId="0" xfId="43" applyFont="1" applyAlignment="1">
      <alignment wrapText="1"/>
    </xf>
    <xf numFmtId="0" fontId="43" fillId="0" borderId="0" xfId="43" applyFont="1" applyAlignment="1">
      <alignment horizontal="left" vertical="top"/>
    </xf>
    <xf numFmtId="0" fontId="43" fillId="0" borderId="0" xfId="43" quotePrefix="1" applyFont="1" applyAlignment="1">
      <alignment vertical="top" wrapText="1"/>
    </xf>
    <xf numFmtId="43" fontId="27" fillId="0" borderId="0" xfId="1" applyFont="1" applyAlignment="1">
      <alignment vertical="top"/>
    </xf>
    <xf numFmtId="43" fontId="24" fillId="0" borderId="0" xfId="1" applyFont="1"/>
    <xf numFmtId="10" fontId="24" fillId="0" borderId="0" xfId="50" applyNumberFormat="1" applyFont="1"/>
    <xf numFmtId="43" fontId="24" fillId="0" borderId="0" xfId="0" applyNumberFormat="1" applyFont="1"/>
    <xf numFmtId="4" fontId="24" fillId="0" borderId="0" xfId="0" applyNumberFormat="1" applyFont="1" applyAlignment="1">
      <alignment horizontal="right"/>
    </xf>
    <xf numFmtId="166" fontId="22" fillId="0" borderId="0" xfId="1" applyNumberFormat="1" applyFont="1"/>
    <xf numFmtId="43" fontId="22" fillId="33" borderId="0" xfId="43" applyNumberFormat="1" applyFont="1" applyFill="1"/>
    <xf numFmtId="43" fontId="22" fillId="0" borderId="0" xfId="43" applyNumberFormat="1" applyFont="1" applyAlignment="1">
      <alignment vertical="top"/>
    </xf>
    <xf numFmtId="43" fontId="43" fillId="0" borderId="22" xfId="1" applyFont="1" applyBorder="1"/>
    <xf numFmtId="166" fontId="43" fillId="0" borderId="23" xfId="1" applyNumberFormat="1" applyFont="1" applyBorder="1" applyAlignment="1">
      <alignment horizontal="center"/>
    </xf>
    <xf numFmtId="166" fontId="43" fillId="0" borderId="22" xfId="1" applyNumberFormat="1" applyFont="1" applyBorder="1" applyAlignment="1">
      <alignment vertical="top"/>
    </xf>
    <xf numFmtId="166" fontId="43" fillId="0" borderId="22" xfId="1" applyNumberFormat="1" applyFont="1" applyBorder="1" applyAlignment="1">
      <alignment vertical="top" wrapText="1"/>
    </xf>
    <xf numFmtId="166" fontId="23" fillId="0" borderId="0" xfId="1" applyNumberFormat="1" applyFont="1"/>
    <xf numFmtId="166" fontId="44" fillId="0" borderId="0" xfId="1" applyNumberFormat="1" applyFont="1" applyAlignment="1">
      <alignment horizontal="center" vertical="top"/>
    </xf>
    <xf numFmtId="166" fontId="48" fillId="0" borderId="0" xfId="43" applyNumberFormat="1" applyFont="1" applyAlignment="1">
      <alignment vertical="center" wrapText="1"/>
    </xf>
    <xf numFmtId="0" fontId="43" fillId="0" borderId="0" xfId="43" applyFont="1" applyAlignment="1">
      <alignment vertical="center" wrapText="1"/>
    </xf>
    <xf numFmtId="166" fontId="20" fillId="0" borderId="18" xfId="1" applyNumberFormat="1" applyFont="1" applyBorder="1"/>
    <xf numFmtId="166" fontId="23" fillId="0" borderId="10" xfId="1" applyNumberFormat="1" applyFont="1" applyBorder="1"/>
    <xf numFmtId="166" fontId="20" fillId="0" borderId="20" xfId="1" applyNumberFormat="1" applyFont="1" applyBorder="1"/>
    <xf numFmtId="166" fontId="23" fillId="0" borderId="13" xfId="1" applyNumberFormat="1" applyFont="1" applyBorder="1"/>
    <xf numFmtId="166" fontId="23" fillId="0" borderId="18" xfId="1" applyNumberFormat="1" applyFont="1" applyBorder="1"/>
    <xf numFmtId="166" fontId="22" fillId="0" borderId="18" xfId="1" applyNumberFormat="1" applyFont="1" applyBorder="1"/>
    <xf numFmtId="166" fontId="21" fillId="0" borderId="18" xfId="1" applyNumberFormat="1" applyFont="1" applyBorder="1"/>
    <xf numFmtId="166" fontId="20" fillId="0" borderId="13" xfId="1" applyNumberFormat="1" applyFont="1" applyBorder="1"/>
    <xf numFmtId="166" fontId="20" fillId="0" borderId="21" xfId="1" applyNumberFormat="1" applyFont="1" applyBorder="1"/>
    <xf numFmtId="1" fontId="23" fillId="0" borderId="13" xfId="1" applyNumberFormat="1" applyFont="1" applyBorder="1" applyAlignment="1">
      <alignment horizontal="center" vertical="center"/>
    </xf>
    <xf numFmtId="0" fontId="51" fillId="37" borderId="11" xfId="0" applyFont="1" applyFill="1" applyBorder="1" applyAlignment="1">
      <alignment horizontal="center" vertical="center"/>
    </xf>
    <xf numFmtId="0" fontId="51" fillId="37" borderId="21" xfId="0" applyFont="1" applyFill="1" applyBorder="1" applyAlignment="1">
      <alignment horizontal="center" vertical="center" wrapText="1"/>
    </xf>
    <xf numFmtId="0" fontId="51" fillId="0" borderId="17" xfId="0" applyFont="1" applyBorder="1" applyAlignment="1">
      <alignment vertical="center"/>
    </xf>
    <xf numFmtId="0" fontId="51" fillId="0" borderId="17" xfId="0" applyFont="1" applyBorder="1" applyAlignment="1">
      <alignment horizontal="left" vertical="center" indent="1"/>
    </xf>
    <xf numFmtId="0" fontId="53" fillId="0" borderId="23" xfId="0" applyFont="1" applyBorder="1" applyAlignment="1">
      <alignment horizontal="center"/>
    </xf>
    <xf numFmtId="49" fontId="54" fillId="0" borderId="17" xfId="0" applyNumberFormat="1" applyFont="1" applyBorder="1" applyAlignment="1">
      <alignment horizontal="left" vertical="top" indent="4"/>
    </xf>
    <xf numFmtId="0" fontId="54" fillId="0" borderId="23" xfId="0" applyFont="1" applyBorder="1" applyAlignment="1">
      <alignment horizontal="center"/>
    </xf>
    <xf numFmtId="0" fontId="54" fillId="0" borderId="17" xfId="0" applyFont="1" applyBorder="1" applyAlignment="1">
      <alignment horizontal="left" vertical="top" indent="4"/>
    </xf>
    <xf numFmtId="0" fontId="54" fillId="0" borderId="17" xfId="0" applyFont="1" applyBorder="1" applyAlignment="1">
      <alignment horizontal="left" indent="4"/>
    </xf>
    <xf numFmtId="0" fontId="51" fillId="0" borderId="17" xfId="0" applyFont="1" applyBorder="1" applyAlignment="1">
      <alignment horizontal="left" indent="3"/>
    </xf>
    <xf numFmtId="166" fontId="51" fillId="0" borderId="21" xfId="1" applyNumberFormat="1" applyFont="1" applyBorder="1" applyAlignment="1">
      <alignment horizontal="center"/>
    </xf>
    <xf numFmtId="0" fontId="51" fillId="0" borderId="17" xfId="0" applyFont="1" applyBorder="1" applyAlignment="1">
      <alignment horizontal="left" indent="1"/>
    </xf>
    <xf numFmtId="0" fontId="53" fillId="0" borderId="23" xfId="0" applyFont="1" applyBorder="1"/>
    <xf numFmtId="0" fontId="51" fillId="0" borderId="17" xfId="0" applyFont="1" applyBorder="1" applyAlignment="1">
      <alignment horizontal="center" vertical="center"/>
    </xf>
    <xf numFmtId="0" fontId="51" fillId="0" borderId="17" xfId="0" applyFont="1" applyBorder="1"/>
    <xf numFmtId="0" fontId="53" fillId="0" borderId="23" xfId="0" applyFont="1" applyBorder="1" applyAlignment="1">
      <alignment horizontal="center" vertical="center"/>
    </xf>
    <xf numFmtId="0" fontId="54" fillId="0" borderId="17" xfId="0" applyFont="1" applyBorder="1" applyAlignment="1">
      <alignment horizontal="left" vertical="center" indent="4"/>
    </xf>
    <xf numFmtId="0" fontId="54" fillId="0" borderId="23" xfId="0" applyFont="1" applyBorder="1" applyAlignment="1">
      <alignment horizontal="center" vertical="center"/>
    </xf>
    <xf numFmtId="0" fontId="51" fillId="0" borderId="23" xfId="0" applyFont="1" applyBorder="1"/>
    <xf numFmtId="0" fontId="51" fillId="0" borderId="19" xfId="0" applyFont="1" applyBorder="1" applyAlignment="1">
      <alignment horizontal="center"/>
    </xf>
    <xf numFmtId="0" fontId="51" fillId="0" borderId="26" xfId="0" applyFont="1" applyBorder="1"/>
    <xf numFmtId="0" fontId="54" fillId="0" borderId="0" xfId="0" applyFont="1" applyAlignment="1">
      <alignment horizontal="center" vertical="top"/>
    </xf>
    <xf numFmtId="0" fontId="51" fillId="0" borderId="0" xfId="0" applyFont="1"/>
    <xf numFmtId="0" fontId="53" fillId="0" borderId="0" xfId="0" applyFont="1"/>
    <xf numFmtId="0" fontId="54" fillId="0" borderId="0" xfId="0" applyFont="1"/>
    <xf numFmtId="43" fontId="44" fillId="38" borderId="0" xfId="1" applyFont="1" applyFill="1"/>
    <xf numFmtId="0" fontId="56" fillId="0" borderId="0" xfId="43" applyFont="1" applyAlignment="1">
      <alignment vertical="center"/>
    </xf>
    <xf numFmtId="0" fontId="32" fillId="0" borderId="0" xfId="0" applyFont="1" applyAlignment="1">
      <alignment horizontal="center"/>
    </xf>
    <xf numFmtId="0" fontId="59" fillId="0" borderId="0" xfId="0" applyFont="1"/>
    <xf numFmtId="0" fontId="53" fillId="0" borderId="0" xfId="0" applyFont="1" applyAlignment="1">
      <alignment vertical="center"/>
    </xf>
    <xf numFmtId="43" fontId="51" fillId="37" borderId="21" xfId="1" applyFont="1" applyFill="1" applyBorder="1" applyAlignment="1">
      <alignment horizontal="right" vertical="center"/>
    </xf>
    <xf numFmtId="166" fontId="51" fillId="37" borderId="21" xfId="1" applyNumberFormat="1" applyFont="1" applyFill="1" applyBorder="1" applyAlignment="1">
      <alignment horizontal="center" vertical="center"/>
    </xf>
    <xf numFmtId="43" fontId="51" fillId="37" borderId="11" xfId="1" applyFont="1" applyFill="1" applyBorder="1" applyAlignment="1">
      <alignment horizontal="right" vertical="center"/>
    </xf>
    <xf numFmtId="166" fontId="53" fillId="0" borderId="17" xfId="1" applyNumberFormat="1" applyFont="1" applyBorder="1" applyAlignment="1">
      <alignment vertical="center"/>
    </xf>
    <xf numFmtId="166" fontId="53" fillId="0" borderId="17" xfId="1" applyNumberFormat="1" applyFont="1" applyBorder="1"/>
    <xf numFmtId="166" fontId="51" fillId="0" borderId="11" xfId="1" applyNumberFormat="1" applyFont="1" applyBorder="1" applyAlignment="1">
      <alignment vertical="center"/>
    </xf>
    <xf numFmtId="166" fontId="53" fillId="0" borderId="11" xfId="1" applyNumberFormat="1" applyFont="1" applyBorder="1" applyAlignment="1">
      <alignment vertical="center"/>
    </xf>
    <xf numFmtId="166" fontId="53" fillId="0" borderId="19" xfId="1" applyNumberFormat="1" applyFont="1" applyBorder="1" applyAlignment="1">
      <alignment vertical="center"/>
    </xf>
    <xf numFmtId="166" fontId="53" fillId="0" borderId="21" xfId="1" applyNumberFormat="1" applyFont="1" applyBorder="1" applyAlignment="1">
      <alignment vertical="center"/>
    </xf>
    <xf numFmtId="166" fontId="53" fillId="0" borderId="26" xfId="1" applyNumberFormat="1" applyFont="1" applyBorder="1" applyAlignment="1">
      <alignment horizontal="left" vertical="center"/>
    </xf>
    <xf numFmtId="166" fontId="51" fillId="0" borderId="22" xfId="1" applyNumberFormat="1" applyFont="1" applyBorder="1" applyAlignment="1">
      <alignment horizontal="left" vertical="center"/>
    </xf>
    <xf numFmtId="0" fontId="51" fillId="0" borderId="42" xfId="0" applyFont="1" applyBorder="1" applyAlignment="1">
      <alignment vertical="center"/>
    </xf>
    <xf numFmtId="0" fontId="51" fillId="0" borderId="31" xfId="0" applyFont="1" applyBorder="1" applyAlignment="1">
      <alignment vertical="center"/>
    </xf>
    <xf numFmtId="0" fontId="53" fillId="0" borderId="31" xfId="0" applyFont="1" applyBorder="1" applyAlignment="1">
      <alignment vertical="center"/>
    </xf>
    <xf numFmtId="166" fontId="53" fillId="0" borderId="0" xfId="0" applyNumberFormat="1" applyFont="1" applyAlignment="1">
      <alignment vertical="center"/>
    </xf>
    <xf numFmtId="0" fontId="53" fillId="0" borderId="31" xfId="0" applyFont="1" applyBorder="1" applyAlignment="1">
      <alignment horizontal="left" vertical="center" indent="2"/>
    </xf>
    <xf numFmtId="0" fontId="51" fillId="0" borderId="0" xfId="0" applyFont="1" applyAlignment="1">
      <alignment vertical="center"/>
    </xf>
    <xf numFmtId="0" fontId="51" fillId="0" borderId="0" xfId="0" applyFont="1" applyAlignment="1">
      <alignment horizontal="center" vertical="center"/>
    </xf>
    <xf numFmtId="0" fontId="53" fillId="0" borderId="0" xfId="0" applyFont="1" applyAlignment="1">
      <alignment horizontal="left" vertical="center"/>
    </xf>
    <xf numFmtId="0" fontId="53" fillId="0" borderId="31" xfId="0" applyFont="1" applyBorder="1" applyAlignment="1">
      <alignment horizontal="left" vertical="center" wrapText="1" indent="2"/>
    </xf>
    <xf numFmtId="43" fontId="51" fillId="0" borderId="0" xfId="0" applyNumberFormat="1" applyFont="1" applyAlignment="1">
      <alignment horizontal="center" vertical="center"/>
    </xf>
    <xf numFmtId="0" fontId="51" fillId="0" borderId="35" xfId="0" applyFont="1" applyBorder="1" applyAlignment="1">
      <alignment vertical="center"/>
    </xf>
    <xf numFmtId="0" fontId="53" fillId="0" borderId="35" xfId="0" applyFont="1" applyBorder="1" applyAlignment="1">
      <alignment vertical="center"/>
    </xf>
    <xf numFmtId="0" fontId="53" fillId="0" borderId="35" xfId="0" applyFont="1" applyBorder="1" applyAlignment="1">
      <alignment vertical="center" wrapText="1"/>
    </xf>
    <xf numFmtId="0" fontId="51" fillId="0" borderId="0" xfId="0" applyFont="1" applyAlignment="1">
      <alignment horizontal="center" vertical="top" wrapText="1"/>
    </xf>
    <xf numFmtId="0" fontId="51" fillId="0" borderId="17" xfId="0" applyFont="1" applyBorder="1" applyAlignment="1">
      <alignment vertical="top"/>
    </xf>
    <xf numFmtId="0" fontId="53" fillId="0" borderId="23" xfId="0" applyFont="1" applyBorder="1" applyAlignment="1">
      <alignment horizontal="center" vertical="top"/>
    </xf>
    <xf numFmtId="0" fontId="53" fillId="0" borderId="17" xfId="0" applyFont="1" applyBorder="1" applyAlignment="1">
      <alignment vertical="top"/>
    </xf>
    <xf numFmtId="0" fontId="54" fillId="0" borderId="17" xfId="0" applyFont="1" applyBorder="1" applyAlignment="1">
      <alignment vertical="top"/>
    </xf>
    <xf numFmtId="0" fontId="54" fillId="0" borderId="23" xfId="0" applyFont="1" applyBorder="1" applyAlignment="1">
      <alignment horizontal="center" vertical="top"/>
    </xf>
    <xf numFmtId="166" fontId="51" fillId="0" borderId="21" xfId="1" applyNumberFormat="1" applyFont="1" applyBorder="1" applyAlignment="1">
      <alignment horizontal="center" vertical="top"/>
    </xf>
    <xf numFmtId="0" fontId="51" fillId="0" borderId="17" xfId="0" applyFont="1" applyBorder="1" applyAlignment="1">
      <alignment horizontal="left" vertical="top"/>
    </xf>
    <xf numFmtId="166" fontId="54" fillId="0" borderId="23" xfId="0" applyNumberFormat="1" applyFont="1" applyBorder="1" applyAlignment="1">
      <alignment horizontal="center" vertical="top"/>
    </xf>
    <xf numFmtId="166" fontId="54" fillId="0" borderId="23" xfId="1" applyNumberFormat="1" applyFont="1" applyBorder="1" applyAlignment="1">
      <alignment vertical="top"/>
    </xf>
    <xf numFmtId="166" fontId="51" fillId="0" borderId="21" xfId="1" applyNumberFormat="1" applyFont="1" applyBorder="1" applyAlignment="1">
      <alignment vertical="top"/>
    </xf>
    <xf numFmtId="0" fontId="53" fillId="0" borderId="17" xfId="0" applyFont="1" applyBorder="1" applyAlignment="1">
      <alignment horizontal="left" vertical="top" indent="1"/>
    </xf>
    <xf numFmtId="0" fontId="53" fillId="0" borderId="23" xfId="0" applyFont="1" applyBorder="1" applyAlignment="1">
      <alignment vertical="top"/>
    </xf>
    <xf numFmtId="166" fontId="53" fillId="0" borderId="17" xfId="0" applyNumberFormat="1" applyFont="1" applyBorder="1" applyAlignment="1">
      <alignment vertical="top"/>
    </xf>
    <xf numFmtId="0" fontId="51" fillId="0" borderId="17" xfId="0" applyFont="1" applyBorder="1" applyAlignment="1">
      <alignment vertical="top" wrapText="1"/>
    </xf>
    <xf numFmtId="0" fontId="54" fillId="0" borderId="17" xfId="0" applyFont="1" applyBorder="1" applyAlignment="1">
      <alignment vertical="top" wrapText="1"/>
    </xf>
    <xf numFmtId="0" fontId="51" fillId="0" borderId="19" xfId="0" applyFont="1" applyBorder="1" applyAlignment="1">
      <alignment vertical="top" wrapText="1"/>
    </xf>
    <xf numFmtId="0" fontId="53" fillId="0" borderId="26" xfId="0" applyFont="1" applyBorder="1" applyAlignment="1">
      <alignment horizontal="center" vertical="top"/>
    </xf>
    <xf numFmtId="0" fontId="53" fillId="0" borderId="0" xfId="0" applyFont="1" applyAlignment="1">
      <alignment horizontal="center" vertical="top"/>
    </xf>
    <xf numFmtId="43" fontId="51" fillId="0" borderId="0" xfId="1" applyFont="1" applyAlignment="1">
      <alignment vertical="top"/>
    </xf>
    <xf numFmtId="0" fontId="53" fillId="0" borderId="0" xfId="0" applyFont="1" applyAlignment="1">
      <alignment vertical="top"/>
    </xf>
    <xf numFmtId="0" fontId="54" fillId="0" borderId="0" xfId="0" applyFont="1" applyAlignment="1">
      <alignment vertical="top"/>
    </xf>
    <xf numFmtId="0" fontId="59" fillId="0" borderId="0" xfId="0" applyFont="1" applyAlignment="1">
      <alignment vertical="top"/>
    </xf>
    <xf numFmtId="0" fontId="51" fillId="37" borderId="22" xfId="0" applyFont="1" applyFill="1" applyBorder="1" applyAlignment="1">
      <alignment horizontal="center" vertical="center" wrapText="1"/>
    </xf>
    <xf numFmtId="0" fontId="51" fillId="37" borderId="14" xfId="0" applyFont="1" applyFill="1" applyBorder="1" applyAlignment="1">
      <alignment horizontal="center" vertical="center" wrapText="1"/>
    </xf>
    <xf numFmtId="0" fontId="51" fillId="0" borderId="22" xfId="0" applyFont="1" applyBorder="1" applyAlignment="1">
      <alignment vertical="top" wrapText="1"/>
    </xf>
    <xf numFmtId="166" fontId="54" fillId="0" borderId="23" xfId="1" applyNumberFormat="1" applyFont="1" applyBorder="1" applyAlignment="1">
      <alignment vertical="top" wrapText="1"/>
    </xf>
    <xf numFmtId="166" fontId="54" fillId="0" borderId="18" xfId="1" applyNumberFormat="1" applyFont="1" applyBorder="1" applyAlignment="1">
      <alignment vertical="top"/>
    </xf>
    <xf numFmtId="166" fontId="54" fillId="0" borderId="22" xfId="1" applyNumberFormat="1" applyFont="1" applyBorder="1" applyAlignment="1">
      <alignment vertical="top"/>
    </xf>
    <xf numFmtId="0" fontId="51" fillId="0" borderId="23" xfId="0" applyFont="1" applyBorder="1" applyAlignment="1">
      <alignment vertical="top" wrapText="1"/>
    </xf>
    <xf numFmtId="0" fontId="54" fillId="0" borderId="23" xfId="0" applyFont="1" applyBorder="1" applyAlignment="1">
      <alignment horizontal="left" vertical="top" wrapText="1" indent="1"/>
    </xf>
    <xf numFmtId="0" fontId="51" fillId="0" borderId="21" xfId="0" applyFont="1" applyBorder="1" applyAlignment="1">
      <alignment vertical="top" wrapText="1"/>
    </xf>
    <xf numFmtId="166" fontId="51" fillId="0" borderId="21" xfId="1" applyNumberFormat="1" applyFont="1" applyBorder="1" applyAlignment="1">
      <alignment vertical="top" wrapText="1"/>
    </xf>
    <xf numFmtId="0" fontId="54" fillId="0" borderId="23" xfId="0" applyFont="1" applyBorder="1" applyAlignment="1">
      <alignment horizontal="left" vertical="top" indent="1"/>
    </xf>
    <xf numFmtId="0" fontId="51" fillId="37" borderId="21" xfId="43" applyFont="1" applyFill="1" applyBorder="1"/>
    <xf numFmtId="0" fontId="52" fillId="0" borderId="22" xfId="43" applyFont="1" applyBorder="1" applyAlignment="1">
      <alignment wrapText="1"/>
    </xf>
    <xf numFmtId="0" fontId="54" fillId="0" borderId="23" xfId="43" applyFont="1" applyBorder="1" applyAlignment="1">
      <alignment vertical="top" wrapText="1"/>
    </xf>
    <xf numFmtId="0" fontId="54" fillId="0" borderId="23" xfId="43" applyFont="1" applyBorder="1" applyAlignment="1">
      <alignment horizontal="left" vertical="top"/>
    </xf>
    <xf numFmtId="0" fontId="54" fillId="0" borderId="23" xfId="43" applyFont="1" applyBorder="1" applyAlignment="1">
      <alignment horizontal="left" vertical="top" indent="1"/>
    </xf>
    <xf numFmtId="0" fontId="51" fillId="0" borderId="23" xfId="43" applyFont="1" applyBorder="1" applyAlignment="1">
      <alignment vertical="top" wrapText="1"/>
    </xf>
    <xf numFmtId="0" fontId="51" fillId="0" borderId="23" xfId="43" applyFont="1" applyBorder="1" applyAlignment="1">
      <alignment vertical="top"/>
    </xf>
    <xf numFmtId="0" fontId="52" fillId="0" borderId="23" xfId="43" applyFont="1" applyBorder="1" applyAlignment="1">
      <alignment vertical="top"/>
    </xf>
    <xf numFmtId="0" fontId="55" fillId="0" borderId="23" xfId="43" applyFont="1" applyBorder="1" applyAlignment="1">
      <alignment vertical="top"/>
    </xf>
    <xf numFmtId="0" fontId="64" fillId="0" borderId="23" xfId="43" applyFont="1" applyBorder="1" applyAlignment="1">
      <alignment vertical="top"/>
    </xf>
    <xf numFmtId="0" fontId="51" fillId="0" borderId="26" xfId="43" applyFont="1" applyBorder="1" applyAlignment="1">
      <alignment vertical="top"/>
    </xf>
    <xf numFmtId="0" fontId="51" fillId="0" borderId="21" xfId="43" applyFont="1" applyBorder="1" applyAlignment="1">
      <alignment vertical="top" wrapText="1"/>
    </xf>
    <xf numFmtId="0" fontId="54" fillId="0" borderId="23" xfId="51" applyFont="1" applyBorder="1" applyAlignment="1">
      <alignment vertical="top" wrapText="1"/>
    </xf>
    <xf numFmtId="166" fontId="54" fillId="0" borderId="0" xfId="1" applyNumberFormat="1" applyFont="1" applyAlignment="1">
      <alignment vertical="top"/>
    </xf>
    <xf numFmtId="0" fontId="51" fillId="0" borderId="26" xfId="43" applyFont="1" applyBorder="1" applyAlignment="1">
      <alignment vertical="top" wrapText="1"/>
    </xf>
    <xf numFmtId="0" fontId="56" fillId="33" borderId="0" xfId="43" applyFont="1" applyFill="1" applyAlignment="1">
      <alignment vertical="top"/>
    </xf>
    <xf numFmtId="166" fontId="51" fillId="37" borderId="21" xfId="1" applyNumberFormat="1" applyFont="1" applyFill="1" applyBorder="1" applyAlignment="1">
      <alignment horizontal="center" vertical="center" wrapText="1"/>
    </xf>
    <xf numFmtId="166" fontId="51" fillId="37" borderId="13" xfId="1" applyNumberFormat="1" applyFont="1" applyFill="1" applyBorder="1" applyAlignment="1">
      <alignment horizontal="center" vertical="center" wrapText="1"/>
    </xf>
    <xf numFmtId="166" fontId="53" fillId="0" borderId="18" xfId="1" applyNumberFormat="1" applyFont="1" applyBorder="1"/>
    <xf numFmtId="0" fontId="53" fillId="0" borderId="17" xfId="0" applyFont="1" applyBorder="1"/>
    <xf numFmtId="166" fontId="51" fillId="0" borderId="13" xfId="1" applyNumberFormat="1" applyFont="1" applyBorder="1"/>
    <xf numFmtId="0" fontId="53" fillId="0" borderId="19" xfId="0" applyFont="1" applyBorder="1"/>
    <xf numFmtId="0" fontId="54" fillId="0" borderId="17" xfId="0" applyFont="1" applyBorder="1"/>
    <xf numFmtId="166" fontId="54" fillId="0" borderId="18" xfId="1" applyNumberFormat="1" applyFont="1" applyBorder="1"/>
    <xf numFmtId="166" fontId="55" fillId="0" borderId="13" xfId="1" applyNumberFormat="1" applyFont="1" applyBorder="1"/>
    <xf numFmtId="0" fontId="55" fillId="0" borderId="17" xfId="0" applyFont="1" applyBorder="1"/>
    <xf numFmtId="0" fontId="54" fillId="0" borderId="17" xfId="0" applyFont="1" applyBorder="1" applyAlignment="1">
      <alignment wrapText="1"/>
    </xf>
    <xf numFmtId="0" fontId="51" fillId="0" borderId="17" xfId="0" applyFont="1" applyBorder="1" applyAlignment="1">
      <alignment vertical="center" wrapText="1"/>
    </xf>
    <xf numFmtId="0" fontId="53" fillId="0" borderId="18" xfId="0" applyFont="1" applyBorder="1"/>
    <xf numFmtId="166" fontId="51" fillId="0" borderId="18" xfId="1" applyNumberFormat="1" applyFont="1" applyBorder="1" applyAlignment="1">
      <alignment horizontal="center"/>
    </xf>
    <xf numFmtId="0" fontId="53" fillId="0" borderId="0" xfId="0" applyFont="1" applyAlignment="1">
      <alignment horizontal="left" indent="1"/>
    </xf>
    <xf numFmtId="0" fontId="53" fillId="0" borderId="18" xfId="0" applyFont="1" applyBorder="1" applyAlignment="1">
      <alignment horizontal="left" indent="1"/>
    </xf>
    <xf numFmtId="0" fontId="51" fillId="0" borderId="11" xfId="49" applyFont="1" applyBorder="1" applyAlignment="1">
      <alignment horizontal="center" vertical="top" wrapText="1"/>
    </xf>
    <xf numFmtId="0" fontId="51" fillId="0" borderId="21" xfId="49" applyFont="1" applyBorder="1" applyAlignment="1">
      <alignment horizontal="center" vertical="top" wrapText="1"/>
    </xf>
    <xf numFmtId="166" fontId="51" fillId="0" borderId="11" xfId="1" applyNumberFormat="1" applyFont="1" applyBorder="1" applyAlignment="1">
      <alignment horizontal="center" vertical="top" wrapText="1"/>
    </xf>
    <xf numFmtId="166" fontId="51" fillId="0" borderId="13" xfId="1" applyNumberFormat="1" applyFont="1" applyBorder="1" applyAlignment="1">
      <alignment horizontal="center" vertical="top" wrapText="1"/>
    </xf>
    <xf numFmtId="166" fontId="51" fillId="0" borderId="21" xfId="1" applyNumberFormat="1" applyFont="1" applyBorder="1" applyAlignment="1">
      <alignment horizontal="center" vertical="top" wrapText="1"/>
    </xf>
    <xf numFmtId="0" fontId="54" fillId="0" borderId="14" xfId="0" applyFont="1" applyBorder="1" applyAlignment="1">
      <alignment vertical="center" wrapText="1"/>
    </xf>
    <xf numFmtId="166" fontId="54" fillId="0" borderId="16" xfId="1" applyNumberFormat="1" applyFont="1" applyBorder="1" applyAlignment="1">
      <alignment horizontal="center" vertical="center"/>
    </xf>
    <xf numFmtId="43" fontId="51" fillId="0" borderId="21" xfId="1" applyFont="1" applyBorder="1"/>
    <xf numFmtId="43" fontId="51" fillId="0" borderId="21" xfId="48" applyNumberFormat="1" applyFont="1" applyBorder="1" applyAlignment="1">
      <alignment horizontal="center" vertical="top"/>
    </xf>
    <xf numFmtId="0" fontId="54" fillId="0" borderId="11" xfId="49" applyFont="1" applyBorder="1" applyAlignment="1">
      <alignment vertical="top" wrapText="1"/>
    </xf>
    <xf numFmtId="0" fontId="51" fillId="0" borderId="11" xfId="49" applyFont="1" applyBorder="1" applyAlignment="1">
      <alignment vertical="top" wrapText="1"/>
    </xf>
    <xf numFmtId="0" fontId="54" fillId="0" borderId="17" xfId="0" applyFont="1" applyBorder="1" applyAlignment="1">
      <alignment horizontal="left" wrapText="1"/>
    </xf>
    <xf numFmtId="166" fontId="55" fillId="0" borderId="13" xfId="1" applyNumberFormat="1" applyFont="1" applyBorder="1" applyAlignment="1">
      <alignment vertical="top"/>
    </xf>
    <xf numFmtId="166" fontId="55" fillId="0" borderId="16" xfId="1" applyNumberFormat="1" applyFont="1" applyBorder="1"/>
    <xf numFmtId="0" fontId="54" fillId="0" borderId="19" xfId="0" applyFont="1" applyBorder="1" applyAlignment="1">
      <alignment vertical="center"/>
    </xf>
    <xf numFmtId="166" fontId="55" fillId="0" borderId="20" xfId="1" applyNumberFormat="1" applyFont="1" applyBorder="1"/>
    <xf numFmtId="0" fontId="55" fillId="0" borderId="17" xfId="0" applyFont="1" applyBorder="1" applyAlignment="1">
      <alignment horizontal="center"/>
    </xf>
    <xf numFmtId="0" fontId="54" fillId="0" borderId="17" xfId="0" applyFont="1" applyBorder="1" applyAlignment="1">
      <alignment horizontal="left" vertical="top"/>
    </xf>
    <xf numFmtId="0" fontId="54" fillId="0" borderId="19" xfId="0" applyFont="1" applyBorder="1" applyAlignment="1">
      <alignment horizontal="left" vertical="top"/>
    </xf>
    <xf numFmtId="0" fontId="55" fillId="0" borderId="17" xfId="0" applyFont="1" applyBorder="1" applyAlignment="1">
      <alignment wrapText="1"/>
    </xf>
    <xf numFmtId="166" fontId="54" fillId="0" borderId="18" xfId="1" applyNumberFormat="1" applyFont="1" applyBorder="1" applyAlignment="1">
      <alignment horizontal="center"/>
    </xf>
    <xf numFmtId="166" fontId="54" fillId="0" borderId="0" xfId="1" applyNumberFormat="1" applyFont="1"/>
    <xf numFmtId="0" fontId="63" fillId="0" borderId="0" xfId="0" applyFont="1"/>
    <xf numFmtId="0" fontId="66" fillId="0" borderId="0" xfId="0" applyFont="1"/>
    <xf numFmtId="0" fontId="63" fillId="38" borderId="0" xfId="0" applyFont="1" applyFill="1"/>
    <xf numFmtId="0" fontId="66" fillId="38" borderId="0" xfId="0" applyFont="1" applyFill="1"/>
    <xf numFmtId="0" fontId="63" fillId="0" borderId="0" xfId="0" applyFont="1" applyAlignment="1">
      <alignment wrapText="1"/>
    </xf>
    <xf numFmtId="0" fontId="66" fillId="0" borderId="0" xfId="0" applyFont="1" applyAlignment="1">
      <alignment vertical="top"/>
    </xf>
    <xf numFmtId="0" fontId="63" fillId="0" borderId="0" xfId="0" applyFont="1" applyAlignment="1">
      <alignment vertical="top"/>
    </xf>
    <xf numFmtId="0" fontId="55" fillId="0" borderId="0" xfId="0" applyFont="1"/>
    <xf numFmtId="166" fontId="55" fillId="0" borderId="0" xfId="1" applyNumberFormat="1" applyFont="1"/>
    <xf numFmtId="166" fontId="55" fillId="0" borderId="12" xfId="1" applyNumberFormat="1" applyFont="1" applyBorder="1"/>
    <xf numFmtId="0" fontId="63" fillId="0" borderId="10" xfId="0" applyFont="1" applyBorder="1" applyAlignment="1">
      <alignment vertical="top"/>
    </xf>
    <xf numFmtId="0" fontId="66" fillId="0" borderId="0" xfId="0" applyFont="1" applyAlignment="1">
      <alignment horizontal="left" wrapText="1" indent="10"/>
    </xf>
    <xf numFmtId="0" fontId="65" fillId="0" borderId="0" xfId="0" applyFont="1"/>
    <xf numFmtId="0" fontId="68" fillId="36" borderId="25" xfId="43" applyFont="1" applyFill="1" applyBorder="1" applyAlignment="1">
      <alignment horizontal="center" vertical="center"/>
    </xf>
    <xf numFmtId="0" fontId="68" fillId="36" borderId="34" xfId="43" applyFont="1" applyFill="1" applyBorder="1" applyAlignment="1">
      <alignment horizontal="center" vertical="center"/>
    </xf>
    <xf numFmtId="43" fontId="65" fillId="0" borderId="17" xfId="1" applyFont="1" applyBorder="1" applyAlignment="1">
      <alignment horizontal="right" vertical="center" wrapText="1"/>
    </xf>
    <xf numFmtId="43" fontId="65" fillId="0" borderId="0" xfId="1" applyFont="1" applyAlignment="1">
      <alignment horizontal="right" vertical="center" indent="1"/>
    </xf>
    <xf numFmtId="43" fontId="65" fillId="0" borderId="0" xfId="1" applyFont="1" applyAlignment="1">
      <alignment horizontal="right" vertical="center" wrapText="1"/>
    </xf>
    <xf numFmtId="43" fontId="65" fillId="0" borderId="18" xfId="1" applyFont="1" applyBorder="1" applyAlignment="1">
      <alignment horizontal="right" vertical="center" wrapText="1"/>
    </xf>
    <xf numFmtId="166" fontId="65" fillId="0" borderId="0" xfId="1" applyNumberFormat="1" applyFont="1" applyAlignment="1">
      <alignment horizontal="right" vertical="center" indent="1"/>
    </xf>
    <xf numFmtId="166" fontId="65" fillId="0" borderId="18" xfId="1" applyNumberFormat="1" applyFont="1" applyBorder="1" applyAlignment="1">
      <alignment horizontal="right" vertical="center" wrapText="1"/>
    </xf>
    <xf numFmtId="43" fontId="68" fillId="0" borderId="11" xfId="1" applyFont="1" applyBorder="1" applyAlignment="1">
      <alignment horizontal="right" vertical="center" wrapText="1"/>
    </xf>
    <xf numFmtId="43" fontId="68" fillId="0" borderId="12" xfId="1" applyFont="1" applyBorder="1" applyAlignment="1">
      <alignment horizontal="right" vertical="center" wrapText="1"/>
    </xf>
    <xf numFmtId="166" fontId="68" fillId="0" borderId="13" xfId="1" applyNumberFormat="1" applyFont="1" applyBorder="1" applyAlignment="1">
      <alignment horizontal="right" vertical="center" wrapText="1"/>
    </xf>
    <xf numFmtId="166" fontId="68" fillId="0" borderId="12" xfId="1" applyNumberFormat="1" applyFont="1" applyBorder="1" applyAlignment="1">
      <alignment horizontal="right" vertical="center" wrapText="1"/>
    </xf>
    <xf numFmtId="43" fontId="68" fillId="0" borderId="13" xfId="1" applyFont="1" applyBorder="1" applyAlignment="1">
      <alignment horizontal="right" vertical="center" wrapText="1"/>
    </xf>
    <xf numFmtId="43" fontId="68" fillId="0" borderId="0" xfId="1" applyFont="1" applyAlignment="1">
      <alignment horizontal="right" vertical="center" indent="1"/>
    </xf>
    <xf numFmtId="166" fontId="68" fillId="0" borderId="0" xfId="1" applyNumberFormat="1" applyFont="1" applyAlignment="1">
      <alignment horizontal="right" vertical="center" indent="1"/>
    </xf>
    <xf numFmtId="166" fontId="65" fillId="0" borderId="17" xfId="1" applyNumberFormat="1" applyFont="1" applyBorder="1" applyAlignment="1">
      <alignment horizontal="right" vertical="center" wrapText="1"/>
    </xf>
    <xf numFmtId="166" fontId="65" fillId="0" borderId="0" xfId="1" applyNumberFormat="1" applyFont="1" applyAlignment="1">
      <alignment horizontal="right" vertical="center" wrapText="1"/>
    </xf>
    <xf numFmtId="0" fontId="65" fillId="0" borderId="0" xfId="43" quotePrefix="1" applyFont="1" applyAlignment="1">
      <alignment horizontal="justify" vertical="top" wrapText="1"/>
    </xf>
    <xf numFmtId="0" fontId="69" fillId="33" borderId="0" xfId="66" applyFont="1" applyFill="1" applyAlignment="1">
      <alignment horizontal="center" vertical="center" wrapText="1"/>
    </xf>
    <xf numFmtId="43" fontId="68" fillId="0" borderId="22" xfId="1" applyFont="1" applyBorder="1"/>
    <xf numFmtId="43" fontId="68" fillId="0" borderId="16" xfId="1" applyFont="1" applyBorder="1"/>
    <xf numFmtId="43" fontId="65" fillId="0" borderId="23" xfId="1" applyFont="1" applyBorder="1"/>
    <xf numFmtId="43" fontId="70" fillId="33" borderId="0" xfId="1" applyFont="1" applyFill="1"/>
    <xf numFmtId="0" fontId="65" fillId="33" borderId="17" xfId="66" applyFont="1" applyFill="1" applyBorder="1"/>
    <xf numFmtId="166" fontId="65" fillId="33" borderId="23" xfId="1" applyNumberFormat="1" applyFont="1" applyFill="1" applyBorder="1"/>
    <xf numFmtId="166" fontId="65" fillId="33" borderId="18" xfId="1" applyNumberFormat="1" applyFont="1" applyFill="1" applyBorder="1"/>
    <xf numFmtId="166" fontId="65" fillId="0" borderId="23" xfId="1" applyNumberFormat="1" applyFont="1" applyBorder="1"/>
    <xf numFmtId="166" fontId="68" fillId="0" borderId="21" xfId="1" applyNumberFormat="1" applyFont="1" applyBorder="1" applyAlignment="1">
      <alignment horizontal="left" vertical="center"/>
    </xf>
    <xf numFmtId="43" fontId="69" fillId="33" borderId="0" xfId="1" applyFont="1" applyFill="1" applyAlignment="1">
      <alignment horizontal="center" vertical="center"/>
    </xf>
    <xf numFmtId="171" fontId="65" fillId="0" borderId="0" xfId="0" applyNumberFormat="1" applyFont="1"/>
    <xf numFmtId="0" fontId="68" fillId="33" borderId="14" xfId="66" applyFont="1" applyFill="1" applyBorder="1" applyAlignment="1">
      <alignment wrapText="1"/>
    </xf>
    <xf numFmtId="166" fontId="68" fillId="33" borderId="22" xfId="1" applyNumberFormat="1" applyFont="1" applyFill="1" applyBorder="1" applyAlignment="1">
      <alignment wrapText="1"/>
    </xf>
    <xf numFmtId="166" fontId="68" fillId="33" borderId="16" xfId="1" applyNumberFormat="1" applyFont="1" applyFill="1" applyBorder="1" applyAlignment="1">
      <alignment wrapText="1"/>
    </xf>
    <xf numFmtId="166" fontId="65" fillId="33" borderId="23" xfId="1" applyNumberFormat="1" applyFont="1" applyFill="1" applyBorder="1" applyAlignment="1">
      <alignment horizontal="center" vertical="center"/>
    </xf>
    <xf numFmtId="43" fontId="70" fillId="33" borderId="0" xfId="1" applyFont="1" applyFill="1" applyAlignment="1">
      <alignment horizontal="center" vertical="center"/>
    </xf>
    <xf numFmtId="166" fontId="68" fillId="33" borderId="23" xfId="1" applyNumberFormat="1" applyFont="1" applyFill="1" applyBorder="1"/>
    <xf numFmtId="166" fontId="68" fillId="33" borderId="18" xfId="1" applyNumberFormat="1" applyFont="1" applyFill="1" applyBorder="1"/>
    <xf numFmtId="166" fontId="65" fillId="33" borderId="17" xfId="1" applyNumberFormat="1" applyFont="1" applyFill="1" applyBorder="1"/>
    <xf numFmtId="166" fontId="68" fillId="0" borderId="21" xfId="1" applyNumberFormat="1" applyFont="1" applyBorder="1" applyAlignment="1">
      <alignment horizontal="center" vertical="center"/>
    </xf>
    <xf numFmtId="0" fontId="65" fillId="0" borderId="0" xfId="66" applyFont="1" applyAlignment="1">
      <alignment wrapText="1"/>
    </xf>
    <xf numFmtId="0" fontId="65" fillId="0" borderId="0" xfId="66" applyFont="1"/>
    <xf numFmtId="0" fontId="54" fillId="0" borderId="26" xfId="43" applyFont="1" applyBorder="1" applyAlignment="1">
      <alignment horizontal="left" vertical="center" wrapText="1"/>
    </xf>
    <xf numFmtId="0" fontId="54" fillId="0" borderId="21" xfId="43" applyFont="1" applyBorder="1" applyAlignment="1">
      <alignment horizontal="left" vertical="center" wrapText="1"/>
    </xf>
    <xf numFmtId="0" fontId="55" fillId="0" borderId="23" xfId="43" quotePrefix="1" applyFont="1" applyBorder="1" applyAlignment="1">
      <alignment horizontal="left" vertical="center"/>
    </xf>
    <xf numFmtId="166" fontId="54" fillId="0" borderId="18" xfId="1" applyNumberFormat="1" applyFont="1" applyBorder="1" applyAlignment="1">
      <alignment horizontal="center" vertical="center" wrapText="1"/>
    </xf>
    <xf numFmtId="166" fontId="55" fillId="0" borderId="18" xfId="1" applyNumberFormat="1" applyFont="1" applyBorder="1" applyAlignment="1">
      <alignment horizontal="center" vertical="center" wrapText="1"/>
    </xf>
    <xf numFmtId="0" fontId="55" fillId="0" borderId="23" xfId="43" applyFont="1" applyBorder="1" applyAlignment="1">
      <alignment horizontal="left" vertical="center" wrapText="1"/>
    </xf>
    <xf numFmtId="166" fontId="54" fillId="0" borderId="18" xfId="1" applyNumberFormat="1" applyFont="1" applyBorder="1" applyAlignment="1">
      <alignment horizontal="left" vertical="top"/>
    </xf>
    <xf numFmtId="166" fontId="55" fillId="0" borderId="18" xfId="1" applyNumberFormat="1" applyFont="1" applyBorder="1" applyAlignment="1">
      <alignment vertical="center" wrapText="1"/>
    </xf>
    <xf numFmtId="166" fontId="54" fillId="0" borderId="18" xfId="1" applyNumberFormat="1" applyFont="1" applyBorder="1" applyAlignment="1">
      <alignment horizontal="right" vertical="center" indent="1"/>
    </xf>
    <xf numFmtId="166" fontId="54" fillId="0" borderId="18" xfId="1" applyNumberFormat="1" applyFont="1" applyBorder="1" applyAlignment="1">
      <alignment vertical="center" wrapText="1"/>
    </xf>
    <xf numFmtId="0" fontId="55" fillId="0" borderId="21" xfId="43" applyFont="1" applyBorder="1" applyAlignment="1">
      <alignment horizontal="left" vertical="center"/>
    </xf>
    <xf numFmtId="0" fontId="65" fillId="0" borderId="11" xfId="0" applyFont="1" applyBorder="1"/>
    <xf numFmtId="166" fontId="55" fillId="0" borderId="13" xfId="1" applyNumberFormat="1" applyFont="1" applyBorder="1" applyAlignment="1">
      <alignment horizontal="right" vertical="center" indent="1"/>
    </xf>
    <xf numFmtId="0" fontId="54" fillId="0" borderId="22" xfId="43" applyFont="1" applyBorder="1" applyAlignment="1">
      <alignment vertical="center"/>
    </xf>
    <xf numFmtId="166" fontId="54" fillId="0" borderId="16" xfId="1" applyNumberFormat="1" applyFont="1" applyBorder="1" applyAlignment="1">
      <alignment vertical="center"/>
    </xf>
    <xf numFmtId="43" fontId="54" fillId="0" borderId="16" xfId="1" applyFont="1" applyBorder="1" applyAlignment="1">
      <alignment vertical="center"/>
    </xf>
    <xf numFmtId="43" fontId="54" fillId="0" borderId="18" xfId="1" applyFont="1" applyBorder="1" applyAlignment="1">
      <alignment vertical="center"/>
    </xf>
    <xf numFmtId="43" fontId="54" fillId="0" borderId="18" xfId="1" applyFont="1" applyBorder="1" applyAlignment="1">
      <alignment horizontal="center" vertical="center" wrapText="1"/>
    </xf>
    <xf numFmtId="0" fontId="55" fillId="0" borderId="23" xfId="43" applyFont="1" applyBorder="1" applyAlignment="1">
      <alignment horizontal="left" vertical="center"/>
    </xf>
    <xf numFmtId="43" fontId="54" fillId="0" borderId="18" xfId="1" applyFont="1" applyBorder="1" applyAlignment="1">
      <alignment horizontal="left" vertical="top"/>
    </xf>
    <xf numFmtId="43" fontId="54" fillId="0" borderId="18" xfId="1" applyFont="1" applyBorder="1" applyAlignment="1">
      <alignment horizontal="right" vertical="center" indent="1"/>
    </xf>
    <xf numFmtId="43" fontId="54" fillId="0" borderId="18" xfId="1" applyFont="1" applyBorder="1" applyAlignment="1">
      <alignment vertical="center" wrapText="1"/>
    </xf>
    <xf numFmtId="43" fontId="54" fillId="0" borderId="18" xfId="1" applyFont="1" applyBorder="1" applyAlignment="1">
      <alignment horizontal="center" vertical="center"/>
    </xf>
    <xf numFmtId="43" fontId="55" fillId="0" borderId="13" xfId="1" applyFont="1" applyBorder="1" applyAlignment="1">
      <alignment horizontal="right" vertical="center" indent="1"/>
    </xf>
    <xf numFmtId="0" fontId="55" fillId="0" borderId="0" xfId="43" applyFont="1" applyAlignment="1">
      <alignment horizontal="left" vertical="center"/>
    </xf>
    <xf numFmtId="3" fontId="55" fillId="0" borderId="0" xfId="43" applyNumberFormat="1" applyFont="1" applyAlignment="1">
      <alignment horizontal="right" vertical="center" indent="1"/>
    </xf>
    <xf numFmtId="3" fontId="55" fillId="0" borderId="0" xfId="43" applyNumberFormat="1" applyFont="1" applyAlignment="1">
      <alignment horizontal="right" vertical="center"/>
    </xf>
    <xf numFmtId="0" fontId="54" fillId="0" borderId="0" xfId="68" applyFont="1" applyAlignment="1">
      <alignment horizontal="left" vertical="top"/>
    </xf>
    <xf numFmtId="0" fontId="55" fillId="0" borderId="10" xfId="68" applyFont="1" applyBorder="1" applyAlignment="1">
      <alignment horizontal="right" vertical="top"/>
    </xf>
    <xf numFmtId="0" fontId="69" fillId="33" borderId="0" xfId="68" applyFont="1" applyFill="1" applyAlignment="1">
      <alignment horizontal="right" vertical="top"/>
    </xf>
    <xf numFmtId="0" fontId="55" fillId="0" borderId="14" xfId="68" applyFont="1" applyBorder="1" applyAlignment="1">
      <alignment vertical="top" wrapText="1"/>
    </xf>
    <xf numFmtId="0" fontId="65" fillId="0" borderId="16" xfId="0" applyFont="1" applyBorder="1"/>
    <xf numFmtId="0" fontId="55" fillId="0" borderId="19" xfId="68" applyFont="1" applyBorder="1" applyAlignment="1">
      <alignment vertical="top" wrapText="1"/>
    </xf>
    <xf numFmtId="0" fontId="65" fillId="0" borderId="20" xfId="0" applyFont="1" applyBorder="1"/>
    <xf numFmtId="0" fontId="69" fillId="33" borderId="0" xfId="68" quotePrefix="1" applyFont="1" applyFill="1" applyAlignment="1">
      <alignment horizontal="center" vertical="top"/>
    </xf>
    <xf numFmtId="0" fontId="54" fillId="0" borderId="11" xfId="68" applyFont="1" applyBorder="1" applyAlignment="1">
      <alignment vertical="top" wrapText="1"/>
    </xf>
    <xf numFmtId="0" fontId="65" fillId="0" borderId="13" xfId="0" applyFont="1" applyBorder="1"/>
    <xf numFmtId="3" fontId="65" fillId="0" borderId="13" xfId="0" applyNumberFormat="1" applyFont="1" applyBorder="1"/>
    <xf numFmtId="3" fontId="54" fillId="0" borderId="21" xfId="1" quotePrefix="1" applyNumberFormat="1" applyFont="1" applyBorder="1" applyAlignment="1">
      <alignment horizontal="right" vertical="center" wrapText="1"/>
    </xf>
    <xf numFmtId="43" fontId="70" fillId="33" borderId="0" xfId="1" applyFont="1" applyFill="1" applyAlignment="1">
      <alignment horizontal="center" vertical="top"/>
    </xf>
    <xf numFmtId="3" fontId="65" fillId="0" borderId="13" xfId="1" applyNumberFormat="1" applyFont="1" applyBorder="1"/>
    <xf numFmtId="3" fontId="54" fillId="0" borderId="21" xfId="1" applyNumberFormat="1" applyFont="1" applyBorder="1" applyAlignment="1">
      <alignment horizontal="right" vertical="center" wrapText="1"/>
    </xf>
    <xf numFmtId="43" fontId="70" fillId="33" borderId="0" xfId="1" applyFont="1" applyFill="1" applyAlignment="1">
      <alignment horizontal="right" vertical="top" wrapText="1"/>
    </xf>
    <xf numFmtId="3" fontId="55" fillId="0" borderId="21" xfId="1" applyNumberFormat="1" applyFont="1" applyBorder="1" applyAlignment="1">
      <alignment horizontal="right" vertical="center" wrapText="1"/>
    </xf>
    <xf numFmtId="43" fontId="69" fillId="33" borderId="0" xfId="1" applyFont="1" applyFill="1" applyAlignment="1">
      <alignment horizontal="right" vertical="top" wrapText="1"/>
    </xf>
    <xf numFmtId="166" fontId="55" fillId="0" borderId="15" xfId="44" applyNumberFormat="1" applyFont="1" applyBorder="1" applyAlignment="1">
      <alignment horizontal="center" vertical="center"/>
    </xf>
    <xf numFmtId="166" fontId="69" fillId="33" borderId="0" xfId="44" applyNumberFormat="1" applyFont="1" applyFill="1" applyAlignment="1">
      <alignment horizontal="center" vertical="center"/>
    </xf>
    <xf numFmtId="0" fontId="54" fillId="0" borderId="17" xfId="43" applyFont="1" applyBorder="1" applyAlignment="1">
      <alignment horizontal="left" vertical="center"/>
    </xf>
    <xf numFmtId="0" fontId="54" fillId="0" borderId="0" xfId="43" applyFont="1" applyAlignment="1">
      <alignment vertical="center"/>
    </xf>
    <xf numFmtId="166" fontId="54" fillId="0" borderId="0" xfId="44" quotePrefix="1" applyNumberFormat="1" applyFont="1" applyAlignment="1">
      <alignment horizontal="center" vertical="center"/>
    </xf>
    <xf numFmtId="166" fontId="70" fillId="33" borderId="0" xfId="44" applyNumberFormat="1" applyFont="1" applyFill="1" applyAlignment="1">
      <alignment horizontal="center" vertical="center"/>
    </xf>
    <xf numFmtId="166" fontId="65" fillId="0" borderId="13" xfId="1" applyNumberFormat="1" applyFont="1" applyBorder="1"/>
    <xf numFmtId="166" fontId="54" fillId="0" borderId="21" xfId="1" quotePrefix="1" applyNumberFormat="1" applyFont="1" applyBorder="1" applyAlignment="1">
      <alignment horizontal="center" vertical="top"/>
    </xf>
    <xf numFmtId="166" fontId="54" fillId="0" borderId="21" xfId="1" applyNumberFormat="1" applyFont="1" applyBorder="1" applyAlignment="1">
      <alignment horizontal="right" vertical="top"/>
    </xf>
    <xf numFmtId="166" fontId="55" fillId="0" borderId="11" xfId="1" applyNumberFormat="1" applyFont="1" applyBorder="1" applyAlignment="1">
      <alignment horizontal="right" vertical="top"/>
    </xf>
    <xf numFmtId="166" fontId="55" fillId="0" borderId="21" xfId="1" applyNumberFormat="1" applyFont="1" applyBorder="1" applyAlignment="1">
      <alignment horizontal="right" vertical="top"/>
    </xf>
    <xf numFmtId="0" fontId="55" fillId="0" borderId="14" xfId="43" applyFont="1" applyBorder="1" applyAlignment="1">
      <alignment vertical="center"/>
    </xf>
    <xf numFmtId="0" fontId="55" fillId="0" borderId="16" xfId="43" applyFont="1" applyBorder="1" applyAlignment="1">
      <alignment horizontal="left" vertical="center"/>
    </xf>
    <xf numFmtId="0" fontId="55" fillId="0" borderId="19" xfId="43" applyFont="1" applyBorder="1" applyAlignment="1">
      <alignment horizontal="left" vertical="center"/>
    </xf>
    <xf numFmtId="0" fontId="55" fillId="0" borderId="20" xfId="43" applyFont="1" applyBorder="1" applyAlignment="1">
      <alignment horizontal="left" vertical="center"/>
    </xf>
    <xf numFmtId="0" fontId="54" fillId="0" borderId="13" xfId="43" applyFont="1" applyBorder="1" applyAlignment="1">
      <alignment horizontal="left" vertical="center"/>
    </xf>
    <xf numFmtId="0" fontId="71" fillId="0" borderId="21" xfId="0" applyFont="1" applyBorder="1" applyAlignment="1">
      <alignment horizontal="center"/>
    </xf>
    <xf numFmtId="43" fontId="54" fillId="0" borderId="21" xfId="1" quotePrefix="1" applyFont="1" applyBorder="1" applyAlignment="1">
      <alignment horizontal="center" vertical="center"/>
    </xf>
    <xf numFmtId="0" fontId="54" fillId="0" borderId="11" xfId="43" applyFont="1" applyBorder="1" applyAlignment="1">
      <alignment vertical="center"/>
    </xf>
    <xf numFmtId="0" fontId="54" fillId="0" borderId="13" xfId="43" applyFont="1" applyBorder="1" applyAlignment="1">
      <alignment vertical="center"/>
    </xf>
    <xf numFmtId="9" fontId="71" fillId="0" borderId="21" xfId="50" applyFont="1" applyBorder="1" applyAlignment="1">
      <alignment horizontal="center"/>
    </xf>
    <xf numFmtId="166" fontId="54" fillId="0" borderId="21" xfId="1" applyNumberFormat="1" applyFont="1" applyBorder="1" applyAlignment="1">
      <alignment vertical="center"/>
    </xf>
    <xf numFmtId="166" fontId="54" fillId="0" borderId="21" xfId="1" quotePrefix="1" applyNumberFormat="1" applyFont="1" applyBorder="1" applyAlignment="1">
      <alignment horizontal="center" vertical="center"/>
    </xf>
    <xf numFmtId="166" fontId="54" fillId="0" borderId="26" xfId="1" quotePrefix="1" applyNumberFormat="1" applyFont="1" applyBorder="1" applyAlignment="1">
      <alignment horizontal="center" vertical="center"/>
    </xf>
    <xf numFmtId="0" fontId="71" fillId="0" borderId="0" xfId="0" applyFont="1"/>
    <xf numFmtId="43" fontId="43" fillId="0" borderId="0" xfId="1" applyFont="1" applyAlignment="1">
      <alignment vertical="top"/>
    </xf>
    <xf numFmtId="0" fontId="71" fillId="0" borderId="0" xfId="0" applyFont="1" applyAlignment="1">
      <alignment horizontal="center" vertical="center"/>
    </xf>
    <xf numFmtId="166" fontId="72" fillId="0" borderId="21" xfId="1" applyNumberFormat="1" applyFont="1" applyBorder="1"/>
    <xf numFmtId="166" fontId="71" fillId="0" borderId="21" xfId="1" applyNumberFormat="1" applyFont="1" applyBorder="1"/>
    <xf numFmtId="1" fontId="72" fillId="0" borderId="21" xfId="1" applyNumberFormat="1" applyFont="1" applyBorder="1" applyAlignment="1">
      <alignment horizontal="center"/>
    </xf>
    <xf numFmtId="0" fontId="32" fillId="0" borderId="0" xfId="0" applyFont="1"/>
    <xf numFmtId="0" fontId="71" fillId="0" borderId="0" xfId="0" applyFont="1" applyAlignment="1">
      <alignment wrapText="1"/>
    </xf>
    <xf numFmtId="0" fontId="59" fillId="0" borderId="0" xfId="0" applyFont="1" applyAlignment="1">
      <alignment horizontal="left"/>
    </xf>
    <xf numFmtId="166" fontId="59" fillId="0" borderId="0" xfId="0" applyNumberFormat="1" applyFont="1"/>
    <xf numFmtId="0" fontId="58" fillId="37" borderId="13" xfId="0" applyFont="1" applyFill="1" applyBorder="1" applyAlignment="1">
      <alignment horizontal="left" vertical="top"/>
    </xf>
    <xf numFmtId="0" fontId="58" fillId="37" borderId="13" xfId="0" applyFont="1" applyFill="1" applyBorder="1" applyAlignment="1">
      <alignment horizontal="left" vertical="center" wrapText="1"/>
    </xf>
    <xf numFmtId="166" fontId="56" fillId="0" borderId="18" xfId="1" applyNumberFormat="1" applyFont="1" applyBorder="1" applyAlignment="1">
      <alignment horizontal="left" vertical="top"/>
    </xf>
    <xf numFmtId="43" fontId="56" fillId="0" borderId="18" xfId="1" applyFont="1" applyBorder="1" applyAlignment="1">
      <alignment horizontal="left" vertical="top"/>
    </xf>
    <xf numFmtId="43" fontId="58" fillId="0" borderId="13" xfId="1" applyFont="1" applyBorder="1" applyAlignment="1">
      <alignment horizontal="left" vertical="top"/>
    </xf>
    <xf numFmtId="43" fontId="58" fillId="0" borderId="16" xfId="1" applyFont="1" applyBorder="1" applyAlignment="1">
      <alignment horizontal="left" vertical="top"/>
    </xf>
    <xf numFmtId="43" fontId="58" fillId="0" borderId="18" xfId="1" applyFont="1" applyBorder="1" applyAlignment="1">
      <alignment horizontal="left" vertical="top"/>
    </xf>
    <xf numFmtId="43" fontId="56" fillId="0" borderId="20" xfId="1" applyFont="1" applyBorder="1" applyAlignment="1">
      <alignment horizontal="left" vertical="top"/>
    </xf>
    <xf numFmtId="0" fontId="59" fillId="0" borderId="0" xfId="0" applyFont="1" applyAlignment="1">
      <alignment wrapText="1"/>
    </xf>
    <xf numFmtId="0" fontId="63" fillId="0" borderId="17" xfId="0" applyFont="1" applyBorder="1" applyAlignment="1">
      <alignment horizontal="center" vertical="top"/>
    </xf>
    <xf numFmtId="0" fontId="63" fillId="0" borderId="14" xfId="0" applyFont="1" applyBorder="1" applyAlignment="1">
      <alignment horizontal="center"/>
    </xf>
    <xf numFmtId="0" fontId="63" fillId="0" borderId="15" xfId="0" applyFont="1" applyBorder="1" applyAlignment="1">
      <alignment horizontal="center"/>
    </xf>
    <xf numFmtId="166" fontId="63" fillId="0" borderId="16" xfId="1" applyNumberFormat="1" applyFont="1" applyBorder="1"/>
    <xf numFmtId="0" fontId="63" fillId="0" borderId="17" xfId="0" applyFont="1" applyBorder="1" applyAlignment="1">
      <alignment horizontal="center"/>
    </xf>
    <xf numFmtId="0" fontId="63" fillId="0" borderId="0" xfId="0" applyFont="1" applyAlignment="1">
      <alignment horizontal="center"/>
    </xf>
    <xf numFmtId="166" fontId="63" fillId="0" borderId="18" xfId="1" applyNumberFormat="1" applyFont="1" applyBorder="1"/>
    <xf numFmtId="43" fontId="63" fillId="0" borderId="17" xfId="1" applyFont="1" applyBorder="1" applyAlignment="1">
      <alignment horizontal="center"/>
    </xf>
    <xf numFmtId="43" fontId="66" fillId="0" borderId="11" xfId="1" applyFont="1" applyBorder="1" applyAlignment="1">
      <alignment horizontal="center"/>
    </xf>
    <xf numFmtId="43" fontId="66" fillId="0" borderId="17" xfId="1" applyFont="1" applyBorder="1" applyAlignment="1">
      <alignment horizontal="center"/>
    </xf>
    <xf numFmtId="43" fontId="63" fillId="0" borderId="17" xfId="1" applyFont="1" applyBorder="1"/>
    <xf numFmtId="43" fontId="66" fillId="0" borderId="11" xfId="1" applyFont="1" applyBorder="1"/>
    <xf numFmtId="0" fontId="66" fillId="0" borderId="17" xfId="0" applyFont="1" applyBorder="1"/>
    <xf numFmtId="43" fontId="66" fillId="0" borderId="17" xfId="1" applyFont="1" applyBorder="1"/>
    <xf numFmtId="0" fontId="63" fillId="0" borderId="17" xfId="0" applyFont="1" applyBorder="1"/>
    <xf numFmtId="43" fontId="63" fillId="0" borderId="17" xfId="1" applyFont="1" applyBorder="1" applyAlignment="1">
      <alignment horizontal="center" vertical="center"/>
    </xf>
    <xf numFmtId="43" fontId="66" fillId="0" borderId="14" xfId="1" applyFont="1" applyBorder="1"/>
    <xf numFmtId="166" fontId="71" fillId="0" borderId="0" xfId="0" applyNumberFormat="1" applyFont="1"/>
    <xf numFmtId="0" fontId="63" fillId="0" borderId="0" xfId="0" applyFont="1" applyAlignment="1">
      <alignment horizontal="center" vertical="top"/>
    </xf>
    <xf numFmtId="0" fontId="63" fillId="0" borderId="18" xfId="0" applyFont="1" applyBorder="1" applyAlignment="1">
      <alignment horizontal="center" vertical="top"/>
    </xf>
    <xf numFmtId="166" fontId="63" fillId="0" borderId="17" xfId="1" applyNumberFormat="1" applyFont="1" applyBorder="1" applyAlignment="1">
      <alignment horizontal="center" vertical="top"/>
    </xf>
    <xf numFmtId="166" fontId="71" fillId="0" borderId="17" xfId="1" applyNumberFormat="1" applyFont="1" applyBorder="1"/>
    <xf numFmtId="166" fontId="66" fillId="0" borderId="11" xfId="1" applyNumberFormat="1" applyFont="1" applyBorder="1" applyAlignment="1">
      <alignment horizontal="center" vertical="top"/>
    </xf>
    <xf numFmtId="166" fontId="66" fillId="0" borderId="17" xfId="1" applyNumberFormat="1" applyFont="1" applyBorder="1" applyAlignment="1">
      <alignment horizontal="center" vertical="top"/>
    </xf>
    <xf numFmtId="166" fontId="63" fillId="0" borderId="19" xfId="1" applyNumberFormat="1" applyFont="1" applyBorder="1" applyAlignment="1">
      <alignment horizontal="center" vertical="top"/>
    </xf>
    <xf numFmtId="166" fontId="66" fillId="0" borderId="11" xfId="1" applyNumberFormat="1" applyFont="1" applyBorder="1" applyAlignment="1">
      <alignment vertical="top"/>
    </xf>
    <xf numFmtId="166" fontId="63" fillId="0" borderId="17" xfId="1" applyNumberFormat="1" applyFont="1" applyBorder="1" applyAlignment="1">
      <alignment vertical="top"/>
    </xf>
    <xf numFmtId="43" fontId="53" fillId="0" borderId="0" xfId="1" applyFont="1"/>
    <xf numFmtId="43" fontId="53" fillId="0" borderId="0" xfId="1" applyFont="1" applyAlignment="1">
      <alignment vertical="center"/>
    </xf>
    <xf numFmtId="0" fontId="51" fillId="0" borderId="0" xfId="0" applyFont="1" applyAlignment="1">
      <alignment horizontal="center"/>
    </xf>
    <xf numFmtId="0" fontId="51" fillId="0" borderId="0" xfId="0" applyFont="1" applyAlignment="1">
      <alignment horizontal="center" vertical="top"/>
    </xf>
    <xf numFmtId="43" fontId="51" fillId="37" borderId="21" xfId="1" applyFont="1" applyFill="1" applyBorder="1" applyAlignment="1">
      <alignment horizontal="center" vertical="center"/>
    </xf>
    <xf numFmtId="0" fontId="54" fillId="0" borderId="17" xfId="0" applyFont="1" applyBorder="1" applyAlignment="1">
      <alignment horizontal="justify" wrapText="1"/>
    </xf>
    <xf numFmtId="0" fontId="51" fillId="37" borderId="21" xfId="0" applyFont="1" applyFill="1" applyBorder="1" applyAlignment="1">
      <alignment horizontal="center" vertical="center"/>
    </xf>
    <xf numFmtId="15" fontId="69" fillId="33" borderId="0" xfId="66" quotePrefix="1" applyNumberFormat="1" applyFont="1" applyFill="1" applyAlignment="1">
      <alignment horizontal="center" vertical="center" wrapText="1"/>
    </xf>
    <xf numFmtId="0" fontId="55" fillId="0" borderId="0" xfId="43" applyFont="1" applyAlignment="1">
      <alignment horizontal="left" vertical="top" wrapText="1"/>
    </xf>
    <xf numFmtId="0" fontId="67" fillId="0" borderId="0" xfId="0" applyFont="1" applyAlignment="1">
      <alignment horizontal="center"/>
    </xf>
    <xf numFmtId="166" fontId="43" fillId="0" borderId="22" xfId="1" applyNumberFormat="1" applyFont="1" applyBorder="1" applyAlignment="1">
      <alignment horizontal="center"/>
    </xf>
    <xf numFmtId="0" fontId="56" fillId="0" borderId="0" xfId="0" applyFont="1" applyAlignment="1">
      <alignment vertical="top"/>
    </xf>
    <xf numFmtId="43" fontId="58" fillId="0" borderId="15" xfId="0" applyNumberFormat="1" applyFont="1" applyBorder="1" applyAlignment="1">
      <alignment horizontal="center" vertical="top" wrapText="1"/>
    </xf>
    <xf numFmtId="0" fontId="32" fillId="0" borderId="15" xfId="0" applyFont="1" applyBorder="1" applyAlignment="1">
      <alignment horizontal="center" vertical="top"/>
    </xf>
    <xf numFmtId="166" fontId="54" fillId="0" borderId="22" xfId="1" applyNumberFormat="1" applyFont="1" applyBorder="1" applyAlignment="1">
      <alignment horizontal="center" vertical="center"/>
    </xf>
    <xf numFmtId="43" fontId="44" fillId="0" borderId="0" xfId="1" applyFont="1"/>
    <xf numFmtId="1" fontId="71" fillId="0" borderId="0" xfId="0" applyNumberFormat="1" applyFont="1"/>
    <xf numFmtId="0" fontId="53" fillId="0" borderId="0" xfId="0" applyFont="1" applyAlignment="1">
      <alignment horizontal="center"/>
    </xf>
    <xf numFmtId="43" fontId="22" fillId="0" borderId="0" xfId="1" applyFont="1" applyAlignment="1">
      <alignment vertical="top" wrapText="1"/>
    </xf>
    <xf numFmtId="43" fontId="26" fillId="0" borderId="0" xfId="1" applyFont="1" applyAlignment="1">
      <alignment vertical="top" wrapText="1"/>
    </xf>
    <xf numFmtId="43" fontId="22" fillId="0" borderId="0" xfId="0" applyNumberFormat="1" applyFont="1" applyAlignment="1">
      <alignment vertical="top" wrapText="1"/>
    </xf>
    <xf numFmtId="0" fontId="22" fillId="0" borderId="0" xfId="0" applyFont="1" applyAlignment="1">
      <alignment vertical="top" wrapText="1"/>
    </xf>
    <xf numFmtId="0" fontId="58" fillId="0" borderId="0" xfId="0" applyFont="1" applyAlignment="1">
      <alignment horizontal="left" vertical="top"/>
    </xf>
    <xf numFmtId="43" fontId="56" fillId="0" borderId="0" xfId="0" applyNumberFormat="1" applyFont="1" applyAlignment="1">
      <alignment vertical="top" wrapText="1"/>
    </xf>
    <xf numFmtId="0" fontId="56" fillId="0" borderId="0" xfId="0" applyFont="1" applyAlignment="1">
      <alignment vertical="top" wrapText="1"/>
    </xf>
    <xf numFmtId="0" fontId="59" fillId="0" borderId="0" xfId="0" applyFont="1" applyAlignment="1">
      <alignment vertical="top" wrapText="1"/>
    </xf>
    <xf numFmtId="0" fontId="54" fillId="0" borderId="27" xfId="43" applyFont="1" applyBorder="1" applyAlignment="1">
      <alignment vertical="top"/>
    </xf>
    <xf numFmtId="0" fontId="54" fillId="0" borderId="28" xfId="43" applyFont="1" applyBorder="1" applyAlignment="1">
      <alignment vertical="top"/>
    </xf>
    <xf numFmtId="166" fontId="51" fillId="0" borderId="0" xfId="1" applyNumberFormat="1" applyFont="1" applyAlignment="1">
      <alignment horizontal="center" vertical="center"/>
    </xf>
    <xf numFmtId="0" fontId="55" fillId="0" borderId="17" xfId="0" applyFont="1" applyBorder="1" applyAlignment="1">
      <alignment horizontal="center" vertical="center"/>
    </xf>
    <xf numFmtId="0" fontId="66" fillId="0" borderId="17" xfId="0" applyFont="1" applyBorder="1" applyAlignment="1">
      <alignment vertical="top"/>
    </xf>
    <xf numFmtId="0" fontId="58" fillId="0" borderId="0" xfId="0" applyFont="1"/>
    <xf numFmtId="0" fontId="22" fillId="0" borderId="0" xfId="0" applyFont="1" applyAlignment="1">
      <alignment wrapText="1"/>
    </xf>
    <xf numFmtId="0" fontId="63" fillId="0" borderId="17" xfId="0" applyFont="1" applyBorder="1" applyAlignment="1">
      <alignment vertical="top"/>
    </xf>
    <xf numFmtId="0" fontId="51" fillId="0" borderId="18" xfId="0" applyFont="1" applyBorder="1"/>
    <xf numFmtId="0" fontId="54" fillId="0" borderId="18" xfId="0" quotePrefix="1" applyFont="1" applyBorder="1" applyAlignment="1">
      <alignment horizontal="left" indent="3"/>
    </xf>
    <xf numFmtId="0" fontId="54" fillId="0" borderId="18" xfId="0" quotePrefix="1" applyFont="1" applyBorder="1" applyAlignment="1">
      <alignment horizontal="left" vertical="top" indent="3"/>
    </xf>
    <xf numFmtId="0" fontId="66" fillId="0" borderId="18" xfId="0" applyFont="1" applyBorder="1" applyAlignment="1">
      <alignment vertical="top"/>
    </xf>
    <xf numFmtId="0" fontId="51" fillId="0" borderId="18" xfId="0" applyFont="1" applyBorder="1" applyAlignment="1">
      <alignment vertical="top"/>
    </xf>
    <xf numFmtId="0" fontId="55" fillId="0" borderId="18" xfId="0" applyFont="1" applyBorder="1"/>
    <xf numFmtId="0" fontId="54" fillId="0" borderId="20" xfId="0" quotePrefix="1" applyFont="1" applyBorder="1" applyAlignment="1">
      <alignment horizontal="left" indent="3"/>
    </xf>
    <xf numFmtId="0" fontId="63" fillId="0" borderId="19" xfId="0" applyFont="1" applyBorder="1"/>
    <xf numFmtId="0" fontId="55" fillId="0" borderId="20" xfId="0" applyFont="1" applyBorder="1"/>
    <xf numFmtId="0" fontId="54" fillId="0" borderId="21" xfId="0" applyFont="1" applyBorder="1"/>
    <xf numFmtId="0" fontId="22" fillId="0" borderId="14" xfId="0" applyFont="1" applyBorder="1"/>
    <xf numFmtId="0" fontId="54" fillId="0" borderId="18" xfId="0" applyFont="1" applyBorder="1"/>
    <xf numFmtId="0" fontId="51" fillId="0" borderId="15" xfId="0" applyFont="1" applyBorder="1"/>
    <xf numFmtId="0" fontId="54" fillId="0" borderId="10" xfId="0" applyFont="1" applyBorder="1"/>
    <xf numFmtId="0" fontId="54" fillId="0" borderId="18" xfId="0" applyFont="1" applyBorder="1" applyAlignment="1">
      <alignment vertical="top"/>
    </xf>
    <xf numFmtId="166" fontId="55" fillId="0" borderId="15" xfId="1" applyNumberFormat="1" applyFont="1" applyBorder="1"/>
    <xf numFmtId="0" fontId="63" fillId="0" borderId="19" xfId="0" applyFont="1" applyBorder="1" applyAlignment="1">
      <alignment vertical="top"/>
    </xf>
    <xf numFmtId="0" fontId="54" fillId="0" borderId="19" xfId="0" applyFont="1" applyBorder="1" applyAlignment="1">
      <alignment vertical="top"/>
    </xf>
    <xf numFmtId="0" fontId="66" fillId="0" borderId="18" xfId="0" applyFont="1" applyBorder="1"/>
    <xf numFmtId="0" fontId="54" fillId="0" borderId="18" xfId="0" quotePrefix="1" applyFont="1" applyBorder="1" applyAlignment="1">
      <alignment horizontal="left" vertical="top"/>
    </xf>
    <xf numFmtId="0" fontId="54" fillId="0" borderId="20" xfId="0" applyFont="1" applyBorder="1" applyAlignment="1">
      <alignment vertical="top"/>
    </xf>
    <xf numFmtId="0" fontId="63" fillId="0" borderId="20" xfId="0" applyFont="1" applyBorder="1"/>
    <xf numFmtId="0" fontId="63" fillId="0" borderId="20" xfId="0" applyFont="1" applyBorder="1" applyAlignment="1">
      <alignment vertical="top"/>
    </xf>
    <xf numFmtId="0" fontId="22" fillId="0" borderId="17" xfId="0" applyFont="1" applyBorder="1" applyAlignment="1">
      <alignment vertical="top"/>
    </xf>
    <xf numFmtId="0" fontId="43" fillId="0" borderId="20" xfId="0" applyFont="1" applyBorder="1" applyAlignment="1">
      <alignment vertical="top"/>
    </xf>
    <xf numFmtId="0" fontId="22" fillId="0" borderId="19" xfId="0" applyFont="1" applyBorder="1" applyAlignment="1">
      <alignment vertical="top"/>
    </xf>
    <xf numFmtId="0" fontId="66" fillId="0" borderId="17" xfId="0" applyFont="1" applyBorder="1" applyAlignment="1">
      <alignment horizontal="left" wrapText="1" indent="10"/>
    </xf>
    <xf numFmtId="0" fontId="63" fillId="0" borderId="18" xfId="0" applyFont="1" applyBorder="1" applyAlignment="1">
      <alignment vertical="top"/>
    </xf>
    <xf numFmtId="0" fontId="51" fillId="0" borderId="0" xfId="0" applyFont="1" applyAlignment="1">
      <alignment horizontal="left"/>
    </xf>
    <xf numFmtId="0" fontId="53" fillId="0" borderId="0" xfId="43" applyFont="1" applyAlignment="1">
      <alignment vertical="center"/>
    </xf>
    <xf numFmtId="0" fontId="53" fillId="0" borderId="17" xfId="43" applyFont="1" applyBorder="1" applyAlignment="1">
      <alignment vertical="center"/>
    </xf>
    <xf numFmtId="0" fontId="62" fillId="37" borderId="19" xfId="43" applyFont="1" applyFill="1" applyBorder="1" applyAlignment="1">
      <alignment horizontal="center" vertical="center"/>
    </xf>
    <xf numFmtId="0" fontId="62" fillId="37" borderId="10" xfId="43" applyFont="1" applyFill="1" applyBorder="1" applyAlignment="1">
      <alignment horizontal="center" vertical="center"/>
    </xf>
    <xf numFmtId="0" fontId="62" fillId="37" borderId="20" xfId="43" applyFont="1" applyFill="1" applyBorder="1" applyAlignment="1">
      <alignment horizontal="center" vertical="center"/>
    </xf>
    <xf numFmtId="166" fontId="65" fillId="0" borderId="17" xfId="1" applyNumberFormat="1" applyFont="1" applyBorder="1" applyAlignment="1">
      <alignment horizontal="right" vertical="center" indent="1"/>
    </xf>
    <xf numFmtId="0" fontId="62" fillId="37" borderId="21" xfId="66" applyFont="1" applyFill="1" applyBorder="1" applyAlignment="1">
      <alignment horizontal="center" vertical="center" wrapText="1"/>
    </xf>
    <xf numFmtId="0" fontId="62" fillId="37" borderId="13" xfId="66" applyFont="1" applyFill="1" applyBorder="1" applyAlignment="1">
      <alignment horizontal="center" vertical="center" wrapText="1"/>
    </xf>
    <xf numFmtId="0" fontId="62" fillId="0" borderId="14" xfId="66" applyFont="1" applyBorder="1"/>
    <xf numFmtId="0" fontId="62" fillId="0" borderId="11" xfId="66" applyFont="1" applyBorder="1" applyAlignment="1">
      <alignment wrapText="1"/>
    </xf>
    <xf numFmtId="0" fontId="62" fillId="33" borderId="17" xfId="66" applyFont="1" applyFill="1" applyBorder="1"/>
    <xf numFmtId="0" fontId="51" fillId="0" borderId="21" xfId="43" applyFont="1" applyBorder="1" applyAlignment="1">
      <alignment horizontal="center" vertical="center" wrapText="1"/>
    </xf>
    <xf numFmtId="0" fontId="51" fillId="0" borderId="21" xfId="43" applyFont="1" applyBorder="1" applyAlignment="1">
      <alignment horizontal="center" vertical="center"/>
    </xf>
    <xf numFmtId="166" fontId="32" fillId="0" borderId="21" xfId="1" applyNumberFormat="1" applyFont="1" applyBorder="1" applyAlignment="1">
      <alignment horizontal="center"/>
    </xf>
    <xf numFmtId="166" fontId="32" fillId="0" borderId="21" xfId="1" applyNumberFormat="1" applyFont="1" applyBorder="1" applyAlignment="1">
      <alignment vertical="center"/>
    </xf>
    <xf numFmtId="166" fontId="58" fillId="0" borderId="21" xfId="1" applyNumberFormat="1" applyFont="1" applyBorder="1" applyAlignment="1">
      <alignment horizontal="center" vertical="center" wrapText="1"/>
    </xf>
    <xf numFmtId="166" fontId="32" fillId="0" borderId="21" xfId="1" applyNumberFormat="1" applyFont="1" applyBorder="1"/>
    <xf numFmtId="0" fontId="51" fillId="37" borderId="21" xfId="43" applyFont="1" applyFill="1" applyBorder="1" applyAlignment="1">
      <alignment horizontal="center" vertical="center"/>
    </xf>
    <xf numFmtId="0" fontId="51" fillId="0" borderId="21" xfId="43" applyFont="1" applyBorder="1" applyAlignment="1">
      <alignment horizontal="left" vertical="center"/>
    </xf>
    <xf numFmtId="0" fontId="51" fillId="0" borderId="23" xfId="43" quotePrefix="1" applyFont="1" applyBorder="1" applyAlignment="1">
      <alignment horizontal="left" vertical="center"/>
    </xf>
    <xf numFmtId="0" fontId="51" fillId="0" borderId="23" xfId="43" applyFont="1" applyBorder="1" applyAlignment="1">
      <alignment horizontal="left" vertical="center" wrapText="1"/>
    </xf>
    <xf numFmtId="15" fontId="51" fillId="0" borderId="21" xfId="66" quotePrefix="1" applyNumberFormat="1" applyFont="1" applyBorder="1" applyAlignment="1">
      <alignment horizontal="center" vertical="center"/>
    </xf>
    <xf numFmtId="0" fontId="51" fillId="0" borderId="21" xfId="68" quotePrefix="1" applyFont="1" applyBorder="1" applyAlignment="1">
      <alignment horizontal="center" vertical="top"/>
    </xf>
    <xf numFmtId="0" fontId="51" fillId="0" borderId="11" xfId="68" quotePrefix="1" applyFont="1" applyBorder="1" applyAlignment="1">
      <alignment horizontal="center" vertical="top"/>
    </xf>
    <xf numFmtId="0" fontId="51" fillId="0" borderId="12" xfId="68" applyFont="1" applyBorder="1" applyAlignment="1">
      <alignment horizontal="center" vertical="top"/>
    </xf>
    <xf numFmtId="0" fontId="51" fillId="0" borderId="11" xfId="43" quotePrefix="1" applyFont="1" applyBorder="1" applyAlignment="1">
      <alignment horizontal="center" vertical="center"/>
    </xf>
    <xf numFmtId="0" fontId="51" fillId="0" borderId="21" xfId="43" quotePrefix="1" applyFont="1" applyBorder="1" applyAlignment="1">
      <alignment horizontal="center" vertical="center"/>
    </xf>
    <xf numFmtId="0" fontId="51" fillId="0" borderId="11" xfId="43" applyFont="1" applyBorder="1" applyAlignment="1">
      <alignment horizontal="left" vertical="center"/>
    </xf>
    <xf numFmtId="0" fontId="63" fillId="0" borderId="18" xfId="43" applyFont="1" applyBorder="1" applyAlignment="1">
      <alignment vertical="center"/>
    </xf>
    <xf numFmtId="0" fontId="66" fillId="0" borderId="17" xfId="43" applyFont="1" applyBorder="1" applyAlignment="1">
      <alignment horizontal="left" vertical="center"/>
    </xf>
    <xf numFmtId="0" fontId="61" fillId="0" borderId="0" xfId="0" applyFont="1"/>
    <xf numFmtId="0" fontId="71" fillId="0" borderId="18" xfId="0" applyFont="1" applyBorder="1" applyAlignment="1">
      <alignment horizontal="center"/>
    </xf>
    <xf numFmtId="166" fontId="63" fillId="0" borderId="18" xfId="0" applyNumberFormat="1" applyFont="1" applyBorder="1" applyAlignment="1">
      <alignment horizontal="center" vertical="top"/>
    </xf>
    <xf numFmtId="0" fontId="63" fillId="0" borderId="20" xfId="0" applyFont="1" applyBorder="1" applyAlignment="1">
      <alignment horizontal="center" vertical="top"/>
    </xf>
    <xf numFmtId="0" fontId="54" fillId="0" borderId="18" xfId="0" applyFont="1" applyBorder="1" applyAlignment="1">
      <alignment horizontal="left" vertical="top" indent="2"/>
    </xf>
    <xf numFmtId="0" fontId="66" fillId="0" borderId="18" xfId="0" applyFont="1" applyBorder="1" applyAlignment="1">
      <alignment horizontal="center" vertical="top"/>
    </xf>
    <xf numFmtId="0" fontId="54" fillId="0" borderId="18" xfId="0" applyFont="1" applyBorder="1" applyAlignment="1">
      <alignment horizontal="left" vertical="top" wrapText="1" indent="2"/>
    </xf>
    <xf numFmtId="0" fontId="51" fillId="0" borderId="18" xfId="0" applyFont="1" applyBorder="1" applyAlignment="1">
      <alignment horizontal="left" vertical="top"/>
    </xf>
    <xf numFmtId="0" fontId="63" fillId="0" borderId="18" xfId="0" applyFont="1" applyBorder="1" applyAlignment="1">
      <alignment horizontal="left" vertical="top" indent="1"/>
    </xf>
    <xf numFmtId="166" fontId="63" fillId="0" borderId="18" xfId="0" applyNumberFormat="1" applyFont="1" applyBorder="1" applyAlignment="1">
      <alignment vertical="top"/>
    </xf>
    <xf numFmtId="0" fontId="51" fillId="0" borderId="18" xfId="0" applyFont="1" applyBorder="1" applyAlignment="1">
      <alignment vertical="top" wrapText="1"/>
    </xf>
    <xf numFmtId="0" fontId="54" fillId="0" borderId="18" xfId="0" applyFont="1" applyBorder="1" applyAlignment="1">
      <alignment vertical="top" wrapText="1"/>
    </xf>
    <xf numFmtId="0" fontId="71" fillId="0" borderId="17" xfId="0" applyFont="1" applyBorder="1"/>
    <xf numFmtId="0" fontId="71" fillId="0" borderId="19" xfId="0" applyFont="1" applyBorder="1"/>
    <xf numFmtId="0" fontId="51" fillId="0" borderId="20" xfId="0" applyFont="1" applyBorder="1" applyAlignment="1">
      <alignment vertical="top" wrapText="1"/>
    </xf>
    <xf numFmtId="0" fontId="63" fillId="0" borderId="18" xfId="0" applyFont="1" applyBorder="1" applyAlignment="1">
      <alignment horizontal="center"/>
    </xf>
    <xf numFmtId="0" fontId="63" fillId="0" borderId="18" xfId="0" applyFont="1" applyBorder="1"/>
    <xf numFmtId="0" fontId="63" fillId="0" borderId="18" xfId="0" applyFont="1" applyBorder="1" applyAlignment="1">
      <alignment horizontal="center" vertical="center"/>
    </xf>
    <xf numFmtId="0" fontId="66" fillId="0" borderId="20" xfId="0" applyFont="1" applyBorder="1"/>
    <xf numFmtId="0" fontId="51" fillId="37" borderId="13" xfId="0" applyFont="1" applyFill="1" applyBorder="1" applyAlignment="1">
      <alignment horizontal="center" vertical="center" wrapText="1"/>
    </xf>
    <xf numFmtId="0" fontId="55" fillId="0" borderId="18" xfId="0" applyFont="1" applyBorder="1" applyAlignment="1">
      <alignment vertical="center"/>
    </xf>
    <xf numFmtId="0" fontId="51" fillId="0" borderId="18" xfId="0" applyFont="1" applyBorder="1" applyAlignment="1">
      <alignment horizontal="left" vertical="center" indent="1"/>
    </xf>
    <xf numFmtId="49" fontId="54" fillId="0" borderId="18" xfId="0" applyNumberFormat="1" applyFont="1" applyBorder="1" applyAlignment="1">
      <alignment horizontal="left" vertical="top" indent="4"/>
    </xf>
    <xf numFmtId="0" fontId="54" fillId="0" borderId="18" xfId="0" applyFont="1" applyBorder="1" applyAlignment="1">
      <alignment horizontal="left" vertical="top" indent="4"/>
    </xf>
    <xf numFmtId="0" fontId="54" fillId="0" borderId="18" xfId="0" applyFont="1" applyBorder="1" applyAlignment="1">
      <alignment horizontal="left" indent="4"/>
    </xf>
    <xf numFmtId="0" fontId="51" fillId="0" borderId="18" xfId="0" applyFont="1" applyBorder="1" applyAlignment="1">
      <alignment horizontal="left" indent="3"/>
    </xf>
    <xf numFmtId="0" fontId="66" fillId="0" borderId="18" xfId="0" applyFont="1" applyBorder="1" applyAlignment="1">
      <alignment horizontal="left" indent="1"/>
    </xf>
    <xf numFmtId="0" fontId="51" fillId="0" borderId="18" xfId="0" applyFont="1" applyBorder="1" applyAlignment="1">
      <alignment horizontal="left" indent="1"/>
    </xf>
    <xf numFmtId="0" fontId="51" fillId="0" borderId="18" xfId="0" applyFont="1" applyBorder="1" applyAlignment="1">
      <alignment horizontal="center" vertical="center"/>
    </xf>
    <xf numFmtId="0" fontId="54" fillId="0" borderId="18" xfId="0" applyFont="1" applyBorder="1" applyAlignment="1">
      <alignment horizontal="left" vertical="center" indent="4"/>
    </xf>
    <xf numFmtId="0" fontId="66" fillId="0" borderId="18" xfId="0" applyFont="1" applyBorder="1" applyAlignment="1">
      <alignment horizontal="left" indent="2"/>
    </xf>
    <xf numFmtId="0" fontId="55" fillId="0" borderId="18" xfId="0" applyFont="1" applyBorder="1" applyAlignment="1">
      <alignment horizontal="left" indent="1"/>
    </xf>
    <xf numFmtId="0" fontId="51" fillId="0" borderId="20" xfId="0" applyFont="1" applyBorder="1" applyAlignment="1">
      <alignment horizontal="center"/>
    </xf>
    <xf numFmtId="0" fontId="32" fillId="0" borderId="15" xfId="0" applyFont="1" applyBorder="1" applyAlignment="1">
      <alignment horizontal="center" vertical="center"/>
    </xf>
    <xf numFmtId="43" fontId="53" fillId="0" borderId="0" xfId="0" applyNumberFormat="1" applyFont="1" applyAlignment="1">
      <alignment vertical="center"/>
    </xf>
    <xf numFmtId="4" fontId="53" fillId="0" borderId="0" xfId="0" applyNumberFormat="1" applyFont="1" applyAlignment="1">
      <alignment vertical="center"/>
    </xf>
    <xf numFmtId="0" fontId="53" fillId="0" borderId="25" xfId="0" applyFont="1" applyBorder="1" applyAlignment="1">
      <alignment vertical="center"/>
    </xf>
    <xf numFmtId="166" fontId="53" fillId="0" borderId="25" xfId="0" applyNumberFormat="1" applyFont="1" applyBorder="1" applyAlignment="1">
      <alignment vertical="center"/>
    </xf>
    <xf numFmtId="0" fontId="56" fillId="0" borderId="0" xfId="43" applyFont="1" applyAlignment="1">
      <alignment horizontal="left" vertical="center"/>
    </xf>
    <xf numFmtId="0" fontId="52" fillId="0" borderId="0" xfId="0" applyFont="1"/>
    <xf numFmtId="0" fontId="74" fillId="0" borderId="0" xfId="0" applyFont="1"/>
    <xf numFmtId="0" fontId="68" fillId="0" borderId="0" xfId="0" applyFont="1"/>
    <xf numFmtId="43" fontId="68" fillId="0" borderId="0" xfId="0" applyNumberFormat="1" applyFont="1"/>
    <xf numFmtId="0" fontId="65" fillId="0" borderId="0" xfId="43" applyFont="1" applyAlignment="1">
      <alignment horizontal="left" vertical="center"/>
    </xf>
    <xf numFmtId="0" fontId="68" fillId="0" borderId="0" xfId="43" applyFont="1" applyAlignment="1">
      <alignment horizontal="left" vertical="center"/>
    </xf>
    <xf numFmtId="0" fontId="65" fillId="0" borderId="0" xfId="43" applyFont="1" applyAlignment="1">
      <alignment vertical="top"/>
    </xf>
    <xf numFmtId="0" fontId="68" fillId="0" borderId="0" xfId="66" applyFont="1"/>
    <xf numFmtId="49" fontId="62" fillId="0" borderId="0" xfId="0" applyNumberFormat="1" applyFont="1" applyAlignment="1">
      <alignment horizontal="center"/>
    </xf>
    <xf numFmtId="0" fontId="54" fillId="0" borderId="0" xfId="43" applyFont="1" applyAlignment="1">
      <alignment horizontal="left" vertical="center"/>
    </xf>
    <xf numFmtId="0" fontId="54" fillId="0" borderId="0" xfId="43" applyFont="1" applyAlignment="1">
      <alignment horizontal="left" vertical="center" indent="2"/>
    </xf>
    <xf numFmtId="0" fontId="54" fillId="0" borderId="0" xfId="43" applyFont="1" applyAlignment="1">
      <alignment vertical="top" wrapText="1"/>
    </xf>
    <xf numFmtId="0" fontId="53" fillId="0" borderId="0" xfId="43" applyFont="1" applyAlignment="1">
      <alignment horizontal="justify" vertical="top" wrapText="1"/>
    </xf>
    <xf numFmtId="0" fontId="54" fillId="0" borderId="0" xfId="43" applyFont="1" applyAlignment="1">
      <alignment horizontal="justify" vertical="top" wrapText="1"/>
    </xf>
    <xf numFmtId="0" fontId="65" fillId="0" borderId="0" xfId="66" applyFont="1" applyAlignment="1">
      <alignment vertical="top"/>
    </xf>
    <xf numFmtId="0" fontId="54" fillId="0" borderId="0" xfId="43" applyFont="1" applyAlignment="1">
      <alignment horizontal="left" vertical="top" wrapText="1"/>
    </xf>
    <xf numFmtId="166" fontId="54" fillId="0" borderId="0" xfId="44" applyNumberFormat="1" applyFont="1" applyAlignment="1">
      <alignment vertical="center"/>
    </xf>
    <xf numFmtId="166" fontId="54" fillId="0" borderId="0" xfId="43" applyNumberFormat="1" applyFont="1" applyAlignment="1">
      <alignment vertical="center"/>
    </xf>
    <xf numFmtId="0" fontId="57" fillId="0" borderId="0" xfId="0" applyFont="1" applyAlignment="1">
      <alignment horizontal="center"/>
    </xf>
    <xf numFmtId="0" fontId="66" fillId="0" borderId="0" xfId="43" applyFont="1" applyAlignment="1">
      <alignment horizontal="left" vertical="center" indent="3"/>
    </xf>
    <xf numFmtId="0" fontId="63" fillId="0" borderId="0" xfId="43" applyFont="1" applyAlignment="1">
      <alignment vertical="center" wrapText="1"/>
    </xf>
    <xf numFmtId="0" fontId="63" fillId="0" borderId="0" xfId="43" applyFont="1" applyAlignment="1">
      <alignment vertical="center"/>
    </xf>
    <xf numFmtId="0" fontId="32" fillId="0" borderId="0" xfId="0" applyFont="1" applyAlignment="1">
      <alignment horizontal="left" vertical="center"/>
    </xf>
    <xf numFmtId="0" fontId="59" fillId="0" borderId="0" xfId="0" applyFont="1" applyAlignment="1">
      <alignment horizontal="center" vertical="center"/>
    </xf>
    <xf numFmtId="166" fontId="55" fillId="0" borderId="0" xfId="1" applyNumberFormat="1" applyFont="1" applyAlignment="1">
      <alignment horizontal="center"/>
    </xf>
    <xf numFmtId="0" fontId="54" fillId="0" borderId="0" xfId="43" applyFont="1" applyAlignment="1">
      <alignment horizontal="left" vertical="center" indent="7"/>
    </xf>
    <xf numFmtId="166" fontId="54" fillId="0" borderId="0" xfId="1" applyNumberFormat="1" applyFont="1" applyAlignment="1">
      <alignment horizontal="center"/>
    </xf>
    <xf numFmtId="166" fontId="55" fillId="0" borderId="12" xfId="1" applyNumberFormat="1" applyFont="1" applyBorder="1" applyAlignment="1">
      <alignment horizontal="center"/>
    </xf>
    <xf numFmtId="166" fontId="54" fillId="0" borderId="0" xfId="1" applyNumberFormat="1" applyFont="1" applyAlignment="1">
      <alignment horizontal="center" vertical="center"/>
    </xf>
    <xf numFmtId="43" fontId="54" fillId="0" borderId="0" xfId="0" applyNumberFormat="1" applyFont="1" applyAlignment="1">
      <alignment horizontal="center" vertical="top"/>
    </xf>
    <xf numFmtId="166" fontId="54" fillId="0" borderId="0" xfId="1" applyNumberFormat="1" applyFont="1" applyAlignment="1">
      <alignment horizontal="center" vertical="top"/>
    </xf>
    <xf numFmtId="166" fontId="55" fillId="0" borderId="12" xfId="1" applyNumberFormat="1" applyFont="1" applyBorder="1" applyAlignment="1">
      <alignment horizontal="center" vertical="top"/>
    </xf>
    <xf numFmtId="166" fontId="55" fillId="0" borderId="0" xfId="1" applyNumberFormat="1" applyFont="1" applyAlignment="1">
      <alignment horizontal="center" vertical="top"/>
    </xf>
    <xf numFmtId="166" fontId="54" fillId="0" borderId="17" xfId="1" applyNumberFormat="1" applyFont="1" applyBorder="1" applyAlignment="1">
      <alignment horizontal="center" vertical="top"/>
    </xf>
    <xf numFmtId="166" fontId="55" fillId="0" borderId="11" xfId="1" applyNumberFormat="1" applyFont="1" applyBorder="1" applyAlignment="1">
      <alignment horizontal="center" vertical="top"/>
    </xf>
    <xf numFmtId="166" fontId="55" fillId="0" borderId="17" xfId="1" applyNumberFormat="1" applyFont="1" applyBorder="1" applyAlignment="1">
      <alignment horizontal="center" vertical="top"/>
    </xf>
    <xf numFmtId="166" fontId="54" fillId="0" borderId="10" xfId="1" applyNumberFormat="1" applyFont="1" applyBorder="1" applyAlignment="1">
      <alignment horizontal="center" vertical="top"/>
    </xf>
    <xf numFmtId="166" fontId="55" fillId="0" borderId="12" xfId="1" applyNumberFormat="1" applyFont="1" applyBorder="1" applyAlignment="1">
      <alignment vertical="top"/>
    </xf>
    <xf numFmtId="0" fontId="54" fillId="0" borderId="14" xfId="0" applyFont="1" applyBorder="1" applyAlignment="1">
      <alignment horizontal="center" vertical="center"/>
    </xf>
    <xf numFmtId="0" fontId="54" fillId="0" borderId="22" xfId="0" applyFont="1" applyBorder="1" applyAlignment="1">
      <alignment horizontal="center" vertical="center"/>
    </xf>
    <xf numFmtId="0" fontId="54" fillId="0" borderId="17" xfId="0" applyFont="1" applyBorder="1" applyAlignment="1">
      <alignment horizontal="center" vertical="center"/>
    </xf>
    <xf numFmtId="4" fontId="54" fillId="0" borderId="17" xfId="0" applyNumberFormat="1" applyFont="1" applyBorder="1" applyAlignment="1">
      <alignment horizontal="center" vertical="center"/>
    </xf>
    <xf numFmtId="10" fontId="54" fillId="0" borderId="17" xfId="50" applyNumberFormat="1" applyFont="1" applyBorder="1" applyAlignment="1">
      <alignment horizontal="center" vertical="center"/>
    </xf>
    <xf numFmtId="10" fontId="54" fillId="0" borderId="23" xfId="0" applyNumberFormat="1" applyFont="1" applyBorder="1" applyAlignment="1">
      <alignment horizontal="center" vertical="center"/>
    </xf>
    <xf numFmtId="10" fontId="54" fillId="0" borderId="17" xfId="0" applyNumberFormat="1" applyFont="1" applyBorder="1" applyAlignment="1">
      <alignment horizontal="center" vertical="center"/>
    </xf>
    <xf numFmtId="10" fontId="54" fillId="0" borderId="23" xfId="50" applyNumberFormat="1" applyFont="1" applyBorder="1" applyAlignment="1">
      <alignment horizontal="center" vertical="center"/>
    </xf>
    <xf numFmtId="0" fontId="54" fillId="0" borderId="19" xfId="0" applyFont="1" applyBorder="1" applyAlignment="1">
      <alignment horizontal="center" vertical="center"/>
    </xf>
    <xf numFmtId="0" fontId="54" fillId="0" borderId="26" xfId="0" applyFont="1" applyBorder="1" applyAlignment="1">
      <alignment horizontal="center" vertical="center"/>
    </xf>
    <xf numFmtId="0" fontId="53" fillId="0" borderId="0" xfId="43" applyFont="1" applyAlignment="1">
      <alignment horizontal="left" vertical="center"/>
    </xf>
    <xf numFmtId="0" fontId="52" fillId="0" borderId="0" xfId="0" applyFont="1" applyAlignment="1">
      <alignment horizontal="center"/>
    </xf>
    <xf numFmtId="0" fontId="55" fillId="0" borderId="0" xfId="43" applyFont="1" applyAlignment="1">
      <alignment horizontal="left" vertical="center" indent="3"/>
    </xf>
    <xf numFmtId="0" fontId="54" fillId="0" borderId="0" xfId="43" applyFont="1" applyAlignment="1">
      <alignment vertical="center" wrapText="1"/>
    </xf>
    <xf numFmtId="0" fontId="54" fillId="0" borderId="23" xfId="43" applyFont="1" applyBorder="1" applyAlignment="1">
      <alignment vertical="center"/>
    </xf>
    <xf numFmtId="0" fontId="75" fillId="0" borderId="0" xfId="0" applyFont="1"/>
    <xf numFmtId="43" fontId="54" fillId="0" borderId="26" xfId="1" applyFont="1" applyBorder="1" applyAlignment="1">
      <alignment horizontal="right" vertical="top"/>
    </xf>
    <xf numFmtId="0" fontId="51" fillId="0" borderId="17" xfId="0" applyFont="1" applyBorder="1" applyAlignment="1">
      <alignment horizontal="center"/>
    </xf>
    <xf numFmtId="0" fontId="52" fillId="0" borderId="18" xfId="0" applyFont="1" applyBorder="1" applyAlignment="1">
      <alignment horizontal="right"/>
    </xf>
    <xf numFmtId="0" fontId="54" fillId="0" borderId="11" xfId="0" applyFont="1" applyBorder="1" applyAlignment="1">
      <alignment vertical="top"/>
    </xf>
    <xf numFmtId="43" fontId="54" fillId="0" borderId="18" xfId="1" applyFont="1" applyBorder="1"/>
    <xf numFmtId="0" fontId="51" fillId="0" borderId="18" xfId="0" applyFont="1" applyBorder="1" applyAlignment="1">
      <alignment horizontal="right" vertical="top"/>
    </xf>
    <xf numFmtId="0" fontId="43" fillId="0" borderId="18" xfId="0" applyFont="1" applyBorder="1"/>
    <xf numFmtId="0" fontId="51" fillId="0" borderId="16" xfId="43" applyFont="1" applyBorder="1" applyAlignment="1">
      <alignment horizontal="center" vertical="center"/>
    </xf>
    <xf numFmtId="0" fontId="51" fillId="0" borderId="18" xfId="0" applyFont="1" applyBorder="1" applyAlignment="1">
      <alignment horizontal="left" vertical="center"/>
    </xf>
    <xf numFmtId="0" fontId="53" fillId="0" borderId="17" xfId="0" applyFont="1" applyBorder="1" applyAlignment="1">
      <alignment horizontal="justify" vertical="center"/>
    </xf>
    <xf numFmtId="0" fontId="51" fillId="0" borderId="16" xfId="0" applyFont="1" applyBorder="1" applyAlignment="1">
      <alignment horizontal="right"/>
    </xf>
    <xf numFmtId="0" fontId="51" fillId="0" borderId="17" xfId="0" applyFont="1" applyBorder="1" applyAlignment="1">
      <alignment horizontal="justify" vertical="center"/>
    </xf>
    <xf numFmtId="0" fontId="44" fillId="0" borderId="18" xfId="0" applyFont="1" applyBorder="1" applyAlignment="1">
      <alignment horizontal="justify" vertical="center"/>
    </xf>
    <xf numFmtId="0" fontId="43" fillId="0" borderId="10" xfId="0" applyFont="1" applyBorder="1"/>
    <xf numFmtId="0" fontId="44" fillId="0" borderId="20" xfId="0" applyFont="1" applyBorder="1" applyAlignment="1">
      <alignment horizontal="justify" vertical="center"/>
    </xf>
    <xf numFmtId="0" fontId="51" fillId="0" borderId="17" xfId="0" applyFont="1" applyBorder="1" applyAlignment="1">
      <alignment horizontal="center" vertical="top" wrapText="1"/>
    </xf>
    <xf numFmtId="0" fontId="53" fillId="0" borderId="17" xfId="0" applyFont="1" applyBorder="1" applyAlignment="1">
      <alignment horizontal="left" vertical="top"/>
    </xf>
    <xf numFmtId="43" fontId="51" fillId="0" borderId="18" xfId="1" applyFont="1" applyBorder="1" applyAlignment="1">
      <alignment vertical="top"/>
    </xf>
    <xf numFmtId="0" fontId="43" fillId="0" borderId="10" xfId="0" applyFont="1" applyBorder="1" applyAlignment="1">
      <alignment vertical="top"/>
    </xf>
    <xf numFmtId="0" fontId="52" fillId="0" borderId="18" xfId="0" applyFont="1" applyBorder="1" applyAlignment="1">
      <alignment horizontal="right" vertical="top"/>
    </xf>
    <xf numFmtId="0" fontId="22" fillId="0" borderId="17" xfId="0" applyFont="1" applyBorder="1" applyAlignment="1">
      <alignment vertical="top" wrapText="1"/>
    </xf>
    <xf numFmtId="166" fontId="27" fillId="0" borderId="18" xfId="1" applyNumberFormat="1" applyFont="1" applyBorder="1" applyAlignment="1">
      <alignment vertical="top"/>
    </xf>
    <xf numFmtId="166" fontId="22" fillId="0" borderId="18" xfId="0" applyNumberFormat="1" applyFont="1" applyBorder="1" applyAlignment="1">
      <alignment vertical="top"/>
    </xf>
    <xf numFmtId="0" fontId="22" fillId="0" borderId="18" xfId="0" applyFont="1" applyBorder="1" applyAlignment="1">
      <alignment vertical="top"/>
    </xf>
    <xf numFmtId="0" fontId="58" fillId="0" borderId="17" xfId="0" applyFont="1" applyBorder="1" applyAlignment="1">
      <alignment vertical="top" wrapText="1"/>
    </xf>
    <xf numFmtId="0" fontId="56" fillId="0" borderId="18" xfId="0" applyFont="1" applyBorder="1" applyAlignment="1">
      <alignment vertical="top"/>
    </xf>
    <xf numFmtId="0" fontId="56" fillId="0" borderId="17" xfId="0" applyFont="1" applyBorder="1" applyAlignment="1">
      <alignment vertical="top" wrapText="1"/>
    </xf>
    <xf numFmtId="43" fontId="56" fillId="0" borderId="18" xfId="0" applyNumberFormat="1" applyFont="1" applyBorder="1" applyAlignment="1">
      <alignment vertical="top"/>
    </xf>
    <xf numFmtId="0" fontId="59" fillId="0" borderId="18" xfId="0" applyFont="1" applyBorder="1" applyAlignment="1">
      <alignment vertical="top"/>
    </xf>
    <xf numFmtId="0" fontId="59" fillId="0" borderId="17" xfId="0" applyFont="1" applyBorder="1" applyAlignment="1">
      <alignment vertical="top"/>
    </xf>
    <xf numFmtId="0" fontId="20" fillId="0" borderId="18" xfId="0" applyFont="1" applyBorder="1" applyAlignment="1">
      <alignment vertical="top"/>
    </xf>
    <xf numFmtId="0" fontId="20" fillId="0" borderId="17" xfId="0" applyFont="1" applyBorder="1" applyAlignment="1">
      <alignment vertical="top" wrapText="1"/>
    </xf>
    <xf numFmtId="0" fontId="20" fillId="0" borderId="19" xfId="0" applyFont="1" applyBorder="1" applyAlignment="1">
      <alignment vertical="top" wrapText="1"/>
    </xf>
    <xf numFmtId="0" fontId="20" fillId="0" borderId="10" xfId="0" applyFont="1" applyBorder="1" applyAlignment="1">
      <alignment vertical="top"/>
    </xf>
    <xf numFmtId="0" fontId="20" fillId="0" borderId="10" xfId="0" applyFont="1" applyBorder="1" applyAlignment="1">
      <alignment vertical="top" wrapText="1"/>
    </xf>
    <xf numFmtId="0" fontId="20" fillId="0" borderId="20" xfId="0" applyFont="1" applyBorder="1" applyAlignment="1">
      <alignment vertical="top"/>
    </xf>
    <xf numFmtId="0" fontId="43" fillId="0" borderId="17" xfId="43" applyFont="1" applyBorder="1" applyAlignment="1">
      <alignment vertical="top"/>
    </xf>
    <xf numFmtId="0" fontId="54" fillId="0" borderId="17" xfId="43" applyFont="1" applyBorder="1" applyAlignment="1">
      <alignment vertical="top"/>
    </xf>
    <xf numFmtId="0" fontId="51" fillId="0" borderId="17" xfId="43" applyFont="1" applyBorder="1" applyAlignment="1">
      <alignment vertical="top"/>
    </xf>
    <xf numFmtId="0" fontId="53" fillId="0" borderId="17" xfId="43" applyFont="1" applyBorder="1" applyAlignment="1">
      <alignment vertical="top"/>
    </xf>
    <xf numFmtId="0" fontId="54" fillId="0" borderId="19" xfId="43" applyFont="1" applyBorder="1" applyAlignment="1">
      <alignment vertical="top"/>
    </xf>
    <xf numFmtId="0" fontId="52" fillId="0" borderId="18" xfId="0" applyFont="1" applyBorder="1" applyAlignment="1">
      <alignment horizontal="right" vertical="center"/>
    </xf>
    <xf numFmtId="166" fontId="51" fillId="0" borderId="17" xfId="1" applyNumberFormat="1" applyFont="1" applyBorder="1" applyAlignment="1">
      <alignment horizontal="left" vertical="center"/>
    </xf>
    <xf numFmtId="0" fontId="53" fillId="0" borderId="18" xfId="0" applyFont="1" applyBorder="1" applyAlignment="1">
      <alignment vertical="center"/>
    </xf>
    <xf numFmtId="0" fontId="53" fillId="0" borderId="33" xfId="0" applyFont="1" applyBorder="1" applyAlignment="1">
      <alignment vertical="center"/>
    </xf>
    <xf numFmtId="0" fontId="53" fillId="0" borderId="34" xfId="0" applyFont="1" applyBorder="1" applyAlignment="1">
      <alignment vertical="center"/>
    </xf>
    <xf numFmtId="166" fontId="51" fillId="0" borderId="18" xfId="1" applyNumberFormat="1" applyFont="1" applyBorder="1" applyAlignment="1">
      <alignment horizontal="right" vertical="center"/>
    </xf>
    <xf numFmtId="0" fontId="44" fillId="0" borderId="17" xfId="49" applyFont="1" applyBorder="1" applyAlignment="1">
      <alignment vertical="top" wrapText="1"/>
    </xf>
    <xf numFmtId="166" fontId="44" fillId="0" borderId="18" xfId="1" applyNumberFormat="1" applyFont="1" applyBorder="1" applyAlignment="1">
      <alignment horizontal="justify" vertical="top" wrapText="1"/>
    </xf>
    <xf numFmtId="0" fontId="51" fillId="0" borderId="17" xfId="49" applyFont="1" applyBorder="1" applyAlignment="1">
      <alignment vertical="top"/>
    </xf>
    <xf numFmtId="166" fontId="44" fillId="0" borderId="18" xfId="1" applyNumberFormat="1" applyFont="1" applyBorder="1" applyAlignment="1">
      <alignment vertical="top" wrapText="1"/>
    </xf>
    <xf numFmtId="0" fontId="43" fillId="0" borderId="17" xfId="49" applyFont="1" applyBorder="1" applyAlignment="1">
      <alignment vertical="justify" wrapText="1"/>
    </xf>
    <xf numFmtId="166" fontId="43" fillId="0" borderId="18" xfId="1" applyNumberFormat="1" applyFont="1" applyBorder="1" applyAlignment="1">
      <alignment horizontal="left" vertical="justify" wrapText="1"/>
    </xf>
    <xf numFmtId="43" fontId="43" fillId="0" borderId="17" xfId="1" applyFont="1" applyBorder="1"/>
    <xf numFmtId="166" fontId="44" fillId="0" borderId="18" xfId="1" applyNumberFormat="1" applyFont="1" applyBorder="1"/>
    <xf numFmtId="0" fontId="51" fillId="0" borderId="17" xfId="0" applyFont="1" applyBorder="1" applyAlignment="1">
      <alignment wrapText="1"/>
    </xf>
    <xf numFmtId="0" fontId="54" fillId="0" borderId="26" xfId="0" applyFont="1" applyBorder="1" applyAlignment="1">
      <alignment wrapText="1"/>
    </xf>
    <xf numFmtId="0" fontId="54" fillId="0" borderId="14" xfId="0" applyFont="1" applyBorder="1" applyAlignment="1">
      <alignment wrapText="1"/>
    </xf>
    <xf numFmtId="0" fontId="54" fillId="0" borderId="26" xfId="0" applyFont="1" applyBorder="1"/>
    <xf numFmtId="0" fontId="51" fillId="37" borderId="11" xfId="0" applyFont="1" applyFill="1" applyBorder="1" applyAlignment="1">
      <alignment horizontal="center" vertical="top" wrapText="1"/>
    </xf>
    <xf numFmtId="0" fontId="54" fillId="0" borderId="23" xfId="0" applyFont="1" applyBorder="1"/>
    <xf numFmtId="0" fontId="65" fillId="0" borderId="15" xfId="0" applyFont="1" applyBorder="1"/>
    <xf numFmtId="0" fontId="65" fillId="0" borderId="18" xfId="0" applyFont="1" applyBorder="1"/>
    <xf numFmtId="0" fontId="74" fillId="0" borderId="17" xfId="0" applyFont="1" applyBorder="1"/>
    <xf numFmtId="0" fontId="62" fillId="0" borderId="17" xfId="43" applyFont="1" applyBorder="1" applyAlignment="1">
      <alignment horizontal="left" vertical="center"/>
    </xf>
    <xf numFmtId="0" fontId="65" fillId="0" borderId="18" xfId="43" applyFont="1" applyBorder="1" applyAlignment="1">
      <alignment horizontal="left" vertical="center"/>
    </xf>
    <xf numFmtId="0" fontId="61" fillId="0" borderId="23" xfId="43" applyFont="1" applyBorder="1" applyAlignment="1">
      <alignment horizontal="left" vertical="top" indent="1"/>
    </xf>
    <xf numFmtId="0" fontId="65" fillId="0" borderId="23" xfId="43" applyFont="1" applyBorder="1" applyAlignment="1">
      <alignment horizontal="left" vertical="top" indent="1"/>
    </xf>
    <xf numFmtId="0" fontId="62" fillId="0" borderId="21" xfId="43" applyFont="1" applyBorder="1" applyAlignment="1">
      <alignment horizontal="left" vertical="top" indent="1"/>
    </xf>
    <xf numFmtId="0" fontId="62" fillId="0" borderId="23" xfId="43" applyFont="1" applyBorder="1" applyAlignment="1">
      <alignment horizontal="left" vertical="top" indent="1"/>
    </xf>
    <xf numFmtId="0" fontId="65" fillId="0" borderId="23" xfId="43" applyFont="1" applyBorder="1" applyAlignment="1">
      <alignment horizontal="left" vertical="top" wrapText="1" indent="1"/>
    </xf>
    <xf numFmtId="0" fontId="65" fillId="0" borderId="18" xfId="43" applyFont="1" applyBorder="1" applyAlignment="1">
      <alignment vertical="center"/>
    </xf>
    <xf numFmtId="0" fontId="68" fillId="0" borderId="18" xfId="43" applyFont="1" applyBorder="1" applyAlignment="1">
      <alignment horizontal="left" vertical="center"/>
    </xf>
    <xf numFmtId="0" fontId="65" fillId="0" borderId="17" xfId="43" applyFont="1" applyBorder="1" applyAlignment="1">
      <alignment vertical="top"/>
    </xf>
    <xf numFmtId="0" fontId="65" fillId="0" borderId="18" xfId="43" applyFont="1" applyBorder="1" applyAlignment="1">
      <alignment vertical="top"/>
    </xf>
    <xf numFmtId="0" fontId="65" fillId="0" borderId="19" xfId="43" quotePrefix="1" applyFont="1" applyBorder="1" applyAlignment="1">
      <alignment horizontal="justify" vertical="top" wrapText="1"/>
    </xf>
    <xf numFmtId="0" fontId="65" fillId="0" borderId="10" xfId="43" quotePrefix="1" applyFont="1" applyBorder="1" applyAlignment="1">
      <alignment horizontal="justify" vertical="top" wrapText="1"/>
    </xf>
    <xf numFmtId="0" fontId="65" fillId="0" borderId="20" xfId="43" quotePrefix="1" applyFont="1" applyBorder="1" applyAlignment="1">
      <alignment horizontal="justify" vertical="top" wrapText="1"/>
    </xf>
    <xf numFmtId="0" fontId="65" fillId="0" borderId="14" xfId="43" quotePrefix="1" applyFont="1" applyBorder="1" applyAlignment="1">
      <alignment horizontal="justify" vertical="top" wrapText="1"/>
    </xf>
    <xf numFmtId="0" fontId="65" fillId="0" borderId="15" xfId="43" quotePrefix="1" applyFont="1" applyBorder="1" applyAlignment="1">
      <alignment horizontal="justify" vertical="top" wrapText="1"/>
    </xf>
    <xf numFmtId="0" fontId="65" fillId="0" borderId="16" xfId="43" quotePrefix="1" applyFont="1" applyBorder="1" applyAlignment="1">
      <alignment horizontal="justify" vertical="top" wrapText="1"/>
    </xf>
    <xf numFmtId="0" fontId="68" fillId="0" borderId="17" xfId="66" applyFont="1" applyBorder="1"/>
    <xf numFmtId="0" fontId="65" fillId="0" borderId="18" xfId="43" quotePrefix="1" applyFont="1" applyBorder="1" applyAlignment="1">
      <alignment horizontal="justify" vertical="top" wrapText="1"/>
    </xf>
    <xf numFmtId="0" fontId="69" fillId="33" borderId="18" xfId="66" applyFont="1" applyFill="1" applyBorder="1" applyAlignment="1">
      <alignment horizontal="center" vertical="center" wrapText="1"/>
    </xf>
    <xf numFmtId="43" fontId="70" fillId="33" borderId="18" xfId="1" applyFont="1" applyFill="1" applyBorder="1"/>
    <xf numFmtId="43" fontId="69" fillId="33" borderId="18" xfId="1" applyFont="1" applyFill="1" applyBorder="1" applyAlignment="1">
      <alignment horizontal="center" vertical="center"/>
    </xf>
    <xf numFmtId="43" fontId="70" fillId="33" borderId="18" xfId="1" applyFont="1" applyFill="1" applyBorder="1" applyAlignment="1">
      <alignment horizontal="center" vertical="center"/>
    </xf>
    <xf numFmtId="0" fontId="65" fillId="0" borderId="17" xfId="43" quotePrefix="1" applyFont="1" applyBorder="1" applyAlignment="1">
      <alignment horizontal="justify" vertical="top" wrapText="1"/>
    </xf>
    <xf numFmtId="0" fontId="65" fillId="0" borderId="18" xfId="66" applyFont="1" applyBorder="1"/>
    <xf numFmtId="49" fontId="62" fillId="0" borderId="17" xfId="0" applyNumberFormat="1" applyFont="1" applyBorder="1" applyAlignment="1">
      <alignment horizontal="center"/>
    </xf>
    <xf numFmtId="0" fontId="51" fillId="0" borderId="17" xfId="43" applyFont="1" applyBorder="1" applyAlignment="1">
      <alignment horizontal="left" vertical="center"/>
    </xf>
    <xf numFmtId="0" fontId="54" fillId="0" borderId="17" xfId="43" applyFont="1" applyBorder="1" applyAlignment="1">
      <alignment vertical="center"/>
    </xf>
    <xf numFmtId="0" fontId="54" fillId="0" borderId="17" xfId="43" applyFont="1" applyBorder="1" applyAlignment="1">
      <alignment vertical="top" wrapText="1"/>
    </xf>
    <xf numFmtId="0" fontId="51" fillId="0" borderId="17" xfId="43" applyFont="1" applyBorder="1" applyAlignment="1">
      <alignment horizontal="left" vertical="top"/>
    </xf>
    <xf numFmtId="0" fontId="54" fillId="0" borderId="17" xfId="43" applyFont="1" applyBorder="1" applyAlignment="1">
      <alignment horizontal="justify" vertical="top" wrapText="1"/>
    </xf>
    <xf numFmtId="0" fontId="55" fillId="0" borderId="17" xfId="43" applyFont="1" applyBorder="1" applyAlignment="1">
      <alignment horizontal="left" vertical="center"/>
    </xf>
    <xf numFmtId="0" fontId="54" fillId="0" borderId="17" xfId="68" applyFont="1" applyBorder="1" applyAlignment="1">
      <alignment horizontal="left" vertical="top"/>
    </xf>
    <xf numFmtId="0" fontId="54" fillId="0" borderId="17" xfId="43" applyFont="1" applyBorder="1" applyAlignment="1">
      <alignment horizontal="left" vertical="top" wrapText="1"/>
    </xf>
    <xf numFmtId="0" fontId="76" fillId="0" borderId="16" xfId="0" applyFont="1" applyBorder="1"/>
    <xf numFmtId="0" fontId="57" fillId="0" borderId="17" xfId="0" applyFont="1" applyBorder="1" applyAlignment="1">
      <alignment horizontal="center"/>
    </xf>
    <xf numFmtId="0" fontId="57" fillId="0" borderId="18" xfId="0" applyFont="1" applyBorder="1" applyAlignment="1">
      <alignment horizontal="center"/>
    </xf>
    <xf numFmtId="0" fontId="0" fillId="0" borderId="18" xfId="0" applyBorder="1"/>
    <xf numFmtId="0" fontId="63" fillId="0" borderId="17" xfId="43" applyFont="1" applyBorder="1" applyAlignment="1">
      <alignment vertical="center" wrapText="1"/>
    </xf>
    <xf numFmtId="0" fontId="63" fillId="0" borderId="19" xfId="43" applyFont="1" applyBorder="1" applyAlignment="1">
      <alignment horizontal="left" vertical="center"/>
    </xf>
    <xf numFmtId="0" fontId="63" fillId="0" borderId="20" xfId="43" applyFont="1" applyBorder="1" applyAlignment="1">
      <alignment vertical="center"/>
    </xf>
    <xf numFmtId="166" fontId="54" fillId="0" borderId="26" xfId="1" applyNumberFormat="1" applyFont="1" applyBorder="1" applyAlignment="1">
      <alignment vertical="center"/>
    </xf>
    <xf numFmtId="0" fontId="0" fillId="0" borderId="20" xfId="0" applyBorder="1"/>
    <xf numFmtId="0" fontId="71" fillId="0" borderId="14" xfId="0" applyFont="1" applyBorder="1"/>
    <xf numFmtId="0" fontId="59" fillId="0" borderId="16" xfId="0" applyFont="1" applyBorder="1"/>
    <xf numFmtId="0" fontId="59" fillId="0" borderId="18" xfId="0" applyFont="1" applyBorder="1"/>
    <xf numFmtId="0" fontId="32" fillId="0" borderId="18" xfId="0" applyFont="1" applyBorder="1"/>
    <xf numFmtId="166" fontId="55" fillId="0" borderId="13" xfId="1" applyNumberFormat="1" applyFont="1" applyBorder="1" applyAlignment="1">
      <alignment horizontal="center"/>
    </xf>
    <xf numFmtId="166" fontId="55" fillId="0" borderId="18" xfId="1" applyNumberFormat="1" applyFont="1" applyBorder="1" applyAlignment="1">
      <alignment horizontal="center"/>
    </xf>
    <xf numFmtId="166" fontId="65" fillId="0" borderId="18" xfId="1" applyNumberFormat="1" applyFont="1" applyBorder="1"/>
    <xf numFmtId="166" fontId="54" fillId="0" borderId="18" xfId="1" applyNumberFormat="1" applyFont="1" applyBorder="1" applyAlignment="1">
      <alignment vertical="center"/>
    </xf>
    <xf numFmtId="166" fontId="65" fillId="0" borderId="16" xfId="1" applyNumberFormat="1" applyFont="1" applyBorder="1"/>
    <xf numFmtId="0" fontId="71" fillId="0" borderId="10" xfId="0" applyFont="1" applyBorder="1"/>
    <xf numFmtId="166" fontId="65" fillId="0" borderId="10" xfId="1" applyNumberFormat="1" applyFont="1" applyBorder="1"/>
    <xf numFmtId="166" fontId="65" fillId="0" borderId="20" xfId="0" applyNumberFormat="1" applyFont="1" applyBorder="1"/>
    <xf numFmtId="0" fontId="71" fillId="0" borderId="15" xfId="0" applyFont="1" applyBorder="1"/>
    <xf numFmtId="166" fontId="65" fillId="0" borderId="15" xfId="0" applyNumberFormat="1" applyFont="1" applyBorder="1"/>
    <xf numFmtId="166" fontId="65" fillId="0" borderId="16" xfId="0" applyNumberFormat="1" applyFont="1" applyBorder="1"/>
    <xf numFmtId="0" fontId="54" fillId="0" borderId="18" xfId="0" applyFont="1" applyBorder="1" applyAlignment="1">
      <alignment horizontal="center" vertical="top"/>
    </xf>
    <xf numFmtId="166" fontId="54" fillId="0" borderId="18" xfId="1" applyNumberFormat="1" applyFont="1" applyBorder="1" applyAlignment="1">
      <alignment horizontal="center" vertical="top"/>
    </xf>
    <xf numFmtId="166" fontId="55" fillId="0" borderId="13" xfId="1" applyNumberFormat="1" applyFont="1" applyBorder="1" applyAlignment="1">
      <alignment horizontal="center" vertical="top"/>
    </xf>
    <xf numFmtId="166" fontId="55" fillId="0" borderId="18" xfId="1" applyNumberFormat="1" applyFont="1" applyBorder="1" applyAlignment="1">
      <alignment horizontal="center" vertical="top"/>
    </xf>
    <xf numFmtId="166" fontId="54" fillId="0" borderId="20" xfId="1" applyNumberFormat="1" applyFont="1" applyBorder="1" applyAlignment="1">
      <alignment horizontal="center" vertical="top"/>
    </xf>
    <xf numFmtId="0" fontId="71" fillId="0" borderId="18" xfId="0" applyFont="1" applyBorder="1"/>
    <xf numFmtId="0" fontId="73" fillId="0" borderId="17" xfId="0" applyFont="1" applyBorder="1"/>
    <xf numFmtId="0" fontId="71" fillId="0" borderId="17" xfId="0" applyFont="1" applyBorder="1" applyAlignment="1">
      <alignment vertical="center" wrapText="1"/>
    </xf>
    <xf numFmtId="0" fontId="71" fillId="0" borderId="17" xfId="0" applyFont="1" applyBorder="1" applyAlignment="1">
      <alignment vertical="center"/>
    </xf>
    <xf numFmtId="0" fontId="66" fillId="0" borderId="16" xfId="0" applyFont="1" applyBorder="1" applyAlignment="1">
      <alignment horizontal="center" wrapText="1"/>
    </xf>
    <xf numFmtId="0" fontId="66" fillId="0" borderId="18" xfId="0" applyFont="1" applyBorder="1" applyAlignment="1">
      <alignment horizontal="center"/>
    </xf>
    <xf numFmtId="0" fontId="67" fillId="0" borderId="18" xfId="0" applyFont="1" applyBorder="1" applyAlignment="1">
      <alignment horizontal="center"/>
    </xf>
    <xf numFmtId="0" fontId="66" fillId="0" borderId="18" xfId="0" applyFont="1" applyBorder="1" applyAlignment="1">
      <alignment horizontal="center" vertical="center"/>
    </xf>
    <xf numFmtId="10" fontId="63" fillId="0" borderId="18" xfId="0" applyNumberFormat="1" applyFont="1" applyBorder="1" applyAlignment="1">
      <alignment horizontal="center" vertical="center"/>
    </xf>
    <xf numFmtId="10" fontId="63" fillId="0" borderId="18" xfId="50" applyNumberFormat="1" applyFont="1" applyBorder="1" applyAlignment="1">
      <alignment horizontal="center" vertical="center"/>
    </xf>
    <xf numFmtId="0" fontId="71" fillId="0" borderId="18" xfId="0" applyFont="1" applyBorder="1" applyAlignment="1">
      <alignment horizontal="center" vertical="center"/>
    </xf>
    <xf numFmtId="0" fontId="71" fillId="0" borderId="10" xfId="0" applyFont="1" applyBorder="1" applyAlignment="1">
      <alignment horizontal="center" vertical="center"/>
    </xf>
    <xf numFmtId="0" fontId="71" fillId="0" borderId="20" xfId="0" applyFont="1" applyBorder="1" applyAlignment="1">
      <alignment horizontal="center" vertical="center"/>
    </xf>
    <xf numFmtId="0" fontId="59" fillId="0" borderId="15" xfId="0" applyFont="1" applyBorder="1"/>
    <xf numFmtId="43" fontId="59" fillId="0" borderId="0" xfId="1" applyFont="1"/>
    <xf numFmtId="0" fontId="58" fillId="0" borderId="0" xfId="43" applyFont="1" applyAlignment="1">
      <alignment horizontal="left" vertical="center"/>
    </xf>
    <xf numFmtId="0" fontId="56" fillId="0" borderId="0" xfId="43" applyFont="1" applyAlignment="1">
      <alignment horizontal="left" vertical="center" indent="2"/>
    </xf>
    <xf numFmtId="0" fontId="56" fillId="0" borderId="0" xfId="43" applyFont="1" applyAlignment="1">
      <alignment vertical="center" wrapText="1"/>
    </xf>
    <xf numFmtId="0" fontId="56" fillId="0" borderId="0" xfId="43" applyFont="1" applyAlignment="1">
      <alignment vertical="top" wrapText="1"/>
    </xf>
    <xf numFmtId="0" fontId="56" fillId="0" borderId="21" xfId="43" applyFont="1" applyBorder="1" applyAlignment="1">
      <alignment vertical="top" wrapText="1"/>
    </xf>
    <xf numFmtId="0" fontId="56" fillId="0" borderId="21" xfId="43" applyFont="1" applyBorder="1" applyAlignment="1">
      <alignment vertical="center" wrapText="1"/>
    </xf>
    <xf numFmtId="43" fontId="32" fillId="0" borderId="0" xfId="1" applyFont="1"/>
    <xf numFmtId="0" fontId="56" fillId="0" borderId="0" xfId="43" applyFont="1" applyAlignment="1">
      <alignment horizontal="center" vertical="center" wrapText="1"/>
    </xf>
    <xf numFmtId="43" fontId="59" fillId="0" borderId="0" xfId="0" applyNumberFormat="1" applyFont="1"/>
    <xf numFmtId="166" fontId="56" fillId="0" borderId="0" xfId="1" applyNumberFormat="1" applyFont="1" applyAlignment="1">
      <alignment vertical="center" wrapText="1"/>
    </xf>
    <xf numFmtId="43" fontId="56" fillId="0" borderId="0" xfId="1" applyFont="1" applyAlignment="1">
      <alignment vertical="center" wrapText="1"/>
    </xf>
    <xf numFmtId="166" fontId="56" fillId="0" borderId="0" xfId="1" applyNumberFormat="1" applyFont="1" applyAlignment="1">
      <alignment vertical="center"/>
    </xf>
    <xf numFmtId="166" fontId="58" fillId="0" borderId="0" xfId="1" applyNumberFormat="1" applyFont="1" applyAlignment="1">
      <alignment vertical="center"/>
    </xf>
    <xf numFmtId="166" fontId="58" fillId="0" borderId="0" xfId="1" applyNumberFormat="1" applyFont="1" applyAlignment="1">
      <alignment horizontal="center" vertical="center" wrapText="1"/>
    </xf>
    <xf numFmtId="166" fontId="56" fillId="0" borderId="0" xfId="1" applyNumberFormat="1" applyFont="1" applyAlignment="1">
      <alignment horizontal="center" vertical="center" wrapText="1"/>
    </xf>
    <xf numFmtId="166" fontId="56" fillId="0" borderId="0" xfId="1" applyNumberFormat="1" applyFont="1" applyAlignment="1">
      <alignment horizontal="left" vertical="center"/>
    </xf>
    <xf numFmtId="166" fontId="58" fillId="0" borderId="0" xfId="1" applyNumberFormat="1" applyFont="1" applyAlignment="1">
      <alignment vertical="center" wrapText="1"/>
    </xf>
    <xf numFmtId="0" fontId="58" fillId="0" borderId="0" xfId="43" applyFont="1" applyAlignment="1">
      <alignment horizontal="right" vertical="center" wrapText="1"/>
    </xf>
    <xf numFmtId="0" fontId="60" fillId="33" borderId="0" xfId="68" applyFont="1" applyFill="1" applyAlignment="1">
      <alignment horizontal="left" vertical="top"/>
    </xf>
    <xf numFmtId="0" fontId="56" fillId="0" borderId="0" xfId="68" applyFont="1" applyAlignment="1">
      <alignment horizontal="left" vertical="top"/>
    </xf>
    <xf numFmtId="0" fontId="51" fillId="0" borderId="10" xfId="68" applyFont="1" applyBorder="1" applyAlignment="1">
      <alignment horizontal="right" vertical="top"/>
    </xf>
    <xf numFmtId="0" fontId="60" fillId="33" borderId="0" xfId="0" applyFont="1" applyFill="1"/>
    <xf numFmtId="0" fontId="60" fillId="33" borderId="0" xfId="43" applyFont="1" applyFill="1" applyAlignment="1">
      <alignment vertical="center"/>
    </xf>
    <xf numFmtId="0" fontId="59" fillId="0" borderId="0" xfId="49" applyFont="1" applyAlignment="1">
      <alignment vertical="top"/>
    </xf>
    <xf numFmtId="0" fontId="59" fillId="0" borderId="10" xfId="0" applyFont="1" applyBorder="1" applyAlignment="1">
      <alignment vertical="top" wrapText="1"/>
    </xf>
    <xf numFmtId="0" fontId="59" fillId="0" borderId="10" xfId="0" applyFont="1" applyBorder="1"/>
    <xf numFmtId="0" fontId="59" fillId="0" borderId="20" xfId="0" applyFont="1" applyBorder="1"/>
    <xf numFmtId="0" fontId="53" fillId="0" borderId="19" xfId="0" applyFont="1" applyBorder="1" applyAlignment="1">
      <alignment vertical="top"/>
    </xf>
    <xf numFmtId="0" fontId="53" fillId="0" borderId="10" xfId="0" applyFont="1" applyBorder="1" applyAlignment="1">
      <alignment vertical="top"/>
    </xf>
    <xf numFmtId="0" fontId="56" fillId="0" borderId="10" xfId="43" applyFont="1" applyBorder="1" applyAlignment="1">
      <alignment horizontal="left" vertical="center"/>
    </xf>
    <xf numFmtId="0" fontId="54" fillId="0" borderId="14" xfId="43" applyFont="1" applyBorder="1" applyAlignment="1">
      <alignment horizontal="justify" vertical="top" wrapText="1"/>
    </xf>
    <xf numFmtId="0" fontId="54" fillId="0" borderId="15" xfId="43" applyFont="1" applyBorder="1" applyAlignment="1">
      <alignment horizontal="justify" vertical="top" wrapText="1"/>
    </xf>
    <xf numFmtId="0" fontId="56" fillId="0" borderId="15" xfId="43" applyFont="1" applyBorder="1" applyAlignment="1">
      <alignment horizontal="left" vertical="center"/>
    </xf>
    <xf numFmtId="43" fontId="44" fillId="0" borderId="18" xfId="1" applyFont="1" applyBorder="1"/>
    <xf numFmtId="0" fontId="51" fillId="0" borderId="11" xfId="0" applyFont="1" applyBorder="1" applyAlignment="1">
      <alignment vertical="top"/>
    </xf>
    <xf numFmtId="0" fontId="51" fillId="0" borderId="12" xfId="0" applyFont="1" applyBorder="1"/>
    <xf numFmtId="0" fontId="62" fillId="0" borderId="11" xfId="43" applyFont="1" applyBorder="1" applyAlignment="1">
      <alignment horizontal="left" vertical="top" indent="1"/>
    </xf>
    <xf numFmtId="43" fontId="65" fillId="0" borderId="11" xfId="1" applyFont="1" applyBorder="1" applyAlignment="1">
      <alignment horizontal="right" vertical="center" indent="1"/>
    </xf>
    <xf numFmtId="43" fontId="65" fillId="0" borderId="12" xfId="1" applyFont="1" applyBorder="1" applyAlignment="1">
      <alignment horizontal="right" vertical="center" indent="1"/>
    </xf>
    <xf numFmtId="166" fontId="65" fillId="0" borderId="11" xfId="1" applyNumberFormat="1" applyFont="1" applyBorder="1" applyAlignment="1">
      <alignment horizontal="right" vertical="center" indent="1"/>
    </xf>
    <xf numFmtId="166" fontId="65" fillId="0" borderId="12" xfId="1" applyNumberFormat="1" applyFont="1" applyBorder="1" applyAlignment="1">
      <alignment horizontal="right" vertical="center" indent="1"/>
    </xf>
    <xf numFmtId="0" fontId="51" fillId="0" borderId="14" xfId="0" applyFont="1" applyBorder="1"/>
    <xf numFmtId="0" fontId="51" fillId="0" borderId="19" xfId="0" applyFont="1" applyBorder="1"/>
    <xf numFmtId="0" fontId="53" fillId="0" borderId="26" xfId="0" applyFont="1" applyBorder="1"/>
    <xf numFmtId="0" fontId="55" fillId="0" borderId="19" xfId="0" applyFont="1" applyBorder="1"/>
    <xf numFmtId="0" fontId="54" fillId="0" borderId="19" xfId="0" applyFont="1" applyBorder="1"/>
    <xf numFmtId="0" fontId="20" fillId="0" borderId="19" xfId="0" applyFont="1" applyBorder="1" applyAlignment="1">
      <alignment vertical="top"/>
    </xf>
    <xf numFmtId="0" fontId="74" fillId="0" borderId="18" xfId="0" applyFont="1" applyBorder="1"/>
    <xf numFmtId="0" fontId="62" fillId="0" borderId="19" xfId="43" applyFont="1" applyBorder="1" applyAlignment="1">
      <alignment horizontal="left" vertical="center"/>
    </xf>
    <xf numFmtId="0" fontId="65" fillId="0" borderId="10" xfId="43" applyFont="1" applyBorder="1" applyAlignment="1">
      <alignment horizontal="left" vertical="center"/>
    </xf>
    <xf numFmtId="0" fontId="65" fillId="0" borderId="20" xfId="43" applyFont="1" applyBorder="1" applyAlignment="1">
      <alignment horizontal="left" vertical="center"/>
    </xf>
    <xf numFmtId="0" fontId="53" fillId="0" borderId="14" xfId="0" applyFont="1" applyBorder="1"/>
    <xf numFmtId="0" fontId="20" fillId="0" borderId="14" xfId="0" applyFont="1" applyBorder="1"/>
    <xf numFmtId="0" fontId="20" fillId="0" borderId="17" xfId="0" applyFont="1" applyBorder="1"/>
    <xf numFmtId="0" fontId="20" fillId="0" borderId="19" xfId="0" applyFont="1" applyBorder="1"/>
    <xf numFmtId="0" fontId="62" fillId="37" borderId="21" xfId="0" applyFont="1" applyFill="1" applyBorder="1" applyAlignment="1">
      <alignment horizontal="center" vertical="center"/>
    </xf>
    <xf numFmtId="0" fontId="65" fillId="0" borderId="14" xfId="43" applyFont="1" applyBorder="1" applyAlignment="1">
      <alignment vertical="center"/>
    </xf>
    <xf numFmtId="0" fontId="65" fillId="0" borderId="15" xfId="43" applyFont="1" applyBorder="1" applyAlignment="1">
      <alignment vertical="center"/>
    </xf>
    <xf numFmtId="0" fontId="65" fillId="0" borderId="16" xfId="43" applyFont="1" applyBorder="1" applyAlignment="1">
      <alignment vertical="center"/>
    </xf>
    <xf numFmtId="0" fontId="51" fillId="0" borderId="22" xfId="0" applyFont="1" applyBorder="1"/>
    <xf numFmtId="0" fontId="65" fillId="0" borderId="23" xfId="0" applyFont="1" applyBorder="1" applyAlignment="1">
      <alignment wrapText="1"/>
    </xf>
    <xf numFmtId="0" fontId="54" fillId="0" borderId="23" xfId="0" applyFont="1" applyBorder="1" applyAlignment="1">
      <alignment horizontal="left"/>
    </xf>
    <xf numFmtId="0" fontId="65" fillId="0" borderId="23" xfId="0" applyFont="1" applyBorder="1" applyAlignment="1">
      <alignment horizontal="left"/>
    </xf>
    <xf numFmtId="0" fontId="65" fillId="0" borderId="23" xfId="0" applyFont="1" applyBorder="1" applyAlignment="1">
      <alignment horizontal="left" wrapText="1"/>
    </xf>
    <xf numFmtId="0" fontId="54" fillId="0" borderId="23" xfId="0" applyFont="1" applyBorder="1" applyAlignment="1">
      <alignment horizontal="left" wrapText="1"/>
    </xf>
    <xf numFmtId="0" fontId="54" fillId="0" borderId="26" xfId="0" applyFont="1" applyBorder="1" applyAlignment="1">
      <alignment horizontal="left" wrapText="1"/>
    </xf>
    <xf numFmtId="0" fontId="20" fillId="0" borderId="15" xfId="0" applyFont="1" applyBorder="1"/>
    <xf numFmtId="0" fontId="20" fillId="0" borderId="10" xfId="0" applyFont="1" applyBorder="1"/>
    <xf numFmtId="0" fontId="32" fillId="0" borderId="15" xfId="0" applyFont="1" applyBorder="1" applyAlignment="1">
      <alignment horizontal="left" vertical="center"/>
    </xf>
    <xf numFmtId="0" fontId="59" fillId="0" borderId="15" xfId="0" applyFont="1" applyBorder="1" applyAlignment="1">
      <alignment horizontal="center" vertical="center"/>
    </xf>
    <xf numFmtId="0" fontId="65" fillId="0" borderId="0" xfId="43" applyFont="1" applyAlignment="1">
      <alignment vertical="top" wrapText="1"/>
    </xf>
    <xf numFmtId="0" fontId="65" fillId="0" borderId="18" xfId="43" applyFont="1" applyBorder="1" applyAlignment="1">
      <alignment vertical="top" wrapText="1"/>
    </xf>
    <xf numFmtId="43" fontId="43" fillId="0" borderId="23" xfId="1" applyFont="1" applyBorder="1" applyAlignment="1">
      <alignment horizontal="right" vertical="top"/>
    </xf>
    <xf numFmtId="0" fontId="51" fillId="0" borderId="16" xfId="0" applyFont="1" applyBorder="1"/>
    <xf numFmtId="43" fontId="55" fillId="0" borderId="11" xfId="1" applyFont="1" applyBorder="1" applyAlignment="1">
      <alignment horizontal="right" vertical="top" wrapText="1"/>
    </xf>
    <xf numFmtId="43" fontId="54" fillId="0" borderId="23" xfId="1" applyFont="1" applyBorder="1" applyAlignment="1">
      <alignment horizontal="center" vertical="top"/>
    </xf>
    <xf numFmtId="43" fontId="22" fillId="0" borderId="18" xfId="1" applyFont="1" applyBorder="1"/>
    <xf numFmtId="43" fontId="20" fillId="0" borderId="18" xfId="1" applyFont="1" applyBorder="1"/>
    <xf numFmtId="43" fontId="21" fillId="0" borderId="13" xfId="1" applyFont="1" applyBorder="1"/>
    <xf numFmtId="43" fontId="20" fillId="0" borderId="20" xfId="1" applyFont="1" applyBorder="1"/>
    <xf numFmtId="43" fontId="23" fillId="0" borderId="21" xfId="1" applyFont="1" applyBorder="1"/>
    <xf numFmtId="43" fontId="54" fillId="0" borderId="38" xfId="1" applyFont="1" applyBorder="1" applyAlignment="1">
      <alignment vertical="top"/>
    </xf>
    <xf numFmtId="43" fontId="54" fillId="0" borderId="39" xfId="1" applyFont="1" applyBorder="1" applyAlignment="1">
      <alignment vertical="top"/>
    </xf>
    <xf numFmtId="43" fontId="53" fillId="0" borderId="38" xfId="1" applyFont="1" applyBorder="1" applyAlignment="1">
      <alignment vertical="top"/>
    </xf>
    <xf numFmtId="43" fontId="51" fillId="0" borderId="39" xfId="1" applyFont="1" applyBorder="1" applyAlignment="1">
      <alignment vertical="top"/>
    </xf>
    <xf numFmtId="43" fontId="53" fillId="0" borderId="39" xfId="1" applyFont="1" applyBorder="1" applyAlignment="1">
      <alignment vertical="top"/>
    </xf>
    <xf numFmtId="43" fontId="55" fillId="0" borderId="39" xfId="1" applyFont="1" applyBorder="1" applyAlignment="1">
      <alignment vertical="top"/>
    </xf>
    <xf numFmtId="43" fontId="54" fillId="0" borderId="38" xfId="1" applyFont="1" applyBorder="1" applyAlignment="1">
      <alignment horizontal="left" vertical="top"/>
    </xf>
    <xf numFmtId="43" fontId="53" fillId="0" borderId="40" xfId="1" applyFont="1" applyBorder="1" applyAlignment="1">
      <alignment vertical="top"/>
    </xf>
    <xf numFmtId="43" fontId="51" fillId="0" borderId="41" xfId="1" applyFont="1" applyBorder="1" applyAlignment="1">
      <alignment vertical="top"/>
    </xf>
    <xf numFmtId="43" fontId="51" fillId="0" borderId="44" xfId="1" applyFont="1" applyBorder="1" applyAlignment="1">
      <alignment vertical="top"/>
    </xf>
    <xf numFmtId="43" fontId="54" fillId="0" borderId="44" xfId="1" applyFont="1" applyBorder="1" applyAlignment="1">
      <alignment vertical="top"/>
    </xf>
    <xf numFmtId="0" fontId="77" fillId="0" borderId="0" xfId="0" applyFont="1" applyAlignment="1">
      <alignment vertical="top"/>
    </xf>
    <xf numFmtId="43" fontId="77" fillId="0" borderId="0" xfId="1" applyFont="1" applyAlignment="1">
      <alignment vertical="top"/>
    </xf>
    <xf numFmtId="43" fontId="77" fillId="0" borderId="24" xfId="1" applyFont="1" applyBorder="1" applyAlignment="1">
      <alignment vertical="top"/>
    </xf>
    <xf numFmtId="0" fontId="78" fillId="39" borderId="21" xfId="0" applyFont="1" applyFill="1" applyBorder="1" applyAlignment="1">
      <alignment horizontal="center" vertical="center"/>
    </xf>
    <xf numFmtId="0" fontId="78" fillId="39" borderId="21" xfId="1" applyNumberFormat="1" applyFont="1" applyFill="1" applyBorder="1" applyAlignment="1">
      <alignment horizontal="center" vertical="center"/>
    </xf>
    <xf numFmtId="0" fontId="78" fillId="0" borderId="24" xfId="0" applyFont="1" applyBorder="1" applyAlignment="1">
      <alignment vertical="top"/>
    </xf>
    <xf numFmtId="0" fontId="79" fillId="0" borderId="21" xfId="0" applyFont="1" applyBorder="1"/>
    <xf numFmtId="0" fontId="80" fillId="0" borderId="21" xfId="0" applyFont="1" applyBorder="1" applyAlignment="1">
      <alignment vertical="top"/>
    </xf>
    <xf numFmtId="0" fontId="22" fillId="0" borderId="27" xfId="0" applyFont="1" applyBorder="1" applyAlignment="1">
      <alignment vertical="top"/>
    </xf>
    <xf numFmtId="0" fontId="22" fillId="0" borderId="11" xfId="0" applyFont="1" applyBorder="1" applyAlignment="1">
      <alignment vertical="top"/>
    </xf>
    <xf numFmtId="43" fontId="23" fillId="0" borderId="0" xfId="0" applyNumberFormat="1" applyFont="1"/>
    <xf numFmtId="164" fontId="22" fillId="0" borderId="0" xfId="0" applyNumberFormat="1" applyFont="1"/>
    <xf numFmtId="0" fontId="56" fillId="0" borderId="0" xfId="0" applyFont="1" applyAlignment="1">
      <alignment vertical="center"/>
    </xf>
    <xf numFmtId="43" fontId="56" fillId="0" borderId="0" xfId="1" applyFont="1" applyAlignment="1">
      <alignment vertical="center"/>
    </xf>
    <xf numFmtId="0" fontId="51" fillId="0" borderId="17" xfId="0" applyFont="1" applyBorder="1" applyAlignment="1">
      <alignment horizontal="left" vertical="center"/>
    </xf>
    <xf numFmtId="43" fontId="53" fillId="0" borderId="18" xfId="1" applyFont="1" applyBorder="1" applyAlignment="1">
      <alignment vertical="center"/>
    </xf>
    <xf numFmtId="0" fontId="51" fillId="0" borderId="17" xfId="0" applyFont="1" applyBorder="1" applyAlignment="1">
      <alignment horizontal="left" vertical="center" wrapText="1"/>
    </xf>
    <xf numFmtId="0" fontId="51" fillId="0" borderId="0" xfId="0" applyFont="1" applyAlignment="1">
      <alignment horizontal="left" vertical="center" wrapText="1"/>
    </xf>
    <xf numFmtId="0" fontId="51" fillId="0" borderId="18" xfId="0" applyFont="1" applyBorder="1" applyAlignment="1">
      <alignment horizontal="left" vertical="center" wrapText="1"/>
    </xf>
    <xf numFmtId="0" fontId="53" fillId="0" borderId="0" xfId="0" applyFont="1" applyAlignment="1">
      <alignment horizontal="left" vertical="center" wrapText="1"/>
    </xf>
    <xf numFmtId="0" fontId="53" fillId="0" borderId="18" xfId="0" applyFont="1" applyBorder="1" applyAlignment="1">
      <alignment horizontal="left" vertical="center" wrapText="1"/>
    </xf>
    <xf numFmtId="0" fontId="53" fillId="0" borderId="17" xfId="0" applyFont="1" applyBorder="1" applyAlignment="1">
      <alignment horizontal="left" vertical="center"/>
    </xf>
    <xf numFmtId="0" fontId="53" fillId="0" borderId="18" xfId="0" applyFont="1" applyBorder="1" applyAlignment="1">
      <alignment horizontal="left" vertical="center"/>
    </xf>
    <xf numFmtId="0" fontId="53" fillId="0" borderId="17" xfId="0" applyFont="1" applyBorder="1" applyAlignment="1">
      <alignment vertical="center"/>
    </xf>
    <xf numFmtId="0" fontId="53" fillId="0" borderId="19" xfId="0" applyFont="1" applyBorder="1" applyAlignment="1">
      <alignment vertical="center"/>
    </xf>
    <xf numFmtId="0" fontId="53" fillId="0" borderId="10" xfId="0" applyFont="1" applyBorder="1" applyAlignment="1">
      <alignment vertical="center"/>
    </xf>
    <xf numFmtId="166" fontId="53" fillId="0" borderId="10" xfId="0" applyNumberFormat="1" applyFont="1" applyBorder="1" applyAlignment="1">
      <alignment vertical="center"/>
    </xf>
    <xf numFmtId="0" fontId="53" fillId="0" borderId="20" xfId="0" applyFont="1" applyBorder="1" applyAlignment="1">
      <alignment vertical="center"/>
    </xf>
    <xf numFmtId="0" fontId="22" fillId="0" borderId="17" xfId="43" applyFont="1" applyBorder="1" applyAlignment="1">
      <alignment horizontal="center" vertical="center"/>
    </xf>
    <xf numFmtId="0" fontId="25" fillId="0" borderId="17" xfId="0" applyFont="1" applyBorder="1" applyAlignment="1">
      <alignment vertical="center"/>
    </xf>
    <xf numFmtId="43" fontId="43" fillId="0" borderId="0" xfId="1" applyFont="1" applyAlignment="1">
      <alignment horizontal="left" vertical="center"/>
    </xf>
    <xf numFmtId="167" fontId="43" fillId="0" borderId="18" xfId="1" applyNumberFormat="1" applyFont="1" applyBorder="1" applyAlignment="1">
      <alignment horizontal="left" vertical="center"/>
    </xf>
    <xf numFmtId="173" fontId="22" fillId="0" borderId="0" xfId="1" applyNumberFormat="1" applyFont="1" applyAlignment="1">
      <alignment horizontal="right" vertical="center"/>
    </xf>
    <xf numFmtId="0" fontId="82" fillId="0" borderId="17" xfId="0" applyFont="1" applyBorder="1" applyAlignment="1">
      <alignment vertical="center"/>
    </xf>
    <xf numFmtId="166" fontId="44" fillId="0" borderId="0" xfId="43" applyNumberFormat="1" applyFont="1" applyAlignment="1">
      <alignment vertical="center"/>
    </xf>
    <xf numFmtId="43" fontId="44" fillId="0" borderId="0" xfId="1" applyFont="1" applyAlignment="1">
      <alignment vertical="center"/>
    </xf>
    <xf numFmtId="167" fontId="43" fillId="0" borderId="18" xfId="1" applyNumberFormat="1" applyFont="1" applyBorder="1" applyAlignment="1">
      <alignment horizontal="right" vertical="center"/>
    </xf>
    <xf numFmtId="0" fontId="23" fillId="0" borderId="17" xfId="43" applyFont="1" applyBorder="1" applyAlignment="1">
      <alignment vertical="center"/>
    </xf>
    <xf numFmtId="0" fontId="22" fillId="0" borderId="17" xfId="43" applyFont="1" applyBorder="1" applyAlignment="1">
      <alignment vertical="center"/>
    </xf>
    <xf numFmtId="0" fontId="44" fillId="37" borderId="21" xfId="0" applyFont="1" applyFill="1" applyBorder="1" applyAlignment="1">
      <alignment horizontal="center" vertical="top" wrapText="1"/>
    </xf>
    <xf numFmtId="0" fontId="44" fillId="37" borderId="13" xfId="0" applyFont="1" applyFill="1" applyBorder="1" applyAlignment="1">
      <alignment horizontal="center" vertical="top" wrapText="1"/>
    </xf>
    <xf numFmtId="0" fontId="44" fillId="0" borderId="17" xfId="43" applyFont="1" applyBorder="1" applyAlignment="1">
      <alignment vertical="center"/>
    </xf>
    <xf numFmtId="166" fontId="44" fillId="0" borderId="18" xfId="43" applyNumberFormat="1" applyFont="1" applyBorder="1" applyAlignment="1">
      <alignment vertical="center"/>
    </xf>
    <xf numFmtId="0" fontId="44" fillId="0" borderId="22" xfId="43" applyFont="1" applyBorder="1" applyAlignment="1">
      <alignment horizontal="center" vertical="center"/>
    </xf>
    <xf numFmtId="0" fontId="44" fillId="0" borderId="18" xfId="43" applyFont="1" applyBorder="1" applyAlignment="1">
      <alignment horizontal="center" vertical="center"/>
    </xf>
    <xf numFmtId="0" fontId="43" fillId="0" borderId="17" xfId="43" applyFont="1" applyBorder="1" applyAlignment="1">
      <alignment vertical="center"/>
    </xf>
    <xf numFmtId="0" fontId="44" fillId="0" borderId="18" xfId="43" applyFont="1" applyBorder="1" applyAlignment="1">
      <alignment vertical="center"/>
    </xf>
    <xf numFmtId="0" fontId="44" fillId="0" borderId="23" xfId="43" applyFont="1" applyBorder="1" applyAlignment="1">
      <alignment horizontal="center" vertical="center"/>
    </xf>
    <xf numFmtId="43" fontId="44" fillId="0" borderId="23" xfId="1" applyFont="1" applyBorder="1" applyAlignment="1">
      <alignment vertical="center"/>
    </xf>
    <xf numFmtId="167" fontId="44" fillId="0" borderId="18" xfId="1" applyNumberFormat="1" applyFont="1" applyBorder="1" applyAlignment="1">
      <alignment vertical="center"/>
    </xf>
    <xf numFmtId="167" fontId="43" fillId="0" borderId="23" xfId="1" applyNumberFormat="1" applyFont="1" applyBorder="1" applyAlignment="1">
      <alignment vertical="center"/>
    </xf>
    <xf numFmtId="167" fontId="43" fillId="0" borderId="18" xfId="1" applyNumberFormat="1" applyFont="1" applyBorder="1" applyAlignment="1">
      <alignment vertical="center"/>
    </xf>
    <xf numFmtId="37" fontId="43" fillId="0" borderId="23" xfId="1" applyNumberFormat="1" applyFont="1" applyBorder="1" applyAlignment="1">
      <alignment horizontal="right" vertical="center"/>
    </xf>
    <xf numFmtId="167" fontId="44" fillId="0" borderId="21" xfId="1" applyNumberFormat="1" applyFont="1" applyBorder="1" applyAlignment="1">
      <alignment vertical="center"/>
    </xf>
    <xf numFmtId="167" fontId="44" fillId="0" borderId="13" xfId="1" applyNumberFormat="1" applyFont="1" applyBorder="1" applyAlignment="1">
      <alignment vertical="center"/>
    </xf>
    <xf numFmtId="167" fontId="44" fillId="0" borderId="23" xfId="1" applyNumberFormat="1" applyFont="1" applyBorder="1" applyAlignment="1">
      <alignment vertical="center"/>
    </xf>
    <xf numFmtId="37" fontId="44" fillId="0" borderId="21" xfId="1" applyNumberFormat="1" applyFont="1" applyBorder="1" applyAlignment="1">
      <alignment horizontal="right" vertical="center"/>
    </xf>
    <xf numFmtId="1" fontId="43" fillId="0" borderId="18" xfId="45" applyNumberFormat="1" applyFont="1" applyBorder="1" applyAlignment="1">
      <alignment horizontal="center" vertical="center"/>
    </xf>
    <xf numFmtId="167" fontId="43" fillId="0" borderId="23" xfId="1" applyNumberFormat="1" applyFont="1" applyBorder="1" applyAlignment="1">
      <alignment horizontal="center" vertical="center"/>
    </xf>
    <xf numFmtId="0" fontId="22" fillId="0" borderId="0" xfId="43" applyFont="1" applyAlignment="1">
      <alignment vertical="center"/>
    </xf>
    <xf numFmtId="167" fontId="44" fillId="0" borderId="13" xfId="1" applyNumberFormat="1" applyFont="1" applyBorder="1" applyAlignment="1">
      <alignment horizontal="right" vertical="center"/>
    </xf>
    <xf numFmtId="167" fontId="44" fillId="0" borderId="22" xfId="1" applyNumberFormat="1" applyFont="1" applyBorder="1" applyAlignment="1">
      <alignment vertical="center"/>
    </xf>
    <xf numFmtId="167" fontId="44" fillId="0" borderId="16" xfId="1" applyNumberFormat="1" applyFont="1" applyBorder="1" applyAlignment="1">
      <alignment horizontal="right" vertical="center"/>
    </xf>
    <xf numFmtId="167" fontId="44" fillId="0" borderId="21" xfId="1" applyNumberFormat="1" applyFont="1" applyBorder="1" applyAlignment="1">
      <alignment horizontal="center" vertical="center"/>
    </xf>
    <xf numFmtId="43" fontId="43" fillId="0" borderId="23" xfId="1" applyFont="1" applyBorder="1" applyAlignment="1">
      <alignment horizontal="center" vertical="center"/>
    </xf>
    <xf numFmtId="167" fontId="43" fillId="0" borderId="26" xfId="1" applyNumberFormat="1" applyFont="1" applyBorder="1" applyAlignment="1">
      <alignment vertical="center"/>
    </xf>
    <xf numFmtId="167" fontId="43" fillId="0" borderId="20" xfId="1" applyNumberFormat="1" applyFont="1" applyBorder="1" applyAlignment="1">
      <alignment vertical="center"/>
    </xf>
    <xf numFmtId="0" fontId="43" fillId="0" borderId="19" xfId="43" applyFont="1" applyBorder="1" applyAlignment="1">
      <alignment vertical="center"/>
    </xf>
    <xf numFmtId="1" fontId="43" fillId="0" borderId="20" xfId="45" applyNumberFormat="1" applyFont="1" applyBorder="1" applyAlignment="1">
      <alignment horizontal="center" vertical="center"/>
    </xf>
    <xf numFmtId="167" fontId="44" fillId="0" borderId="13" xfId="1" applyNumberFormat="1" applyFont="1" applyBorder="1" applyAlignment="1">
      <alignment horizontal="center" vertical="center"/>
    </xf>
    <xf numFmtId="1" fontId="43" fillId="0" borderId="0" xfId="45" applyNumberFormat="1" applyFont="1" applyAlignment="1">
      <alignment horizontal="center" vertical="center"/>
    </xf>
    <xf numFmtId="43" fontId="43" fillId="0" borderId="0" xfId="1" applyFont="1" applyAlignment="1">
      <alignment horizontal="center" vertical="center"/>
    </xf>
    <xf numFmtId="0" fontId="44" fillId="0" borderId="22" xfId="43" applyFont="1" applyBorder="1" applyAlignment="1">
      <alignment vertical="center"/>
    </xf>
    <xf numFmtId="1" fontId="44" fillId="0" borderId="22" xfId="45" applyNumberFormat="1" applyFont="1" applyBorder="1" applyAlignment="1">
      <alignment horizontal="center" vertical="center"/>
    </xf>
    <xf numFmtId="167" fontId="44" fillId="0" borderId="22" xfId="1" applyNumberFormat="1" applyFont="1" applyBorder="1" applyAlignment="1">
      <alignment horizontal="center" vertical="center"/>
    </xf>
    <xf numFmtId="167" fontId="44" fillId="0" borderId="16" xfId="1" applyNumberFormat="1" applyFont="1" applyBorder="1" applyAlignment="1">
      <alignment horizontal="center" vertical="center"/>
    </xf>
    <xf numFmtId="0" fontId="43" fillId="0" borderId="23" xfId="43" applyFont="1" applyBorder="1" applyAlignment="1">
      <alignment vertical="center"/>
    </xf>
    <xf numFmtId="10" fontId="43" fillId="0" borderId="23" xfId="74" applyNumberFormat="1" applyFont="1" applyBorder="1" applyAlignment="1">
      <alignment horizontal="right" vertical="center"/>
    </xf>
    <xf numFmtId="167" fontId="43" fillId="0" borderId="18" xfId="1" applyNumberFormat="1" applyFont="1" applyBorder="1" applyAlignment="1">
      <alignment horizontal="center" vertical="center"/>
    </xf>
    <xf numFmtId="0" fontId="22" fillId="0" borderId="19" xfId="43" applyFont="1" applyBorder="1" applyAlignment="1">
      <alignment horizontal="center" vertical="center"/>
    </xf>
    <xf numFmtId="0" fontId="44" fillId="0" borderId="26" xfId="43" applyFont="1" applyBorder="1" applyAlignment="1">
      <alignment vertical="center"/>
    </xf>
    <xf numFmtId="10" fontId="43" fillId="0" borderId="26" xfId="74" applyNumberFormat="1" applyFont="1" applyBorder="1" applyAlignment="1">
      <alignment horizontal="right" vertical="center"/>
    </xf>
    <xf numFmtId="0" fontId="22" fillId="0" borderId="0" xfId="43" applyFont="1" applyAlignment="1">
      <alignment horizontal="center" vertical="center"/>
    </xf>
    <xf numFmtId="167" fontId="43" fillId="0" borderId="0" xfId="1" applyNumberFormat="1" applyFont="1" applyAlignment="1">
      <alignment horizontal="right" vertical="center"/>
    </xf>
    <xf numFmtId="0" fontId="23" fillId="0" borderId="0" xfId="43" applyFont="1" applyAlignment="1">
      <alignment vertical="center"/>
    </xf>
    <xf numFmtId="0" fontId="43" fillId="0" borderId="0" xfId="0" applyFont="1" applyAlignment="1">
      <alignment vertical="center"/>
    </xf>
    <xf numFmtId="0" fontId="44" fillId="0" borderId="0" xfId="43" applyFont="1" applyAlignment="1">
      <alignment horizontal="center" vertical="center"/>
    </xf>
    <xf numFmtId="164" fontId="23" fillId="0" borderId="0" xfId="47" applyFont="1" applyAlignment="1">
      <alignment horizontal="center" vertical="center"/>
    </xf>
    <xf numFmtId="164" fontId="22" fillId="0" borderId="0" xfId="47" applyFont="1" applyAlignment="1">
      <alignment vertical="center"/>
    </xf>
    <xf numFmtId="43" fontId="49" fillId="0" borderId="0" xfId="0" applyNumberFormat="1" applyFont="1" applyAlignment="1">
      <alignment horizontal="center"/>
    </xf>
    <xf numFmtId="43" fontId="43" fillId="0" borderId="0" xfId="43" applyNumberFormat="1" applyFont="1" applyAlignment="1">
      <alignment horizontal="center" vertical="center"/>
    </xf>
    <xf numFmtId="0" fontId="44" fillId="0" borderId="0" xfId="0" applyFont="1" applyAlignment="1">
      <alignment vertical="center"/>
    </xf>
    <xf numFmtId="43" fontId="44" fillId="0" borderId="0" xfId="43" applyNumberFormat="1" applyFont="1" applyAlignment="1">
      <alignment horizontal="center" vertical="center"/>
    </xf>
    <xf numFmtId="43" fontId="44" fillId="0" borderId="0" xfId="43" applyNumberFormat="1" applyFont="1" applyAlignment="1">
      <alignment vertical="center"/>
    </xf>
    <xf numFmtId="164" fontId="23" fillId="0" borderId="0" xfId="47" applyFont="1" applyAlignment="1">
      <alignment vertical="center"/>
    </xf>
    <xf numFmtId="0" fontId="44" fillId="0" borderId="0" xfId="43" applyFont="1" applyAlignment="1">
      <alignment vertical="center"/>
    </xf>
    <xf numFmtId="43" fontId="43" fillId="0" borderId="0" xfId="43" applyNumberFormat="1" applyFont="1" applyAlignment="1">
      <alignment vertical="center"/>
    </xf>
    <xf numFmtId="43" fontId="44" fillId="0" borderId="0" xfId="1" applyFont="1" applyAlignment="1">
      <alignment horizontal="center" vertical="center" wrapText="1"/>
    </xf>
    <xf numFmtId="164" fontId="23" fillId="0" borderId="0" xfId="47" applyFont="1" applyAlignment="1">
      <alignment horizontal="center" vertical="center" wrapText="1"/>
    </xf>
    <xf numFmtId="164" fontId="44" fillId="0" borderId="0" xfId="47" applyFont="1" applyAlignment="1">
      <alignment horizontal="center" vertical="center" wrapText="1"/>
    </xf>
    <xf numFmtId="164" fontId="44" fillId="0" borderId="0" xfId="47" applyFont="1" applyAlignment="1">
      <alignment horizontal="center" vertical="center"/>
    </xf>
    <xf numFmtId="164" fontId="43" fillId="0" borderId="0" xfId="47" applyFont="1" applyAlignment="1">
      <alignment vertical="center"/>
    </xf>
    <xf numFmtId="0" fontId="22" fillId="0" borderId="0" xfId="0" applyFont="1" applyAlignment="1">
      <alignment horizontal="left" vertical="center"/>
    </xf>
    <xf numFmtId="0" fontId="23" fillId="0" borderId="0" xfId="0" applyFont="1" applyAlignment="1">
      <alignment horizontal="left" vertical="center"/>
    </xf>
    <xf numFmtId="164" fontId="44" fillId="0" borderId="0" xfId="47" applyFont="1" applyAlignment="1">
      <alignment vertical="center"/>
    </xf>
    <xf numFmtId="0" fontId="23" fillId="0" borderId="25" xfId="43" applyFont="1" applyBorder="1" applyAlignment="1">
      <alignment vertical="center"/>
    </xf>
    <xf numFmtId="0" fontId="43" fillId="0" borderId="25" xfId="0" applyFont="1" applyBorder="1" applyAlignment="1">
      <alignment vertical="center"/>
    </xf>
    <xf numFmtId="164" fontId="44" fillId="0" borderId="25" xfId="47" applyFont="1" applyBorder="1" applyAlignment="1">
      <alignment horizontal="center" vertical="center"/>
    </xf>
    <xf numFmtId="164" fontId="23" fillId="0" borderId="25" xfId="47" applyFont="1" applyBorder="1" applyAlignment="1">
      <alignment horizontal="center" vertical="center"/>
    </xf>
    <xf numFmtId="0" fontId="22" fillId="0" borderId="48" xfId="0" applyFont="1" applyBorder="1" applyAlignment="1">
      <alignment vertical="center"/>
    </xf>
    <xf numFmtId="0" fontId="43" fillId="0" borderId="48" xfId="0" applyFont="1" applyBorder="1" applyAlignment="1">
      <alignment vertical="center"/>
    </xf>
    <xf numFmtId="164" fontId="44" fillId="0" borderId="48" xfId="47" applyFont="1" applyBorder="1" applyAlignment="1">
      <alignment horizontal="center" vertical="center"/>
    </xf>
    <xf numFmtId="164" fontId="23" fillId="0" borderId="48" xfId="47" applyFont="1" applyBorder="1" applyAlignment="1">
      <alignment horizontal="center" vertical="center"/>
    </xf>
    <xf numFmtId="167" fontId="43" fillId="0" borderId="0" xfId="47" applyNumberFormat="1" applyFont="1" applyAlignment="1">
      <alignment vertical="center"/>
    </xf>
    <xf numFmtId="164" fontId="22" fillId="0" borderId="0" xfId="47" applyFont="1" applyAlignment="1">
      <alignment horizontal="right" vertical="center"/>
    </xf>
    <xf numFmtId="0" fontId="22" fillId="0" borderId="0" xfId="0" applyFont="1" applyAlignment="1">
      <alignment horizontal="left" vertical="center" wrapText="1"/>
    </xf>
    <xf numFmtId="167" fontId="44" fillId="0" borderId="49" xfId="47" applyNumberFormat="1" applyFont="1" applyBorder="1" applyAlignment="1">
      <alignment vertical="center"/>
    </xf>
    <xf numFmtId="164" fontId="23" fillId="0" borderId="49" xfId="47" applyFont="1" applyBorder="1" applyAlignment="1">
      <alignment vertical="center"/>
    </xf>
    <xf numFmtId="174" fontId="43" fillId="0" borderId="0" xfId="47" applyNumberFormat="1" applyFont="1" applyAlignment="1">
      <alignment vertical="center"/>
    </xf>
    <xf numFmtId="43" fontId="22" fillId="0" borderId="0" xfId="0" applyNumberFormat="1" applyFont="1" applyAlignment="1">
      <alignment vertical="top"/>
    </xf>
    <xf numFmtId="4" fontId="22" fillId="0" borderId="0" xfId="0" applyNumberFormat="1" applyFont="1" applyAlignment="1">
      <alignment vertical="top"/>
    </xf>
    <xf numFmtId="0" fontId="43" fillId="0" borderId="19" xfId="0" applyFont="1" applyBorder="1" applyAlignment="1">
      <alignment vertical="top"/>
    </xf>
    <xf numFmtId="43" fontId="51" fillId="0" borderId="0" xfId="1" applyFont="1" applyAlignment="1">
      <alignment horizontal="center" vertical="top" wrapText="1"/>
    </xf>
    <xf numFmtId="43" fontId="52" fillId="0" borderId="18" xfId="1" applyFont="1" applyBorder="1" applyAlignment="1">
      <alignment horizontal="right" vertical="top" wrapText="1"/>
    </xf>
    <xf numFmtId="43" fontId="51" fillId="37" borderId="21" xfId="1" applyFont="1" applyFill="1" applyBorder="1" applyAlignment="1">
      <alignment horizontal="center" vertical="center" wrapText="1"/>
    </xf>
    <xf numFmtId="43" fontId="53" fillId="0" borderId="23" xfId="1" applyFont="1" applyBorder="1" applyAlignment="1">
      <alignment horizontal="center" vertical="top"/>
    </xf>
    <xf numFmtId="43" fontId="53" fillId="0" borderId="23" xfId="1" applyFont="1" applyBorder="1" applyAlignment="1">
      <alignment vertical="top"/>
    </xf>
    <xf numFmtId="43" fontId="51" fillId="0" borderId="21" xfId="1" applyFont="1" applyBorder="1" applyAlignment="1">
      <alignment horizontal="center" vertical="top"/>
    </xf>
    <xf numFmtId="43" fontId="44" fillId="0" borderId="23" xfId="1" applyFont="1" applyBorder="1" applyAlignment="1">
      <alignment horizontal="center" vertical="top"/>
    </xf>
    <xf numFmtId="43" fontId="44" fillId="0" borderId="22" xfId="1" applyFont="1" applyBorder="1" applyAlignment="1">
      <alignment vertical="top"/>
    </xf>
    <xf numFmtId="43" fontId="43" fillId="0" borderId="23" xfId="1" applyFont="1" applyBorder="1" applyAlignment="1">
      <alignment horizontal="center" vertical="top"/>
    </xf>
    <xf numFmtId="43" fontId="44" fillId="0" borderId="23" xfId="1" applyFont="1" applyBorder="1" applyAlignment="1">
      <alignment vertical="top"/>
    </xf>
    <xf numFmtId="43" fontId="54" fillId="0" borderId="23" xfId="1" applyFont="1" applyBorder="1" applyAlignment="1">
      <alignment vertical="top"/>
    </xf>
    <xf numFmtId="43" fontId="54" fillId="0" borderId="26" xfId="1" applyFont="1" applyBorder="1" applyAlignment="1">
      <alignment horizontal="center" vertical="top"/>
    </xf>
    <xf numFmtId="43" fontId="51" fillId="0" borderId="21" xfId="1" applyFont="1" applyBorder="1" applyAlignment="1">
      <alignment vertical="top"/>
    </xf>
    <xf numFmtId="43" fontId="55" fillId="0" borderId="23" xfId="1" applyFont="1" applyBorder="1" applyAlignment="1">
      <alignment vertical="top"/>
    </xf>
    <xf numFmtId="43" fontId="53" fillId="0" borderId="0" xfId="1" applyFont="1" applyAlignment="1">
      <alignment horizontal="center" vertical="top"/>
    </xf>
    <xf numFmtId="43" fontId="53" fillId="0" borderId="18" xfId="1" applyFont="1" applyBorder="1" applyAlignment="1">
      <alignment vertical="top"/>
    </xf>
    <xf numFmtId="43" fontId="53" fillId="0" borderId="18" xfId="1" applyFont="1" applyBorder="1"/>
    <xf numFmtId="43" fontId="53" fillId="0" borderId="0" xfId="1" applyFont="1" applyAlignment="1">
      <alignment vertical="top"/>
    </xf>
    <xf numFmtId="43" fontId="51" fillId="0" borderId="0" xfId="1" applyFont="1" applyAlignment="1">
      <alignment horizontal="left" vertical="top"/>
    </xf>
    <xf numFmtId="43" fontId="43" fillId="0" borderId="18" xfId="1" applyFont="1" applyBorder="1" applyAlignment="1">
      <alignment vertical="top"/>
    </xf>
    <xf numFmtId="43" fontId="51" fillId="0" borderId="15" xfId="1" applyFont="1" applyBorder="1" applyAlignment="1">
      <alignment horizontal="center" vertical="top"/>
    </xf>
    <xf numFmtId="43" fontId="51" fillId="0" borderId="15" xfId="1" applyFont="1" applyBorder="1" applyAlignment="1">
      <alignment vertical="top"/>
    </xf>
    <xf numFmtId="43" fontId="53" fillId="0" borderId="10" xfId="1" applyFont="1" applyBorder="1" applyAlignment="1">
      <alignment vertical="top"/>
    </xf>
    <xf numFmtId="43" fontId="53" fillId="0" borderId="20" xfId="1" applyFont="1" applyBorder="1" applyAlignment="1">
      <alignment vertical="top"/>
    </xf>
    <xf numFmtId="43" fontId="54" fillId="0" borderId="0" xfId="1" applyFont="1" applyAlignment="1">
      <alignment vertical="top"/>
    </xf>
    <xf numFmtId="43" fontId="43" fillId="0" borderId="10" xfId="1" applyFont="1" applyBorder="1" applyAlignment="1">
      <alignment vertical="top"/>
    </xf>
    <xf numFmtId="43" fontId="43" fillId="0" borderId="20" xfId="1" applyFont="1" applyBorder="1" applyAlignment="1">
      <alignment vertical="top"/>
    </xf>
    <xf numFmtId="0" fontId="43" fillId="38" borderId="0" xfId="0" quotePrefix="1" applyFont="1" applyFill="1" applyAlignment="1">
      <alignment vertical="top"/>
    </xf>
    <xf numFmtId="43" fontId="54" fillId="0" borderId="23" xfId="1" applyFont="1" applyBorder="1" applyAlignment="1">
      <alignment horizontal="center"/>
    </xf>
    <xf numFmtId="43" fontId="43" fillId="0" borderId="23" xfId="1" applyFont="1" applyBorder="1" applyAlignment="1">
      <alignment horizontal="center"/>
    </xf>
    <xf numFmtId="43" fontId="51" fillId="0" borderId="21" xfId="1" applyFont="1" applyBorder="1" applyAlignment="1">
      <alignment horizontal="center"/>
    </xf>
    <xf numFmtId="43" fontId="44" fillId="0" borderId="23" xfId="1" applyFont="1" applyBorder="1" applyAlignment="1">
      <alignment horizontal="center"/>
    </xf>
    <xf numFmtId="43" fontId="43" fillId="0" borderId="23" xfId="1" applyFont="1" applyBorder="1"/>
    <xf numFmtId="43" fontId="54" fillId="0" borderId="23" xfId="1" applyFont="1" applyBorder="1"/>
    <xf numFmtId="43" fontId="51" fillId="0" borderId="22" xfId="1" applyFont="1" applyBorder="1"/>
    <xf numFmtId="43" fontId="44" fillId="0" borderId="22" xfId="1" applyFont="1" applyBorder="1"/>
    <xf numFmtId="43" fontId="44" fillId="0" borderId="23" xfId="1" applyFont="1" applyBorder="1"/>
    <xf numFmtId="43" fontId="53" fillId="0" borderId="23" xfId="1" applyFont="1" applyBorder="1"/>
    <xf numFmtId="43" fontId="54" fillId="0" borderId="0" xfId="1" applyFont="1"/>
    <xf numFmtId="43" fontId="51" fillId="0" borderId="13" xfId="1" applyFont="1" applyBorder="1"/>
    <xf numFmtId="0" fontId="43" fillId="40" borderId="21" xfId="0" applyFont="1" applyFill="1" applyBorder="1" applyAlignment="1">
      <alignment horizontal="left" vertical="top"/>
    </xf>
    <xf numFmtId="0" fontId="43" fillId="40" borderId="21" xfId="0" applyFont="1" applyFill="1" applyBorder="1" applyAlignment="1">
      <alignment horizontal="left"/>
    </xf>
    <xf numFmtId="0" fontId="43" fillId="40" borderId="0" xfId="0" applyFont="1" applyFill="1" applyAlignment="1">
      <alignment horizontal="left" vertical="top"/>
    </xf>
    <xf numFmtId="0" fontId="43" fillId="40" borderId="0" xfId="0" applyFont="1" applyFill="1" applyAlignment="1">
      <alignment horizontal="left"/>
    </xf>
    <xf numFmtId="0" fontId="49" fillId="40" borderId="21" xfId="0" applyFont="1" applyFill="1" applyBorder="1" applyAlignment="1">
      <alignment vertical="top"/>
    </xf>
    <xf numFmtId="0" fontId="49" fillId="40" borderId="21" xfId="0" applyFont="1" applyFill="1" applyBorder="1" applyAlignment="1">
      <alignment horizontal="left"/>
    </xf>
    <xf numFmtId="0" fontId="48" fillId="40" borderId="21" xfId="0" applyFont="1" applyFill="1" applyBorder="1" applyAlignment="1">
      <alignment horizontal="left" vertical="top"/>
    </xf>
    <xf numFmtId="0" fontId="48" fillId="40" borderId="21" xfId="0" applyFont="1" applyFill="1" applyBorder="1" applyAlignment="1">
      <alignment horizontal="left"/>
    </xf>
    <xf numFmtId="0" fontId="43" fillId="40" borderId="23" xfId="0" applyFont="1" applyFill="1" applyBorder="1" applyAlignment="1">
      <alignment horizontal="left" vertical="top"/>
    </xf>
    <xf numFmtId="0" fontId="43" fillId="40" borderId="23" xfId="0" applyFont="1" applyFill="1" applyBorder="1" applyAlignment="1">
      <alignment horizontal="left"/>
    </xf>
    <xf numFmtId="0" fontId="43" fillId="40" borderId="21" xfId="0" applyFont="1" applyFill="1" applyBorder="1" applyAlignment="1">
      <alignment vertical="top"/>
    </xf>
    <xf numFmtId="0" fontId="49" fillId="40" borderId="30" xfId="0" applyFont="1" applyFill="1" applyBorder="1" applyAlignment="1">
      <alignment horizontal="left"/>
    </xf>
    <xf numFmtId="0" fontId="49" fillId="40" borderId="23" xfId="0" applyFont="1" applyFill="1" applyBorder="1" applyAlignment="1">
      <alignment horizontal="left"/>
    </xf>
    <xf numFmtId="0" fontId="79" fillId="40" borderId="21" xfId="0" applyFont="1" applyFill="1" applyBorder="1"/>
    <xf numFmtId="0" fontId="81" fillId="40" borderId="21" xfId="0" applyFont="1" applyFill="1" applyBorder="1" applyAlignment="1">
      <alignment vertical="center"/>
    </xf>
    <xf numFmtId="43" fontId="53" fillId="0" borderId="17" xfId="1" applyFont="1" applyBorder="1" applyAlignment="1">
      <alignment vertical="center"/>
    </xf>
    <xf numFmtId="43" fontId="53" fillId="0" borderId="17" xfId="1" applyFont="1" applyBorder="1"/>
    <xf numFmtId="43" fontId="51" fillId="0" borderId="11" xfId="1" applyFont="1" applyBorder="1" applyAlignment="1">
      <alignment vertical="center"/>
    </xf>
    <xf numFmtId="43" fontId="51" fillId="0" borderId="12" xfId="1" applyFont="1" applyBorder="1" applyAlignment="1">
      <alignment vertical="center"/>
    </xf>
    <xf numFmtId="43" fontId="51" fillId="0" borderId="13" xfId="1" applyFont="1" applyBorder="1" applyAlignment="1">
      <alignment vertical="center"/>
    </xf>
    <xf numFmtId="43" fontId="53" fillId="0" borderId="11" xfId="1" applyFont="1" applyBorder="1" applyAlignment="1">
      <alignment vertical="center"/>
    </xf>
    <xf numFmtId="43" fontId="53" fillId="0" borderId="12" xfId="1" applyFont="1" applyBorder="1" applyAlignment="1">
      <alignment vertical="center"/>
    </xf>
    <xf numFmtId="43" fontId="53" fillId="0" borderId="13" xfId="1" applyFont="1" applyBorder="1" applyAlignment="1">
      <alignment vertical="center"/>
    </xf>
    <xf numFmtId="43" fontId="53" fillId="0" borderId="10" xfId="1" applyFont="1" applyBorder="1" applyAlignment="1">
      <alignment vertical="center"/>
    </xf>
    <xf numFmtId="43" fontId="53" fillId="0" borderId="20" xfId="1" applyFont="1" applyBorder="1" applyAlignment="1">
      <alignment vertical="center"/>
    </xf>
    <xf numFmtId="43" fontId="53" fillId="0" borderId="12" xfId="1" applyFont="1" applyBorder="1"/>
    <xf numFmtId="43" fontId="53" fillId="0" borderId="11" xfId="1" applyFont="1" applyBorder="1"/>
    <xf numFmtId="43" fontId="53" fillId="0" borderId="19" xfId="1" applyFont="1" applyBorder="1" applyAlignment="1">
      <alignment vertical="center"/>
    </xf>
    <xf numFmtId="43" fontId="53" fillId="0" borderId="14" xfId="1" applyFont="1" applyBorder="1" applyAlignment="1">
      <alignment vertical="center"/>
    </xf>
    <xf numFmtId="43" fontId="53" fillId="0" borderId="15" xfId="1" applyFont="1" applyBorder="1" applyAlignment="1">
      <alignment horizontal="right" vertical="top"/>
    </xf>
    <xf numFmtId="43" fontId="53" fillId="0" borderId="15" xfId="1" applyFont="1" applyBorder="1" applyAlignment="1">
      <alignment vertical="center"/>
    </xf>
    <xf numFmtId="43" fontId="53" fillId="0" borderId="16" xfId="1" applyFont="1" applyBorder="1" applyAlignment="1">
      <alignment vertical="center"/>
    </xf>
    <xf numFmtId="43" fontId="54" fillId="0" borderId="23" xfId="1" applyFont="1" applyBorder="1" applyAlignment="1">
      <alignment horizontal="right" vertical="top"/>
    </xf>
    <xf numFmtId="43" fontId="55" fillId="0" borderId="21" xfId="1" applyFont="1" applyBorder="1"/>
    <xf numFmtId="0" fontId="48" fillId="0" borderId="21" xfId="0" applyFont="1" applyBorder="1" applyAlignment="1">
      <alignment horizontal="left" vertical="top"/>
    </xf>
    <xf numFmtId="0" fontId="43" fillId="0" borderId="21" xfId="0" applyFont="1" applyBorder="1" applyAlignment="1">
      <alignment horizontal="left"/>
    </xf>
    <xf numFmtId="43" fontId="43" fillId="35" borderId="21" xfId="44" applyFont="1" applyFill="1" applyBorder="1" applyAlignment="1">
      <alignment horizontal="right" vertical="top"/>
    </xf>
    <xf numFmtId="0" fontId="49" fillId="0" borderId="21" xfId="0" applyFont="1" applyBorder="1" applyAlignment="1">
      <alignment horizontal="left"/>
    </xf>
    <xf numFmtId="43" fontId="54" fillId="40" borderId="23" xfId="1" applyFont="1" applyFill="1" applyBorder="1" applyAlignment="1">
      <alignment horizontal="right" vertical="top"/>
    </xf>
    <xf numFmtId="0" fontId="43" fillId="0" borderId="21" xfId="0" applyFont="1" applyBorder="1" applyAlignment="1">
      <alignment horizontal="left" vertical="top"/>
    </xf>
    <xf numFmtId="43" fontId="54" fillId="40" borderId="23" xfId="1" applyFont="1" applyFill="1" applyBorder="1"/>
    <xf numFmtId="43" fontId="55" fillId="0" borderId="22" xfId="1" applyFont="1" applyBorder="1" applyAlignment="1">
      <alignment horizontal="right" vertical="top"/>
    </xf>
    <xf numFmtId="43" fontId="55" fillId="0" borderId="23" xfId="1" applyFont="1" applyBorder="1" applyAlignment="1">
      <alignment horizontal="right" vertical="top"/>
    </xf>
    <xf numFmtId="43" fontId="54" fillId="0" borderId="17" xfId="1" applyFont="1" applyBorder="1" applyAlignment="1">
      <alignment horizontal="right" vertical="top"/>
    </xf>
    <xf numFmtId="43" fontId="55" fillId="0" borderId="29" xfId="1" applyFont="1" applyBorder="1" applyAlignment="1">
      <alignment vertical="top"/>
    </xf>
    <xf numFmtId="43" fontId="54" fillId="40" borderId="20" xfId="1" applyFont="1" applyFill="1" applyBorder="1" applyAlignment="1">
      <alignment horizontal="right" vertical="top"/>
    </xf>
    <xf numFmtId="43" fontId="43" fillId="37" borderId="21" xfId="44" applyFont="1" applyFill="1" applyBorder="1" applyAlignment="1">
      <alignment horizontal="right" vertical="top"/>
    </xf>
    <xf numFmtId="43" fontId="54" fillId="37" borderId="23" xfId="1" applyFont="1" applyFill="1" applyBorder="1" applyAlignment="1">
      <alignment horizontal="right" vertical="top"/>
    </xf>
    <xf numFmtId="43" fontId="55" fillId="0" borderId="21" xfId="1" applyFont="1" applyBorder="1" applyAlignment="1">
      <alignment vertical="top"/>
    </xf>
    <xf numFmtId="43" fontId="55" fillId="0" borderId="22" xfId="1" applyFont="1" applyBorder="1"/>
    <xf numFmtId="43" fontId="55" fillId="0" borderId="14" xfId="1" applyFont="1" applyBorder="1"/>
    <xf numFmtId="0" fontId="48" fillId="0" borderId="21" xfId="0" applyFont="1" applyBorder="1" applyAlignment="1">
      <alignment horizontal="left"/>
    </xf>
    <xf numFmtId="43" fontId="51" fillId="37" borderId="22" xfId="1" applyFont="1" applyFill="1" applyBorder="1"/>
    <xf numFmtId="43" fontId="51" fillId="37" borderId="21" xfId="1" applyFont="1" applyFill="1" applyBorder="1"/>
    <xf numFmtId="43" fontId="54" fillId="37" borderId="23" xfId="1" applyFont="1" applyFill="1" applyBorder="1" applyAlignment="1">
      <alignment horizontal="center" vertical="center"/>
    </xf>
    <xf numFmtId="43" fontId="54" fillId="0" borderId="23" xfId="1" applyFont="1" applyBorder="1" applyAlignment="1">
      <alignment vertical="top" wrapText="1"/>
    </xf>
    <xf numFmtId="43" fontId="54" fillId="0" borderId="22" xfId="1" applyFont="1" applyBorder="1" applyAlignment="1">
      <alignment vertical="top" wrapText="1"/>
    </xf>
    <xf numFmtId="43" fontId="43" fillId="0" borderId="22" xfId="1" applyFont="1" applyBorder="1" applyAlignment="1">
      <alignment vertical="top" wrapText="1"/>
    </xf>
    <xf numFmtId="43" fontId="54" fillId="0" borderId="18" xfId="1" applyFont="1" applyBorder="1" applyAlignment="1">
      <alignment vertical="top"/>
    </xf>
    <xf numFmtId="43" fontId="51" fillId="0" borderId="10" xfId="1" applyFont="1" applyBorder="1" applyAlignment="1">
      <alignment vertical="top"/>
    </xf>
    <xf numFmtId="43" fontId="51" fillId="0" borderId="20" xfId="1" applyFont="1" applyBorder="1" applyAlignment="1">
      <alignment vertical="top"/>
    </xf>
    <xf numFmtId="0" fontId="43" fillId="37" borderId="21" xfId="0" applyFont="1" applyFill="1" applyBorder="1" applyAlignment="1">
      <alignment horizontal="left" vertical="top"/>
    </xf>
    <xf numFmtId="0" fontId="43" fillId="37" borderId="21" xfId="0" applyFont="1" applyFill="1" applyBorder="1" applyAlignment="1">
      <alignment horizontal="left"/>
    </xf>
    <xf numFmtId="0" fontId="49" fillId="37" borderId="21" xfId="0" applyFont="1" applyFill="1" applyBorder="1" applyAlignment="1">
      <alignment horizontal="left"/>
    </xf>
    <xf numFmtId="0" fontId="49" fillId="37" borderId="21" xfId="0" applyFont="1" applyFill="1" applyBorder="1" applyAlignment="1">
      <alignment vertical="top"/>
    </xf>
    <xf numFmtId="0" fontId="49" fillId="37" borderId="0" xfId="0" applyFont="1" applyFill="1" applyAlignment="1">
      <alignment vertical="top"/>
    </xf>
    <xf numFmtId="0" fontId="49" fillId="37" borderId="23" xfId="0" applyFont="1" applyFill="1" applyBorder="1" applyAlignment="1">
      <alignment horizontal="left"/>
    </xf>
    <xf numFmtId="0" fontId="49" fillId="37" borderId="21" xfId="0" applyFont="1" applyFill="1" applyBorder="1" applyAlignment="1">
      <alignment horizontal="left" vertical="top"/>
    </xf>
    <xf numFmtId="0" fontId="48" fillId="37" borderId="21" xfId="0" applyFont="1" applyFill="1" applyBorder="1" applyAlignment="1">
      <alignment horizontal="left" vertical="top"/>
    </xf>
    <xf numFmtId="43" fontId="52" fillId="0" borderId="18" xfId="1" applyFont="1" applyBorder="1" applyAlignment="1">
      <alignment horizontal="right"/>
    </xf>
    <xf numFmtId="43" fontId="51" fillId="37" borderId="13" xfId="1" applyFont="1" applyFill="1" applyBorder="1" applyAlignment="1">
      <alignment horizontal="center" vertical="center" wrapText="1"/>
    </xf>
    <xf numFmtId="43" fontId="51" fillId="0" borderId="23" xfId="1" applyFont="1" applyBorder="1"/>
    <xf numFmtId="43" fontId="51" fillId="0" borderId="18" xfId="1" applyFont="1" applyBorder="1"/>
    <xf numFmtId="43" fontId="55" fillId="0" borderId="18" xfId="1" applyFont="1" applyBorder="1"/>
    <xf numFmtId="43" fontId="55" fillId="0" borderId="13" xfId="1" applyFont="1" applyBorder="1"/>
    <xf numFmtId="43" fontId="51" fillId="0" borderId="0" xfId="1" applyFont="1"/>
    <xf numFmtId="43" fontId="55" fillId="0" borderId="23" xfId="1" applyFont="1" applyBorder="1"/>
    <xf numFmtId="43" fontId="55" fillId="0" borderId="26" xfId="1" applyFont="1" applyBorder="1"/>
    <xf numFmtId="43" fontId="55" fillId="0" borderId="20" xfId="1" applyFont="1" applyBorder="1"/>
    <xf numFmtId="43" fontId="51" fillId="0" borderId="15" xfId="1" applyFont="1" applyBorder="1"/>
    <xf numFmtId="43" fontId="51" fillId="0" borderId="16" xfId="1" applyFont="1" applyBorder="1"/>
    <xf numFmtId="43" fontId="54" fillId="0" borderId="26" xfId="1" applyFont="1" applyBorder="1"/>
    <xf numFmtId="43" fontId="54" fillId="0" borderId="23" xfId="1" applyFont="1" applyBorder="1" applyAlignment="1">
      <alignment wrapText="1"/>
    </xf>
    <xf numFmtId="43" fontId="54" fillId="0" borderId="18" xfId="1" applyFont="1" applyBorder="1" applyAlignment="1">
      <alignment wrapText="1"/>
    </xf>
    <xf numFmtId="43" fontId="55" fillId="0" borderId="0" xfId="1" applyFont="1"/>
    <xf numFmtId="43" fontId="55" fillId="0" borderId="10" xfId="1" applyFont="1" applyBorder="1"/>
    <xf numFmtId="43" fontId="83" fillId="0" borderId="23" xfId="1" applyFont="1" applyBorder="1" applyAlignment="1">
      <alignment horizontal="center"/>
    </xf>
    <xf numFmtId="43" fontId="54" fillId="0" borderId="11" xfId="1" applyFont="1" applyBorder="1" applyAlignment="1">
      <alignment horizontal="center" vertical="top"/>
    </xf>
    <xf numFmtId="43" fontId="54" fillId="0" borderId="21" xfId="1" applyFont="1" applyBorder="1" applyAlignment="1">
      <alignment horizontal="center" vertical="top"/>
    </xf>
    <xf numFmtId="43" fontId="54" fillId="0" borderId="11" xfId="1" applyFont="1" applyBorder="1" applyAlignment="1">
      <alignment vertical="top"/>
    </xf>
    <xf numFmtId="43" fontId="54" fillId="0" borderId="21" xfId="1" applyFont="1" applyBorder="1" applyAlignment="1">
      <alignment vertical="top"/>
    </xf>
    <xf numFmtId="43" fontId="51" fillId="0" borderId="11" xfId="1" applyFont="1" applyBorder="1" applyAlignment="1">
      <alignment horizontal="center" vertical="top"/>
    </xf>
    <xf numFmtId="43" fontId="54" fillId="0" borderId="14" xfId="1" applyFont="1" applyBorder="1" applyAlignment="1">
      <alignment horizontal="center" vertical="center"/>
    </xf>
    <xf numFmtId="43" fontId="51" fillId="0" borderId="11" xfId="1" applyFont="1" applyBorder="1"/>
    <xf numFmtId="43" fontId="54" fillId="0" borderId="21" xfId="1" applyFont="1" applyBorder="1" applyAlignment="1">
      <alignment horizontal="center" vertical="center"/>
    </xf>
    <xf numFmtId="43" fontId="55" fillId="0" borderId="11" xfId="1" applyFont="1" applyBorder="1" applyAlignment="1">
      <alignment vertical="center"/>
    </xf>
    <xf numFmtId="43" fontId="55" fillId="0" borderId="13" xfId="1" applyFont="1" applyBorder="1" applyAlignment="1">
      <alignment vertical="center"/>
    </xf>
    <xf numFmtId="43" fontId="44" fillId="0" borderId="17" xfId="1" applyFont="1" applyBorder="1" applyAlignment="1">
      <alignment vertical="center"/>
    </xf>
    <xf numFmtId="43" fontId="44" fillId="0" borderId="18" xfId="1" applyFont="1" applyBorder="1" applyAlignment="1">
      <alignment vertical="center"/>
    </xf>
    <xf numFmtId="43" fontId="43" fillId="0" borderId="18" xfId="1" applyFont="1" applyBorder="1"/>
    <xf numFmtId="43" fontId="54" fillId="0" borderId="18" xfId="1" applyFont="1" applyBorder="1" applyAlignment="1">
      <alignment horizontal="right" vertical="top"/>
    </xf>
    <xf numFmtId="43" fontId="55" fillId="0" borderId="18" xfId="1" applyFont="1" applyBorder="1" applyAlignment="1">
      <alignment horizontal="right" vertical="top"/>
    </xf>
    <xf numFmtId="43" fontId="64" fillId="0" borderId="18" xfId="1" applyFont="1" applyBorder="1" applyAlignment="1">
      <alignment horizontal="right"/>
    </xf>
    <xf numFmtId="43" fontId="51" fillId="37" borderId="21" xfId="1" applyFont="1" applyFill="1" applyBorder="1" applyAlignment="1">
      <alignment horizontal="center" vertical="top" wrapText="1"/>
    </xf>
    <xf numFmtId="43" fontId="51" fillId="37" borderId="13" xfId="1" applyFont="1" applyFill="1" applyBorder="1" applyAlignment="1">
      <alignment horizontal="center" vertical="top" wrapText="1"/>
    </xf>
    <xf numFmtId="43" fontId="55" fillId="0" borderId="23" xfId="1" applyFont="1" applyBorder="1" applyAlignment="1">
      <alignment horizontal="center" vertical="top" wrapText="1"/>
    </xf>
    <xf numFmtId="43" fontId="55" fillId="0" borderId="18" xfId="1" applyFont="1" applyBorder="1" applyAlignment="1">
      <alignment horizontal="center" vertical="top" wrapText="1"/>
    </xf>
    <xf numFmtId="43" fontId="55" fillId="0" borderId="13" xfId="1" applyFont="1" applyBorder="1" applyAlignment="1">
      <alignment vertical="top"/>
    </xf>
    <xf numFmtId="43" fontId="55" fillId="0" borderId="16" xfId="1" applyFont="1" applyBorder="1"/>
    <xf numFmtId="43" fontId="55" fillId="0" borderId="17" xfId="1" applyFont="1" applyBorder="1"/>
    <xf numFmtId="43" fontId="54" fillId="0" borderId="0" xfId="1" applyFont="1" applyAlignment="1">
      <alignment horizontal="right" vertical="top"/>
    </xf>
    <xf numFmtId="43" fontId="54" fillId="0" borderId="17" xfId="1" applyFont="1" applyBorder="1" applyAlignment="1">
      <alignment vertical="top" wrapText="1"/>
    </xf>
    <xf numFmtId="43" fontId="54" fillId="0" borderId="18" xfId="1" applyFont="1" applyBorder="1" applyAlignment="1">
      <alignment vertical="top" wrapText="1"/>
    </xf>
    <xf numFmtId="43" fontId="54" fillId="0" borderId="10" xfId="1" applyFont="1" applyBorder="1" applyAlignment="1">
      <alignment vertical="top" wrapText="1"/>
    </xf>
    <xf numFmtId="43" fontId="54" fillId="0" borderId="20" xfId="1" applyFont="1" applyBorder="1" applyAlignment="1">
      <alignment vertical="top" wrapText="1"/>
    </xf>
    <xf numFmtId="43" fontId="55" fillId="0" borderId="15" xfId="1" applyFont="1" applyBorder="1"/>
    <xf numFmtId="43" fontId="55" fillId="0" borderId="16" xfId="1" applyFont="1" applyBorder="1" applyAlignment="1">
      <alignment horizontal="right" vertical="top"/>
    </xf>
    <xf numFmtId="43" fontId="44" fillId="0" borderId="0" xfId="1" applyFont="1" applyAlignment="1">
      <alignment vertical="top"/>
    </xf>
    <xf numFmtId="43" fontId="51" fillId="0" borderId="36" xfId="1" applyFont="1" applyBorder="1"/>
    <xf numFmtId="43" fontId="51" fillId="0" borderId="43" xfId="1" applyFont="1" applyBorder="1"/>
    <xf numFmtId="43" fontId="51" fillId="0" borderId="36" xfId="1" applyFont="1" applyBorder="1" applyAlignment="1">
      <alignment vertical="center" wrapText="1"/>
    </xf>
    <xf numFmtId="43" fontId="51" fillId="0" borderId="37" xfId="1" applyFont="1" applyBorder="1" applyAlignment="1">
      <alignment vertical="center" wrapText="1"/>
    </xf>
    <xf numFmtId="43" fontId="51" fillId="0" borderId="38" xfId="1" applyFont="1" applyBorder="1" applyAlignment="1">
      <alignment vertical="top"/>
    </xf>
    <xf numFmtId="43" fontId="55" fillId="0" borderId="44" xfId="1" applyFont="1" applyBorder="1" applyAlignment="1">
      <alignment vertical="top"/>
    </xf>
    <xf numFmtId="43" fontId="63" fillId="0" borderId="0" xfId="1" applyFont="1" applyAlignment="1">
      <alignment vertical="top"/>
    </xf>
    <xf numFmtId="43" fontId="55" fillId="0" borderId="38" xfId="1" applyFont="1" applyBorder="1" applyAlignment="1">
      <alignment vertical="top"/>
    </xf>
    <xf numFmtId="43" fontId="53" fillId="0" borderId="44" xfId="1" applyFont="1" applyBorder="1" applyAlignment="1">
      <alignment vertical="top"/>
    </xf>
    <xf numFmtId="43" fontId="51" fillId="0" borderId="40" xfId="1" applyFont="1" applyBorder="1" applyAlignment="1">
      <alignment vertical="top"/>
    </xf>
    <xf numFmtId="43" fontId="51" fillId="0" borderId="45" xfId="1" applyFont="1" applyBorder="1" applyAlignment="1">
      <alignment vertical="top"/>
    </xf>
    <xf numFmtId="43" fontId="43" fillId="0" borderId="19" xfId="1" applyFont="1" applyBorder="1" applyAlignment="1">
      <alignment vertical="top"/>
    </xf>
    <xf numFmtId="43" fontId="44" fillId="0" borderId="14" xfId="1" quotePrefix="1" applyFont="1" applyBorder="1" applyAlignment="1">
      <alignment horizontal="center" vertical="top" wrapText="1"/>
    </xf>
    <xf numFmtId="43" fontId="43" fillId="0" borderId="16" xfId="1" applyFont="1" applyBorder="1" applyAlignment="1">
      <alignment vertical="top"/>
    </xf>
    <xf numFmtId="43" fontId="43" fillId="0" borderId="17" xfId="1" applyFont="1" applyBorder="1" applyAlignment="1">
      <alignment vertical="top"/>
    </xf>
    <xf numFmtId="43" fontId="44" fillId="0" borderId="17" xfId="1" applyFont="1" applyBorder="1" applyAlignment="1">
      <alignment vertical="top"/>
    </xf>
    <xf numFmtId="43" fontId="44" fillId="0" borderId="19" xfId="1" applyFont="1" applyBorder="1" applyAlignment="1">
      <alignment vertical="top"/>
    </xf>
    <xf numFmtId="43" fontId="44" fillId="0" borderId="0" xfId="1" applyFont="1" applyAlignment="1">
      <alignment horizontal="left" vertical="top"/>
    </xf>
    <xf numFmtId="43" fontId="44" fillId="0" borderId="18" xfId="1" applyFont="1" applyBorder="1" applyAlignment="1">
      <alignment horizontal="right" vertical="top"/>
    </xf>
    <xf numFmtId="43" fontId="55" fillId="0" borderId="0" xfId="1" applyFont="1" applyAlignment="1">
      <alignment horizontal="justify" vertical="top"/>
    </xf>
    <xf numFmtId="43" fontId="55" fillId="0" borderId="10" xfId="1" applyFont="1" applyBorder="1" applyAlignment="1">
      <alignment horizontal="justify" vertical="top"/>
    </xf>
    <xf numFmtId="43" fontId="51" fillId="0" borderId="12" xfId="1" applyFont="1" applyBorder="1" applyAlignment="1">
      <alignment horizontal="right" vertical="top"/>
    </xf>
    <xf numFmtId="43" fontId="44" fillId="0" borderId="20" xfId="1" applyFont="1" applyBorder="1" applyAlignment="1">
      <alignment horizontal="right" vertical="top"/>
    </xf>
    <xf numFmtId="43" fontId="55" fillId="0" borderId="0" xfId="1" applyFont="1" applyAlignment="1">
      <alignment horizontal="left" vertical="top"/>
    </xf>
    <xf numFmtId="43" fontId="43" fillId="0" borderId="46" xfId="1" applyFont="1" applyBorder="1" applyAlignment="1">
      <alignment vertical="top"/>
    </xf>
    <xf numFmtId="43" fontId="54" fillId="0" borderId="25" xfId="1" applyFont="1" applyBorder="1" applyAlignment="1">
      <alignment vertical="top"/>
    </xf>
    <xf numFmtId="43" fontId="43" fillId="0" borderId="25" xfId="1" applyFont="1" applyBorder="1" applyAlignment="1">
      <alignment vertical="top"/>
    </xf>
    <xf numFmtId="43" fontId="43" fillId="0" borderId="47" xfId="1" applyFont="1" applyBorder="1" applyAlignment="1">
      <alignment vertical="top"/>
    </xf>
    <xf numFmtId="43" fontId="43" fillId="33" borderId="0" xfId="1" applyFont="1" applyFill="1" applyAlignment="1">
      <alignment vertical="top"/>
    </xf>
    <xf numFmtId="43" fontId="43" fillId="33" borderId="0" xfId="1" applyFont="1" applyFill="1"/>
    <xf numFmtId="0" fontId="51" fillId="0" borderId="21" xfId="1" quotePrefix="1" applyNumberFormat="1" applyFont="1" applyBorder="1" applyAlignment="1">
      <alignment horizontal="center" vertical="top" wrapText="1"/>
    </xf>
    <xf numFmtId="0" fontId="51" fillId="0" borderId="13" xfId="1" quotePrefix="1" applyNumberFormat="1" applyFont="1" applyBorder="1" applyAlignment="1">
      <alignment horizontal="center" vertical="top" wrapText="1"/>
    </xf>
    <xf numFmtId="175" fontId="43" fillId="0" borderId="20" xfId="1" applyNumberFormat="1" applyFont="1" applyBorder="1" applyAlignment="1">
      <alignment vertical="top"/>
    </xf>
    <xf numFmtId="4" fontId="0" fillId="0" borderId="0" xfId="0" applyNumberFormat="1"/>
    <xf numFmtId="43" fontId="63" fillId="0" borderId="0" xfId="1" applyFont="1"/>
    <xf numFmtId="43" fontId="67" fillId="0" borderId="18" xfId="1" applyFont="1" applyBorder="1" applyAlignment="1">
      <alignment horizontal="right"/>
    </xf>
    <xf numFmtId="43" fontId="63" fillId="38" borderId="0" xfId="1" applyFont="1" applyFill="1"/>
    <xf numFmtId="43" fontId="67" fillId="38" borderId="0" xfId="1" applyFont="1" applyFill="1" applyAlignment="1">
      <alignment horizontal="right"/>
    </xf>
    <xf numFmtId="43" fontId="67" fillId="0" borderId="0" xfId="1" applyFont="1" applyAlignment="1">
      <alignment horizontal="right"/>
    </xf>
    <xf numFmtId="43" fontId="51" fillId="0" borderId="18" xfId="1" applyFont="1" applyBorder="1" applyAlignment="1">
      <alignment horizontal="center" vertical="top" wrapText="1"/>
    </xf>
    <xf numFmtId="43" fontId="55" fillId="0" borderId="13" xfId="1" applyFont="1" applyBorder="1" applyAlignment="1">
      <alignment horizontal="right" vertical="top"/>
    </xf>
    <xf numFmtId="43" fontId="55" fillId="0" borderId="0" xfId="1" applyFont="1" applyAlignment="1">
      <alignment horizontal="right" vertical="top"/>
    </xf>
    <xf numFmtId="43" fontId="55" fillId="0" borderId="26" xfId="1" applyFont="1" applyBorder="1" applyAlignment="1">
      <alignment horizontal="right" vertical="top"/>
    </xf>
    <xf numFmtId="43" fontId="55" fillId="0" borderId="20" xfId="1" applyFont="1" applyBorder="1" applyAlignment="1">
      <alignment horizontal="right" vertical="top"/>
    </xf>
    <xf numFmtId="43" fontId="55" fillId="0" borderId="12" xfId="1" applyFont="1" applyBorder="1" applyAlignment="1">
      <alignment horizontal="right" vertical="top"/>
    </xf>
    <xf numFmtId="43" fontId="51" fillId="0" borderId="23" xfId="1" applyFont="1" applyBorder="1" applyAlignment="1">
      <alignment horizontal="center" vertical="top" wrapText="1"/>
    </xf>
    <xf numFmtId="43" fontId="63" fillId="0" borderId="18" xfId="1" applyFont="1" applyBorder="1" applyAlignment="1">
      <alignment horizontal="left" vertical="center" wrapText="1"/>
    </xf>
    <xf numFmtId="43" fontId="55" fillId="0" borderId="21" xfId="1" applyFont="1" applyBorder="1" applyAlignment="1">
      <alignment horizontal="right" vertical="top"/>
    </xf>
    <xf numFmtId="43" fontId="63" fillId="0" borderId="10" xfId="1" applyFont="1" applyBorder="1" applyAlignment="1">
      <alignment horizontal="right" vertical="top"/>
    </xf>
    <xf numFmtId="43" fontId="63" fillId="0" borderId="20" xfId="1" applyFont="1" applyBorder="1" applyAlignment="1">
      <alignment horizontal="right" vertical="top"/>
    </xf>
    <xf numFmtId="43" fontId="44" fillId="0" borderId="21" xfId="1" applyFont="1" applyBorder="1"/>
    <xf numFmtId="43" fontId="44" fillId="0" borderId="13" xfId="1" applyFont="1" applyBorder="1"/>
    <xf numFmtId="43" fontId="51" fillId="0" borderId="22" xfId="1" applyFont="1" applyBorder="1" applyAlignment="1">
      <alignment horizontal="center" vertical="top" wrapText="1"/>
    </xf>
    <xf numFmtId="43" fontId="66" fillId="0" borderId="23" xfId="1" applyFont="1" applyBorder="1" applyAlignment="1">
      <alignment horizontal="center" vertical="center" wrapText="1"/>
    </xf>
    <xf numFmtId="43" fontId="66" fillId="0" borderId="18" xfId="1" applyFont="1" applyBorder="1" applyAlignment="1">
      <alignment horizontal="center" vertical="center" wrapText="1"/>
    </xf>
    <xf numFmtId="43" fontId="66" fillId="0" borderId="0" xfId="1" applyFont="1"/>
    <xf numFmtId="43" fontId="66" fillId="0" borderId="12" xfId="1" applyFont="1" applyBorder="1"/>
    <xf numFmtId="43" fontId="66" fillId="0" borderId="21" xfId="1" applyFont="1" applyBorder="1"/>
    <xf numFmtId="43" fontId="66" fillId="0" borderId="13" xfId="1" applyFont="1" applyBorder="1"/>
    <xf numFmtId="43" fontId="66" fillId="0" borderId="10" xfId="1" applyFont="1" applyBorder="1"/>
    <xf numFmtId="43" fontId="66" fillId="0" borderId="20" xfId="1" applyFont="1" applyBorder="1"/>
    <xf numFmtId="43" fontId="51" fillId="0" borderId="16" xfId="1" applyFont="1" applyBorder="1" applyAlignment="1">
      <alignment horizontal="center" vertical="top" wrapText="1"/>
    </xf>
    <xf numFmtId="43" fontId="54" fillId="0" borderId="20" xfId="1" applyFont="1" applyBorder="1" applyAlignment="1">
      <alignment horizontal="right" vertical="top"/>
    </xf>
    <xf numFmtId="43" fontId="22" fillId="38" borderId="0" xfId="1" applyFont="1" applyFill="1"/>
    <xf numFmtId="43" fontId="22" fillId="38" borderId="0" xfId="0" applyNumberFormat="1" applyFont="1" applyFill="1"/>
    <xf numFmtId="43" fontId="78" fillId="39" borderId="21" xfId="1" applyFont="1" applyFill="1" applyBorder="1" applyAlignment="1">
      <alignment horizontal="center" vertical="center"/>
    </xf>
    <xf numFmtId="4" fontId="0" fillId="0" borderId="0" xfId="0" applyNumberFormat="1" applyAlignment="1">
      <alignment horizontal="right" vertical="top"/>
    </xf>
    <xf numFmtId="43" fontId="20" fillId="0" borderId="18" xfId="1" applyNumberFormat="1" applyFont="1" applyBorder="1"/>
    <xf numFmtId="43" fontId="54" fillId="41" borderId="23" xfId="1" applyFont="1" applyFill="1" applyBorder="1" applyAlignment="1">
      <alignment horizontal="center"/>
    </xf>
    <xf numFmtId="43" fontId="83" fillId="41" borderId="23" xfId="1" applyFont="1" applyFill="1" applyBorder="1" applyAlignment="1">
      <alignment horizontal="center"/>
    </xf>
    <xf numFmtId="4" fontId="22" fillId="0" borderId="0" xfId="0" applyNumberFormat="1" applyFont="1"/>
    <xf numFmtId="43" fontId="83" fillId="0" borderId="23" xfId="1" applyFont="1" applyBorder="1"/>
    <xf numFmtId="43" fontId="54" fillId="41" borderId="23" xfId="1" applyFont="1" applyFill="1" applyBorder="1"/>
    <xf numFmtId="43" fontId="54" fillId="41" borderId="23" xfId="1" applyFont="1" applyFill="1" applyBorder="1" applyAlignment="1">
      <alignment horizontal="right" vertical="top"/>
    </xf>
    <xf numFmtId="43" fontId="54" fillId="41" borderId="20" xfId="1" applyFont="1" applyFill="1" applyBorder="1" applyAlignment="1">
      <alignment horizontal="right" vertical="top"/>
    </xf>
    <xf numFmtId="0" fontId="22" fillId="0" borderId="23" xfId="0" applyFont="1" applyFill="1" applyBorder="1"/>
    <xf numFmtId="166" fontId="22" fillId="0" borderId="18" xfId="1" applyNumberFormat="1" applyFont="1" applyFill="1" applyBorder="1"/>
    <xf numFmtId="43" fontId="43" fillId="0" borderId="0" xfId="0" applyNumberFormat="1" applyFont="1" applyAlignment="1">
      <alignment vertical="top"/>
    </xf>
    <xf numFmtId="43" fontId="53" fillId="42" borderId="23" xfId="1" applyFont="1" applyFill="1" applyBorder="1"/>
    <xf numFmtId="43" fontId="43" fillId="42" borderId="21" xfId="44" applyFont="1" applyFill="1" applyBorder="1" applyAlignment="1">
      <alignment horizontal="right" vertical="top"/>
    </xf>
    <xf numFmtId="43" fontId="54" fillId="42" borderId="23" xfId="1" applyFont="1" applyFill="1" applyBorder="1"/>
    <xf numFmtId="43" fontId="83" fillId="42" borderId="23" xfId="1" applyFont="1" applyFill="1" applyBorder="1"/>
    <xf numFmtId="43" fontId="54" fillId="42" borderId="23" xfId="1" applyFont="1" applyFill="1" applyBorder="1" applyAlignment="1">
      <alignment horizontal="center"/>
    </xf>
    <xf numFmtId="43" fontId="43" fillId="42" borderId="21" xfId="1" applyFont="1" applyFill="1" applyBorder="1" applyAlignment="1">
      <alignment horizontal="right" vertical="top"/>
    </xf>
    <xf numFmtId="43" fontId="22" fillId="42" borderId="21" xfId="44" applyFont="1" applyFill="1" applyBorder="1" applyAlignment="1">
      <alignment horizontal="right" vertical="top"/>
    </xf>
    <xf numFmtId="43" fontId="54" fillId="42" borderId="23" xfId="1" applyFont="1" applyFill="1" applyBorder="1" applyAlignment="1">
      <alignment horizontal="center" vertical="center"/>
    </xf>
    <xf numFmtId="0" fontId="26" fillId="42" borderId="0" xfId="0" applyFont="1" applyFill="1" applyAlignment="1">
      <alignment vertical="top"/>
    </xf>
    <xf numFmtId="166" fontId="20" fillId="0" borderId="0" xfId="0" applyNumberFormat="1" applyFont="1" applyAlignment="1">
      <alignment vertical="top"/>
    </xf>
    <xf numFmtId="43" fontId="48" fillId="42" borderId="21" xfId="44" applyFont="1" applyFill="1" applyBorder="1" applyAlignment="1">
      <alignment horizontal="right" vertical="top"/>
    </xf>
    <xf numFmtId="43" fontId="0" fillId="0" borderId="0" xfId="1" applyFont="1"/>
    <xf numFmtId="43" fontId="77" fillId="0" borderId="0" xfId="0" applyNumberFormat="1" applyFont="1" applyAlignment="1">
      <alignment vertical="top"/>
    </xf>
    <xf numFmtId="0" fontId="51" fillId="0" borderId="14" xfId="0" applyFont="1" applyBorder="1" applyAlignment="1">
      <alignment horizontal="center"/>
    </xf>
    <xf numFmtId="0" fontId="51" fillId="0" borderId="15" xfId="0" applyFont="1" applyBorder="1" applyAlignment="1">
      <alignment horizontal="center"/>
    </xf>
    <xf numFmtId="0" fontId="51" fillId="0" borderId="16" xfId="0" applyFont="1" applyBorder="1" applyAlignment="1">
      <alignment horizontal="center"/>
    </xf>
    <xf numFmtId="0" fontId="53" fillId="0" borderId="17" xfId="0" applyFont="1" applyBorder="1" applyAlignment="1">
      <alignment horizontal="left"/>
    </xf>
    <xf numFmtId="0" fontId="53" fillId="0" borderId="15" xfId="0" applyFont="1" applyBorder="1" applyAlignment="1">
      <alignment horizontal="left"/>
    </xf>
    <xf numFmtId="0" fontId="53" fillId="0" borderId="16" xfId="0" applyFont="1" applyBorder="1" applyAlignment="1">
      <alignment horizontal="left"/>
    </xf>
    <xf numFmtId="0" fontId="53" fillId="0" borderId="0" xfId="0" applyFont="1" applyAlignment="1">
      <alignment horizontal="left"/>
    </xf>
    <xf numFmtId="0" fontId="53" fillId="0" borderId="18" xfId="0" applyFont="1" applyBorder="1" applyAlignment="1">
      <alignment horizontal="left"/>
    </xf>
    <xf numFmtId="43" fontId="53" fillId="0" borderId="17" xfId="0" applyNumberFormat="1" applyFont="1" applyBorder="1" applyAlignment="1">
      <alignment horizontal="left"/>
    </xf>
    <xf numFmtId="0" fontId="52" fillId="0" borderId="17" xfId="0" applyFont="1" applyBorder="1" applyAlignment="1">
      <alignment horizontal="center"/>
    </xf>
    <xf numFmtId="0" fontId="52" fillId="0" borderId="0" xfId="0" applyFont="1" applyAlignment="1">
      <alignment horizontal="center"/>
    </xf>
    <xf numFmtId="0" fontId="52" fillId="0" borderId="18" xfId="0" applyFont="1" applyBorder="1" applyAlignment="1">
      <alignment horizontal="center"/>
    </xf>
    <xf numFmtId="0" fontId="51" fillId="0" borderId="14" xfId="0" applyFont="1" applyBorder="1" applyAlignment="1">
      <alignment horizontal="center" vertical="top"/>
    </xf>
    <xf numFmtId="0" fontId="51" fillId="0" borderId="15" xfId="0" applyFont="1" applyBorder="1" applyAlignment="1">
      <alignment horizontal="center" vertical="top"/>
    </xf>
    <xf numFmtId="0" fontId="51" fillId="0" borderId="16" xfId="0" applyFont="1" applyBorder="1" applyAlignment="1">
      <alignment horizontal="center" vertical="top"/>
    </xf>
    <xf numFmtId="0" fontId="52" fillId="0" borderId="17" xfId="0" applyFont="1" applyBorder="1" applyAlignment="1">
      <alignment horizontal="center" vertical="top" wrapText="1"/>
    </xf>
    <xf numFmtId="0" fontId="52" fillId="0" borderId="0" xfId="0" applyFont="1" applyAlignment="1">
      <alignment horizontal="center" vertical="top" wrapText="1"/>
    </xf>
    <xf numFmtId="0" fontId="52" fillId="0" borderId="18" xfId="0" applyFont="1" applyBorder="1" applyAlignment="1">
      <alignment horizontal="center" vertical="top" wrapText="1"/>
    </xf>
    <xf numFmtId="0" fontId="52" fillId="0" borderId="17" xfId="0" applyFont="1" applyBorder="1" applyAlignment="1">
      <alignment horizontal="center" vertical="top"/>
    </xf>
    <xf numFmtId="0" fontId="52" fillId="0" borderId="0" xfId="0" applyFont="1" applyAlignment="1">
      <alignment horizontal="center" vertical="top"/>
    </xf>
    <xf numFmtId="0" fontId="52" fillId="0" borderId="18" xfId="0" applyFont="1" applyBorder="1" applyAlignment="1">
      <alignment horizontal="center" vertical="top"/>
    </xf>
    <xf numFmtId="43" fontId="51" fillId="37" borderId="21" xfId="1" applyFont="1" applyFill="1" applyBorder="1" applyAlignment="1">
      <alignment horizontal="center"/>
    </xf>
    <xf numFmtId="43" fontId="51" fillId="37" borderId="11" xfId="1" applyFont="1" applyFill="1" applyBorder="1" applyAlignment="1">
      <alignment horizontal="center"/>
    </xf>
    <xf numFmtId="0" fontId="52" fillId="0" borderId="17" xfId="43" applyFont="1" applyBorder="1" applyAlignment="1">
      <alignment horizontal="right" vertical="center" wrapText="1"/>
    </xf>
    <xf numFmtId="0" fontId="52" fillId="0" borderId="0" xfId="43" applyFont="1" applyAlignment="1">
      <alignment horizontal="right" vertical="center" wrapText="1"/>
    </xf>
    <xf numFmtId="0" fontId="52" fillId="0" borderId="18" xfId="43" applyFont="1" applyBorder="1" applyAlignment="1">
      <alignment horizontal="right" vertical="center" wrapText="1"/>
    </xf>
    <xf numFmtId="0" fontId="51" fillId="0" borderId="17" xfId="0" applyFont="1" applyBorder="1" applyAlignment="1">
      <alignment horizontal="left" vertical="center" wrapText="1"/>
    </xf>
    <xf numFmtId="0" fontId="51" fillId="0" borderId="0" xfId="0" applyFont="1" applyAlignment="1">
      <alignment horizontal="left" vertical="center" wrapText="1"/>
    </xf>
    <xf numFmtId="0" fontId="51" fillId="0" borderId="18" xfId="0" applyFont="1" applyBorder="1" applyAlignment="1">
      <alignment horizontal="left" vertical="center" wrapText="1"/>
    </xf>
    <xf numFmtId="0" fontId="53" fillId="0" borderId="17" xfId="0" applyFont="1" applyBorder="1" applyAlignment="1">
      <alignment horizontal="left" vertical="center" wrapText="1"/>
    </xf>
    <xf numFmtId="0" fontId="53" fillId="0" borderId="0" xfId="0" applyFont="1" applyAlignment="1">
      <alignment horizontal="left" vertical="center" wrapText="1"/>
    </xf>
    <xf numFmtId="0" fontId="53" fillId="0" borderId="18" xfId="0" applyFont="1" applyBorder="1" applyAlignment="1">
      <alignment horizontal="left" vertical="center" wrapText="1"/>
    </xf>
    <xf numFmtId="0" fontId="51" fillId="0" borderId="14" xfId="0" applyFont="1" applyBorder="1" applyAlignment="1">
      <alignment horizontal="center" vertical="center"/>
    </xf>
    <xf numFmtId="0" fontId="51" fillId="0" borderId="15" xfId="0" applyFont="1" applyBorder="1" applyAlignment="1">
      <alignment horizontal="center" vertical="center"/>
    </xf>
    <xf numFmtId="0" fontId="51" fillId="0" borderId="16" xfId="0" applyFont="1" applyBorder="1" applyAlignment="1">
      <alignment horizontal="center" vertical="center"/>
    </xf>
    <xf numFmtId="43" fontId="51" fillId="37" borderId="16" xfId="1" applyFont="1" applyFill="1" applyBorder="1" applyAlignment="1">
      <alignment horizontal="center" vertical="center"/>
    </xf>
    <xf numFmtId="43" fontId="51" fillId="37" borderId="22" xfId="1" applyFont="1" applyFill="1" applyBorder="1" applyAlignment="1">
      <alignment horizontal="center" vertical="center"/>
    </xf>
    <xf numFmtId="43" fontId="51" fillId="37" borderId="21" xfId="1" applyFont="1" applyFill="1" applyBorder="1" applyAlignment="1">
      <alignment horizontal="center" vertical="center"/>
    </xf>
    <xf numFmtId="0" fontId="52" fillId="0" borderId="17" xfId="0" applyFont="1" applyBorder="1" applyAlignment="1">
      <alignment horizontal="center" vertical="center"/>
    </xf>
    <xf numFmtId="0" fontId="52" fillId="0" borderId="0" xfId="0" applyFont="1" applyAlignment="1">
      <alignment horizontal="center" vertical="center"/>
    </xf>
    <xf numFmtId="0" fontId="52" fillId="0" borderId="18" xfId="0" applyFont="1" applyBorder="1" applyAlignment="1">
      <alignment horizontal="center" vertical="center"/>
    </xf>
    <xf numFmtId="43" fontId="51" fillId="37" borderId="26" xfId="1" applyFont="1" applyFill="1" applyBorder="1" applyAlignment="1">
      <alignment horizontal="center" vertical="center"/>
    </xf>
    <xf numFmtId="0" fontId="51" fillId="0" borderId="17" xfId="0" applyFont="1" applyBorder="1" applyAlignment="1">
      <alignment horizontal="center"/>
    </xf>
    <xf numFmtId="0" fontId="51" fillId="0" borderId="0" xfId="0" applyFont="1" applyAlignment="1">
      <alignment horizontal="center"/>
    </xf>
    <xf numFmtId="0" fontId="51" fillId="0" borderId="18" xfId="0" applyFont="1" applyBorder="1" applyAlignment="1">
      <alignment horizontal="center"/>
    </xf>
    <xf numFmtId="0" fontId="54" fillId="0" borderId="14" xfId="0" applyFont="1" applyBorder="1" applyAlignment="1">
      <alignment horizontal="justify" wrapText="1"/>
    </xf>
    <xf numFmtId="0" fontId="54" fillId="0" borderId="15" xfId="0" applyFont="1" applyBorder="1" applyAlignment="1">
      <alignment horizontal="justify" wrapText="1"/>
    </xf>
    <xf numFmtId="0" fontId="54" fillId="0" borderId="16" xfId="0" applyFont="1" applyBorder="1" applyAlignment="1">
      <alignment horizontal="justify" wrapText="1"/>
    </xf>
    <xf numFmtId="0" fontId="54" fillId="0" borderId="17" xfId="0" applyFont="1" applyBorder="1" applyAlignment="1">
      <alignment horizontal="justify" wrapText="1"/>
    </xf>
    <xf numFmtId="0" fontId="54" fillId="0" borderId="0" xfId="0" applyFont="1" applyAlignment="1">
      <alignment horizontal="justify" wrapText="1"/>
    </xf>
    <xf numFmtId="0" fontId="54" fillId="0" borderId="18" xfId="0" applyFont="1" applyBorder="1" applyAlignment="1">
      <alignment horizontal="justify" wrapText="1"/>
    </xf>
    <xf numFmtId="0" fontId="54" fillId="0" borderId="19" xfId="0" applyFont="1" applyBorder="1" applyAlignment="1">
      <alignment horizontal="justify" wrapText="1"/>
    </xf>
    <xf numFmtId="0" fontId="54" fillId="0" borderId="10" xfId="0" applyFont="1" applyBorder="1" applyAlignment="1">
      <alignment horizontal="justify" wrapText="1"/>
    </xf>
    <xf numFmtId="0" fontId="54" fillId="0" borderId="20" xfId="0" applyFont="1" applyBorder="1" applyAlignment="1">
      <alignment horizontal="justify" wrapText="1"/>
    </xf>
    <xf numFmtId="0" fontId="54" fillId="0" borderId="17" xfId="0" applyFont="1" applyBorder="1" applyAlignment="1">
      <alignment horizontal="left" vertical="top" wrapText="1"/>
    </xf>
    <xf numFmtId="0" fontId="54" fillId="0" borderId="0" xfId="0" applyFont="1" applyAlignment="1">
      <alignment horizontal="left" vertical="top" wrapText="1"/>
    </xf>
    <xf numFmtId="0" fontId="54" fillId="0" borderId="18" xfId="0" applyFont="1" applyBorder="1" applyAlignment="1">
      <alignment horizontal="left" vertical="top" wrapText="1"/>
    </xf>
    <xf numFmtId="0" fontId="54" fillId="0" borderId="17" xfId="49" applyFont="1" applyBorder="1" applyAlignment="1">
      <alignment horizontal="justify" vertical="justify" wrapText="1"/>
    </xf>
    <xf numFmtId="0" fontId="54" fillId="0" borderId="0" xfId="49" applyFont="1" applyAlignment="1">
      <alignment horizontal="justify" vertical="justify" wrapText="1"/>
    </xf>
    <xf numFmtId="0" fontId="54" fillId="0" borderId="18" xfId="49" applyFont="1" applyBorder="1" applyAlignment="1">
      <alignment horizontal="justify" vertical="justify" wrapText="1"/>
    </xf>
    <xf numFmtId="166" fontId="44" fillId="0" borderId="0" xfId="1" applyNumberFormat="1" applyFont="1" applyAlignment="1">
      <alignment horizontal="center" vertical="top" wrapText="1"/>
    </xf>
    <xf numFmtId="166" fontId="44" fillId="0" borderId="18" xfId="1" applyNumberFormat="1" applyFont="1" applyBorder="1" applyAlignment="1">
      <alignment horizontal="center" vertical="top" wrapText="1"/>
    </xf>
    <xf numFmtId="0" fontId="51" fillId="0" borderId="14" xfId="49" applyFont="1" applyBorder="1" applyAlignment="1">
      <alignment vertical="center" wrapText="1"/>
    </xf>
    <xf numFmtId="0" fontId="51" fillId="0" borderId="17" xfId="49" applyFont="1" applyBorder="1" applyAlignment="1">
      <alignment vertical="center" wrapText="1"/>
    </xf>
    <xf numFmtId="0" fontId="51" fillId="0" borderId="19" xfId="49" applyFont="1" applyBorder="1" applyAlignment="1">
      <alignment vertical="center" wrapText="1"/>
    </xf>
    <xf numFmtId="43" fontId="51" fillId="0" borderId="11" xfId="49" applyNumberFormat="1" applyFont="1" applyBorder="1" applyAlignment="1">
      <alignment horizontal="center" vertical="top"/>
    </xf>
    <xf numFmtId="0" fontId="51" fillId="0" borderId="13" xfId="49" applyFont="1" applyBorder="1" applyAlignment="1">
      <alignment horizontal="center" vertical="top"/>
    </xf>
    <xf numFmtId="166" fontId="51" fillId="0" borderId="11" xfId="1" applyNumberFormat="1" applyFont="1" applyBorder="1" applyAlignment="1">
      <alignment horizontal="center" vertical="center"/>
    </xf>
    <xf numFmtId="166" fontId="51" fillId="0" borderId="13" xfId="1" applyNumberFormat="1" applyFont="1" applyBorder="1" applyAlignment="1">
      <alignment horizontal="center" vertical="center"/>
    </xf>
    <xf numFmtId="0" fontId="51" fillId="0" borderId="11" xfId="49" applyFont="1" applyBorder="1" applyAlignment="1">
      <alignment horizontal="center" vertical="center" wrapText="1"/>
    </xf>
    <xf numFmtId="0" fontId="51" fillId="0" borderId="13" xfId="49" applyFont="1" applyBorder="1" applyAlignment="1">
      <alignment horizontal="center" vertical="center" wrapText="1"/>
    </xf>
    <xf numFmtId="166" fontId="51" fillId="0" borderId="11" xfId="1" applyNumberFormat="1" applyFont="1" applyBorder="1" applyAlignment="1">
      <alignment vertical="center" wrapText="1"/>
    </xf>
    <xf numFmtId="166" fontId="51" fillId="0" borderId="13" xfId="1" applyNumberFormat="1" applyFont="1" applyBorder="1" applyAlignment="1">
      <alignment vertical="center" wrapText="1"/>
    </xf>
    <xf numFmtId="0" fontId="51" fillId="0" borderId="17" xfId="49" applyFont="1" applyBorder="1" applyAlignment="1">
      <alignment horizontal="left" vertical="justify" wrapText="1"/>
    </xf>
    <xf numFmtId="0" fontId="51" fillId="0" borderId="0" xfId="49" applyFont="1" applyAlignment="1">
      <alignment horizontal="left" vertical="justify" wrapText="1"/>
    </xf>
    <xf numFmtId="0" fontId="51" fillId="0" borderId="22" xfId="49" applyFont="1" applyBorder="1" applyAlignment="1">
      <alignment vertical="center"/>
    </xf>
    <xf numFmtId="0" fontId="51" fillId="0" borderId="26" xfId="49" applyFont="1" applyBorder="1" applyAlignment="1">
      <alignment vertical="center"/>
    </xf>
    <xf numFmtId="43" fontId="51" fillId="0" borderId="11" xfId="49" applyNumberFormat="1" applyFont="1" applyBorder="1" applyAlignment="1">
      <alignment horizontal="center" vertical="center"/>
    </xf>
    <xf numFmtId="0" fontId="51" fillId="0" borderId="13" xfId="49" applyFont="1" applyBorder="1" applyAlignment="1">
      <alignment horizontal="center" vertical="center"/>
    </xf>
    <xf numFmtId="166" fontId="51" fillId="0" borderId="11" xfId="1" applyNumberFormat="1" applyFont="1" applyBorder="1" applyAlignment="1">
      <alignment horizontal="center" vertical="center" wrapText="1"/>
    </xf>
    <xf numFmtId="166" fontId="51" fillId="0" borderId="13" xfId="1" applyNumberFormat="1" applyFont="1" applyBorder="1" applyAlignment="1">
      <alignment horizontal="center" vertical="center" wrapText="1"/>
    </xf>
    <xf numFmtId="0" fontId="54" fillId="0" borderId="17" xfId="0" applyFont="1" applyBorder="1" applyAlignment="1">
      <alignment horizontal="left" vertical="center" wrapText="1" indent="10"/>
    </xf>
    <xf numFmtId="0" fontId="54" fillId="0" borderId="0" xfId="0" applyFont="1" applyAlignment="1">
      <alignment horizontal="left" vertical="center" wrapText="1" indent="10"/>
    </xf>
    <xf numFmtId="0" fontId="54" fillId="0" borderId="18" xfId="0" applyFont="1" applyBorder="1" applyAlignment="1">
      <alignment horizontal="left" vertical="center" wrapText="1" indent="10"/>
    </xf>
    <xf numFmtId="0" fontId="54" fillId="0" borderId="17" xfId="0" applyFont="1" applyBorder="1" applyAlignment="1">
      <alignment horizontal="left" vertical="top" wrapText="1" indent="10"/>
    </xf>
    <xf numFmtId="0" fontId="54" fillId="0" borderId="0" xfId="0" applyFont="1" applyAlignment="1">
      <alignment horizontal="left" vertical="top" wrapText="1" indent="10"/>
    </xf>
    <xf numFmtId="0" fontId="54" fillId="0" borderId="18" xfId="0" applyFont="1" applyBorder="1" applyAlignment="1">
      <alignment horizontal="left" vertical="top" wrapText="1" indent="10"/>
    </xf>
    <xf numFmtId="0" fontId="51" fillId="37" borderId="21" xfId="0" applyFont="1" applyFill="1" applyBorder="1" applyAlignment="1">
      <alignment horizontal="center" vertical="center"/>
    </xf>
    <xf numFmtId="0" fontId="54" fillId="0" borderId="19" xfId="0" applyFont="1" applyBorder="1" applyAlignment="1">
      <alignment horizontal="left" wrapText="1"/>
    </xf>
    <xf numFmtId="0" fontId="54" fillId="0" borderId="10" xfId="0" applyFont="1" applyBorder="1" applyAlignment="1">
      <alignment horizontal="left" wrapText="1"/>
    </xf>
    <xf numFmtId="0" fontId="54" fillId="0" borderId="20" xfId="0" applyFont="1" applyBorder="1" applyAlignment="1">
      <alignment horizontal="left" wrapText="1"/>
    </xf>
    <xf numFmtId="0" fontId="54" fillId="0" borderId="14" xfId="0" applyFont="1" applyBorder="1" applyAlignment="1">
      <alignment horizontal="left" wrapText="1"/>
    </xf>
    <xf numFmtId="0" fontId="54" fillId="0" borderId="15" xfId="0" applyFont="1" applyBorder="1" applyAlignment="1">
      <alignment horizontal="left" wrapText="1"/>
    </xf>
    <xf numFmtId="0" fontId="54" fillId="0" borderId="16" xfId="0" applyFont="1" applyBorder="1" applyAlignment="1">
      <alignment horizontal="left" wrapText="1"/>
    </xf>
    <xf numFmtId="0" fontId="54" fillId="0" borderId="14" xfId="0" applyFont="1" applyBorder="1" applyAlignment="1">
      <alignment horizontal="left" vertical="top" wrapText="1"/>
    </xf>
    <xf numFmtId="0" fontId="54" fillId="0" borderId="15" xfId="0" applyFont="1" applyBorder="1" applyAlignment="1">
      <alignment horizontal="left" vertical="top" wrapText="1"/>
    </xf>
    <xf numFmtId="0" fontId="54" fillId="0" borderId="16" xfId="0" applyFont="1" applyBorder="1" applyAlignment="1">
      <alignment horizontal="left" vertical="top" wrapText="1"/>
    </xf>
    <xf numFmtId="0" fontId="43" fillId="0" borderId="17" xfId="43" applyFont="1" applyBorder="1" applyAlignment="1">
      <alignment horizontal="left" vertical="center"/>
    </xf>
    <xf numFmtId="0" fontId="43" fillId="0" borderId="18" xfId="43" applyFont="1" applyBorder="1" applyAlignment="1">
      <alignment horizontal="left" vertical="center"/>
    </xf>
    <xf numFmtId="0" fontId="23" fillId="0" borderId="0" xfId="0" applyFont="1" applyAlignment="1">
      <alignment horizontal="left" vertical="center" wrapText="1"/>
    </xf>
    <xf numFmtId="0" fontId="44" fillId="0" borderId="14" xfId="0" applyFont="1" applyBorder="1" applyAlignment="1">
      <alignment horizontal="center"/>
    </xf>
    <xf numFmtId="0" fontId="44" fillId="0" borderId="15" xfId="0" applyFont="1" applyBorder="1" applyAlignment="1">
      <alignment horizontal="center"/>
    </xf>
    <xf numFmtId="0" fontId="44" fillId="0" borderId="16" xfId="0" applyFont="1" applyBorder="1" applyAlignment="1">
      <alignment horizontal="center"/>
    </xf>
    <xf numFmtId="0" fontId="82" fillId="0" borderId="17" xfId="0" applyFont="1" applyBorder="1" applyAlignment="1">
      <alignment horizontal="center" vertical="center"/>
    </xf>
    <xf numFmtId="0" fontId="82" fillId="0" borderId="0" xfId="0" applyFont="1" applyAlignment="1">
      <alignment horizontal="center" vertical="center"/>
    </xf>
    <xf numFmtId="0" fontId="82" fillId="0" borderId="18" xfId="0" applyFont="1" applyBorder="1" applyAlignment="1">
      <alignment horizontal="center" vertical="center"/>
    </xf>
    <xf numFmtId="0" fontId="44" fillId="37" borderId="21" xfId="0" applyFont="1" applyFill="1" applyBorder="1" applyAlignment="1">
      <alignment horizontal="center" vertical="center"/>
    </xf>
    <xf numFmtId="0" fontId="43" fillId="0" borderId="0" xfId="43" quotePrefix="1" applyFont="1" applyAlignment="1">
      <alignment horizontal="left" vertical="top" wrapText="1"/>
    </xf>
    <xf numFmtId="0" fontId="62" fillId="37" borderId="14" xfId="43" quotePrefix="1" applyFont="1" applyFill="1" applyBorder="1" applyAlignment="1">
      <alignment horizontal="center" vertical="center"/>
    </xf>
    <xf numFmtId="0" fontId="62" fillId="37" borderId="15" xfId="43" quotePrefix="1" applyFont="1" applyFill="1" applyBorder="1" applyAlignment="1">
      <alignment horizontal="center" vertical="center"/>
    </xf>
    <xf numFmtId="15" fontId="62" fillId="37" borderId="21" xfId="66" quotePrefix="1" applyNumberFormat="1" applyFont="1" applyFill="1" applyBorder="1" applyAlignment="1">
      <alignment horizontal="center" vertical="center"/>
    </xf>
    <xf numFmtId="15" fontId="62" fillId="37" borderId="21" xfId="66" applyNumberFormat="1" applyFont="1" applyFill="1" applyBorder="1" applyAlignment="1">
      <alignment horizontal="center" vertical="center"/>
    </xf>
    <xf numFmtId="15" fontId="69" fillId="33" borderId="0" xfId="66" quotePrefix="1" applyNumberFormat="1" applyFont="1" applyFill="1" applyAlignment="1">
      <alignment horizontal="center" vertical="center" wrapText="1"/>
    </xf>
    <xf numFmtId="15" fontId="69" fillId="33" borderId="18" xfId="66" applyNumberFormat="1" applyFont="1" applyFill="1" applyBorder="1" applyAlignment="1">
      <alignment horizontal="center" vertical="center"/>
    </xf>
    <xf numFmtId="0" fontId="51" fillId="37" borderId="14" xfId="0" applyFont="1" applyFill="1" applyBorder="1" applyAlignment="1">
      <alignment horizontal="center" vertical="center"/>
    </xf>
    <xf numFmtId="0" fontId="51" fillId="37" borderId="19" xfId="0" applyFont="1" applyFill="1" applyBorder="1" applyAlignment="1">
      <alignment horizontal="center" vertical="center"/>
    </xf>
    <xf numFmtId="0" fontId="62" fillId="37" borderId="16" xfId="43" quotePrefix="1" applyFont="1" applyFill="1" applyBorder="1" applyAlignment="1">
      <alignment horizontal="center" vertical="center"/>
    </xf>
    <xf numFmtId="0" fontId="68" fillId="36" borderId="50" xfId="43" quotePrefix="1" applyFont="1" applyFill="1" applyBorder="1" applyAlignment="1">
      <alignment horizontal="center" vertical="center"/>
    </xf>
    <xf numFmtId="0" fontId="68" fillId="36" borderId="32" xfId="43" quotePrefix="1" applyFont="1" applyFill="1" applyBorder="1" applyAlignment="1">
      <alignment horizontal="center" vertical="center"/>
    </xf>
    <xf numFmtId="0" fontId="65" fillId="0" borderId="17" xfId="66" applyFont="1" applyBorder="1" applyAlignment="1">
      <alignment horizontal="left" vertical="top" wrapText="1"/>
    </xf>
    <xf numFmtId="0" fontId="65" fillId="0" borderId="0" xfId="66" applyFont="1" applyAlignment="1">
      <alignment horizontal="left" vertical="top" wrapText="1"/>
    </xf>
    <xf numFmtId="0" fontId="65" fillId="0" borderId="18" xfId="66" applyFont="1" applyBorder="1" applyAlignment="1">
      <alignment horizontal="left" vertical="top" wrapText="1"/>
    </xf>
    <xf numFmtId="0" fontId="62" fillId="37" borderId="22" xfId="66" applyFont="1" applyFill="1" applyBorder="1" applyAlignment="1">
      <alignment horizontal="center" vertical="center"/>
    </xf>
    <xf numFmtId="0" fontId="62" fillId="37" borderId="26" xfId="66" applyFont="1" applyFill="1" applyBorder="1" applyAlignment="1">
      <alignment horizontal="center" vertical="center"/>
    </xf>
    <xf numFmtId="0" fontId="65" fillId="0" borderId="17" xfId="66" applyFont="1" applyBorder="1" applyAlignment="1">
      <alignment horizontal="left" wrapText="1"/>
    </xf>
    <xf numFmtId="0" fontId="65" fillId="0" borderId="0" xfId="66" applyFont="1" applyAlignment="1">
      <alignment horizontal="left" wrapText="1"/>
    </xf>
    <xf numFmtId="0" fontId="65" fillId="0" borderId="18" xfId="66" applyFont="1" applyBorder="1" applyAlignment="1">
      <alignment horizontal="left" wrapText="1"/>
    </xf>
    <xf numFmtId="0" fontId="65" fillId="0" borderId="19" xfId="66" applyFont="1" applyBorder="1" applyAlignment="1">
      <alignment horizontal="left" wrapText="1"/>
    </xf>
    <xf numFmtId="0" fontId="65" fillId="0" borderId="10" xfId="66" applyFont="1" applyBorder="1" applyAlignment="1">
      <alignment horizontal="left" wrapText="1"/>
    </xf>
    <xf numFmtId="0" fontId="65" fillId="0" borderId="20" xfId="66" applyFont="1" applyBorder="1" applyAlignment="1">
      <alignment horizontal="left" wrapText="1"/>
    </xf>
    <xf numFmtId="0" fontId="65" fillId="0" borderId="0" xfId="43" applyFont="1" applyAlignment="1">
      <alignment horizontal="left" vertical="top" wrapText="1"/>
    </xf>
    <xf numFmtId="49" fontId="62" fillId="0" borderId="14" xfId="0" applyNumberFormat="1" applyFont="1" applyBorder="1" applyAlignment="1">
      <alignment horizontal="center"/>
    </xf>
    <xf numFmtId="49" fontId="62" fillId="0" borderId="15" xfId="0" applyNumberFormat="1" applyFont="1" applyBorder="1" applyAlignment="1">
      <alignment horizontal="center"/>
    </xf>
    <xf numFmtId="49" fontId="62" fillId="0" borderId="16" xfId="0" applyNumberFormat="1" applyFont="1" applyBorder="1" applyAlignment="1">
      <alignment horizontal="center"/>
    </xf>
    <xf numFmtId="0" fontId="65" fillId="0" borderId="17" xfId="43" applyFont="1" applyBorder="1" applyAlignment="1">
      <alignment horizontal="left" vertical="top" wrapText="1"/>
    </xf>
    <xf numFmtId="0" fontId="65" fillId="0" borderId="18" xfId="43" applyFont="1" applyBorder="1" applyAlignment="1">
      <alignment horizontal="left" vertical="top" wrapText="1"/>
    </xf>
    <xf numFmtId="166" fontId="51" fillId="37" borderId="11" xfId="1" applyNumberFormat="1" applyFont="1" applyFill="1" applyBorder="1" applyAlignment="1">
      <alignment horizontal="center" vertical="center" wrapText="1"/>
    </xf>
    <xf numFmtId="166" fontId="51" fillId="37" borderId="13" xfId="1" applyNumberFormat="1" applyFont="1" applyFill="1" applyBorder="1" applyAlignment="1">
      <alignment horizontal="center" vertical="center" wrapText="1"/>
    </xf>
    <xf numFmtId="166" fontId="58" fillId="0" borderId="22" xfId="1" applyNumberFormat="1" applyFont="1" applyBorder="1" applyAlignment="1">
      <alignment horizontal="center" vertical="center" wrapText="1"/>
    </xf>
    <xf numFmtId="166" fontId="58" fillId="0" borderId="26" xfId="1" applyNumberFormat="1" applyFont="1" applyBorder="1" applyAlignment="1">
      <alignment horizontal="center" vertical="center" wrapText="1"/>
    </xf>
    <xf numFmtId="0" fontId="51" fillId="0" borderId="11" xfId="68" applyFont="1" applyBorder="1" applyAlignment="1">
      <alignment horizontal="left" vertical="top" wrapText="1"/>
    </xf>
    <xf numFmtId="0" fontId="51" fillId="0" borderId="13" xfId="68" applyFont="1" applyBorder="1" applyAlignment="1">
      <alignment horizontal="left" vertical="top" wrapText="1"/>
    </xf>
    <xf numFmtId="0" fontId="51" fillId="0" borderId="21" xfId="43" applyFont="1" applyBorder="1" applyAlignment="1">
      <alignment horizontal="center" vertical="center" wrapText="1"/>
    </xf>
    <xf numFmtId="0" fontId="54" fillId="0" borderId="21" xfId="43" applyFont="1" applyBorder="1" applyAlignment="1">
      <alignment horizontal="left" vertical="center" wrapText="1" indent="1"/>
    </xf>
    <xf numFmtId="166" fontId="32" fillId="0" borderId="21" xfId="1" applyNumberFormat="1" applyFont="1" applyBorder="1" applyAlignment="1">
      <alignment horizontal="center"/>
    </xf>
    <xf numFmtId="0" fontId="51" fillId="0" borderId="12" xfId="68" applyFont="1" applyBorder="1" applyAlignment="1">
      <alignment horizontal="center" vertical="top"/>
    </xf>
    <xf numFmtId="0" fontId="51" fillId="0" borderId="13" xfId="68" applyFont="1" applyBorder="1" applyAlignment="1">
      <alignment horizontal="center" vertical="top"/>
    </xf>
    <xf numFmtId="0" fontId="65" fillId="0" borderId="17" xfId="0" applyFont="1" applyBorder="1" applyAlignment="1">
      <alignment horizontal="justify" vertical="top" wrapText="1"/>
    </xf>
    <xf numFmtId="0" fontId="65" fillId="0" borderId="0" xfId="0" applyFont="1" applyAlignment="1">
      <alignment horizontal="justify" vertical="top" wrapText="1"/>
    </xf>
    <xf numFmtId="0" fontId="65" fillId="0" borderId="19" xfId="0" applyFont="1" applyBorder="1" applyAlignment="1">
      <alignment horizontal="justify" vertical="top" wrapText="1"/>
    </xf>
    <xf numFmtId="0" fontId="65" fillId="0" borderId="10" xfId="0" applyFont="1" applyBorder="1" applyAlignment="1">
      <alignment horizontal="justify" vertical="top" wrapText="1"/>
    </xf>
    <xf numFmtId="0" fontId="54" fillId="0" borderId="17" xfId="43" applyFont="1" applyBorder="1" applyAlignment="1">
      <alignment horizontal="justify" vertical="top" wrapText="1"/>
    </xf>
    <xf numFmtId="0" fontId="54" fillId="0" borderId="0" xfId="43" applyFont="1" applyAlignment="1">
      <alignment horizontal="justify" vertical="top" wrapText="1"/>
    </xf>
    <xf numFmtId="0" fontId="54" fillId="0" borderId="19" xfId="43" applyFont="1" applyBorder="1" applyAlignment="1">
      <alignment horizontal="justify" vertical="top" wrapText="1"/>
    </xf>
    <xf numFmtId="0" fontId="54" fillId="0" borderId="10" xfId="43" applyFont="1" applyBorder="1" applyAlignment="1">
      <alignment horizontal="justify" vertical="top" wrapText="1"/>
    </xf>
    <xf numFmtId="0" fontId="54" fillId="0" borderId="17" xfId="43" applyFont="1" applyBorder="1" applyAlignment="1">
      <alignment horizontal="left" vertical="center" wrapText="1"/>
    </xf>
    <xf numFmtId="0" fontId="54" fillId="0" borderId="0" xfId="43" applyFont="1" applyAlignment="1">
      <alignment horizontal="left" vertical="center" wrapText="1"/>
    </xf>
    <xf numFmtId="0" fontId="55" fillId="0" borderId="17" xfId="43" applyFont="1" applyBorder="1" applyAlignment="1">
      <alignment horizontal="left" vertical="top" wrapText="1"/>
    </xf>
    <xf numFmtId="0" fontId="55" fillId="0" borderId="0" xfId="43" applyFont="1" applyAlignment="1">
      <alignment horizontal="left" vertical="top" wrapText="1"/>
    </xf>
    <xf numFmtId="0" fontId="54" fillId="0" borderId="17" xfId="43" applyFont="1" applyBorder="1" applyAlignment="1">
      <alignment horizontal="left" vertical="top" wrapText="1"/>
    </xf>
    <xf numFmtId="0" fontId="54" fillId="0" borderId="0" xfId="43" applyFont="1" applyAlignment="1">
      <alignment horizontal="left" vertical="top" wrapText="1"/>
    </xf>
    <xf numFmtId="0" fontId="54" fillId="0" borderId="17" xfId="68" applyFont="1" applyBorder="1" applyAlignment="1">
      <alignment horizontal="left" vertical="top" wrapText="1"/>
    </xf>
    <xf numFmtId="0" fontId="54" fillId="0" borderId="0" xfId="68" applyFont="1" applyAlignment="1">
      <alignment horizontal="left" vertical="top" wrapText="1"/>
    </xf>
    <xf numFmtId="0" fontId="66" fillId="0" borderId="21" xfId="43" applyFont="1" applyBorder="1" applyAlignment="1">
      <alignment horizontal="center" vertical="center"/>
    </xf>
    <xf numFmtId="0" fontId="65" fillId="0" borderId="0" xfId="0" applyFont="1" applyAlignment="1">
      <alignment horizontal="left" vertical="center" wrapText="1"/>
    </xf>
    <xf numFmtId="0" fontId="65" fillId="0" borderId="18" xfId="0" applyFont="1" applyBorder="1" applyAlignment="1">
      <alignment horizontal="left" vertical="center" wrapText="1"/>
    </xf>
    <xf numFmtId="0" fontId="65" fillId="0" borderId="0" xfId="0" applyFont="1" applyAlignment="1">
      <alignment horizontal="justify" vertical="center" wrapText="1"/>
    </xf>
    <xf numFmtId="0" fontId="65" fillId="0" borderId="18" xfId="0" applyFont="1" applyBorder="1" applyAlignment="1">
      <alignment horizontal="justify" vertical="center" wrapText="1"/>
    </xf>
    <xf numFmtId="43" fontId="54" fillId="0" borderId="18" xfId="1" applyFont="1" applyBorder="1" applyAlignment="1">
      <alignment horizontal="left" vertical="center" wrapText="1"/>
    </xf>
    <xf numFmtId="0" fontId="51" fillId="37" borderId="16" xfId="0" applyFont="1" applyFill="1" applyBorder="1" applyAlignment="1">
      <alignment horizontal="center" vertical="center" wrapText="1"/>
    </xf>
    <xf numFmtId="0" fontId="51" fillId="37" borderId="20" xfId="0" applyFont="1" applyFill="1" applyBorder="1" applyAlignment="1">
      <alignment horizontal="center" vertical="center" wrapText="1"/>
    </xf>
    <xf numFmtId="0" fontId="51" fillId="37" borderId="22" xfId="0" applyFont="1" applyFill="1" applyBorder="1" applyAlignment="1">
      <alignment horizontal="center" vertical="center" wrapText="1"/>
    </xf>
    <xf numFmtId="0" fontId="51" fillId="37" borderId="26" xfId="0" applyFont="1" applyFill="1" applyBorder="1" applyAlignment="1">
      <alignment horizontal="center" vertical="center" wrapText="1"/>
    </xf>
    <xf numFmtId="0" fontId="51" fillId="37" borderId="21" xfId="0" applyFont="1" applyFill="1" applyBorder="1" applyAlignment="1">
      <alignment horizontal="center" vertical="top"/>
    </xf>
    <xf numFmtId="0" fontId="62" fillId="37" borderId="21" xfId="0" applyFont="1" applyFill="1" applyBorder="1" applyAlignment="1">
      <alignment horizontal="center" vertical="center"/>
    </xf>
    <xf numFmtId="0" fontId="65" fillId="0" borderId="10" xfId="0" applyFont="1" applyBorder="1" applyAlignment="1">
      <alignment horizontal="left" vertical="center" wrapText="1"/>
    </xf>
    <xf numFmtId="0" fontId="65" fillId="0" borderId="20" xfId="0" applyFont="1" applyBorder="1" applyAlignment="1">
      <alignment horizontal="left" vertical="center" wrapText="1"/>
    </xf>
    <xf numFmtId="43" fontId="54" fillId="0" borderId="0" xfId="1" applyFont="1" applyAlignment="1">
      <alignment horizontal="left" vertical="center" wrapText="1"/>
    </xf>
    <xf numFmtId="0" fontId="59" fillId="0" borderId="0" xfId="0" applyFont="1" applyAlignment="1">
      <alignment horizontal="left" vertical="center" wrapText="1"/>
    </xf>
    <xf numFmtId="43" fontId="56" fillId="0" borderId="18" xfId="1" applyFont="1" applyBorder="1" applyAlignment="1">
      <alignment horizontal="left" vertical="center" wrapText="1"/>
    </xf>
    <xf numFmtId="0" fontId="51" fillId="0" borderId="15" xfId="0" applyFont="1" applyBorder="1" applyAlignment="1">
      <alignment horizontal="center" wrapText="1"/>
    </xf>
    <xf numFmtId="0" fontId="25" fillId="0" borderId="15" xfId="0" applyFont="1" applyBorder="1" applyAlignment="1">
      <alignment horizontal="center"/>
    </xf>
    <xf numFmtId="0" fontId="25" fillId="0" borderId="16" xfId="0" applyFont="1" applyBorder="1" applyAlignment="1">
      <alignment horizontal="center"/>
    </xf>
    <xf numFmtId="0" fontId="34" fillId="0" borderId="22" xfId="0" applyFont="1" applyBorder="1" applyAlignment="1">
      <alignment horizontal="center" vertical="center"/>
    </xf>
    <xf numFmtId="0" fontId="34" fillId="0" borderId="23" xfId="0" applyFont="1" applyBorder="1" applyAlignment="1">
      <alignment horizontal="center" vertical="center"/>
    </xf>
    <xf numFmtId="0" fontId="34" fillId="0" borderId="26" xfId="0" applyFont="1" applyBorder="1" applyAlignment="1">
      <alignment horizontal="center" vertical="center"/>
    </xf>
    <xf numFmtId="0" fontId="34" fillId="0" borderId="11" xfId="0" applyFont="1" applyBorder="1" applyAlignment="1">
      <alignment horizontal="center"/>
    </xf>
    <xf numFmtId="0" fontId="34" fillId="0" borderId="13" xfId="0" applyFont="1" applyBorder="1" applyAlignment="1">
      <alignment horizontal="center"/>
    </xf>
    <xf numFmtId="0" fontId="32" fillId="0" borderId="0" xfId="0" applyFont="1" applyAlignment="1">
      <alignment horizontal="center" vertical="center"/>
    </xf>
    <xf numFmtId="0" fontId="34" fillId="0" borderId="11" xfId="0" applyFont="1" applyBorder="1" applyAlignment="1">
      <alignment horizontal="center" vertical="center"/>
    </xf>
    <xf numFmtId="0" fontId="34" fillId="0" borderId="13" xfId="0" applyFont="1" applyBorder="1" applyAlignment="1">
      <alignment horizontal="center" vertical="center"/>
    </xf>
    <xf numFmtId="0" fontId="41" fillId="0" borderId="0" xfId="0" applyFont="1" applyAlignment="1">
      <alignment horizontal="center" vertical="top"/>
    </xf>
    <xf numFmtId="0" fontId="21" fillId="0" borderId="0" xfId="0" applyFont="1" applyAlignment="1">
      <alignment horizontal="center"/>
    </xf>
    <xf numFmtId="0" fontId="21" fillId="0" borderId="10" xfId="0" applyFont="1" applyBorder="1" applyAlignment="1">
      <alignment horizontal="center"/>
    </xf>
    <xf numFmtId="0" fontId="23" fillId="0" borderId="21" xfId="0" applyFont="1" applyBorder="1" applyAlignment="1">
      <alignment horizontal="left"/>
    </xf>
  </cellXfs>
  <cellStyles count="75">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Comma 18" xfId="65"/>
    <cellStyle name="Comma 19" xfId="67"/>
    <cellStyle name="Comma 2" xfId="44"/>
    <cellStyle name="Comma 2 2" xfId="47"/>
    <cellStyle name="Comma 2 3" xfId="54"/>
    <cellStyle name="Comma 2 7" xfId="69"/>
    <cellStyle name="Comma 3" xfId="48"/>
    <cellStyle name="Comma 3 2" xfId="55"/>
    <cellStyle name="Comma 4" xfId="46"/>
    <cellStyle name="Comma 4 2" xfId="56"/>
    <cellStyle name="Comma 5" xfId="73"/>
    <cellStyle name="Excel Built-in Normal" xfId="57"/>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10" xfId="51"/>
    <cellStyle name="Normal 10 2" xfId="58"/>
    <cellStyle name="Normal 11" xfId="66"/>
    <cellStyle name="Normal 2" xfId="43"/>
    <cellStyle name="Normal 2 3 2" xfId="68"/>
    <cellStyle name="Normal 29" xfId="71"/>
    <cellStyle name="Normal 3" xfId="49"/>
    <cellStyle name="Normal 30" xfId="72"/>
    <cellStyle name="Normal 4" xfId="59"/>
    <cellStyle name="Normal 5" xfId="60"/>
    <cellStyle name="Normal 58" xfId="70"/>
    <cellStyle name="Normal 6" xfId="61"/>
    <cellStyle name="Normal 7" xfId="63"/>
    <cellStyle name="Normal 7 2" xfId="64"/>
    <cellStyle name="Normal 8" xfId="62"/>
    <cellStyle name="Note" xfId="16" builtinId="10" customBuiltin="1"/>
    <cellStyle name="Output" xfId="11" builtinId="21" customBuiltin="1"/>
    <cellStyle name="Percent" xfId="50" builtinId="5"/>
    <cellStyle name="Percent 11" xfId="74"/>
    <cellStyle name="Percent 2" xfId="45"/>
    <cellStyle name="TableStyleLight1" xfId="53"/>
    <cellStyle name="Title" xfId="2" builtinId="15" customBuiltin="1"/>
    <cellStyle name="Title 2" xfId="52"/>
    <cellStyle name="Total" xfId="18" builtinId="25" customBuiltin="1"/>
    <cellStyle name="Warning Text" xfId="15" builtinId="11" customBuiltin="1"/>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160E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theme" Target="theme/theme1.xml"/><Relationship Id="rId30"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2741083</xdr:colOff>
      <xdr:row>5</xdr:row>
      <xdr:rowOff>254000</xdr:rowOff>
    </xdr:from>
    <xdr:ext cx="184731" cy="264560"/>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3026833" y="11006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1771650</xdr:colOff>
      <xdr:row>14</xdr:row>
      <xdr:rowOff>0</xdr:rowOff>
    </xdr:from>
    <xdr:to>
      <xdr:col>2</xdr:col>
      <xdr:colOff>1809750</xdr:colOff>
      <xdr:row>15</xdr:row>
      <xdr:rowOff>0</xdr:rowOff>
    </xdr:to>
    <xdr:pic>
      <xdr:nvPicPr>
        <xdr:cNvPr id="2" name="Picture 2">
          <a:extLst>
            <a:ext uri="{FF2B5EF4-FFF2-40B4-BE49-F238E27FC236}">
              <a16:creationId xmlns:a16="http://schemas.microsoft.com/office/drawing/2014/main" xmlns="" id="{00000000-0008-0000-1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7143750" y="2724150"/>
          <a:ext cx="0" cy="1619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ropbox\ACCOUNTS%202019\Copy%20of%20Opening_20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Dropbox\Official%20document\Important%20Files\Audited%20Final%20Accounts\2018\Audited%20Financial%20Report%202018\3.%20Financial%20statement(version11)%202018(V1)f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ell3000/Downloads/March%2018%20BS%20for%20Sending_19.09.18%20(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SHVIS~1/AppData/Local/Temp/Comparative%20V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HPC\Bhutan%20Telecom%20Ltd\Audit%20data\Financials\Disclosures\2018\3.%20Financial%20statement(version7)%20201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AP "/>
      <sheetName val="Trial"/>
      <sheetName val="2SFP"/>
      <sheetName val="3SOCI"/>
      <sheetName val="5SOCE"/>
      <sheetName val="4CF"/>
      <sheetName val="6N_PPE"/>
      <sheetName val="7N_3-12"/>
      <sheetName val="8N_13"/>
      <sheetName val="9N_14-21"/>
      <sheetName val="10N_22-33"/>
      <sheetName val="Note 32"/>
      <sheetName val="10FV_34"/>
      <sheetName val="11FRM_35"/>
      <sheetName val="12CapMgt_36"/>
      <sheetName val="Note 37"/>
      <sheetName val="Ratio"/>
      <sheetName val="Tax"/>
      <sheetName val="13IFRS"/>
      <sheetName val="CFs"/>
      <sheetName val="DT"/>
    </sheetNames>
    <sheetDataSet>
      <sheetData sheetId="0"/>
      <sheetData sheetId="1"/>
      <sheetData sheetId="2">
        <row r="15">
          <cell r="E15">
            <v>4513831254.5299988</v>
          </cell>
        </row>
        <row r="27">
          <cell r="E27">
            <v>5480554477.5199986</v>
          </cell>
        </row>
        <row r="32">
          <cell r="E32">
            <v>2949153947.2900004</v>
          </cell>
        </row>
        <row r="56">
          <cell r="E56">
            <v>5480554477.5200005</v>
          </cell>
        </row>
      </sheetData>
      <sheetData sheetId="3"/>
      <sheetData sheetId="4">
        <row r="7">
          <cell r="D7">
            <v>908087860.69000006</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AE"/>
      <sheetName val="Regrouping"/>
      <sheetName val="SAP "/>
      <sheetName val="Trial"/>
      <sheetName val="2SFP"/>
      <sheetName val="3SOCI"/>
      <sheetName val="5SOCE"/>
      <sheetName val="4CF"/>
      <sheetName val="6N_PPE"/>
      <sheetName val="7N_3-12"/>
      <sheetName val="8N_13"/>
      <sheetName val="9N_14-21"/>
      <sheetName val="10N_22-33"/>
      <sheetName val="Note 32"/>
      <sheetName val="10FV_34"/>
      <sheetName val="11FRM_35"/>
      <sheetName val="12CapMgt_36"/>
      <sheetName val="Note 37"/>
      <sheetName val="Ratio"/>
      <sheetName val="Tax"/>
      <sheetName val="13IFRS"/>
      <sheetName val="CFs"/>
      <sheetName val="D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197">
          <cell r="E197">
            <v>952836073.99000001</v>
          </cell>
        </row>
        <row r="280">
          <cell r="E280">
            <v>118078037.32000002</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BS"/>
      <sheetName val="P&amp;L"/>
      <sheetName val="Trial Conso IND AS 31.03.18"/>
      <sheetName val="SOCE"/>
      <sheetName val="Additional Notes"/>
      <sheetName val="Note 3 Cow Disclosure (In lakh)"/>
      <sheetName val="Cash Flow (F)"/>
      <sheetName val="Note-17 (Share Capital)"/>
      <sheetName val="Note 2 Investment Property"/>
      <sheetName val="Accounting policies (F)"/>
      <sheetName val="Working for Cash Flow (F)"/>
      <sheetName val="Sub Schedule"/>
      <sheetName val="UNIT WISE TRIAL 31.03.18"/>
    </sheetNames>
    <sheetDataSet>
      <sheetData sheetId="0" refreshError="1"/>
      <sheetData sheetId="1" refreshError="1"/>
      <sheetData sheetId="2">
        <row r="1682">
          <cell r="C1682">
            <v>245575</v>
          </cell>
          <cell r="D1682">
            <v>0</v>
          </cell>
        </row>
        <row r="1683">
          <cell r="C1683">
            <v>25392.230000000003</v>
          </cell>
          <cell r="D1683">
            <v>34.869999999999997</v>
          </cell>
          <cell r="L1683">
            <v>7</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AE"/>
      <sheetName val="Regrouping"/>
      <sheetName val="BS"/>
      <sheetName val="P&amp;L"/>
      <sheetName val="Notes"/>
    </sheetNames>
    <sheetDataSet>
      <sheetData sheetId="0" refreshError="1">
        <row r="38">
          <cell r="E38">
            <v>44096955.799999997</v>
          </cell>
        </row>
        <row r="41">
          <cell r="E41">
            <v>45871447.250000015</v>
          </cell>
        </row>
        <row r="54">
          <cell r="F54">
            <v>12297387</v>
          </cell>
        </row>
        <row r="77">
          <cell r="F77">
            <v>12950000</v>
          </cell>
        </row>
        <row r="78">
          <cell r="F78">
            <v>12950000</v>
          </cell>
        </row>
        <row r="83">
          <cell r="E83">
            <v>777000000</v>
          </cell>
        </row>
        <row r="85">
          <cell r="F85">
            <v>518000000</v>
          </cell>
        </row>
        <row r="113">
          <cell r="F113">
            <v>241502.94999999925</v>
          </cell>
        </row>
        <row r="133">
          <cell r="E133">
            <v>333243226.17999983</v>
          </cell>
        </row>
        <row r="138">
          <cell r="F138">
            <v>7272443.75</v>
          </cell>
        </row>
        <row r="153">
          <cell r="E153">
            <v>45335766.469415516</v>
          </cell>
        </row>
        <row r="157">
          <cell r="F157">
            <v>1653563.3166136986</v>
          </cell>
        </row>
      </sheetData>
      <sheetData sheetId="1" refreshError="1">
        <row r="9">
          <cell r="E9">
            <v>703939</v>
          </cell>
        </row>
        <row r="10">
          <cell r="F10">
            <v>703939</v>
          </cell>
        </row>
        <row r="12">
          <cell r="E12">
            <v>576186</v>
          </cell>
        </row>
        <row r="13">
          <cell r="F13">
            <v>576186</v>
          </cell>
        </row>
        <row r="39">
          <cell r="F39">
            <v>51800000</v>
          </cell>
        </row>
        <row r="45">
          <cell r="F45">
            <v>4215469.49</v>
          </cell>
        </row>
      </sheetData>
      <sheetData sheetId="2" refreshError="1"/>
      <sheetData sheetId="3" refreshError="1"/>
      <sheetData sheetId="4"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AE"/>
      <sheetName val="Regrouping"/>
      <sheetName val="SAP "/>
      <sheetName val="Trial"/>
      <sheetName val="2SFP"/>
      <sheetName val="3SOCI"/>
      <sheetName val="10N_22-33"/>
      <sheetName val="4CF"/>
      <sheetName val="5SOCE"/>
      <sheetName val="6N_PPE"/>
      <sheetName val="7N_3-11"/>
      <sheetName val="8N_12-13"/>
      <sheetName val="9N_14-21"/>
      <sheetName val="10FV"/>
      <sheetName val="11FRM"/>
      <sheetName val="12CapMgt"/>
      <sheetName val="Tax"/>
      <sheetName val="Ratio"/>
      <sheetName val="13IFRS"/>
      <sheetName val="CFs"/>
      <sheetName val="D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enableFormatConditionsCalculation="0">
    <tabColor theme="4"/>
  </sheetPr>
  <dimension ref="A1:E391"/>
  <sheetViews>
    <sheetView showGridLines="0" workbookViewId="0">
      <pane ySplit="2" topLeftCell="A317" activePane="bottomLeft" state="frozen"/>
      <selection activeCell="B632" sqref="B632"/>
      <selection pane="bottomLeft" activeCell="E329" sqref="E329"/>
    </sheetView>
  </sheetViews>
  <sheetFormatPr defaultColWidth="9.140625" defaultRowHeight="15"/>
  <cols>
    <col min="1" max="1" width="13.85546875" style="953" bestFit="1" customWidth="1"/>
    <col min="2" max="2" width="49.28515625" style="953" bestFit="1" customWidth="1"/>
    <col min="3" max="3" width="19.42578125" style="954" bestFit="1" customWidth="1"/>
    <col min="4" max="4" width="17.7109375" style="954" bestFit="1" customWidth="1"/>
    <col min="5" max="5" width="10.42578125" style="953" bestFit="1" customWidth="1"/>
    <col min="6" max="16384" width="9.140625" style="953"/>
  </cols>
  <sheetData>
    <row r="1" spans="1:4" ht="15.75" thickBot="1">
      <c r="B1" s="958" t="s">
        <v>1132</v>
      </c>
      <c r="C1" s="955">
        <f>SUM(C3:C1371)</f>
        <v>-1.2773089110851288E-6</v>
      </c>
      <c r="D1" s="955">
        <f>SUM(D3:D1371)</f>
        <v>-6.4820051193237305E-7</v>
      </c>
    </row>
    <row r="2" spans="1:4" ht="15.75" thickTop="1">
      <c r="A2" s="956" t="s">
        <v>141</v>
      </c>
      <c r="B2" s="956" t="s">
        <v>143</v>
      </c>
      <c r="C2" s="957">
        <v>2019</v>
      </c>
      <c r="D2" s="1298">
        <v>2018</v>
      </c>
    </row>
    <row r="3" spans="1:4">
      <c r="A3">
        <v>4101102000</v>
      </c>
      <c r="B3" t="s">
        <v>576</v>
      </c>
      <c r="C3" s="1322">
        <v>-12272156.23</v>
      </c>
      <c r="D3" s="1266">
        <v>-13768576.130000001</v>
      </c>
    </row>
    <row r="4" spans="1:4">
      <c r="A4">
        <v>4101102001</v>
      </c>
      <c r="B4" t="s">
        <v>577</v>
      </c>
      <c r="C4" s="1322">
        <v>-187367</v>
      </c>
      <c r="D4" s="1266">
        <v>-232110</v>
      </c>
    </row>
    <row r="5" spans="1:4">
      <c r="A5">
        <v>4101104000</v>
      </c>
      <c r="B5" t="s">
        <v>578</v>
      </c>
      <c r="C5" s="1322">
        <v>-2762650</v>
      </c>
      <c r="D5" s="1266">
        <v>-2041000</v>
      </c>
    </row>
    <row r="6" spans="1:4">
      <c r="A6">
        <v>4101104001</v>
      </c>
      <c r="B6" t="s">
        <v>579</v>
      </c>
      <c r="C6" s="1322">
        <v>-218819946.30000001</v>
      </c>
      <c r="D6" s="1266">
        <v>-160598895.49000001</v>
      </c>
    </row>
    <row r="7" spans="1:4">
      <c r="A7">
        <v>4101104002</v>
      </c>
      <c r="B7" t="s">
        <v>580</v>
      </c>
      <c r="C7" s="1322">
        <v>-25217734.120000001</v>
      </c>
      <c r="D7" s="1266">
        <v>-27638836.129999999</v>
      </c>
    </row>
    <row r="8" spans="1:4">
      <c r="A8">
        <v>4101104003</v>
      </c>
      <c r="B8" t="s">
        <v>581</v>
      </c>
      <c r="C8" s="1322">
        <v>-104263790.09999999</v>
      </c>
      <c r="D8" s="1266">
        <v>-135154159.30000001</v>
      </c>
    </row>
    <row r="9" spans="1:4">
      <c r="A9">
        <v>4101104004</v>
      </c>
      <c r="B9" t="s">
        <v>1474</v>
      </c>
      <c r="C9" s="1322">
        <v>-710320.66</v>
      </c>
      <c r="D9" s="1266">
        <v>-758200.98</v>
      </c>
    </row>
    <row r="10" spans="1:4">
      <c r="A10">
        <v>4101104005</v>
      </c>
      <c r="B10" t="s">
        <v>583</v>
      </c>
      <c r="C10" s="1322">
        <v>-10454.6</v>
      </c>
      <c r="D10" s="1266">
        <v>-171383.5</v>
      </c>
    </row>
    <row r="11" spans="1:4">
      <c r="A11">
        <v>4101104006</v>
      </c>
      <c r="B11" t="s">
        <v>584</v>
      </c>
      <c r="C11" s="1322">
        <v>-256550</v>
      </c>
      <c r="D11" s="1266">
        <v>-95100</v>
      </c>
    </row>
    <row r="12" spans="1:4">
      <c r="A12">
        <v>4101104007</v>
      </c>
      <c r="B12" t="s">
        <v>531</v>
      </c>
      <c r="C12" s="1322">
        <v>-177269378.81999999</v>
      </c>
      <c r="D12" s="1266">
        <v>-131768316.89</v>
      </c>
    </row>
    <row r="13" spans="1:4">
      <c r="A13">
        <v>4101105000</v>
      </c>
      <c r="B13" t="s">
        <v>585</v>
      </c>
      <c r="C13" s="1322">
        <v>-3004865.73</v>
      </c>
      <c r="D13" s="1266">
        <v>-8667026.3499999996</v>
      </c>
    </row>
    <row r="14" spans="1:4">
      <c r="A14">
        <v>4101105001</v>
      </c>
      <c r="B14" t="s">
        <v>586</v>
      </c>
      <c r="C14" s="1322">
        <v>-11688697.689999999</v>
      </c>
      <c r="D14" s="1266">
        <v>-8740472.5500000007</v>
      </c>
    </row>
    <row r="15" spans="1:4">
      <c r="A15">
        <v>4101105002</v>
      </c>
      <c r="B15" t="s">
        <v>587</v>
      </c>
      <c r="C15" s="1322">
        <v>-43902247.109999999</v>
      </c>
      <c r="D15" s="1266">
        <v>-52748536.859999999</v>
      </c>
    </row>
    <row r="16" spans="1:4">
      <c r="A16">
        <v>4101105003</v>
      </c>
      <c r="B16" t="s">
        <v>588</v>
      </c>
      <c r="C16" s="1322">
        <v>-390406.65</v>
      </c>
      <c r="D16" s="1266">
        <v>-347548</v>
      </c>
    </row>
    <row r="17" spans="1:4">
      <c r="A17">
        <v>4101105004</v>
      </c>
      <c r="B17" t="s">
        <v>589</v>
      </c>
      <c r="C17" s="1322">
        <v>0</v>
      </c>
      <c r="D17" s="1266">
        <v>-196908</v>
      </c>
    </row>
    <row r="18" spans="1:4">
      <c r="A18">
        <v>4101105005</v>
      </c>
      <c r="B18" t="s">
        <v>1475</v>
      </c>
      <c r="C18" s="1322">
        <v>-163106.41</v>
      </c>
      <c r="D18" s="1266">
        <v>-174670.02</v>
      </c>
    </row>
    <row r="19" spans="1:4">
      <c r="A19">
        <v>4101105007</v>
      </c>
      <c r="B19" t="s">
        <v>591</v>
      </c>
      <c r="C19" s="1322">
        <v>-176110</v>
      </c>
      <c r="D19" s="1266">
        <v>-203705</v>
      </c>
    </row>
    <row r="20" spans="1:4">
      <c r="A20">
        <v>4101105008</v>
      </c>
      <c r="B20" t="s">
        <v>592</v>
      </c>
      <c r="C20" s="1322">
        <v>-897183.8</v>
      </c>
      <c r="D20" s="1266">
        <v>-1308268.75</v>
      </c>
    </row>
    <row r="21" spans="1:4">
      <c r="A21">
        <v>4101105009</v>
      </c>
      <c r="B21" t="s">
        <v>593</v>
      </c>
      <c r="C21" s="1322">
        <v>-95</v>
      </c>
      <c r="D21" s="1266">
        <v>-3363</v>
      </c>
    </row>
    <row r="22" spans="1:4">
      <c r="A22">
        <v>4101105011</v>
      </c>
      <c r="B22" t="s">
        <v>594</v>
      </c>
      <c r="C22" s="1322">
        <v>-1091397.67</v>
      </c>
      <c r="D22" s="1266">
        <v>-1172169.96</v>
      </c>
    </row>
    <row r="23" spans="1:4">
      <c r="A23">
        <v>4101105013</v>
      </c>
      <c r="B23" t="s">
        <v>595</v>
      </c>
      <c r="C23" s="1322">
        <v>-7003360.2699999996</v>
      </c>
      <c r="D23" s="1266">
        <v>-15518090.67</v>
      </c>
    </row>
    <row r="24" spans="1:4">
      <c r="A24">
        <v>4101105014</v>
      </c>
      <c r="B24" t="s">
        <v>215</v>
      </c>
      <c r="C24" s="1322">
        <v>-1534180.83</v>
      </c>
      <c r="D24" s="1266">
        <v>-4419916.3600000003</v>
      </c>
    </row>
    <row r="25" spans="1:4">
      <c r="A25">
        <v>4101105015</v>
      </c>
      <c r="B25" t="s">
        <v>213</v>
      </c>
      <c r="C25" s="1322">
        <v>-400000</v>
      </c>
      <c r="D25" s="1266">
        <v>0</v>
      </c>
    </row>
    <row r="26" spans="1:4">
      <c r="A26">
        <v>4101108001</v>
      </c>
      <c r="B26" t="s">
        <v>533</v>
      </c>
      <c r="C26" s="1322">
        <v>-164598</v>
      </c>
      <c r="D26" s="1266">
        <v>-327369</v>
      </c>
    </row>
    <row r="27" spans="1:4">
      <c r="A27">
        <v>4101101000</v>
      </c>
      <c r="B27" t="s">
        <v>596</v>
      </c>
      <c r="C27" s="1322">
        <v>-1214074.96</v>
      </c>
      <c r="D27" s="1266">
        <v>-1227251.45</v>
      </c>
    </row>
    <row r="28" spans="1:4">
      <c r="A28">
        <v>4101103000</v>
      </c>
      <c r="B28" t="s">
        <v>597</v>
      </c>
      <c r="C28" s="1322">
        <v>0</v>
      </c>
      <c r="D28" s="1266">
        <v>-2336738.88</v>
      </c>
    </row>
    <row r="29" spans="1:4">
      <c r="A29">
        <v>4101103001</v>
      </c>
      <c r="B29" t="s">
        <v>1489</v>
      </c>
      <c r="C29" s="1322">
        <v>-510506.64</v>
      </c>
      <c r="D29" s="1266">
        <v>-317724</v>
      </c>
    </row>
    <row r="30" spans="1:4">
      <c r="A30">
        <v>4101106000</v>
      </c>
      <c r="B30" t="s">
        <v>598</v>
      </c>
      <c r="C30" s="1322">
        <v>0</v>
      </c>
      <c r="D30" s="1266">
        <v>-584320.23</v>
      </c>
    </row>
    <row r="31" spans="1:4">
      <c r="A31">
        <v>4101106001</v>
      </c>
      <c r="B31" t="s">
        <v>599</v>
      </c>
      <c r="C31" s="1322">
        <v>-60227.839999999997</v>
      </c>
      <c r="D31" s="1266">
        <v>-144976.94</v>
      </c>
    </row>
    <row r="32" spans="1:4">
      <c r="A32">
        <v>4101106002</v>
      </c>
      <c r="B32" t="s">
        <v>600</v>
      </c>
      <c r="C32" s="1322">
        <v>0</v>
      </c>
      <c r="D32" s="1266">
        <v>-56500.7</v>
      </c>
    </row>
    <row r="33" spans="1:4">
      <c r="A33">
        <v>4102102000</v>
      </c>
      <c r="B33" t="s">
        <v>1476</v>
      </c>
      <c r="C33" s="1322">
        <v>-568040.92000000004</v>
      </c>
      <c r="D33" s="1266">
        <v>-525714.81000000006</v>
      </c>
    </row>
    <row r="34" spans="1:4">
      <c r="A34">
        <v>4102102001</v>
      </c>
      <c r="B34" t="s">
        <v>1477</v>
      </c>
      <c r="C34" s="1322">
        <v>-43400</v>
      </c>
      <c r="D34" s="1266">
        <v>0</v>
      </c>
    </row>
    <row r="35" spans="1:4">
      <c r="A35">
        <v>4102103000</v>
      </c>
      <c r="B35" t="s">
        <v>602</v>
      </c>
      <c r="C35" s="1322">
        <v>-59504</v>
      </c>
      <c r="D35" s="1266">
        <v>0</v>
      </c>
    </row>
    <row r="36" spans="1:4">
      <c r="A36">
        <v>4102103002</v>
      </c>
      <c r="B36" t="s">
        <v>604</v>
      </c>
      <c r="C36" s="1322">
        <v>-12550</v>
      </c>
      <c r="D36" s="1266">
        <v>-1136454</v>
      </c>
    </row>
    <row r="37" spans="1:4">
      <c r="A37">
        <v>4102103003</v>
      </c>
      <c r="B37" t="s">
        <v>605</v>
      </c>
      <c r="C37" s="1322">
        <v>-8341</v>
      </c>
      <c r="D37" s="1266">
        <v>-5581</v>
      </c>
    </row>
    <row r="38" spans="1:4">
      <c r="A38">
        <v>4102105000</v>
      </c>
      <c r="B38" t="s">
        <v>606</v>
      </c>
      <c r="C38" s="1322">
        <v>-133581.51999999999</v>
      </c>
      <c r="D38" s="1266">
        <v>-197275.62</v>
      </c>
    </row>
    <row r="39" spans="1:4">
      <c r="A39">
        <v>4102105002</v>
      </c>
      <c r="B39" t="s">
        <v>607</v>
      </c>
      <c r="C39" s="1322">
        <v>-397095.6</v>
      </c>
      <c r="D39" s="1266">
        <v>0</v>
      </c>
    </row>
    <row r="40" spans="1:4">
      <c r="A40">
        <v>4102106000</v>
      </c>
      <c r="B40" t="s">
        <v>608</v>
      </c>
      <c r="C40" s="1322">
        <v>-522157.74</v>
      </c>
      <c r="D40" s="1266">
        <v>-206608.24</v>
      </c>
    </row>
    <row r="41" spans="1:4">
      <c r="A41">
        <v>4102108001</v>
      </c>
      <c r="B41" t="s">
        <v>609</v>
      </c>
      <c r="C41" s="1322">
        <v>0</v>
      </c>
      <c r="D41" s="1266">
        <v>52646.879999999997</v>
      </c>
    </row>
    <row r="42" spans="1:4">
      <c r="A42">
        <v>4102110002</v>
      </c>
      <c r="B42" t="s">
        <v>160</v>
      </c>
      <c r="C42" s="1322">
        <v>0</v>
      </c>
      <c r="D42" s="1266">
        <v>-215653.88</v>
      </c>
    </row>
    <row r="43" spans="1:4">
      <c r="A43">
        <v>4102110006</v>
      </c>
      <c r="B43" t="s">
        <v>611</v>
      </c>
      <c r="C43" s="1322">
        <v>-0.08</v>
      </c>
      <c r="D43" s="1266">
        <v>-0.63</v>
      </c>
    </row>
    <row r="44" spans="1:4">
      <c r="A44">
        <v>4102110007</v>
      </c>
      <c r="B44" t="s">
        <v>612</v>
      </c>
      <c r="C44" s="1322">
        <v>-62544</v>
      </c>
      <c r="D44" s="1266">
        <v>0</v>
      </c>
    </row>
    <row r="45" spans="1:4">
      <c r="A45">
        <v>4102119999</v>
      </c>
      <c r="B45" t="s">
        <v>613</v>
      </c>
      <c r="C45" s="1322">
        <v>-71424</v>
      </c>
      <c r="D45" s="1266">
        <v>-33623.19</v>
      </c>
    </row>
    <row r="46" spans="1:4">
      <c r="A46">
        <v>4104102000</v>
      </c>
      <c r="B46" t="s">
        <v>1478</v>
      </c>
      <c r="C46" s="1322">
        <v>-114775.03999999999</v>
      </c>
      <c r="D46" s="1266">
        <v>-136035.10999999999</v>
      </c>
    </row>
    <row r="47" spans="1:4">
      <c r="A47">
        <v>4103501000</v>
      </c>
      <c r="B47" t="s">
        <v>615</v>
      </c>
      <c r="C47" s="1322">
        <v>-169516.82</v>
      </c>
      <c r="D47" s="1266">
        <v>-677151.87</v>
      </c>
    </row>
    <row r="48" spans="1:4">
      <c r="A48">
        <v>5102101000</v>
      </c>
      <c r="B48" t="s">
        <v>616</v>
      </c>
      <c r="C48" s="1322">
        <v>131103.95000000001</v>
      </c>
      <c r="D48" s="1266">
        <v>294402.23</v>
      </c>
    </row>
    <row r="49" spans="1:4">
      <c r="A49">
        <v>5102102000</v>
      </c>
      <c r="B49" t="s">
        <v>617</v>
      </c>
      <c r="C49" s="1322">
        <v>400556.74</v>
      </c>
      <c r="D49" s="1266">
        <v>172284.17</v>
      </c>
    </row>
    <row r="50" spans="1:4">
      <c r="A50">
        <v>5102103000</v>
      </c>
      <c r="B50" t="s">
        <v>618</v>
      </c>
      <c r="C50" s="1322">
        <v>5337302.91</v>
      </c>
      <c r="D50" s="1266">
        <v>5960985.8200000003</v>
      </c>
    </row>
    <row r="51" spans="1:4">
      <c r="A51">
        <v>5102104000</v>
      </c>
      <c r="B51" t="s">
        <v>619</v>
      </c>
      <c r="C51" s="1322">
        <v>0</v>
      </c>
      <c r="D51" s="1266">
        <v>2179</v>
      </c>
    </row>
    <row r="52" spans="1:4">
      <c r="A52">
        <v>5102105000</v>
      </c>
      <c r="B52" t="s">
        <v>620</v>
      </c>
      <c r="C52" s="1322">
        <v>664709.17000000004</v>
      </c>
      <c r="D52" s="1266">
        <v>67631.929999999993</v>
      </c>
    </row>
    <row r="53" spans="1:4">
      <c r="A53">
        <v>5102106000</v>
      </c>
      <c r="B53" t="s">
        <v>621</v>
      </c>
      <c r="C53" s="1322">
        <v>121106.8</v>
      </c>
      <c r="D53" s="1266">
        <v>110674.47</v>
      </c>
    </row>
    <row r="54" spans="1:4">
      <c r="A54">
        <v>5102108000</v>
      </c>
      <c r="B54" t="s">
        <v>622</v>
      </c>
      <c r="C54" s="1322">
        <v>2037979.41</v>
      </c>
      <c r="D54" s="1266">
        <v>276081.78999999998</v>
      </c>
    </row>
    <row r="55" spans="1:4">
      <c r="A55">
        <v>5102109000</v>
      </c>
      <c r="B55" t="s">
        <v>623</v>
      </c>
      <c r="C55" s="1322">
        <v>4119948.8</v>
      </c>
      <c r="D55" s="1266">
        <v>4281792.08</v>
      </c>
    </row>
    <row r="56" spans="1:4">
      <c r="A56">
        <v>5104101000</v>
      </c>
      <c r="B56" t="s">
        <v>624</v>
      </c>
      <c r="C56" s="1322">
        <v>25023242.98</v>
      </c>
      <c r="D56" s="1266">
        <v>23490576.030000001</v>
      </c>
    </row>
    <row r="57" spans="1:4">
      <c r="A57">
        <v>5104101001</v>
      </c>
      <c r="B57" t="s">
        <v>625</v>
      </c>
      <c r="C57" s="1322">
        <v>0</v>
      </c>
      <c r="D57" s="1266">
        <v>2000</v>
      </c>
    </row>
    <row r="58" spans="1:4">
      <c r="A58">
        <v>5104102000</v>
      </c>
      <c r="B58" t="s">
        <v>1479</v>
      </c>
      <c r="C58" s="1322">
        <v>6735936.0300000003</v>
      </c>
      <c r="D58" s="1266">
        <v>6810570.2000000002</v>
      </c>
    </row>
    <row r="59" spans="1:4">
      <c r="A59">
        <v>5104105000</v>
      </c>
      <c r="B59" t="s">
        <v>628</v>
      </c>
      <c r="C59" s="1322">
        <v>0</v>
      </c>
      <c r="D59" s="1266">
        <v>3685</v>
      </c>
    </row>
    <row r="60" spans="1:4">
      <c r="A60">
        <v>5104106000</v>
      </c>
      <c r="B60" t="s">
        <v>629</v>
      </c>
      <c r="C60" s="1322">
        <v>38590</v>
      </c>
      <c r="D60" s="1266">
        <v>140178.32999999999</v>
      </c>
    </row>
    <row r="61" spans="1:4">
      <c r="A61">
        <v>5104106001</v>
      </c>
      <c r="B61" t="s">
        <v>630</v>
      </c>
      <c r="C61" s="1322">
        <v>57190</v>
      </c>
      <c r="D61" s="1266">
        <v>0</v>
      </c>
    </row>
    <row r="62" spans="1:4">
      <c r="A62">
        <v>5104108000</v>
      </c>
      <c r="B62" t="s">
        <v>631</v>
      </c>
      <c r="C62" s="1322">
        <v>234160</v>
      </c>
      <c r="D62" s="1266">
        <v>15660</v>
      </c>
    </row>
    <row r="63" spans="1:4">
      <c r="A63">
        <v>5104108001</v>
      </c>
      <c r="B63" t="s">
        <v>632</v>
      </c>
      <c r="C63" s="1322">
        <v>15000</v>
      </c>
      <c r="D63" s="1266">
        <v>217126</v>
      </c>
    </row>
    <row r="64" spans="1:4">
      <c r="A64">
        <v>5104108002</v>
      </c>
      <c r="B64" t="s">
        <v>633</v>
      </c>
      <c r="C64" s="1322">
        <v>225051</v>
      </c>
      <c r="D64" s="1266">
        <v>1014624</v>
      </c>
    </row>
    <row r="65" spans="1:4">
      <c r="A65">
        <v>5104108005</v>
      </c>
      <c r="B65" t="s">
        <v>634</v>
      </c>
      <c r="C65" s="1322">
        <v>934077.74</v>
      </c>
      <c r="D65" s="1266">
        <v>1179475.1100000001</v>
      </c>
    </row>
    <row r="66" spans="1:4">
      <c r="A66">
        <v>5104108006</v>
      </c>
      <c r="B66" t="s">
        <v>635</v>
      </c>
      <c r="C66" s="1322">
        <v>0</v>
      </c>
      <c r="D66" s="1266">
        <v>1080</v>
      </c>
    </row>
    <row r="67" spans="1:4">
      <c r="A67">
        <v>5104202000</v>
      </c>
      <c r="B67" t="s">
        <v>636</v>
      </c>
      <c r="C67" s="1322">
        <v>125939.8</v>
      </c>
      <c r="D67" s="1266">
        <v>0</v>
      </c>
    </row>
    <row r="68" spans="1:4">
      <c r="A68">
        <v>5104203000</v>
      </c>
      <c r="B68" t="s">
        <v>637</v>
      </c>
      <c r="C68" s="1322">
        <v>4314824</v>
      </c>
      <c r="D68" s="1266">
        <v>3427265</v>
      </c>
    </row>
    <row r="69" spans="1:4">
      <c r="A69">
        <v>5104204000</v>
      </c>
      <c r="B69" t="s">
        <v>638</v>
      </c>
      <c r="C69" s="1322">
        <v>2666796</v>
      </c>
      <c r="D69" s="1266">
        <v>2678447</v>
      </c>
    </row>
    <row r="70" spans="1:4">
      <c r="A70">
        <v>5103101000</v>
      </c>
      <c r="B70" t="s">
        <v>639</v>
      </c>
      <c r="C70" s="1322">
        <v>21655</v>
      </c>
      <c r="D70" s="1266">
        <v>60279</v>
      </c>
    </row>
    <row r="71" spans="1:4">
      <c r="A71">
        <v>5103101001</v>
      </c>
      <c r="B71" t="s">
        <v>640</v>
      </c>
      <c r="C71" s="1322">
        <v>439093.02</v>
      </c>
      <c r="D71" s="1266">
        <v>727045</v>
      </c>
    </row>
    <row r="72" spans="1:4">
      <c r="A72">
        <v>5103101002</v>
      </c>
      <c r="B72" t="s">
        <v>641</v>
      </c>
      <c r="C72" s="1322">
        <v>0</v>
      </c>
      <c r="D72" s="1266">
        <v>4645</v>
      </c>
    </row>
    <row r="73" spans="1:4">
      <c r="A73">
        <v>5103102000</v>
      </c>
      <c r="B73" t="s">
        <v>642</v>
      </c>
      <c r="C73" s="1322">
        <v>7033.2</v>
      </c>
      <c r="D73" s="1266">
        <v>6690</v>
      </c>
    </row>
    <row r="74" spans="1:4">
      <c r="A74">
        <v>5103102001</v>
      </c>
      <c r="B74" t="s">
        <v>643</v>
      </c>
      <c r="C74" s="1322">
        <v>8505863.8200000003</v>
      </c>
      <c r="D74" s="1266">
        <v>2741667</v>
      </c>
    </row>
    <row r="75" spans="1:4">
      <c r="A75">
        <v>5103103000</v>
      </c>
      <c r="B75" t="s">
        <v>644</v>
      </c>
      <c r="C75" s="1322">
        <v>914026.63</v>
      </c>
      <c r="D75" s="1266">
        <v>47205</v>
      </c>
    </row>
    <row r="76" spans="1:4">
      <c r="A76">
        <v>5103103001</v>
      </c>
      <c r="B76" t="s">
        <v>645</v>
      </c>
      <c r="C76" s="1322">
        <v>5310</v>
      </c>
      <c r="D76" s="1266">
        <v>14600</v>
      </c>
    </row>
    <row r="77" spans="1:4">
      <c r="A77">
        <v>5103103003</v>
      </c>
      <c r="B77" t="s">
        <v>646</v>
      </c>
      <c r="C77" s="1322">
        <v>0</v>
      </c>
      <c r="D77" s="1266">
        <v>229890</v>
      </c>
    </row>
    <row r="78" spans="1:4">
      <c r="A78">
        <v>5103103004</v>
      </c>
      <c r="B78" t="s">
        <v>647</v>
      </c>
      <c r="C78" s="1322">
        <v>23465</v>
      </c>
      <c r="D78" s="1266">
        <v>27955</v>
      </c>
    </row>
    <row r="79" spans="1:4">
      <c r="A79">
        <v>5103104000</v>
      </c>
      <c r="B79" t="s">
        <v>649</v>
      </c>
      <c r="C79" s="1322">
        <v>1209470.05</v>
      </c>
      <c r="D79" s="1266">
        <v>795140.08</v>
      </c>
    </row>
    <row r="80" spans="1:4">
      <c r="A80">
        <v>5103104001</v>
      </c>
      <c r="B80" t="s">
        <v>650</v>
      </c>
      <c r="C80" s="1322">
        <v>745237</v>
      </c>
      <c r="D80" s="1266">
        <v>802885</v>
      </c>
    </row>
    <row r="81" spans="1:4">
      <c r="A81">
        <v>5103103008</v>
      </c>
      <c r="B81" t="s">
        <v>651</v>
      </c>
      <c r="C81" s="1322">
        <v>0</v>
      </c>
      <c r="D81" s="1266">
        <v>144161.12</v>
      </c>
    </row>
    <row r="82" spans="1:4">
      <c r="A82">
        <v>5105101000</v>
      </c>
      <c r="B82" t="s">
        <v>652</v>
      </c>
      <c r="C82" s="1322">
        <v>20495</v>
      </c>
      <c r="D82" s="1266">
        <v>33250</v>
      </c>
    </row>
    <row r="83" spans="1:4">
      <c r="A83">
        <v>5105101001</v>
      </c>
      <c r="B83" t="s">
        <v>653</v>
      </c>
      <c r="C83" s="1322">
        <v>6000</v>
      </c>
      <c r="D83" s="1266">
        <v>419127.7</v>
      </c>
    </row>
    <row r="84" spans="1:4">
      <c r="A84">
        <v>5105104000</v>
      </c>
      <c r="B84" t="s">
        <v>1480</v>
      </c>
      <c r="C84" s="1322">
        <v>142000</v>
      </c>
      <c r="D84" s="1266">
        <v>182000</v>
      </c>
    </row>
    <row r="85" spans="1:4">
      <c r="A85">
        <v>5105107000</v>
      </c>
      <c r="B85" t="s">
        <v>656</v>
      </c>
      <c r="C85" s="1322">
        <v>409146</v>
      </c>
      <c r="D85" s="1266">
        <v>651070</v>
      </c>
    </row>
    <row r="86" spans="1:4">
      <c r="A86">
        <v>5105108000</v>
      </c>
      <c r="B86" t="s">
        <v>657</v>
      </c>
      <c r="C86" s="1322">
        <v>1080</v>
      </c>
      <c r="D86" s="1266">
        <v>0</v>
      </c>
    </row>
    <row r="87" spans="1:4">
      <c r="A87">
        <v>5105109000</v>
      </c>
      <c r="B87" t="s">
        <v>658</v>
      </c>
      <c r="C87" s="1322">
        <v>600893</v>
      </c>
      <c r="D87" s="1266">
        <v>101425</v>
      </c>
    </row>
    <row r="88" spans="1:4">
      <c r="A88">
        <v>5105113000</v>
      </c>
      <c r="B88" t="s">
        <v>659</v>
      </c>
      <c r="C88" s="1322">
        <v>46189</v>
      </c>
      <c r="D88" s="1266">
        <v>44850</v>
      </c>
    </row>
    <row r="89" spans="1:4">
      <c r="A89">
        <v>5105113001</v>
      </c>
      <c r="B89" t="s">
        <v>660</v>
      </c>
      <c r="C89" s="1322">
        <v>95927.89</v>
      </c>
      <c r="D89" s="1266">
        <v>36270.92</v>
      </c>
    </row>
    <row r="90" spans="1:4">
      <c r="A90">
        <v>5105113002</v>
      </c>
      <c r="B90" t="s">
        <v>661</v>
      </c>
      <c r="C90" s="1322">
        <v>39198</v>
      </c>
      <c r="D90" s="1266">
        <v>12901</v>
      </c>
    </row>
    <row r="91" spans="1:4">
      <c r="A91">
        <v>5105114000</v>
      </c>
      <c r="B91" t="s">
        <v>662</v>
      </c>
      <c r="C91" s="1322">
        <v>877995.22</v>
      </c>
      <c r="D91" s="1266">
        <v>965852.83</v>
      </c>
    </row>
    <row r="92" spans="1:4">
      <c r="A92">
        <v>5105115000</v>
      </c>
      <c r="B92" t="s">
        <v>663</v>
      </c>
      <c r="C92" s="1322">
        <v>0</v>
      </c>
      <c r="D92" s="1266">
        <v>155020</v>
      </c>
    </row>
    <row r="93" spans="1:4">
      <c r="A93">
        <v>5105116000</v>
      </c>
      <c r="B93" t="s">
        <v>664</v>
      </c>
      <c r="C93" s="1322">
        <v>1275650</v>
      </c>
      <c r="D93" s="1266">
        <v>1106396</v>
      </c>
    </row>
    <row r="94" spans="1:4">
      <c r="A94">
        <v>5105116001</v>
      </c>
      <c r="B94" t="s">
        <v>1481</v>
      </c>
      <c r="C94" s="1322">
        <v>160500</v>
      </c>
      <c r="D94" s="1266">
        <v>192800</v>
      </c>
    </row>
    <row r="95" spans="1:4">
      <c r="A95">
        <v>5105117000</v>
      </c>
      <c r="B95" t="s">
        <v>666</v>
      </c>
      <c r="C95" s="1322">
        <v>2500</v>
      </c>
      <c r="D95" s="1266">
        <v>12231.6</v>
      </c>
    </row>
    <row r="96" spans="1:4">
      <c r="A96">
        <v>5105117001</v>
      </c>
      <c r="B96" t="s">
        <v>1025</v>
      </c>
      <c r="C96" s="1322">
        <v>1400</v>
      </c>
      <c r="D96" s="1266">
        <v>0</v>
      </c>
    </row>
    <row r="97" spans="1:4">
      <c r="A97">
        <v>5105118000</v>
      </c>
      <c r="B97" t="s">
        <v>667</v>
      </c>
      <c r="C97" s="1322">
        <v>30097</v>
      </c>
      <c r="D97" s="1266">
        <v>18764</v>
      </c>
    </row>
    <row r="98" spans="1:4">
      <c r="A98">
        <v>5105119000</v>
      </c>
      <c r="B98" t="s">
        <v>668</v>
      </c>
      <c r="C98" s="1322">
        <v>11537</v>
      </c>
      <c r="D98" s="1266">
        <v>11062</v>
      </c>
    </row>
    <row r="99" spans="1:4">
      <c r="A99">
        <v>5105119005</v>
      </c>
      <c r="B99" t="s">
        <v>669</v>
      </c>
      <c r="C99" s="1322">
        <v>13231253.74</v>
      </c>
      <c r="D99" s="1266">
        <v>12924567.68</v>
      </c>
    </row>
    <row r="100" spans="1:4">
      <c r="A100">
        <v>5105120000</v>
      </c>
      <c r="B100" t="s">
        <v>670</v>
      </c>
      <c r="C100" s="1322">
        <v>28724353.609999999</v>
      </c>
      <c r="D100" s="1266">
        <v>25644796.199999999</v>
      </c>
    </row>
    <row r="101" spans="1:4">
      <c r="A101">
        <v>5105120001</v>
      </c>
      <c r="B101" t="s">
        <v>671</v>
      </c>
      <c r="C101" s="1322">
        <v>36934.5</v>
      </c>
      <c r="D101" s="1266">
        <v>53213.25</v>
      </c>
    </row>
    <row r="102" spans="1:4">
      <c r="A102">
        <v>5105121000</v>
      </c>
      <c r="B102" t="s">
        <v>672</v>
      </c>
      <c r="C102" s="1322">
        <v>4980317.6500000004</v>
      </c>
      <c r="D102" s="1266">
        <v>5408105.4100000001</v>
      </c>
    </row>
    <row r="103" spans="1:4">
      <c r="A103">
        <v>5105122000</v>
      </c>
      <c r="B103" t="s">
        <v>673</v>
      </c>
      <c r="C103" s="1322">
        <v>390054.68</v>
      </c>
      <c r="D103" s="1266">
        <v>587851.62</v>
      </c>
    </row>
    <row r="104" spans="1:4">
      <c r="A104">
        <v>5105123000</v>
      </c>
      <c r="B104" t="s">
        <v>674</v>
      </c>
      <c r="C104" s="1322">
        <v>53904</v>
      </c>
      <c r="D104" s="1266">
        <v>110041</v>
      </c>
    </row>
    <row r="105" spans="1:4">
      <c r="A105">
        <v>5105125000</v>
      </c>
      <c r="B105" t="s">
        <v>676</v>
      </c>
      <c r="C105" s="1322">
        <v>30000</v>
      </c>
      <c r="D105" s="1266">
        <v>60000</v>
      </c>
    </row>
    <row r="106" spans="1:4">
      <c r="A106">
        <v>5105125001</v>
      </c>
      <c r="B106" t="s">
        <v>204</v>
      </c>
      <c r="C106" s="1322">
        <v>80000</v>
      </c>
      <c r="D106" s="1266">
        <v>0</v>
      </c>
    </row>
    <row r="107" spans="1:4">
      <c r="A107">
        <v>5105126001</v>
      </c>
      <c r="B107" t="s">
        <v>170</v>
      </c>
      <c r="C107" s="1322">
        <v>0</v>
      </c>
      <c r="D107" s="1266">
        <v>256351.56</v>
      </c>
    </row>
    <row r="108" spans="1:4">
      <c r="A108">
        <v>5105126007</v>
      </c>
      <c r="B108" t="s">
        <v>680</v>
      </c>
      <c r="C108" s="1322">
        <v>0.11</v>
      </c>
      <c r="D108" s="1266">
        <v>1.23</v>
      </c>
    </row>
    <row r="109" spans="1:4">
      <c r="A109">
        <v>5105126999</v>
      </c>
      <c r="B109" t="s">
        <v>681</v>
      </c>
      <c r="C109" s="1322">
        <v>0</v>
      </c>
      <c r="D109" s="1266">
        <v>32071.599999999999</v>
      </c>
    </row>
    <row r="110" spans="1:4">
      <c r="A110">
        <v>5105130001</v>
      </c>
      <c r="B110" t="s">
        <v>683</v>
      </c>
      <c r="C110" s="1322">
        <v>380527.5</v>
      </c>
      <c r="D110" s="1266">
        <v>325447.5</v>
      </c>
    </row>
    <row r="111" spans="1:4">
      <c r="A111">
        <v>5105132000</v>
      </c>
      <c r="B111" t="s">
        <v>210</v>
      </c>
      <c r="C111" s="1322">
        <v>8760</v>
      </c>
      <c r="D111" s="1266">
        <v>0</v>
      </c>
    </row>
    <row r="112" spans="1:4">
      <c r="A112">
        <v>5106101000</v>
      </c>
      <c r="B112" t="s">
        <v>684</v>
      </c>
      <c r="C112" s="1322">
        <v>878424.66</v>
      </c>
      <c r="D112" s="1266">
        <v>878424.66</v>
      </c>
    </row>
    <row r="113" spans="1:4">
      <c r="A113">
        <v>5106102000</v>
      </c>
      <c r="B113" t="s">
        <v>685</v>
      </c>
      <c r="C113" s="1322">
        <v>125292.74</v>
      </c>
      <c r="D113" s="1266">
        <v>117297.55</v>
      </c>
    </row>
    <row r="114" spans="1:4">
      <c r="A114">
        <v>5105107001</v>
      </c>
      <c r="B114" t="s">
        <v>686</v>
      </c>
      <c r="C114" s="1322">
        <v>129839.36</v>
      </c>
      <c r="D114" s="1266">
        <v>458953.56</v>
      </c>
    </row>
    <row r="115" spans="1:4">
      <c r="A115">
        <v>5105120002</v>
      </c>
      <c r="B115" t="s">
        <v>687</v>
      </c>
      <c r="C115" s="1322">
        <v>0</v>
      </c>
      <c r="D115" s="1266">
        <v>449223.17</v>
      </c>
    </row>
    <row r="116" spans="1:4">
      <c r="A116">
        <v>5105120003</v>
      </c>
      <c r="B116" t="s">
        <v>688</v>
      </c>
      <c r="C116" s="1322">
        <v>17178603.48</v>
      </c>
      <c r="D116" s="1266">
        <v>20277291.609999999</v>
      </c>
    </row>
    <row r="117" spans="1:4">
      <c r="A117">
        <v>5105120004</v>
      </c>
      <c r="B117" t="s">
        <v>689</v>
      </c>
      <c r="C117" s="1322">
        <v>642991.18000000005</v>
      </c>
      <c r="D117" s="1266">
        <v>946318.82</v>
      </c>
    </row>
    <row r="118" spans="1:4">
      <c r="A118">
        <v>5105120005</v>
      </c>
      <c r="B118" t="s">
        <v>690</v>
      </c>
      <c r="C118" s="1322">
        <v>786479.91</v>
      </c>
      <c r="D118" s="1266">
        <v>1177167.44</v>
      </c>
    </row>
    <row r="119" spans="1:4">
      <c r="A119">
        <v>5105120006</v>
      </c>
      <c r="B119" t="s">
        <v>691</v>
      </c>
      <c r="C119" s="1322">
        <v>132712.53</v>
      </c>
      <c r="D119" s="1266">
        <v>2362219.2000000002</v>
      </c>
    </row>
    <row r="120" spans="1:4">
      <c r="A120">
        <v>5105120008</v>
      </c>
      <c r="B120" t="s">
        <v>1482</v>
      </c>
      <c r="C120" s="1322">
        <v>313984.86</v>
      </c>
      <c r="D120" s="1266">
        <v>119682.4</v>
      </c>
    </row>
    <row r="121" spans="1:4">
      <c r="A121">
        <v>5111102000</v>
      </c>
      <c r="B121" t="s">
        <v>692</v>
      </c>
      <c r="C121" s="1322">
        <v>534662.04</v>
      </c>
      <c r="D121" s="1266">
        <v>309358.56</v>
      </c>
    </row>
    <row r="122" spans="1:4">
      <c r="A122">
        <v>5107101000</v>
      </c>
      <c r="B122" t="s">
        <v>693</v>
      </c>
      <c r="C122" s="1322">
        <v>4599547.1900000004</v>
      </c>
      <c r="D122" s="1266">
        <v>4131856</v>
      </c>
    </row>
    <row r="123" spans="1:4">
      <c r="A123">
        <v>5107102000</v>
      </c>
      <c r="B123" t="s">
        <v>694</v>
      </c>
      <c r="C123" s="1322">
        <v>60935746.600000001</v>
      </c>
      <c r="D123" s="1266">
        <v>58337082</v>
      </c>
    </row>
    <row r="124" spans="1:4">
      <c r="A124">
        <v>5107103000</v>
      </c>
      <c r="B124" t="s">
        <v>695</v>
      </c>
      <c r="C124" s="1322">
        <v>1297549.04</v>
      </c>
      <c r="D124" s="1266">
        <v>1434544.84</v>
      </c>
    </row>
    <row r="125" spans="1:4">
      <c r="A125">
        <v>5107103001</v>
      </c>
      <c r="B125" t="s">
        <v>696</v>
      </c>
      <c r="C125" s="1322">
        <v>245472.91</v>
      </c>
      <c r="D125" s="1266">
        <v>245123</v>
      </c>
    </row>
    <row r="126" spans="1:4">
      <c r="A126">
        <v>5107104000</v>
      </c>
      <c r="B126" t="s">
        <v>697</v>
      </c>
      <c r="C126" s="1322">
        <v>18010643</v>
      </c>
      <c r="D126" s="1266">
        <v>18581271</v>
      </c>
    </row>
    <row r="127" spans="1:4">
      <c r="A127">
        <v>5107104001</v>
      </c>
      <c r="B127" t="s">
        <v>698</v>
      </c>
      <c r="C127" s="1322">
        <v>7440705</v>
      </c>
      <c r="D127" s="1266">
        <v>6694113</v>
      </c>
    </row>
    <row r="128" spans="1:4">
      <c r="A128">
        <v>5107105000</v>
      </c>
      <c r="B128" t="s">
        <v>699</v>
      </c>
      <c r="C128" s="1322">
        <v>1128515</v>
      </c>
      <c r="D128" s="1266">
        <v>1190087.1299999999</v>
      </c>
    </row>
    <row r="129" spans="1:4">
      <c r="A129">
        <v>5107106000</v>
      </c>
      <c r="B129" t="s">
        <v>700</v>
      </c>
      <c r="C129" s="1322">
        <v>1543759</v>
      </c>
      <c r="D129" s="1266">
        <v>1237383</v>
      </c>
    </row>
    <row r="130" spans="1:4">
      <c r="A130">
        <v>5107202000</v>
      </c>
      <c r="B130" t="s">
        <v>701</v>
      </c>
      <c r="C130" s="1322">
        <v>60582390</v>
      </c>
      <c r="D130" s="1266">
        <v>48736333.700000003</v>
      </c>
    </row>
    <row r="131" spans="1:4">
      <c r="A131">
        <v>1101101000</v>
      </c>
      <c r="B131" t="s">
        <v>436</v>
      </c>
      <c r="C131" s="1322">
        <v>-182445</v>
      </c>
      <c r="D131" s="1266">
        <v>0</v>
      </c>
    </row>
    <row r="132" spans="1:4">
      <c r="A132">
        <v>1101202010</v>
      </c>
      <c r="B132" t="s">
        <v>280</v>
      </c>
      <c r="C132" s="1322">
        <v>310542806.67000002</v>
      </c>
      <c r="D132" s="1266">
        <v>130568431.61</v>
      </c>
    </row>
    <row r="133" spans="1:4">
      <c r="A133">
        <v>1101202011</v>
      </c>
      <c r="B133" t="s">
        <v>281</v>
      </c>
      <c r="C133" s="1322">
        <v>137622275.96000001</v>
      </c>
      <c r="D133" s="1266">
        <v>382954.51</v>
      </c>
    </row>
    <row r="134" spans="1:4">
      <c r="A134">
        <v>1101202012</v>
      </c>
      <c r="B134" t="s">
        <v>282</v>
      </c>
      <c r="C134" s="1322">
        <v>-182453398.69999999</v>
      </c>
      <c r="D134" s="1266">
        <v>-14111551.32</v>
      </c>
    </row>
    <row r="135" spans="1:4">
      <c r="A135">
        <v>1101202020</v>
      </c>
      <c r="B135" t="s">
        <v>283</v>
      </c>
      <c r="C135" s="1322">
        <v>15109390.890000001</v>
      </c>
      <c r="D135" s="1266">
        <v>4088310.01</v>
      </c>
    </row>
    <row r="136" spans="1:4">
      <c r="A136">
        <v>1101202022</v>
      </c>
      <c r="B136" t="s">
        <v>284</v>
      </c>
      <c r="C136" s="1322">
        <v>-14096802.800000001</v>
      </c>
      <c r="D136" s="1266">
        <v>-71212.08</v>
      </c>
    </row>
    <row r="137" spans="1:4">
      <c r="A137">
        <v>1101202030</v>
      </c>
      <c r="B137" t="s">
        <v>285</v>
      </c>
      <c r="C137" s="1322">
        <v>5909500.1200000001</v>
      </c>
      <c r="D137" s="1266">
        <v>6668412.8300000001</v>
      </c>
    </row>
    <row r="138" spans="1:4">
      <c r="A138">
        <v>1101202040</v>
      </c>
      <c r="B138" t="s">
        <v>286</v>
      </c>
      <c r="C138" s="1322">
        <v>15288800.060000001</v>
      </c>
      <c r="D138" s="1266">
        <v>25873450.210000001</v>
      </c>
    </row>
    <row r="139" spans="1:4">
      <c r="A139">
        <v>1101202041</v>
      </c>
      <c r="B139" t="s">
        <v>440</v>
      </c>
      <c r="C139" s="1322">
        <v>3271986.52</v>
      </c>
      <c r="D139" s="1266">
        <v>0</v>
      </c>
    </row>
    <row r="140" spans="1:4">
      <c r="A140">
        <v>1101202060</v>
      </c>
      <c r="B140" t="s">
        <v>287</v>
      </c>
      <c r="C140" s="1322">
        <v>76449.11</v>
      </c>
      <c r="D140" s="1266">
        <v>5469178.9100000001</v>
      </c>
    </row>
    <row r="141" spans="1:4">
      <c r="A141">
        <v>1101202070</v>
      </c>
      <c r="B141" t="s">
        <v>288</v>
      </c>
      <c r="C141" s="1322">
        <v>27854528.120000001</v>
      </c>
      <c r="D141" s="1266">
        <v>26586245.050000001</v>
      </c>
    </row>
    <row r="142" spans="1:4">
      <c r="A142">
        <v>1101202080</v>
      </c>
      <c r="B142" t="s">
        <v>289</v>
      </c>
      <c r="C142" s="1322">
        <v>480329706.56</v>
      </c>
      <c r="D142" s="1266">
        <v>226577417.19</v>
      </c>
    </row>
    <row r="143" spans="1:4">
      <c r="A143">
        <v>1101202081</v>
      </c>
      <c r="B143" t="s">
        <v>702</v>
      </c>
      <c r="C143" s="1322">
        <v>25614.17</v>
      </c>
      <c r="D143" s="1266">
        <v>19861.3</v>
      </c>
    </row>
    <row r="144" spans="1:4">
      <c r="A144">
        <v>1101202082</v>
      </c>
      <c r="B144" t="s">
        <v>703</v>
      </c>
      <c r="C144" s="1322">
        <v>-19435359</v>
      </c>
      <c r="D144" s="1266">
        <v>-32304475.079999998</v>
      </c>
    </row>
    <row r="145" spans="1:4">
      <c r="A145">
        <v>1101202090</v>
      </c>
      <c r="B145" t="s">
        <v>704</v>
      </c>
      <c r="C145" s="1322">
        <v>1000</v>
      </c>
      <c r="D145" s="1266">
        <v>1000</v>
      </c>
    </row>
    <row r="146" spans="1:4">
      <c r="A146">
        <v>1101202100</v>
      </c>
      <c r="B146" t="s">
        <v>705</v>
      </c>
      <c r="C146" s="1322">
        <v>13447</v>
      </c>
      <c r="D146" s="1266">
        <v>0</v>
      </c>
    </row>
    <row r="147" spans="1:4">
      <c r="A147">
        <v>1101202101</v>
      </c>
      <c r="B147" t="s">
        <v>706</v>
      </c>
      <c r="C147" s="1322">
        <v>140688</v>
      </c>
      <c r="D147" s="1266">
        <v>0</v>
      </c>
    </row>
    <row r="148" spans="1:4">
      <c r="A148">
        <v>1101202102</v>
      </c>
      <c r="B148" t="s">
        <v>861</v>
      </c>
      <c r="C148" s="1322">
        <v>-108407</v>
      </c>
      <c r="D148" s="1266">
        <v>0</v>
      </c>
    </row>
    <row r="149" spans="1:4">
      <c r="A149">
        <v>1101202110</v>
      </c>
      <c r="B149" t="s">
        <v>707</v>
      </c>
      <c r="C149" s="1322">
        <v>1000</v>
      </c>
      <c r="D149" s="1266">
        <v>0</v>
      </c>
    </row>
    <row r="150" spans="1:4">
      <c r="A150">
        <v>1101202120</v>
      </c>
      <c r="B150" t="s">
        <v>709</v>
      </c>
      <c r="C150" s="1322">
        <v>1534863.87</v>
      </c>
      <c r="D150" s="1266">
        <v>0</v>
      </c>
    </row>
    <row r="151" spans="1:4">
      <c r="A151">
        <v>1101202121</v>
      </c>
      <c r="B151" t="s">
        <v>710</v>
      </c>
      <c r="C151" s="1322">
        <v>8232735.2999999998</v>
      </c>
      <c r="D151" s="1266">
        <v>0</v>
      </c>
    </row>
    <row r="152" spans="1:4">
      <c r="A152">
        <v>1101202122</v>
      </c>
      <c r="B152" t="s">
        <v>883</v>
      </c>
      <c r="C152" s="1322">
        <v>-8382900.9699999997</v>
      </c>
      <c r="D152" s="1266">
        <v>0</v>
      </c>
    </row>
    <row r="153" spans="1:4">
      <c r="A153">
        <v>1101202130</v>
      </c>
      <c r="B153" t="s">
        <v>711</v>
      </c>
      <c r="C153" s="1322">
        <v>1000</v>
      </c>
      <c r="D153" s="1266">
        <v>0</v>
      </c>
    </row>
    <row r="154" spans="1:4">
      <c r="A154">
        <v>1101202131</v>
      </c>
      <c r="B154" t="s">
        <v>867</v>
      </c>
      <c r="C154" s="1322">
        <v>15858.63</v>
      </c>
      <c r="D154" s="1266">
        <v>0</v>
      </c>
    </row>
    <row r="155" spans="1:4">
      <c r="A155">
        <v>1101202132</v>
      </c>
      <c r="B155" t="s">
        <v>884</v>
      </c>
      <c r="C155" s="1322">
        <v>-390.6</v>
      </c>
      <c r="D155" s="1266">
        <v>0</v>
      </c>
    </row>
    <row r="156" spans="1:4">
      <c r="A156">
        <v>1101202140</v>
      </c>
      <c r="B156" t="s">
        <v>1054</v>
      </c>
      <c r="C156" s="1322">
        <v>-13239.18</v>
      </c>
      <c r="D156" s="1266">
        <v>0</v>
      </c>
    </row>
    <row r="157" spans="1:4">
      <c r="A157">
        <v>1101202141</v>
      </c>
      <c r="B157" t="s">
        <v>1043</v>
      </c>
      <c r="C157" s="1322">
        <v>2152811</v>
      </c>
      <c r="D157" s="1266">
        <v>0</v>
      </c>
    </row>
    <row r="158" spans="1:4">
      <c r="A158">
        <v>1101202142</v>
      </c>
      <c r="B158" t="s">
        <v>1055</v>
      </c>
      <c r="C158" s="1322">
        <v>-17696.2</v>
      </c>
      <c r="D158" s="1266">
        <v>0</v>
      </c>
    </row>
    <row r="159" spans="1:4">
      <c r="A159">
        <v>1101203000</v>
      </c>
      <c r="B159" t="s">
        <v>712</v>
      </c>
      <c r="C159" s="1322">
        <v>1802732.25</v>
      </c>
      <c r="D159" s="1266">
        <v>3165923.55</v>
      </c>
    </row>
    <row r="160" spans="1:4">
      <c r="A160">
        <v>1101203001</v>
      </c>
      <c r="B160" t="s">
        <v>713</v>
      </c>
      <c r="C160" s="1322">
        <v>298204.83</v>
      </c>
      <c r="D160" s="1266">
        <v>209094</v>
      </c>
    </row>
    <row r="161" spans="1:4">
      <c r="A161">
        <v>1101203010</v>
      </c>
      <c r="B161" t="s">
        <v>714</v>
      </c>
      <c r="C161" s="1322">
        <v>1688285.5</v>
      </c>
      <c r="D161" s="1266">
        <v>1536785.13</v>
      </c>
    </row>
    <row r="162" spans="1:4">
      <c r="A162">
        <v>1101203011</v>
      </c>
      <c r="B162" t="s">
        <v>715</v>
      </c>
      <c r="C162" s="1322">
        <v>105006.44</v>
      </c>
      <c r="D162" s="1266">
        <v>47268.62</v>
      </c>
    </row>
    <row r="163" spans="1:4">
      <c r="A163">
        <v>1101203020</v>
      </c>
      <c r="B163" t="s">
        <v>716</v>
      </c>
      <c r="C163" s="1322">
        <v>0</v>
      </c>
      <c r="D163" s="1266">
        <v>3034328.79</v>
      </c>
    </row>
    <row r="164" spans="1:4">
      <c r="A164">
        <v>1101203021</v>
      </c>
      <c r="B164" t="s">
        <v>717</v>
      </c>
      <c r="C164" s="1322">
        <v>0</v>
      </c>
      <c r="D164" s="1266">
        <v>1402647.5</v>
      </c>
    </row>
    <row r="165" spans="1:4">
      <c r="A165">
        <v>1101203030</v>
      </c>
      <c r="B165" t="s">
        <v>718</v>
      </c>
      <c r="C165" s="1322">
        <v>1000</v>
      </c>
      <c r="D165" s="1266">
        <v>1094</v>
      </c>
    </row>
    <row r="166" spans="1:4">
      <c r="A166">
        <v>1101203031</v>
      </c>
      <c r="B166" t="s">
        <v>872</v>
      </c>
      <c r="C166" s="1322">
        <v>81651</v>
      </c>
      <c r="D166" s="1266">
        <v>0</v>
      </c>
    </row>
    <row r="167" spans="1:4">
      <c r="A167">
        <v>1101203040</v>
      </c>
      <c r="B167" t="s">
        <v>719</v>
      </c>
      <c r="C167" s="1322">
        <v>1827893</v>
      </c>
      <c r="D167" s="1266">
        <v>1101552.1499999999</v>
      </c>
    </row>
    <row r="168" spans="1:4">
      <c r="A168">
        <v>1101203041</v>
      </c>
      <c r="B168" t="s">
        <v>720</v>
      </c>
      <c r="C168" s="1322">
        <v>22364</v>
      </c>
      <c r="D168" s="1266">
        <v>67357</v>
      </c>
    </row>
    <row r="169" spans="1:4">
      <c r="A169">
        <v>1101203050</v>
      </c>
      <c r="B169" t="s">
        <v>721</v>
      </c>
      <c r="C169" s="1322">
        <v>434148.3</v>
      </c>
      <c r="D169" s="1266">
        <v>485186.43</v>
      </c>
    </row>
    <row r="170" spans="1:4">
      <c r="A170">
        <v>1101203051</v>
      </c>
      <c r="B170" t="s">
        <v>722</v>
      </c>
      <c r="C170" s="1322">
        <v>11907.66</v>
      </c>
      <c r="D170" s="1266">
        <v>1677717.74</v>
      </c>
    </row>
    <row r="171" spans="1:4">
      <c r="A171">
        <v>1101203060</v>
      </c>
      <c r="B171" t="s">
        <v>723</v>
      </c>
      <c r="C171" s="1322">
        <v>703351.25</v>
      </c>
      <c r="D171" s="1266">
        <v>561968.5</v>
      </c>
    </row>
    <row r="172" spans="1:4">
      <c r="A172">
        <v>1101203061</v>
      </c>
      <c r="B172" t="s">
        <v>724</v>
      </c>
      <c r="C172" s="1322">
        <v>399348.75</v>
      </c>
      <c r="D172" s="1266">
        <v>341752</v>
      </c>
    </row>
    <row r="173" spans="1:4">
      <c r="A173">
        <v>1101203070</v>
      </c>
      <c r="B173" t="s">
        <v>725</v>
      </c>
      <c r="C173" s="1322">
        <v>320674.8</v>
      </c>
      <c r="D173" s="1266">
        <v>636572</v>
      </c>
    </row>
    <row r="174" spans="1:4">
      <c r="A174">
        <v>1101203071</v>
      </c>
      <c r="B174" t="s">
        <v>726</v>
      </c>
      <c r="C174" s="1322">
        <v>31627</v>
      </c>
      <c r="D174" s="1266">
        <v>154686.29999999999</v>
      </c>
    </row>
    <row r="175" spans="1:4">
      <c r="A175">
        <v>1101203090</v>
      </c>
      <c r="B175" t="s">
        <v>1490</v>
      </c>
      <c r="C175" s="1322">
        <v>0</v>
      </c>
      <c r="D175" s="1266">
        <v>2786.27</v>
      </c>
    </row>
    <row r="176" spans="1:4">
      <c r="A176">
        <v>1101203091</v>
      </c>
      <c r="B176" t="s">
        <v>1491</v>
      </c>
      <c r="C176" s="1322">
        <v>0</v>
      </c>
      <c r="D176" s="1266">
        <v>1263397.27</v>
      </c>
    </row>
    <row r="177" spans="1:4">
      <c r="A177">
        <v>1101203092</v>
      </c>
      <c r="B177" t="s">
        <v>1492</v>
      </c>
      <c r="C177" s="1322">
        <v>0</v>
      </c>
      <c r="D177" s="1266">
        <v>-675211.5</v>
      </c>
    </row>
    <row r="178" spans="1:4">
      <c r="A178">
        <v>1101203160</v>
      </c>
      <c r="B178" t="s">
        <v>727</v>
      </c>
      <c r="C178" s="1322">
        <v>142466</v>
      </c>
      <c r="D178" s="1266">
        <v>50822</v>
      </c>
    </row>
    <row r="179" spans="1:4">
      <c r="A179">
        <v>1101203170</v>
      </c>
      <c r="B179" t="s">
        <v>728</v>
      </c>
      <c r="C179" s="1322">
        <v>0</v>
      </c>
      <c r="D179" s="1266">
        <v>784440.6</v>
      </c>
    </row>
    <row r="180" spans="1:4">
      <c r="A180">
        <v>1101203171</v>
      </c>
      <c r="B180" t="s">
        <v>729</v>
      </c>
      <c r="C180" s="1322">
        <v>0</v>
      </c>
      <c r="D180" s="1266">
        <v>540522</v>
      </c>
    </row>
    <row r="181" spans="1:4">
      <c r="A181">
        <v>1101203180</v>
      </c>
      <c r="B181" t="s">
        <v>730</v>
      </c>
      <c r="C181" s="1322">
        <v>1000</v>
      </c>
      <c r="D181" s="1266">
        <v>1000</v>
      </c>
    </row>
    <row r="182" spans="1:4">
      <c r="A182">
        <v>1101203181</v>
      </c>
      <c r="B182" t="s">
        <v>731</v>
      </c>
      <c r="C182" s="1322">
        <v>114119</v>
      </c>
      <c r="D182" s="1266">
        <v>23110</v>
      </c>
    </row>
    <row r="183" spans="1:4">
      <c r="A183">
        <v>1101203190</v>
      </c>
      <c r="B183" t="s">
        <v>732</v>
      </c>
      <c r="C183" s="1322">
        <v>665836.25</v>
      </c>
      <c r="D183" s="1266">
        <v>1000</v>
      </c>
    </row>
    <row r="184" spans="1:4">
      <c r="A184">
        <v>1101203191</v>
      </c>
      <c r="B184" t="s">
        <v>868</v>
      </c>
      <c r="C184" s="1322">
        <v>349</v>
      </c>
      <c r="D184" s="1266">
        <v>490770</v>
      </c>
    </row>
    <row r="185" spans="1:4">
      <c r="A185">
        <v>1101203210</v>
      </c>
      <c r="B185" t="s">
        <v>733</v>
      </c>
      <c r="C185" s="1322">
        <v>172735</v>
      </c>
      <c r="D185" s="1266">
        <v>1000</v>
      </c>
    </row>
    <row r="186" spans="1:4">
      <c r="A186">
        <v>1101203211</v>
      </c>
      <c r="B186" t="s">
        <v>734</v>
      </c>
      <c r="C186" s="1322">
        <v>7758</v>
      </c>
      <c r="D186" s="1266">
        <v>110683</v>
      </c>
    </row>
    <row r="187" spans="1:4">
      <c r="A187">
        <v>1101203220</v>
      </c>
      <c r="B187" t="s">
        <v>735</v>
      </c>
      <c r="C187" s="1322">
        <v>139910</v>
      </c>
      <c r="D187" s="1266">
        <v>1048597.01</v>
      </c>
    </row>
    <row r="188" spans="1:4">
      <c r="A188">
        <v>1101203221</v>
      </c>
      <c r="B188" t="s">
        <v>736</v>
      </c>
      <c r="C188" s="1322">
        <v>271725</v>
      </c>
      <c r="D188" s="1266">
        <v>346502</v>
      </c>
    </row>
    <row r="189" spans="1:4">
      <c r="A189">
        <v>1101203230</v>
      </c>
      <c r="B189" t="s">
        <v>564</v>
      </c>
      <c r="C189" s="1322">
        <v>1227094</v>
      </c>
      <c r="D189" s="1266">
        <v>0</v>
      </c>
    </row>
    <row r="190" spans="1:4">
      <c r="A190">
        <v>1101203231</v>
      </c>
      <c r="B190" t="s">
        <v>565</v>
      </c>
      <c r="C190" s="1322">
        <v>127462</v>
      </c>
      <c r="D190" s="1266">
        <v>0</v>
      </c>
    </row>
    <row r="191" spans="1:4">
      <c r="A191">
        <v>1101203240</v>
      </c>
      <c r="B191" t="s">
        <v>737</v>
      </c>
      <c r="C191" s="1322">
        <v>1287410.57</v>
      </c>
      <c r="D191" s="1266">
        <v>0</v>
      </c>
    </row>
    <row r="192" spans="1:4">
      <c r="A192">
        <v>1101203241</v>
      </c>
      <c r="B192" t="s">
        <v>738</v>
      </c>
      <c r="C192" s="1322">
        <v>827419.75</v>
      </c>
      <c r="D192" s="1266">
        <v>0</v>
      </c>
    </row>
    <row r="193" spans="1:4">
      <c r="A193">
        <v>1101203250</v>
      </c>
      <c r="B193" t="s">
        <v>739</v>
      </c>
      <c r="C193" s="1322">
        <v>144014.22</v>
      </c>
      <c r="D193" s="1266">
        <v>0</v>
      </c>
    </row>
    <row r="194" spans="1:4">
      <c r="A194">
        <v>1101203251</v>
      </c>
      <c r="B194" t="s">
        <v>863</v>
      </c>
      <c r="C194" s="1322">
        <v>3251804.28</v>
      </c>
      <c r="D194" s="1266">
        <v>0</v>
      </c>
    </row>
    <row r="195" spans="1:4">
      <c r="A195">
        <v>1101203252</v>
      </c>
      <c r="B195" t="s">
        <v>740</v>
      </c>
      <c r="C195" s="1322">
        <v>-4690054.99</v>
      </c>
      <c r="D195" s="1266">
        <v>0</v>
      </c>
    </row>
    <row r="196" spans="1:4">
      <c r="A196">
        <v>1101204000</v>
      </c>
      <c r="B196" t="s">
        <v>741</v>
      </c>
      <c r="C196" s="1322">
        <v>6198505.5</v>
      </c>
      <c r="D196" s="1266">
        <v>12734883.5</v>
      </c>
    </row>
    <row r="197" spans="1:4">
      <c r="A197">
        <v>1101204001</v>
      </c>
      <c r="B197" t="s">
        <v>742</v>
      </c>
      <c r="C197" s="1322">
        <v>651063</v>
      </c>
      <c r="D197" s="1266">
        <v>520555</v>
      </c>
    </row>
    <row r="198" spans="1:4">
      <c r="A198">
        <v>1101204010</v>
      </c>
      <c r="B198" t="s">
        <v>743</v>
      </c>
      <c r="C198" s="1322">
        <v>1288131.05</v>
      </c>
      <c r="D198" s="1266">
        <v>429303.7</v>
      </c>
    </row>
    <row r="199" spans="1:4">
      <c r="A199">
        <v>1101204011</v>
      </c>
      <c r="B199" t="s">
        <v>744</v>
      </c>
      <c r="C199" s="1322">
        <v>6657</v>
      </c>
      <c r="D199" s="1266">
        <v>94862</v>
      </c>
    </row>
    <row r="200" spans="1:4">
      <c r="A200">
        <v>1101204020</v>
      </c>
      <c r="B200" t="s">
        <v>745</v>
      </c>
      <c r="C200" s="1322">
        <v>0</v>
      </c>
      <c r="D200" s="1266">
        <v>6365</v>
      </c>
    </row>
    <row r="201" spans="1:4">
      <c r="A201">
        <v>1101204030</v>
      </c>
      <c r="B201" t="s">
        <v>746</v>
      </c>
      <c r="C201" s="1322">
        <v>1000</v>
      </c>
      <c r="D201" s="1266">
        <v>1000</v>
      </c>
    </row>
    <row r="202" spans="1:4">
      <c r="A202">
        <v>1101204031</v>
      </c>
      <c r="B202" t="s">
        <v>747</v>
      </c>
      <c r="C202" s="1322">
        <v>5548</v>
      </c>
      <c r="D202" s="1266">
        <v>27168</v>
      </c>
    </row>
    <row r="203" spans="1:4">
      <c r="A203">
        <v>1101204040</v>
      </c>
      <c r="B203" t="s">
        <v>748</v>
      </c>
      <c r="C203" s="1322">
        <v>384289.5</v>
      </c>
      <c r="D203" s="1266">
        <v>380650</v>
      </c>
    </row>
    <row r="204" spans="1:4">
      <c r="A204">
        <v>1101204041</v>
      </c>
      <c r="B204" t="s">
        <v>749</v>
      </c>
      <c r="C204" s="1322">
        <v>38332</v>
      </c>
      <c r="D204" s="1266">
        <v>15396</v>
      </c>
    </row>
    <row r="205" spans="1:4">
      <c r="A205">
        <v>1101204050</v>
      </c>
      <c r="B205" t="s">
        <v>750</v>
      </c>
      <c r="C205" s="1322">
        <v>1116715.25</v>
      </c>
      <c r="D205" s="1266">
        <v>1144761.8999999999</v>
      </c>
    </row>
    <row r="206" spans="1:4">
      <c r="A206">
        <v>1101204051</v>
      </c>
      <c r="B206" t="s">
        <v>751</v>
      </c>
      <c r="C206" s="1322">
        <v>49370</v>
      </c>
      <c r="D206" s="1266">
        <v>126372</v>
      </c>
    </row>
    <row r="207" spans="1:4">
      <c r="A207">
        <v>1101204060</v>
      </c>
      <c r="B207" t="s">
        <v>752</v>
      </c>
      <c r="C207" s="1322">
        <v>35018</v>
      </c>
      <c r="D207" s="1266">
        <v>3847</v>
      </c>
    </row>
    <row r="208" spans="1:4">
      <c r="A208">
        <v>1101204061</v>
      </c>
      <c r="B208" t="s">
        <v>753</v>
      </c>
      <c r="C208" s="1322">
        <v>31769</v>
      </c>
      <c r="D208" s="1266">
        <v>23871.45</v>
      </c>
    </row>
    <row r="209" spans="1:4">
      <c r="A209">
        <v>1101204070</v>
      </c>
      <c r="B209" t="s">
        <v>754</v>
      </c>
      <c r="C209" s="1322">
        <v>632065</v>
      </c>
      <c r="D209" s="1266">
        <v>1052577</v>
      </c>
    </row>
    <row r="210" spans="1:4">
      <c r="A210">
        <v>1101204071</v>
      </c>
      <c r="B210" t="s">
        <v>755</v>
      </c>
      <c r="C210" s="1322">
        <v>153427.49</v>
      </c>
      <c r="D210" s="1266">
        <v>185315.49</v>
      </c>
    </row>
    <row r="211" spans="1:4">
      <c r="A211">
        <v>1101204080</v>
      </c>
      <c r="B211" t="s">
        <v>756</v>
      </c>
      <c r="C211" s="1322">
        <v>2013880.91</v>
      </c>
      <c r="D211" s="1266">
        <v>1006205.1</v>
      </c>
    </row>
    <row r="212" spans="1:4">
      <c r="A212">
        <v>1101204081</v>
      </c>
      <c r="B212" t="s">
        <v>757</v>
      </c>
      <c r="C212" s="1322">
        <v>2651474.36</v>
      </c>
      <c r="D212" s="1266">
        <v>1237269.49</v>
      </c>
    </row>
    <row r="213" spans="1:4">
      <c r="A213">
        <v>1101204082</v>
      </c>
      <c r="B213" t="s">
        <v>758</v>
      </c>
      <c r="C213" s="1322">
        <v>-4969853.88</v>
      </c>
      <c r="D213" s="1266">
        <v>-1461546.77</v>
      </c>
    </row>
    <row r="214" spans="1:4">
      <c r="A214">
        <v>1101204150</v>
      </c>
      <c r="B214" t="s">
        <v>759</v>
      </c>
      <c r="C214" s="1322">
        <v>1000</v>
      </c>
      <c r="D214" s="1266">
        <v>1000</v>
      </c>
    </row>
    <row r="215" spans="1:4">
      <c r="A215">
        <v>1101204151</v>
      </c>
      <c r="B215" t="s">
        <v>760</v>
      </c>
      <c r="C215" s="1322">
        <v>0</v>
      </c>
      <c r="D215" s="1266">
        <v>844</v>
      </c>
    </row>
    <row r="216" spans="1:4">
      <c r="A216">
        <v>1101204160</v>
      </c>
      <c r="B216" t="s">
        <v>761</v>
      </c>
      <c r="C216" s="1322">
        <v>336572.75</v>
      </c>
      <c r="D216" s="1266">
        <v>0</v>
      </c>
    </row>
    <row r="217" spans="1:4">
      <c r="A217">
        <v>1101204161</v>
      </c>
      <c r="B217" t="s">
        <v>762</v>
      </c>
      <c r="C217" s="1322">
        <v>6800</v>
      </c>
      <c r="D217" s="1266">
        <v>44624</v>
      </c>
    </row>
    <row r="218" spans="1:4">
      <c r="A218">
        <v>1101204180</v>
      </c>
      <c r="B218" t="s">
        <v>532</v>
      </c>
      <c r="C218" s="1322">
        <v>556307</v>
      </c>
      <c r="D218" s="1266">
        <v>0</v>
      </c>
    </row>
    <row r="219" spans="1:4">
      <c r="A219">
        <v>1101205000</v>
      </c>
      <c r="B219" t="s">
        <v>763</v>
      </c>
      <c r="C219" s="1322">
        <v>603055</v>
      </c>
      <c r="D219" s="1266">
        <v>6036916.0700000003</v>
      </c>
    </row>
    <row r="220" spans="1:4">
      <c r="A220">
        <v>1101205001</v>
      </c>
      <c r="B220" t="s">
        <v>764</v>
      </c>
      <c r="C220" s="1322">
        <v>24954603.93</v>
      </c>
      <c r="D220" s="1266">
        <v>320903.33</v>
      </c>
    </row>
    <row r="221" spans="1:4">
      <c r="A221">
        <v>1101205002</v>
      </c>
      <c r="B221" t="s">
        <v>947</v>
      </c>
      <c r="C221" s="1322">
        <v>-21633348.879999999</v>
      </c>
      <c r="D221" s="1266">
        <v>0</v>
      </c>
    </row>
    <row r="222" spans="1:4">
      <c r="A222">
        <v>1101205010</v>
      </c>
      <c r="B222" t="s">
        <v>765</v>
      </c>
      <c r="C222" s="1322">
        <v>887303.1</v>
      </c>
      <c r="D222" s="1266">
        <v>1020031.79</v>
      </c>
    </row>
    <row r="223" spans="1:4">
      <c r="A223">
        <v>1101205011</v>
      </c>
      <c r="B223" t="s">
        <v>766</v>
      </c>
      <c r="C223" s="1322">
        <v>5779712.3399999999</v>
      </c>
      <c r="D223" s="1266">
        <v>87004</v>
      </c>
    </row>
    <row r="224" spans="1:4">
      <c r="A224">
        <v>1101205012</v>
      </c>
      <c r="B224" t="s">
        <v>869</v>
      </c>
      <c r="C224" s="1322">
        <v>-4647432.99</v>
      </c>
      <c r="D224" s="1266">
        <v>0</v>
      </c>
    </row>
    <row r="225" spans="1:4">
      <c r="A225">
        <v>1101205020</v>
      </c>
      <c r="B225" t="s">
        <v>767</v>
      </c>
      <c r="C225" s="1322">
        <v>39830</v>
      </c>
      <c r="D225" s="1266">
        <v>344681</v>
      </c>
    </row>
    <row r="226" spans="1:4">
      <c r="A226">
        <v>1101205021</v>
      </c>
      <c r="B226" t="s">
        <v>768</v>
      </c>
      <c r="C226" s="1322">
        <v>1154501.05</v>
      </c>
      <c r="D226" s="1266">
        <v>6301</v>
      </c>
    </row>
    <row r="227" spans="1:4">
      <c r="A227">
        <v>1101205022</v>
      </c>
      <c r="B227" t="s">
        <v>948</v>
      </c>
      <c r="C227" s="1322">
        <v>-1040836.05</v>
      </c>
      <c r="D227" s="1266">
        <v>0</v>
      </c>
    </row>
    <row r="228" spans="1:4">
      <c r="A228">
        <v>1101205030</v>
      </c>
      <c r="B228" t="s">
        <v>769</v>
      </c>
      <c r="C228" s="1322">
        <v>208112.5</v>
      </c>
      <c r="D228" s="1266">
        <v>28537.5</v>
      </c>
    </row>
    <row r="229" spans="1:4">
      <c r="A229">
        <v>1101205031</v>
      </c>
      <c r="B229" t="s">
        <v>770</v>
      </c>
      <c r="C229" s="1322">
        <v>1642830</v>
      </c>
      <c r="D229" s="1266">
        <v>202590</v>
      </c>
    </row>
    <row r="230" spans="1:4">
      <c r="A230">
        <v>1101205032</v>
      </c>
      <c r="B230" t="s">
        <v>949</v>
      </c>
      <c r="C230" s="1322">
        <v>-1508491</v>
      </c>
      <c r="D230" s="1266">
        <v>0</v>
      </c>
    </row>
    <row r="231" spans="1:4">
      <c r="A231">
        <v>1101205040</v>
      </c>
      <c r="B231" t="s">
        <v>771</v>
      </c>
      <c r="C231" s="1322">
        <v>188326</v>
      </c>
      <c r="D231" s="1266">
        <v>560130</v>
      </c>
    </row>
    <row r="232" spans="1:4">
      <c r="A232">
        <v>1101205041</v>
      </c>
      <c r="B232" t="s">
        <v>772</v>
      </c>
      <c r="C232" s="1322">
        <v>2175036</v>
      </c>
      <c r="D232" s="1266">
        <v>32666</v>
      </c>
    </row>
    <row r="233" spans="1:4">
      <c r="A233">
        <v>1101205042</v>
      </c>
      <c r="B233" t="s">
        <v>950</v>
      </c>
      <c r="C233" s="1322">
        <v>-1461816.75</v>
      </c>
      <c r="D233" s="1266">
        <v>0</v>
      </c>
    </row>
    <row r="234" spans="1:4">
      <c r="A234">
        <v>1101205050</v>
      </c>
      <c r="B234" t="s">
        <v>773</v>
      </c>
      <c r="C234" s="1322">
        <v>547588</v>
      </c>
      <c r="D234" s="1266">
        <v>1106704.06</v>
      </c>
    </row>
    <row r="235" spans="1:4">
      <c r="A235">
        <v>1101205051</v>
      </c>
      <c r="B235" t="s">
        <v>774</v>
      </c>
      <c r="C235" s="1322">
        <v>6034332</v>
      </c>
      <c r="D235" s="1266">
        <v>65305</v>
      </c>
    </row>
    <row r="236" spans="1:4">
      <c r="A236">
        <v>1101205052</v>
      </c>
      <c r="B236" t="s">
        <v>951</v>
      </c>
      <c r="C236" s="1322">
        <v>-5599028</v>
      </c>
      <c r="D236" s="1266">
        <v>0</v>
      </c>
    </row>
    <row r="237" spans="1:4">
      <c r="A237">
        <v>1101205060</v>
      </c>
      <c r="B237" t="s">
        <v>775</v>
      </c>
      <c r="C237" s="1322">
        <v>2749</v>
      </c>
      <c r="D237" s="1266">
        <v>16266</v>
      </c>
    </row>
    <row r="238" spans="1:4">
      <c r="A238">
        <v>1101205061</v>
      </c>
      <c r="B238" t="s">
        <v>776</v>
      </c>
      <c r="C238" s="1322">
        <v>322917</v>
      </c>
      <c r="D238" s="1266">
        <v>1694</v>
      </c>
    </row>
    <row r="239" spans="1:4">
      <c r="A239">
        <v>1101205062</v>
      </c>
      <c r="B239" t="s">
        <v>952</v>
      </c>
      <c r="C239" s="1322">
        <v>-129801</v>
      </c>
      <c r="D239" s="1266">
        <v>0</v>
      </c>
    </row>
    <row r="240" spans="1:4">
      <c r="A240">
        <v>1101205070</v>
      </c>
      <c r="B240" t="s">
        <v>777</v>
      </c>
      <c r="C240" s="1322">
        <v>992427.75</v>
      </c>
      <c r="D240" s="1266">
        <v>999721.72</v>
      </c>
    </row>
    <row r="241" spans="1:4">
      <c r="A241">
        <v>1101205071</v>
      </c>
      <c r="B241" t="s">
        <v>778</v>
      </c>
      <c r="C241" s="1322">
        <v>4317722</v>
      </c>
      <c r="D241" s="1266">
        <v>163031</v>
      </c>
    </row>
    <row r="242" spans="1:4">
      <c r="A242">
        <v>1101205072</v>
      </c>
      <c r="B242" t="s">
        <v>953</v>
      </c>
      <c r="C242" s="1322">
        <v>-3164742.5</v>
      </c>
      <c r="D242" s="1266">
        <v>0</v>
      </c>
    </row>
    <row r="243" spans="1:4">
      <c r="A243">
        <v>1101205080</v>
      </c>
      <c r="B243" t="s">
        <v>779</v>
      </c>
      <c r="C243" s="1322">
        <v>188263</v>
      </c>
      <c r="D243" s="1266">
        <v>295432.5</v>
      </c>
    </row>
    <row r="244" spans="1:4">
      <c r="A244">
        <v>1101205081</v>
      </c>
      <c r="B244" t="s">
        <v>780</v>
      </c>
      <c r="C244" s="1322">
        <v>1193819.46</v>
      </c>
      <c r="D244" s="1266">
        <v>84857</v>
      </c>
    </row>
    <row r="245" spans="1:4">
      <c r="A245">
        <v>1101205082</v>
      </c>
      <c r="B245" t="s">
        <v>954</v>
      </c>
      <c r="C245" s="1322">
        <v>-1065152</v>
      </c>
      <c r="D245" s="1266">
        <v>0</v>
      </c>
    </row>
    <row r="246" spans="1:4">
      <c r="A246">
        <v>1101205090</v>
      </c>
      <c r="B246" t="s">
        <v>781</v>
      </c>
      <c r="C246" s="1322">
        <v>1634990.82</v>
      </c>
      <c r="D246" s="1266">
        <v>686864.92</v>
      </c>
    </row>
    <row r="247" spans="1:4">
      <c r="A247">
        <v>1101205091</v>
      </c>
      <c r="B247" t="s">
        <v>782</v>
      </c>
      <c r="C247" s="1322">
        <v>-832500</v>
      </c>
      <c r="D247" s="1266">
        <v>-100</v>
      </c>
    </row>
    <row r="248" spans="1:4">
      <c r="A248">
        <v>1101205092</v>
      </c>
      <c r="B248" t="s">
        <v>783</v>
      </c>
      <c r="C248" s="1322">
        <v>-775640.06</v>
      </c>
      <c r="D248" s="1266">
        <v>-448202.56</v>
      </c>
    </row>
    <row r="249" spans="1:4">
      <c r="A249">
        <v>1101206000</v>
      </c>
      <c r="B249" t="s">
        <v>784</v>
      </c>
      <c r="C249" s="1322">
        <v>10154781.91</v>
      </c>
      <c r="D249" s="1266">
        <v>32599903.350000001</v>
      </c>
    </row>
    <row r="250" spans="1:4">
      <c r="A250">
        <v>1101206001</v>
      </c>
      <c r="B250" t="s">
        <v>785</v>
      </c>
      <c r="C250" s="1322">
        <v>8830024.3200000003</v>
      </c>
      <c r="D250" s="1266">
        <v>3478917.64</v>
      </c>
    </row>
    <row r="251" spans="1:4">
      <c r="A251">
        <v>1101206010</v>
      </c>
      <c r="B251" t="s">
        <v>786</v>
      </c>
      <c r="C251" s="1322">
        <v>273827.71999999997</v>
      </c>
      <c r="D251" s="1266">
        <v>1999147.22</v>
      </c>
    </row>
    <row r="252" spans="1:4">
      <c r="A252">
        <v>1101206011</v>
      </c>
      <c r="B252" t="s">
        <v>787</v>
      </c>
      <c r="C252" s="1322">
        <v>-192934.06</v>
      </c>
      <c r="D252" s="1266">
        <v>-61675.33</v>
      </c>
    </row>
    <row r="253" spans="1:4">
      <c r="A253">
        <v>1101206020</v>
      </c>
      <c r="B253" t="s">
        <v>788</v>
      </c>
      <c r="C253" s="1322">
        <v>2012893.79</v>
      </c>
      <c r="D253" s="1266">
        <v>2139250.1</v>
      </c>
    </row>
    <row r="254" spans="1:4">
      <c r="A254">
        <v>1101206021</v>
      </c>
      <c r="B254" t="s">
        <v>789</v>
      </c>
      <c r="C254" s="1322">
        <v>122531.97</v>
      </c>
      <c r="D254" s="1266">
        <v>164437.04</v>
      </c>
    </row>
    <row r="255" spans="1:4">
      <c r="A255">
        <v>1101206022</v>
      </c>
      <c r="B255" t="s">
        <v>790</v>
      </c>
      <c r="C255" s="1322">
        <v>-639252.56999999995</v>
      </c>
      <c r="D255" s="1266">
        <v>-639252.56999999995</v>
      </c>
    </row>
    <row r="256" spans="1:4">
      <c r="A256">
        <v>1101206030</v>
      </c>
      <c r="B256" t="s">
        <v>791</v>
      </c>
      <c r="C256" s="1322">
        <v>1000</v>
      </c>
      <c r="D256" s="1266">
        <v>28739</v>
      </c>
    </row>
    <row r="257" spans="1:4">
      <c r="A257">
        <v>1101206040</v>
      </c>
      <c r="B257" t="s">
        <v>793</v>
      </c>
      <c r="C257" s="1322">
        <v>463167</v>
      </c>
      <c r="D257" s="1266">
        <v>496943</v>
      </c>
    </row>
    <row r="258" spans="1:4">
      <c r="A258">
        <v>1101206041</v>
      </c>
      <c r="B258" t="s">
        <v>794</v>
      </c>
      <c r="C258" s="1322">
        <v>2491984.91</v>
      </c>
      <c r="D258" s="1266">
        <v>-47501.59</v>
      </c>
    </row>
    <row r="259" spans="1:4">
      <c r="A259">
        <v>1101206042</v>
      </c>
      <c r="B259" t="s">
        <v>795</v>
      </c>
      <c r="C259" s="1322">
        <v>-2163574.9300000002</v>
      </c>
      <c r="D259" s="1266">
        <v>0</v>
      </c>
    </row>
    <row r="260" spans="1:4">
      <c r="A260">
        <v>1101206060</v>
      </c>
      <c r="B260" t="s">
        <v>796</v>
      </c>
      <c r="C260" s="1322">
        <v>1663101.05</v>
      </c>
      <c r="D260" s="1266">
        <v>9590438.0500000007</v>
      </c>
    </row>
    <row r="261" spans="1:4">
      <c r="A261">
        <v>1101206061</v>
      </c>
      <c r="B261" t="s">
        <v>797</v>
      </c>
      <c r="C261" s="1322">
        <v>3769236.2</v>
      </c>
      <c r="D261" s="1266">
        <v>1171495.93</v>
      </c>
    </row>
    <row r="262" spans="1:4">
      <c r="A262">
        <v>1101206070</v>
      </c>
      <c r="B262" t="s">
        <v>798</v>
      </c>
      <c r="C262" s="1322">
        <v>1409108.43</v>
      </c>
      <c r="D262" s="1266">
        <v>3718987.32</v>
      </c>
    </row>
    <row r="263" spans="1:4">
      <c r="A263">
        <v>1101206071</v>
      </c>
      <c r="B263" t="s">
        <v>799</v>
      </c>
      <c r="C263" s="1322">
        <v>343348.6</v>
      </c>
      <c r="D263" s="1266">
        <v>382152.5</v>
      </c>
    </row>
    <row r="264" spans="1:4">
      <c r="A264">
        <v>1101206080</v>
      </c>
      <c r="B264" t="s">
        <v>800</v>
      </c>
      <c r="C264" s="1322">
        <v>4014040.59</v>
      </c>
      <c r="D264" s="1266">
        <v>6056944.96</v>
      </c>
    </row>
    <row r="265" spans="1:4">
      <c r="A265">
        <v>1101206081</v>
      </c>
      <c r="B265" t="s">
        <v>801</v>
      </c>
      <c r="C265" s="1322">
        <v>1411248.23</v>
      </c>
      <c r="D265" s="1266">
        <v>978045.32</v>
      </c>
    </row>
    <row r="266" spans="1:4">
      <c r="A266">
        <v>1101206090</v>
      </c>
      <c r="B266" t="s">
        <v>802</v>
      </c>
      <c r="C266" s="1322">
        <v>1126369.5</v>
      </c>
      <c r="D266" s="1266">
        <v>764870</v>
      </c>
    </row>
    <row r="267" spans="1:4">
      <c r="A267">
        <v>1101206091</v>
      </c>
      <c r="B267" t="s">
        <v>803</v>
      </c>
      <c r="C267" s="1322">
        <v>7605</v>
      </c>
      <c r="D267" s="1266">
        <v>234053</v>
      </c>
    </row>
    <row r="268" spans="1:4">
      <c r="A268">
        <v>1101206100</v>
      </c>
      <c r="B268" t="s">
        <v>804</v>
      </c>
      <c r="C268" s="1322">
        <v>214035.66</v>
      </c>
      <c r="D268" s="1266">
        <v>84769.18</v>
      </c>
    </row>
    <row r="269" spans="1:4">
      <c r="A269">
        <v>1101206101</v>
      </c>
      <c r="B269" t="s">
        <v>805</v>
      </c>
      <c r="C269" s="1322">
        <v>4890.09</v>
      </c>
      <c r="D269" s="1266">
        <v>62799.7</v>
      </c>
    </row>
    <row r="270" spans="1:4">
      <c r="A270">
        <v>1101206110</v>
      </c>
      <c r="B270" t="s">
        <v>806</v>
      </c>
      <c r="C270" s="1322">
        <v>1011757.62</v>
      </c>
      <c r="D270" s="1266">
        <v>946662.42</v>
      </c>
    </row>
    <row r="271" spans="1:4">
      <c r="A271">
        <v>1101206111</v>
      </c>
      <c r="B271" t="s">
        <v>807</v>
      </c>
      <c r="C271" s="1322">
        <v>5764014.6600000001</v>
      </c>
      <c r="D271" s="1266">
        <v>986.7</v>
      </c>
    </row>
    <row r="272" spans="1:4">
      <c r="A272">
        <v>1101206112</v>
      </c>
      <c r="B272" t="s">
        <v>808</v>
      </c>
      <c r="C272" s="1322">
        <v>-5428853.6399999997</v>
      </c>
      <c r="D272" s="1266">
        <v>-649726.34</v>
      </c>
    </row>
    <row r="273" spans="1:4">
      <c r="A273">
        <v>1101206160</v>
      </c>
      <c r="B273" t="s">
        <v>809</v>
      </c>
      <c r="C273" s="1322">
        <v>10805.28</v>
      </c>
      <c r="D273" s="1266">
        <v>10805.28</v>
      </c>
    </row>
    <row r="274" spans="1:4">
      <c r="A274">
        <v>1101206161</v>
      </c>
      <c r="B274" t="s">
        <v>810</v>
      </c>
      <c r="C274" s="1322">
        <v>2342</v>
      </c>
      <c r="D274" s="1266">
        <v>2342</v>
      </c>
    </row>
    <row r="275" spans="1:4">
      <c r="A275">
        <v>1101206162</v>
      </c>
      <c r="B275" t="s">
        <v>811</v>
      </c>
      <c r="C275" s="1322">
        <v>37756.39</v>
      </c>
      <c r="D275" s="1266">
        <v>37756.39</v>
      </c>
    </row>
    <row r="276" spans="1:4">
      <c r="A276">
        <v>1101206170</v>
      </c>
      <c r="B276" t="s">
        <v>812</v>
      </c>
      <c r="C276" s="1322">
        <v>28060</v>
      </c>
      <c r="D276" s="1266">
        <v>233942</v>
      </c>
    </row>
    <row r="277" spans="1:4">
      <c r="A277">
        <v>1101206171</v>
      </c>
      <c r="B277" t="s">
        <v>813</v>
      </c>
      <c r="C277" s="1322">
        <v>1118924.6000000001</v>
      </c>
      <c r="D277" s="1266">
        <v>0</v>
      </c>
    </row>
    <row r="278" spans="1:4">
      <c r="A278">
        <v>1101206172</v>
      </c>
      <c r="B278" t="s">
        <v>1483</v>
      </c>
      <c r="C278" s="1322">
        <v>-664999</v>
      </c>
      <c r="D278" s="1266">
        <v>0</v>
      </c>
    </row>
    <row r="279" spans="1:4">
      <c r="A279">
        <v>1101206190</v>
      </c>
      <c r="B279" t="s">
        <v>814</v>
      </c>
      <c r="C279" s="1322">
        <v>17756480.5</v>
      </c>
      <c r="D279" s="1266">
        <v>7748203.8499999996</v>
      </c>
    </row>
    <row r="280" spans="1:4">
      <c r="A280">
        <v>1101206191</v>
      </c>
      <c r="B280" t="s">
        <v>815</v>
      </c>
      <c r="C280" s="1322">
        <v>66509795.799999997</v>
      </c>
      <c r="D280" s="1266">
        <v>-1615682.36</v>
      </c>
    </row>
    <row r="281" spans="1:4">
      <c r="A281">
        <v>1101206192</v>
      </c>
      <c r="B281" t="s">
        <v>1044</v>
      </c>
      <c r="C281" s="1322">
        <v>-77954189.390000001</v>
      </c>
      <c r="D281" s="1266">
        <v>-2068153.48</v>
      </c>
    </row>
    <row r="282" spans="1:4">
      <c r="A282">
        <v>1101206200</v>
      </c>
      <c r="B282" t="s">
        <v>290</v>
      </c>
      <c r="C282" s="1322">
        <v>90886.89</v>
      </c>
      <c r="D282" s="1266">
        <v>8380.1</v>
      </c>
    </row>
    <row r="283" spans="1:4">
      <c r="A283">
        <v>1101206201</v>
      </c>
      <c r="B283" t="s">
        <v>291</v>
      </c>
      <c r="C283" s="1322">
        <v>453223.91</v>
      </c>
      <c r="D283" s="1266">
        <v>275.95999999999998</v>
      </c>
    </row>
    <row r="284" spans="1:4">
      <c r="A284">
        <v>1101206202</v>
      </c>
      <c r="B284" t="s">
        <v>419</v>
      </c>
      <c r="C284" s="1322">
        <v>-424769.56</v>
      </c>
      <c r="D284" s="1266">
        <v>0</v>
      </c>
    </row>
    <row r="285" spans="1:4">
      <c r="A285">
        <v>1101206210</v>
      </c>
      <c r="B285" t="s">
        <v>816</v>
      </c>
      <c r="C285" s="1322">
        <v>3871973.45</v>
      </c>
      <c r="D285" s="1266">
        <v>3303161.85</v>
      </c>
    </row>
    <row r="286" spans="1:4">
      <c r="A286">
        <v>1101206211</v>
      </c>
      <c r="B286" t="s">
        <v>817</v>
      </c>
      <c r="C286" s="1322">
        <v>517673</v>
      </c>
      <c r="D286" s="1266">
        <v>370056.96000000002</v>
      </c>
    </row>
    <row r="287" spans="1:4">
      <c r="A287">
        <v>1101206212</v>
      </c>
      <c r="B287" t="s">
        <v>991</v>
      </c>
      <c r="C287" s="1322">
        <v>0</v>
      </c>
      <c r="D287" s="1266">
        <v>101</v>
      </c>
    </row>
    <row r="288" spans="1:4">
      <c r="A288">
        <v>1101206220</v>
      </c>
      <c r="B288" t="s">
        <v>818</v>
      </c>
      <c r="C288" s="1322">
        <v>435020</v>
      </c>
      <c r="D288" s="1266">
        <v>369794.85</v>
      </c>
    </row>
    <row r="289" spans="1:4">
      <c r="A289">
        <v>1101206221</v>
      </c>
      <c r="B289" t="s">
        <v>819</v>
      </c>
      <c r="C289" s="1322">
        <v>1639.25</v>
      </c>
      <c r="D289" s="1266">
        <v>2426.25</v>
      </c>
    </row>
    <row r="290" spans="1:4">
      <c r="A290">
        <v>1107101000</v>
      </c>
      <c r="B290" t="s">
        <v>292</v>
      </c>
      <c r="C290" s="1322">
        <v>124321725.93000001</v>
      </c>
      <c r="D290" s="1266">
        <v>196020359.72</v>
      </c>
    </row>
    <row r="291" spans="1:4">
      <c r="A291">
        <v>1107103000</v>
      </c>
      <c r="B291" t="s">
        <v>510</v>
      </c>
      <c r="C291" s="1322">
        <v>-30678330.510000002</v>
      </c>
      <c r="D291" s="1266">
        <v>-29596393.82</v>
      </c>
    </row>
    <row r="292" spans="1:4">
      <c r="A292">
        <v>1107104000</v>
      </c>
      <c r="B292" t="s">
        <v>293</v>
      </c>
      <c r="C292" s="1322">
        <v>14253913.109999999</v>
      </c>
      <c r="D292" s="1266">
        <v>6718096.9500000002</v>
      </c>
    </row>
    <row r="293" spans="1:4">
      <c r="A293">
        <v>1107203000</v>
      </c>
      <c r="B293" t="s">
        <v>820</v>
      </c>
      <c r="C293" s="1322">
        <v>1265005.6499999999</v>
      </c>
      <c r="D293" s="1266">
        <v>810095.86</v>
      </c>
    </row>
    <row r="294" spans="1:4">
      <c r="A294">
        <v>1107214000</v>
      </c>
      <c r="B294" t="s">
        <v>821</v>
      </c>
      <c r="C294" s="1322">
        <v>40153405.390000001</v>
      </c>
      <c r="D294" s="1266">
        <v>23723913.329999998</v>
      </c>
    </row>
    <row r="295" spans="1:4">
      <c r="A295">
        <v>1107214001</v>
      </c>
      <c r="B295" t="s">
        <v>822</v>
      </c>
      <c r="C295" s="1322">
        <v>767113.19</v>
      </c>
      <c r="D295" s="1266">
        <v>1302113.19</v>
      </c>
    </row>
    <row r="296" spans="1:4">
      <c r="A296">
        <v>1107215000</v>
      </c>
      <c r="B296" t="s">
        <v>823</v>
      </c>
      <c r="C296" s="1322">
        <v>2007812.9</v>
      </c>
      <c r="D296" s="1266">
        <v>2007812.9</v>
      </c>
    </row>
    <row r="297" spans="1:4">
      <c r="A297">
        <v>1109101000</v>
      </c>
      <c r="B297" t="s">
        <v>824</v>
      </c>
      <c r="C297" s="1322">
        <v>64264.35</v>
      </c>
      <c r="D297" s="1266">
        <v>64264.35</v>
      </c>
    </row>
    <row r="298" spans="1:4">
      <c r="A298">
        <v>1109104000</v>
      </c>
      <c r="B298" t="s">
        <v>825</v>
      </c>
      <c r="C298" s="1322">
        <v>72609.09</v>
      </c>
      <c r="D298" s="1266">
        <v>903930.84</v>
      </c>
    </row>
    <row r="299" spans="1:4">
      <c r="A299">
        <v>1109104001</v>
      </c>
      <c r="B299" t="s">
        <v>826</v>
      </c>
      <c r="C299" s="1322">
        <v>198590.91</v>
      </c>
      <c r="D299" s="1266">
        <v>778530.34</v>
      </c>
    </row>
    <row r="300" spans="1:4">
      <c r="A300">
        <v>1109104002</v>
      </c>
      <c r="B300" t="s">
        <v>827</v>
      </c>
      <c r="C300" s="1322">
        <v>966960.77</v>
      </c>
      <c r="D300" s="1266">
        <v>1496522.29</v>
      </c>
    </row>
    <row r="301" spans="1:4">
      <c r="A301">
        <v>1109104003</v>
      </c>
      <c r="B301" t="s">
        <v>828</v>
      </c>
      <c r="C301" s="1322">
        <v>10770676</v>
      </c>
      <c r="D301" s="1266">
        <v>6633139</v>
      </c>
    </row>
    <row r="302" spans="1:4">
      <c r="A302">
        <v>1109105000</v>
      </c>
      <c r="B302" t="s">
        <v>829</v>
      </c>
      <c r="C302" s="1322">
        <v>100847</v>
      </c>
      <c r="D302" s="1266">
        <v>13221503.800000001</v>
      </c>
    </row>
    <row r="303" spans="1:4">
      <c r="A303">
        <v>1109108001</v>
      </c>
      <c r="B303" t="s">
        <v>1484</v>
      </c>
      <c r="C303" s="1322">
        <v>427576.32000000001</v>
      </c>
      <c r="D303" s="1266">
        <v>0</v>
      </c>
    </row>
    <row r="304" spans="1:4">
      <c r="A304">
        <v>1109109001</v>
      </c>
      <c r="B304" t="s">
        <v>1485</v>
      </c>
      <c r="C304" s="1322">
        <v>99285178.310000002</v>
      </c>
      <c r="D304" s="1266">
        <v>0</v>
      </c>
    </row>
    <row r="305" spans="1:4">
      <c r="A305">
        <v>1109203000</v>
      </c>
      <c r="B305" t="s">
        <v>830</v>
      </c>
      <c r="C305" s="1322">
        <v>466198.29</v>
      </c>
      <c r="D305" s="1266">
        <v>16726.39</v>
      </c>
    </row>
    <row r="306" spans="1:4">
      <c r="A306">
        <v>1111301000</v>
      </c>
      <c r="B306" t="s">
        <v>294</v>
      </c>
      <c r="C306" s="1322">
        <v>761499.76</v>
      </c>
      <c r="D306" s="1266">
        <v>1389230.61</v>
      </c>
    </row>
    <row r="307" spans="1:4">
      <c r="A307">
        <v>1111301001</v>
      </c>
      <c r="B307" t="s">
        <v>295</v>
      </c>
      <c r="C307" s="1322">
        <v>2939743.82</v>
      </c>
      <c r="D307" s="1266">
        <v>3173427.54</v>
      </c>
    </row>
    <row r="308" spans="1:4">
      <c r="A308">
        <v>1111301002</v>
      </c>
      <c r="B308" t="s">
        <v>296</v>
      </c>
      <c r="C308" s="1322">
        <v>22592702.550000001</v>
      </c>
      <c r="D308" s="1266">
        <v>18909917.800000001</v>
      </c>
    </row>
    <row r="309" spans="1:4">
      <c r="A309">
        <v>1111301003</v>
      </c>
      <c r="B309" t="s">
        <v>297</v>
      </c>
      <c r="C309" s="1322">
        <v>5950</v>
      </c>
      <c r="D309" s="1266">
        <v>1173086.97</v>
      </c>
    </row>
    <row r="310" spans="1:4">
      <c r="A310">
        <v>1111301004</v>
      </c>
      <c r="B310" t="s">
        <v>298</v>
      </c>
      <c r="C310" s="1322">
        <v>1359187.14</v>
      </c>
      <c r="D310" s="1266">
        <v>1534340.04</v>
      </c>
    </row>
    <row r="311" spans="1:4">
      <c r="A311">
        <v>1111301005</v>
      </c>
      <c r="B311" t="s">
        <v>299</v>
      </c>
      <c r="C311" s="1322">
        <v>1041971.24</v>
      </c>
      <c r="D311" s="1266">
        <v>1592505.37</v>
      </c>
    </row>
    <row r="312" spans="1:4">
      <c r="A312">
        <v>1111301007</v>
      </c>
      <c r="B312" t="s">
        <v>300</v>
      </c>
      <c r="C312" s="1322">
        <v>19068262.190000001</v>
      </c>
      <c r="D312" s="1266">
        <v>24505534.890000001</v>
      </c>
    </row>
    <row r="313" spans="1:4">
      <c r="A313">
        <v>1111301008</v>
      </c>
      <c r="B313" t="s">
        <v>301</v>
      </c>
      <c r="C313" s="1322">
        <v>53401514.18</v>
      </c>
      <c r="D313" s="1266">
        <v>45741207.810000002</v>
      </c>
    </row>
    <row r="314" spans="1:4">
      <c r="A314">
        <v>1111302001</v>
      </c>
      <c r="B314" t="s">
        <v>1467</v>
      </c>
      <c r="C314" s="1322">
        <v>-8708854</v>
      </c>
      <c r="D314" s="1266">
        <v>0</v>
      </c>
    </row>
    <row r="315" spans="1:4">
      <c r="A315">
        <v>1205201001</v>
      </c>
      <c r="B315" t="s">
        <v>831</v>
      </c>
      <c r="C315" s="1322">
        <v>1000000</v>
      </c>
      <c r="D315" s="1266">
        <v>0</v>
      </c>
    </row>
    <row r="316" spans="1:4">
      <c r="A316">
        <v>1205213001</v>
      </c>
      <c r="B316" t="s">
        <v>275</v>
      </c>
      <c r="C316" s="1322">
        <v>9682582.5199999996</v>
      </c>
      <c r="D316" s="1266">
        <v>4734293.09</v>
      </c>
    </row>
    <row r="317" spans="1:4">
      <c r="A317">
        <v>1205310000</v>
      </c>
      <c r="B317" t="s">
        <v>302</v>
      </c>
      <c r="C317" s="1322">
        <v>0</v>
      </c>
      <c r="D317" s="1266">
        <v>92308400</v>
      </c>
    </row>
    <row r="318" spans="1:4">
      <c r="A318">
        <v>1206103000</v>
      </c>
      <c r="B318" t="s">
        <v>303</v>
      </c>
      <c r="C318" s="1322">
        <v>180000000</v>
      </c>
      <c r="D318" s="1266">
        <v>120000000</v>
      </c>
    </row>
    <row r="319" spans="1:4">
      <c r="A319">
        <v>1206105000</v>
      </c>
      <c r="B319" t="s">
        <v>304</v>
      </c>
      <c r="C319" s="1322">
        <v>0</v>
      </c>
      <c r="D319" s="1266">
        <v>12950000</v>
      </c>
    </row>
    <row r="320" spans="1:4">
      <c r="A320">
        <v>1206108001</v>
      </c>
      <c r="B320" t="s">
        <v>1486</v>
      </c>
      <c r="C320" s="1322">
        <v>1282728.96</v>
      </c>
      <c r="D320" s="1266">
        <v>0</v>
      </c>
    </row>
    <row r="321" spans="1:5">
      <c r="A321">
        <v>1212101001</v>
      </c>
      <c r="B321" t="s">
        <v>276</v>
      </c>
      <c r="C321" s="1322">
        <v>27892023.539999999</v>
      </c>
      <c r="D321" s="1266">
        <v>9659868.5</v>
      </c>
    </row>
    <row r="322" spans="1:5">
      <c r="A322">
        <v>1213101000</v>
      </c>
      <c r="B322" t="s">
        <v>305</v>
      </c>
      <c r="C322" s="1322">
        <v>98344427.920000002</v>
      </c>
      <c r="D322" s="1266">
        <v>39153355.5</v>
      </c>
    </row>
    <row r="323" spans="1:5">
      <c r="A323">
        <v>1214101000</v>
      </c>
      <c r="B323" t="s">
        <v>306</v>
      </c>
      <c r="C323" s="1322">
        <v>0</v>
      </c>
      <c r="D323" s="1266">
        <v>98999078.310000002</v>
      </c>
    </row>
    <row r="324" spans="1:5">
      <c r="A324">
        <v>1214106000</v>
      </c>
      <c r="B324" t="s">
        <v>20</v>
      </c>
      <c r="C324" s="1322">
        <v>675562674.38999999</v>
      </c>
      <c r="D324" s="1266">
        <v>628100728.63</v>
      </c>
    </row>
    <row r="325" spans="1:5">
      <c r="A325">
        <v>1214107000</v>
      </c>
      <c r="B325" t="s">
        <v>307</v>
      </c>
      <c r="C325" s="1322">
        <v>-212003479.30000001</v>
      </c>
      <c r="D325" s="1266">
        <v>-156820227.40000001</v>
      </c>
    </row>
    <row r="326" spans="1:5">
      <c r="A326">
        <v>1214201000</v>
      </c>
      <c r="B326" t="s">
        <v>308</v>
      </c>
      <c r="C326" s="1322">
        <v>6313739486.5600004</v>
      </c>
      <c r="D326" s="1266">
        <v>6152618846.0500002</v>
      </c>
    </row>
    <row r="327" spans="1:5">
      <c r="A327">
        <v>1214202000</v>
      </c>
      <c r="B327" t="s">
        <v>309</v>
      </c>
      <c r="C327" s="1322">
        <v>-4700939007.0299997</v>
      </c>
      <c r="D327" s="1266">
        <v>-4214681056.9200001</v>
      </c>
    </row>
    <row r="328" spans="1:5">
      <c r="A328">
        <v>1214203000</v>
      </c>
      <c r="B328" t="s">
        <v>426</v>
      </c>
      <c r="C328" s="1322">
        <v>110060.4</v>
      </c>
      <c r="D328" s="1266">
        <v>0</v>
      </c>
      <c r="E328" s="1323">
        <f>C328/2</f>
        <v>55030.2</v>
      </c>
    </row>
    <row r="329" spans="1:5">
      <c r="A329">
        <v>1214301000</v>
      </c>
      <c r="B329" t="s">
        <v>310</v>
      </c>
      <c r="C329" s="1322">
        <v>103370101.95</v>
      </c>
      <c r="D329" s="1266">
        <v>97539107.310000002</v>
      </c>
    </row>
    <row r="330" spans="1:5">
      <c r="A330">
        <v>1214301001</v>
      </c>
      <c r="B330" t="s">
        <v>311</v>
      </c>
      <c r="C330" s="1322">
        <v>20982321.289999999</v>
      </c>
      <c r="D330" s="1266">
        <v>19451033.75</v>
      </c>
    </row>
    <row r="331" spans="1:5">
      <c r="A331">
        <v>1214302000</v>
      </c>
      <c r="B331" t="s">
        <v>312</v>
      </c>
      <c r="C331" s="1322">
        <v>-89813037.209999993</v>
      </c>
      <c r="D331" s="1266">
        <v>-73366255.780000001</v>
      </c>
    </row>
    <row r="332" spans="1:5">
      <c r="A332">
        <v>1214302001</v>
      </c>
      <c r="B332" t="s">
        <v>313</v>
      </c>
      <c r="C332" s="1322">
        <v>-14210092</v>
      </c>
      <c r="D332" s="1266">
        <v>-12530516.73</v>
      </c>
    </row>
    <row r="333" spans="1:5">
      <c r="A333">
        <v>1214401000</v>
      </c>
      <c r="B333" t="s">
        <v>314</v>
      </c>
      <c r="C333" s="1322">
        <v>1572210949.73</v>
      </c>
      <c r="D333" s="1266">
        <v>1501022313.52</v>
      </c>
    </row>
    <row r="334" spans="1:5">
      <c r="A334">
        <v>1214401001</v>
      </c>
      <c r="B334" t="s">
        <v>315</v>
      </c>
      <c r="C334" s="1322">
        <v>472921997.61000001</v>
      </c>
      <c r="D334" s="1266">
        <v>431547202.61000001</v>
      </c>
    </row>
    <row r="335" spans="1:5">
      <c r="A335">
        <v>1214402000</v>
      </c>
      <c r="B335" t="s">
        <v>316</v>
      </c>
      <c r="C335" s="1322">
        <v>-1044023308.76</v>
      </c>
      <c r="D335" s="1266">
        <v>-781705680.53999996</v>
      </c>
    </row>
    <row r="336" spans="1:5">
      <c r="A336">
        <v>1214402001</v>
      </c>
      <c r="B336" t="s">
        <v>317</v>
      </c>
      <c r="C336" s="1322">
        <v>-166979137.34</v>
      </c>
      <c r="D336" s="1266">
        <v>-123636043.66</v>
      </c>
    </row>
    <row r="337" spans="1:4">
      <c r="A337">
        <v>1214501000</v>
      </c>
      <c r="B337" t="s">
        <v>72</v>
      </c>
      <c r="C337" s="1322">
        <v>76372431.5</v>
      </c>
      <c r="D337" s="1266">
        <v>75298941.5</v>
      </c>
    </row>
    <row r="338" spans="1:4">
      <c r="A338">
        <v>1214502000</v>
      </c>
      <c r="B338" t="s">
        <v>318</v>
      </c>
      <c r="C338" s="1322">
        <v>-63310134.5</v>
      </c>
      <c r="D338" s="1266">
        <v>-46974284.340000004</v>
      </c>
    </row>
    <row r="339" spans="1:4">
      <c r="A339">
        <v>1214601000</v>
      </c>
      <c r="B339" t="s">
        <v>319</v>
      </c>
      <c r="C339" s="1322">
        <v>66391299.909999996</v>
      </c>
      <c r="D339" s="1266">
        <v>54049476.759999998</v>
      </c>
    </row>
    <row r="340" spans="1:4">
      <c r="A340">
        <v>1214602000</v>
      </c>
      <c r="B340" t="s">
        <v>320</v>
      </c>
      <c r="C340" s="1322">
        <v>-25697735.670000002</v>
      </c>
      <c r="D340" s="1266">
        <v>-17159446.670000002</v>
      </c>
    </row>
    <row r="341" spans="1:4">
      <c r="A341">
        <v>1215201000</v>
      </c>
      <c r="B341" t="s">
        <v>321</v>
      </c>
      <c r="C341" s="1322">
        <v>2493150856.8899999</v>
      </c>
      <c r="D341" s="1266">
        <v>1569480284.2</v>
      </c>
    </row>
    <row r="342" spans="1:4">
      <c r="A342">
        <v>1215202000</v>
      </c>
      <c r="B342" t="s">
        <v>322</v>
      </c>
      <c r="C342" s="1322">
        <v>-1421160257.4000001</v>
      </c>
      <c r="D342" s="1266">
        <v>-530340219.42000002</v>
      </c>
    </row>
    <row r="343" spans="1:4">
      <c r="A343">
        <v>2101101000</v>
      </c>
      <c r="B343" t="s">
        <v>832</v>
      </c>
      <c r="C343" s="1322">
        <v>-18617639.34</v>
      </c>
      <c r="D343" s="1266">
        <v>-19150082.329999998</v>
      </c>
    </row>
    <row r="344" spans="1:4">
      <c r="A344">
        <v>2101101001</v>
      </c>
      <c r="B344" t="s">
        <v>833</v>
      </c>
      <c r="C344" s="1322">
        <v>0</v>
      </c>
      <c r="D344" s="1266">
        <v>-1402620.09</v>
      </c>
    </row>
    <row r="345" spans="1:4">
      <c r="A345">
        <v>2101101002</v>
      </c>
      <c r="B345" t="s">
        <v>834</v>
      </c>
      <c r="C345" s="1322">
        <v>-2238705</v>
      </c>
      <c r="D345" s="1266">
        <v>-2238704.9900000002</v>
      </c>
    </row>
    <row r="346" spans="1:4">
      <c r="A346">
        <v>2103101000</v>
      </c>
      <c r="B346" t="s">
        <v>835</v>
      </c>
      <c r="C346" s="1322">
        <v>-32838382.59</v>
      </c>
      <c r="D346" s="1266">
        <v>-20152110.43</v>
      </c>
    </row>
    <row r="347" spans="1:4">
      <c r="A347">
        <v>2103102000</v>
      </c>
      <c r="B347" t="s">
        <v>836</v>
      </c>
      <c r="C347" s="1322">
        <v>0</v>
      </c>
      <c r="D347" s="1266">
        <v>-579142.86</v>
      </c>
    </row>
    <row r="348" spans="1:4">
      <c r="A348">
        <v>2103103000</v>
      </c>
      <c r="B348" t="s">
        <v>837</v>
      </c>
      <c r="C348" s="1322">
        <v>-43556232.68</v>
      </c>
      <c r="D348" s="1266">
        <v>-72904770.650000006</v>
      </c>
    </row>
    <row r="349" spans="1:4">
      <c r="A349">
        <v>2103401000</v>
      </c>
      <c r="B349" t="s">
        <v>1011</v>
      </c>
      <c r="C349" s="1322">
        <v>-319614.43</v>
      </c>
      <c r="D349" s="1266">
        <v>0</v>
      </c>
    </row>
    <row r="350" spans="1:4">
      <c r="A350">
        <v>2103501000</v>
      </c>
      <c r="B350" t="s">
        <v>838</v>
      </c>
      <c r="C350" s="1322">
        <v>-306922.38</v>
      </c>
      <c r="D350" s="1266">
        <v>-89567.29</v>
      </c>
    </row>
    <row r="351" spans="1:4">
      <c r="A351">
        <v>2103501001</v>
      </c>
      <c r="B351" t="s">
        <v>839</v>
      </c>
      <c r="C351" s="1322">
        <v>-14632286.5</v>
      </c>
      <c r="D351" s="1266">
        <v>198398.62</v>
      </c>
    </row>
    <row r="352" spans="1:4">
      <c r="A352">
        <v>2103701000</v>
      </c>
      <c r="B352" t="s">
        <v>840</v>
      </c>
      <c r="C352" s="1322">
        <v>-18303</v>
      </c>
      <c r="D352" s="1266">
        <v>-18303</v>
      </c>
    </row>
    <row r="353" spans="1:4">
      <c r="A353">
        <v>2104302001</v>
      </c>
      <c r="B353" t="s">
        <v>323</v>
      </c>
      <c r="C353" s="1322">
        <v>-73395094.829999998</v>
      </c>
      <c r="D353" s="1266">
        <v>-60304622.590000004</v>
      </c>
    </row>
    <row r="354" spans="1:4">
      <c r="A354">
        <v>2106103000</v>
      </c>
      <c r="B354" t="s">
        <v>841</v>
      </c>
      <c r="C354" s="1322">
        <v>0</v>
      </c>
      <c r="D354" s="1266">
        <v>-136130.85</v>
      </c>
    </row>
    <row r="355" spans="1:4">
      <c r="A355">
        <v>2106103001</v>
      </c>
      <c r="B355" t="s">
        <v>842</v>
      </c>
      <c r="C355" s="1322">
        <v>-8335472.6299999999</v>
      </c>
      <c r="D355" s="1266">
        <v>-8343602.7400000002</v>
      </c>
    </row>
    <row r="356" spans="1:4">
      <c r="A356">
        <v>2106103002</v>
      </c>
      <c r="B356" t="s">
        <v>511</v>
      </c>
      <c r="C356" s="1322">
        <v>-3048374.53</v>
      </c>
      <c r="D356" s="1266">
        <v>-8349378</v>
      </c>
    </row>
    <row r="357" spans="1:4">
      <c r="A357">
        <v>2106201000</v>
      </c>
      <c r="B357" t="s">
        <v>843</v>
      </c>
      <c r="C357" s="1322">
        <v>-52289.919999999998</v>
      </c>
      <c r="D357" s="1266">
        <v>0</v>
      </c>
    </row>
    <row r="358" spans="1:4">
      <c r="A358">
        <v>2106201001</v>
      </c>
      <c r="B358" t="s">
        <v>999</v>
      </c>
      <c r="C358" s="1322">
        <v>-13166</v>
      </c>
      <c r="D358" s="1266">
        <v>0</v>
      </c>
    </row>
    <row r="359" spans="1:4">
      <c r="A359">
        <v>2106202000</v>
      </c>
      <c r="B359" t="s">
        <v>1012</v>
      </c>
      <c r="C359" s="1322">
        <v>-126787.5</v>
      </c>
      <c r="D359" s="1266">
        <v>-120750</v>
      </c>
    </row>
    <row r="360" spans="1:4">
      <c r="A360">
        <v>2106301004</v>
      </c>
      <c r="B360" t="s">
        <v>844</v>
      </c>
      <c r="C360" s="1322">
        <v>-1093251.8600000001</v>
      </c>
      <c r="D360" s="1266">
        <v>-750000</v>
      </c>
    </row>
    <row r="361" spans="1:4">
      <c r="A361">
        <v>2106501000</v>
      </c>
      <c r="B361" t="s">
        <v>845</v>
      </c>
      <c r="C361" s="1322">
        <v>-122211</v>
      </c>
      <c r="D361" s="1266">
        <v>-65661</v>
      </c>
    </row>
    <row r="362" spans="1:4">
      <c r="A362">
        <v>2106501001</v>
      </c>
      <c r="B362" t="s">
        <v>1014</v>
      </c>
      <c r="C362" s="1322">
        <v>-5544</v>
      </c>
      <c r="D362" s="1266">
        <v>0</v>
      </c>
    </row>
    <row r="363" spans="1:4">
      <c r="A363">
        <v>2106601000</v>
      </c>
      <c r="B363" t="s">
        <v>846</v>
      </c>
      <c r="C363" s="1322">
        <v>-3240000</v>
      </c>
      <c r="D363" s="1266">
        <v>-3180000</v>
      </c>
    </row>
    <row r="364" spans="1:4">
      <c r="A364">
        <v>2106601001</v>
      </c>
      <c r="B364" t="s">
        <v>847</v>
      </c>
      <c r="C364" s="1322">
        <v>-8819558.9600000009</v>
      </c>
      <c r="D364" s="1266">
        <v>-4077998.11</v>
      </c>
    </row>
    <row r="365" spans="1:4">
      <c r="A365">
        <v>2106703000</v>
      </c>
      <c r="B365" t="s">
        <v>1007</v>
      </c>
      <c r="C365" s="1322">
        <v>-23071613</v>
      </c>
      <c r="D365" s="1266">
        <v>0</v>
      </c>
    </row>
    <row r="366" spans="1:4">
      <c r="A366">
        <v>2106703001</v>
      </c>
      <c r="B366" t="s">
        <v>1487</v>
      </c>
      <c r="C366" s="1322">
        <v>-99285178.310000002</v>
      </c>
      <c r="D366" s="1266">
        <v>0</v>
      </c>
    </row>
    <row r="367" spans="1:4">
      <c r="A367">
        <v>2107101000</v>
      </c>
      <c r="B367" t="s">
        <v>848</v>
      </c>
      <c r="C367" s="1322">
        <v>0</v>
      </c>
      <c r="D367" s="1266">
        <v>-12297387</v>
      </c>
    </row>
    <row r="368" spans="1:4">
      <c r="A368">
        <v>2107101001</v>
      </c>
      <c r="B368" t="s">
        <v>1056</v>
      </c>
      <c r="C368" s="1322">
        <v>-31357034</v>
      </c>
      <c r="D368" s="1266">
        <v>0</v>
      </c>
    </row>
    <row r="369" spans="1:4">
      <c r="A369">
        <v>2108101000</v>
      </c>
      <c r="B369" t="s">
        <v>997</v>
      </c>
      <c r="C369" s="1322">
        <v>-221601524.08000001</v>
      </c>
      <c r="D369" s="1266">
        <v>-207138914.28999999</v>
      </c>
    </row>
    <row r="370" spans="1:4">
      <c r="A370">
        <v>2108600001</v>
      </c>
      <c r="B370" t="s">
        <v>1134</v>
      </c>
      <c r="C370" s="1322">
        <v>-44914640.189999998</v>
      </c>
      <c r="D370" s="1266">
        <v>0</v>
      </c>
    </row>
    <row r="371" spans="1:4">
      <c r="A371">
        <v>2108701001</v>
      </c>
      <c r="B371" t="s">
        <v>1466</v>
      </c>
      <c r="C371" s="1322">
        <v>-19194172</v>
      </c>
      <c r="D371" s="1266">
        <v>0</v>
      </c>
    </row>
    <row r="372" spans="1:4">
      <c r="A372">
        <v>2201101000</v>
      </c>
      <c r="B372" t="s">
        <v>849</v>
      </c>
      <c r="C372" s="1322">
        <v>-62515838.659999996</v>
      </c>
      <c r="D372" s="1266">
        <v>-81665921.010000005</v>
      </c>
    </row>
    <row r="373" spans="1:4">
      <c r="A373">
        <v>2201101002</v>
      </c>
      <c r="B373" t="s">
        <v>851</v>
      </c>
      <c r="C373" s="1322">
        <v>-4261530.72</v>
      </c>
      <c r="D373" s="1266">
        <v>-6500235.7300000004</v>
      </c>
    </row>
    <row r="374" spans="1:4">
      <c r="A374">
        <v>2204201000</v>
      </c>
      <c r="B374" t="s">
        <v>852</v>
      </c>
      <c r="C374" s="1322">
        <v>-302627143.24000001</v>
      </c>
      <c r="D374" s="1266">
        <v>-348615398.00999999</v>
      </c>
    </row>
    <row r="375" spans="1:4">
      <c r="A375">
        <v>2204203000</v>
      </c>
      <c r="B375" t="s">
        <v>853</v>
      </c>
      <c r="C375" s="1322">
        <v>-300000000</v>
      </c>
      <c r="D375" s="1266">
        <v>-300000000</v>
      </c>
    </row>
    <row r="376" spans="1:4">
      <c r="A376">
        <v>2205401001</v>
      </c>
      <c r="B376" t="s">
        <v>1488</v>
      </c>
      <c r="C376" s="1322">
        <v>-194250000</v>
      </c>
      <c r="D376" s="1266">
        <v>0</v>
      </c>
    </row>
    <row r="377" spans="1:4">
      <c r="A377">
        <v>2207101000</v>
      </c>
      <c r="B377" t="s">
        <v>854</v>
      </c>
      <c r="C377" s="1322">
        <v>-26450209.940000001</v>
      </c>
      <c r="D377" s="1266">
        <v>-26450209.940000001</v>
      </c>
    </row>
    <row r="378" spans="1:4">
      <c r="A378">
        <v>2207101001</v>
      </c>
      <c r="B378" t="s">
        <v>855</v>
      </c>
      <c r="C378" s="1322">
        <v>-14379000.460000001</v>
      </c>
      <c r="D378" s="1266">
        <v>-40890756.460000001</v>
      </c>
    </row>
    <row r="379" spans="1:4">
      <c r="A379">
        <v>3101101000</v>
      </c>
      <c r="B379" t="s">
        <v>856</v>
      </c>
      <c r="C379" s="1322">
        <v>-854082000</v>
      </c>
      <c r="D379" s="1266">
        <v>-854082000</v>
      </c>
    </row>
    <row r="380" spans="1:4">
      <c r="A380">
        <v>3103101000</v>
      </c>
      <c r="B380" t="s">
        <v>857</v>
      </c>
      <c r="C380" s="1322">
        <v>-3700746116.46</v>
      </c>
      <c r="D380" s="1266">
        <v>-3277954946.4400001</v>
      </c>
    </row>
    <row r="381" spans="1:4">
      <c r="A381">
        <v>3103105000</v>
      </c>
      <c r="B381" t="s">
        <v>858</v>
      </c>
      <c r="C381" s="1322">
        <v>751592160</v>
      </c>
      <c r="D381" s="1266">
        <v>0</v>
      </c>
    </row>
    <row r="382" spans="1:4">
      <c r="A382">
        <v>3104104000</v>
      </c>
      <c r="B382" t="s">
        <v>68</v>
      </c>
      <c r="C382" s="1322">
        <v>0</v>
      </c>
      <c r="D382" s="1266">
        <v>-92308400</v>
      </c>
    </row>
    <row r="383" spans="1:4">
      <c r="A383">
        <v>7010101001</v>
      </c>
      <c r="B383" t="s">
        <v>534</v>
      </c>
      <c r="C383" s="1322">
        <v>-15120</v>
      </c>
      <c r="D383" s="1266">
        <v>-1056575</v>
      </c>
    </row>
    <row r="384" spans="1:4">
      <c r="A384">
        <v>7010101002</v>
      </c>
      <c r="B384" t="s">
        <v>535</v>
      </c>
      <c r="C384" s="1322">
        <v>-24782.2</v>
      </c>
      <c r="D384" s="1266">
        <v>-1470</v>
      </c>
    </row>
    <row r="385" spans="1:4">
      <c r="A385">
        <v>7010101006</v>
      </c>
      <c r="B385" t="s">
        <v>557</v>
      </c>
      <c r="C385" s="1322">
        <v>0</v>
      </c>
      <c r="D385" s="1266">
        <v>-71522</v>
      </c>
    </row>
    <row r="386" spans="1:4">
      <c r="A386">
        <v>7010101009</v>
      </c>
      <c r="B386" t="s">
        <v>558</v>
      </c>
      <c r="C386" s="1322">
        <v>-217239.33</v>
      </c>
      <c r="D386" s="1266">
        <v>-30802.5</v>
      </c>
    </row>
    <row r="387" spans="1:4">
      <c r="A387">
        <v>7010101014</v>
      </c>
      <c r="B387" t="s">
        <v>536</v>
      </c>
      <c r="C387" s="1322">
        <v>655000</v>
      </c>
      <c r="D387" s="1266">
        <v>0</v>
      </c>
    </row>
    <row r="388" spans="1:4">
      <c r="A388">
        <v>7010101015</v>
      </c>
      <c r="B388" t="s">
        <v>537</v>
      </c>
      <c r="C388" s="1322">
        <v>82639729.420000002</v>
      </c>
      <c r="D388" s="1266">
        <v>0</v>
      </c>
    </row>
    <row r="389" spans="1:4">
      <c r="A389">
        <v>7010101017</v>
      </c>
      <c r="B389" t="s">
        <v>538</v>
      </c>
      <c r="C389" s="1322">
        <v>-132964.48000000001</v>
      </c>
      <c r="D389" s="1266">
        <v>-19315803.18</v>
      </c>
    </row>
    <row r="390" spans="1:4">
      <c r="A390">
        <v>7010101027</v>
      </c>
      <c r="B390" t="s">
        <v>559</v>
      </c>
      <c r="C390" s="1322">
        <v>0</v>
      </c>
      <c r="D390" s="1266">
        <v>-1000</v>
      </c>
    </row>
    <row r="391" spans="1:4">
      <c r="A391">
        <v>7010101028</v>
      </c>
      <c r="B391" t="s">
        <v>560</v>
      </c>
      <c r="C391" s="1322">
        <v>665970.75</v>
      </c>
      <c r="D391" s="1266">
        <v>0</v>
      </c>
    </row>
  </sheetData>
  <sortState ref="A3:D392">
    <sortCondition ref="A3:A392"/>
  </sortState>
  <pageMargins left="0.7" right="0.7" top="0.75" bottom="0.75" header="0.3" footer="0.3"/>
  <pageSetup scale="85" orientation="portrait" r:id="rId1"/>
</worksheet>
</file>

<file path=xl/worksheets/sheet10.xml><?xml version="1.0" encoding="utf-8"?>
<worksheet xmlns="http://schemas.openxmlformats.org/spreadsheetml/2006/main" xmlns:r="http://schemas.openxmlformats.org/officeDocument/2006/relationships">
  <sheetPr enableFormatConditionsCalculation="0">
    <tabColor rgb="FF00B050"/>
  </sheetPr>
  <dimension ref="A1:G147"/>
  <sheetViews>
    <sheetView showGridLines="0" topLeftCell="A110" zoomScaleSheetLayoutView="90" workbookViewId="0">
      <selection activeCell="C115" sqref="C115"/>
    </sheetView>
  </sheetViews>
  <sheetFormatPr defaultColWidth="9.140625" defaultRowHeight="15.75"/>
  <cols>
    <col min="1" max="1" width="12.42578125" style="4" bestFit="1" customWidth="1"/>
    <col min="2" max="2" width="55" style="127" customWidth="1"/>
    <col min="3" max="3" width="22.28515625" style="155" customWidth="1"/>
    <col min="4" max="4" width="23.42578125" style="155" customWidth="1"/>
    <col min="5" max="5" width="3.28515625" style="4" customWidth="1"/>
    <col min="6" max="6" width="16.28515625" style="4" customWidth="1"/>
    <col min="7" max="7" width="16.85546875" style="4" bestFit="1" customWidth="1"/>
    <col min="8" max="9" width="9.140625" style="4"/>
    <col min="10" max="10" width="12.42578125" style="4" bestFit="1" customWidth="1"/>
    <col min="11" max="11" width="9.140625" style="4"/>
    <col min="12" max="12" width="13" style="4" customWidth="1"/>
    <col min="13" max="16384" width="9.140625" style="4"/>
  </cols>
  <sheetData>
    <row r="1" spans="1:7">
      <c r="B1" s="1324" t="str">
        <f>'2SFP'!B1</f>
        <v>BHUTAN TELECOM LIMITED</v>
      </c>
      <c r="C1" s="1325"/>
      <c r="D1" s="1326"/>
    </row>
    <row r="2" spans="1:7">
      <c r="B2" s="1333" t="s">
        <v>1052</v>
      </c>
      <c r="C2" s="1334"/>
      <c r="D2" s="1335"/>
    </row>
    <row r="3" spans="1:7">
      <c r="B3" s="335"/>
      <c r="C3" s="1113"/>
      <c r="D3" s="1217" t="str">
        <f>'2SFP'!E3</f>
        <v>Amount in Nu.</v>
      </c>
    </row>
    <row r="4" spans="1:7" ht="31.5">
      <c r="B4" s="222" t="str">
        <f>'2SFP'!B4</f>
        <v>Particulars</v>
      </c>
      <c r="C4" s="1218" t="str">
        <f>'2SFP'!D4</f>
        <v>As at 28th February, 2019</v>
      </c>
      <c r="D4" s="1219" t="str">
        <f>'2SFP'!E4</f>
        <v>As at 31st December ,  2018</v>
      </c>
    </row>
    <row r="5" spans="1:7">
      <c r="B5" s="562"/>
      <c r="C5" s="1220"/>
      <c r="D5" s="1221"/>
    </row>
    <row r="6" spans="1:7">
      <c r="B6" s="236" t="s">
        <v>1035</v>
      </c>
      <c r="C6" s="1108"/>
      <c r="D6" s="723"/>
    </row>
    <row r="7" spans="1:7">
      <c r="B7" s="336" t="s">
        <v>1188</v>
      </c>
      <c r="C7" s="1108">
        <f>+SUM(C8:C9)</f>
        <v>81133478</v>
      </c>
      <c r="D7" s="723">
        <f>+SUM(D8:D9)</f>
        <v>81133478</v>
      </c>
    </row>
    <row r="8" spans="1:7">
      <c r="A8" s="962">
        <v>2101101000</v>
      </c>
      <c r="B8" s="336" t="s">
        <v>1186</v>
      </c>
      <c r="C8" s="1162">
        <f>ABS(IFERROR(VLOOKUP(A8,Trial!$A$2:$D$9992,3,0),0))</f>
        <v>18617639.34</v>
      </c>
      <c r="D8" s="1215">
        <f>ABS(IFERROR(VLOOKUP(A8,Trial!$A$2:$D$9992,4,0),0))</f>
        <v>18617639.34</v>
      </c>
    </row>
    <row r="9" spans="1:7">
      <c r="A9" s="4">
        <v>2201101000</v>
      </c>
      <c r="B9" s="353" t="s">
        <v>1186</v>
      </c>
      <c r="C9" s="1147">
        <f>ABS(IFERROR(VLOOKUP(A9,Trial!$A$2:$D$9992,3,0),0))</f>
        <v>62515838.659999996</v>
      </c>
      <c r="D9" s="1215">
        <f>ABS(IFERROR(VLOOKUP(A9,Trial!$A$2:$D$9992,4,0),0))</f>
        <v>62515838.659999996</v>
      </c>
      <c r="F9" s="7"/>
      <c r="G9" s="7"/>
    </row>
    <row r="10" spans="1:7">
      <c r="A10" s="962">
        <v>2101101001</v>
      </c>
      <c r="B10" s="336" t="s">
        <v>1190</v>
      </c>
      <c r="C10" s="1147">
        <f>ABS(IFERROR(VLOOKUP(A10,Trial!$A$2:$D$9992,3,0),0))</f>
        <v>0</v>
      </c>
      <c r="D10" s="1215">
        <f>ABS(IFERROR(VLOOKUP(A10,Trial!$A$2:$D$9992,4,0),0))</f>
        <v>0</v>
      </c>
      <c r="F10" s="963"/>
      <c r="G10" s="963"/>
    </row>
    <row r="11" spans="1:7">
      <c r="A11" s="962"/>
      <c r="B11" s="353" t="s">
        <v>1189</v>
      </c>
      <c r="C11" s="1147">
        <f>+SUM(C12:C13)</f>
        <v>6500235.7199999997</v>
      </c>
      <c r="D11" s="1215">
        <f>+SUM(D12:D13)</f>
        <v>6500235.7199999997</v>
      </c>
      <c r="F11" s="963"/>
      <c r="G11" s="963"/>
    </row>
    <row r="12" spans="1:7">
      <c r="A12" s="962">
        <v>2101101002</v>
      </c>
      <c r="B12" s="353" t="s">
        <v>1187</v>
      </c>
      <c r="C12" s="1162">
        <f>ABS(IFERROR(VLOOKUP(A12,Trial!$A$2:$D$9992,3,0),0))</f>
        <v>2238705</v>
      </c>
      <c r="D12" s="1215">
        <f>ABS(IFERROR(VLOOKUP(A12,Trial!$A$2:$D$9992,4,0),0))</f>
        <v>2238705</v>
      </c>
      <c r="F12" s="7"/>
      <c r="G12" s="7"/>
    </row>
    <row r="13" spans="1:7">
      <c r="A13" s="4">
        <v>2201101002</v>
      </c>
      <c r="B13" s="353" t="s">
        <v>1187</v>
      </c>
      <c r="C13" s="1147">
        <f>ABS(IFERROR(VLOOKUP(A13,Trial!$A$2:$D$9992,3,0),0))</f>
        <v>4261530.72</v>
      </c>
      <c r="D13" s="1215">
        <f>ABS(IFERROR(VLOOKUP(A13,Trial!$A$2:$D$9992,4,0),0))</f>
        <v>4261530.72</v>
      </c>
      <c r="F13" s="7"/>
      <c r="G13" s="7"/>
    </row>
    <row r="14" spans="1:7">
      <c r="B14" s="336" t="s">
        <v>114</v>
      </c>
      <c r="C14" s="1163">
        <f>+C7+C10+C11</f>
        <v>87633713.719999999</v>
      </c>
      <c r="D14" s="1222">
        <f>+D7+D10+D11</f>
        <v>87633713.719999999</v>
      </c>
      <c r="F14" s="7"/>
      <c r="G14" s="7"/>
    </row>
    <row r="15" spans="1:7">
      <c r="B15" s="236" t="s">
        <v>1380</v>
      </c>
      <c r="C15" s="1164">
        <f>+C14</f>
        <v>87633713.719999999</v>
      </c>
      <c r="D15" s="1223">
        <f>+D14</f>
        <v>87633713.719999999</v>
      </c>
    </row>
    <row r="16" spans="1:7">
      <c r="B16" s="1415" t="s">
        <v>1191</v>
      </c>
      <c r="C16" s="1416"/>
      <c r="D16" s="1417"/>
    </row>
    <row r="17" spans="1:7">
      <c r="B17" s="1372" t="s">
        <v>1192</v>
      </c>
      <c r="C17" s="1373"/>
      <c r="D17" s="1374"/>
    </row>
    <row r="18" spans="1:7">
      <c r="B18" s="356" t="s">
        <v>1193</v>
      </c>
      <c r="C18" s="1199"/>
      <c r="D18" s="1193"/>
    </row>
    <row r="19" spans="1:7">
      <c r="B19" s="335"/>
      <c r="C19" s="1224"/>
      <c r="D19" s="1188"/>
    </row>
    <row r="20" spans="1:7">
      <c r="B20" s="335"/>
      <c r="C20" s="1224"/>
      <c r="D20" s="1188"/>
    </row>
    <row r="21" spans="1:7">
      <c r="B21" s="335" t="s">
        <v>232</v>
      </c>
      <c r="C21" s="1165">
        <f>+C15</f>
        <v>87633713.719999999</v>
      </c>
      <c r="D21" s="1189">
        <f>+D15</f>
        <v>87633713.719999999</v>
      </c>
    </row>
    <row r="22" spans="1:7" ht="31.5">
      <c r="B22" s="222" t="str">
        <f>+B4</f>
        <v>Particulars</v>
      </c>
      <c r="C22" s="1218" t="str">
        <f t="shared" ref="C22:D22" si="0">+C4</f>
        <v>As at 28th February, 2019</v>
      </c>
      <c r="D22" s="1219" t="str">
        <f t="shared" si="0"/>
        <v>As at 31st December ,  2018</v>
      </c>
    </row>
    <row r="23" spans="1:7">
      <c r="B23" s="236" t="s">
        <v>1036</v>
      </c>
      <c r="C23" s="1108"/>
      <c r="D23" s="723"/>
    </row>
    <row r="24" spans="1:7">
      <c r="A24" s="3">
        <v>2204201000</v>
      </c>
      <c r="B24" s="332" t="s">
        <v>214</v>
      </c>
      <c r="C24" s="1147">
        <f>ABS(IFERROR(VLOOKUP(A24,Trial!$A$2:$D$9992,3,0),0))</f>
        <v>302627143.24000001</v>
      </c>
      <c r="D24" s="1215">
        <f>ABS(IFERROR(VLOOKUP(A24,Trial!$A$2:$D$9992,4,0),0))</f>
        <v>302627143.24000001</v>
      </c>
      <c r="F24" s="201"/>
      <c r="G24" s="201">
        <v>428251871</v>
      </c>
    </row>
    <row r="25" spans="1:7">
      <c r="A25" s="3">
        <v>2104302001</v>
      </c>
      <c r="B25" s="332"/>
      <c r="C25" s="1147">
        <f>ABS(IFERROR(VLOOKUP(A25,Trial!$A$2:$D$9992,3,0),0))</f>
        <v>73395094.829999998</v>
      </c>
      <c r="D25" s="1215">
        <f>ABS(IFERROR(VLOOKUP(A25,Trial!$A$2:$D$9992,4,0),0))</f>
        <v>94199332.450000003</v>
      </c>
      <c r="F25" s="201"/>
      <c r="G25" s="201"/>
    </row>
    <row r="26" spans="1:7">
      <c r="A26" s="3"/>
      <c r="B26" s="332" t="s">
        <v>1438</v>
      </c>
      <c r="C26" s="1147">
        <f>SUM(C24:C25)</f>
        <v>376022238.06999999</v>
      </c>
      <c r="D26" s="1215">
        <f>SUM(D24:D25)</f>
        <v>396826475.69</v>
      </c>
      <c r="F26" s="201"/>
      <c r="G26" s="201"/>
    </row>
    <row r="27" spans="1:7">
      <c r="A27" s="3">
        <v>2104302001</v>
      </c>
      <c r="B27" s="332" t="s">
        <v>1194</v>
      </c>
      <c r="C27" s="1147">
        <f>ABS(IFERROR(VLOOKUP(A25,Trial!$A$2:$D$9992,3,0),0))</f>
        <v>73395094.829999998</v>
      </c>
      <c r="D27" s="1215">
        <f>ABS(IFERROR(VLOOKUP(A25,Trial!$A$2:$D$9992,4,0),0))</f>
        <v>94199332.450000003</v>
      </c>
      <c r="F27" s="201"/>
      <c r="G27" s="201"/>
    </row>
    <row r="28" spans="1:7">
      <c r="A28" s="3"/>
      <c r="B28" s="236" t="s">
        <v>1439</v>
      </c>
      <c r="C28" s="1157">
        <f>+C26-C27</f>
        <v>302627143.24000001</v>
      </c>
      <c r="D28" s="1216">
        <f>+D26-D27</f>
        <v>302627143.24000001</v>
      </c>
      <c r="F28" s="201"/>
      <c r="G28" s="201"/>
    </row>
    <row r="29" spans="1:7">
      <c r="A29" s="3">
        <v>2204203000</v>
      </c>
      <c r="B29" s="332" t="s">
        <v>1381</v>
      </c>
      <c r="C29" s="1147">
        <f>ABS(IFERROR(VLOOKUP(A29,Trial!$A$2:$D$9992,3,0),0))</f>
        <v>300000000</v>
      </c>
      <c r="D29" s="1215">
        <f>ABS(IFERROR(VLOOKUP(A29,Trial!$A$2:$D$9992,4,0),0))</f>
        <v>300000000</v>
      </c>
    </row>
    <row r="30" spans="1:7">
      <c r="A30" s="3"/>
      <c r="B30" s="332"/>
      <c r="C30" s="1147"/>
      <c r="D30" s="1215"/>
    </row>
    <row r="31" spans="1:7">
      <c r="B31" s="720" t="s">
        <v>1379</v>
      </c>
      <c r="C31" s="1148">
        <f>+C28+C29</f>
        <v>602627143.24000001</v>
      </c>
      <c r="D31" s="1189">
        <f>+D28+D29</f>
        <v>602627143.24000001</v>
      </c>
    </row>
    <row r="32" spans="1:7">
      <c r="B32" s="358"/>
      <c r="C32" s="1191"/>
      <c r="D32" s="1188"/>
    </row>
    <row r="33" spans="1:6">
      <c r="A33" s="3"/>
      <c r="B33" s="1418" t="s">
        <v>1440</v>
      </c>
      <c r="C33" s="1419"/>
      <c r="D33" s="1420"/>
    </row>
    <row r="34" spans="1:6">
      <c r="A34" s="3"/>
      <c r="B34" s="332" t="s">
        <v>1199</v>
      </c>
      <c r="C34" s="1158"/>
      <c r="D34" s="1215"/>
    </row>
    <row r="35" spans="1:6">
      <c r="A35" s="3"/>
      <c r="B35" s="332" t="s">
        <v>1196</v>
      </c>
      <c r="C35" s="1225"/>
      <c r="D35" s="1215"/>
    </row>
    <row r="36" spans="1:6">
      <c r="A36" s="3"/>
      <c r="B36" s="332"/>
      <c r="C36" s="1225"/>
      <c r="D36" s="1215"/>
    </row>
    <row r="37" spans="1:6">
      <c r="B37" s="1378" t="s">
        <v>1441</v>
      </c>
      <c r="C37" s="1379"/>
      <c r="D37" s="1380"/>
    </row>
    <row r="38" spans="1:6">
      <c r="B38" s="359"/>
      <c r="C38" s="1226"/>
      <c r="D38" s="1227"/>
    </row>
    <row r="39" spans="1:6">
      <c r="B39" s="360"/>
      <c r="C39" s="1228"/>
      <c r="D39" s="1229"/>
    </row>
    <row r="40" spans="1:6" ht="31.5">
      <c r="B40" s="222" t="str">
        <f>+B22</f>
        <v>Particulars</v>
      </c>
      <c r="C40" s="1218" t="str">
        <f t="shared" ref="C40:D40" si="1">+C22</f>
        <v>As at 28th February, 2019</v>
      </c>
      <c r="D40" s="1219" t="str">
        <f t="shared" si="1"/>
        <v>As at 31st December ,  2018</v>
      </c>
    </row>
    <row r="41" spans="1:6">
      <c r="B41" s="774" t="s">
        <v>1200</v>
      </c>
      <c r="C41" s="1164"/>
      <c r="D41" s="1188"/>
    </row>
    <row r="42" spans="1:6">
      <c r="A42" s="4">
        <v>2205401001</v>
      </c>
      <c r="B42" s="336" t="s">
        <v>1135</v>
      </c>
      <c r="C42" s="1147">
        <f>ABS(IFERROR(VLOOKUP(A42,Trial!$A$2:$D$9992,3,0),0))</f>
        <v>194250000</v>
      </c>
      <c r="D42" s="1215">
        <f>ABS(IFERROR(VLOOKUP(A42,Trial!$A$2:$D$9992,4,0),0))</f>
        <v>194250000</v>
      </c>
      <c r="F42" s="964"/>
    </row>
    <row r="43" spans="1:6">
      <c r="B43" s="332"/>
      <c r="C43" s="1108"/>
      <c r="D43" s="723"/>
    </row>
    <row r="44" spans="1:6">
      <c r="B44" s="332"/>
      <c r="C44" s="1108"/>
      <c r="D44" s="723"/>
    </row>
    <row r="45" spans="1:6">
      <c r="B45" s="336"/>
      <c r="C45" s="1108"/>
      <c r="D45" s="723"/>
    </row>
    <row r="46" spans="1:6">
      <c r="B46" s="336" t="s">
        <v>1277</v>
      </c>
      <c r="C46" s="1108"/>
      <c r="D46" s="1108">
        <f>-38850000</f>
        <v>-38850000</v>
      </c>
    </row>
    <row r="47" spans="1:6">
      <c r="B47" s="336"/>
      <c r="C47" s="1148">
        <f>SUM(C42:C46)</f>
        <v>194250000</v>
      </c>
      <c r="D47" s="1189">
        <f>SUM(D42:D46)</f>
        <v>155400000</v>
      </c>
    </row>
    <row r="48" spans="1:6">
      <c r="B48" s="361"/>
      <c r="C48" s="1191"/>
      <c r="D48" s="723"/>
    </row>
    <row r="49" spans="1:6">
      <c r="A49" s="4">
        <v>2203301000</v>
      </c>
      <c r="B49" s="332"/>
      <c r="C49" s="1147"/>
      <c r="D49" s="1215"/>
    </row>
    <row r="50" spans="1:6">
      <c r="B50" s="332" t="s">
        <v>114</v>
      </c>
      <c r="C50" s="1148">
        <f>SUM(C49)</f>
        <v>0</v>
      </c>
      <c r="D50" s="1189">
        <f>SUM(D49)</f>
        <v>0</v>
      </c>
    </row>
    <row r="51" spans="1:6">
      <c r="B51" s="332"/>
      <c r="C51" s="1191"/>
      <c r="D51" s="1188"/>
    </row>
    <row r="52" spans="1:6" ht="31.5">
      <c r="B52" s="222" t="str">
        <f>+B40</f>
        <v>Particulars</v>
      </c>
      <c r="C52" s="1218" t="str">
        <f t="shared" ref="C52:D52" si="2">+C40</f>
        <v>As at 28th February, 2019</v>
      </c>
      <c r="D52" s="1219" t="str">
        <f t="shared" si="2"/>
        <v>As at 31st December ,  2018</v>
      </c>
    </row>
    <row r="53" spans="1:6">
      <c r="B53" s="774" t="s">
        <v>477</v>
      </c>
      <c r="C53" s="1191"/>
      <c r="D53" s="1188"/>
    </row>
    <row r="54" spans="1:6">
      <c r="A54" s="4">
        <v>2207101001</v>
      </c>
      <c r="B54" s="280" t="s">
        <v>1389</v>
      </c>
      <c r="C54" s="1306">
        <f>ABS(IFERROR(VLOOKUP(A54,Trial!$A$2:$D$9992,3,0),0))</f>
        <v>14379000.460000001</v>
      </c>
      <c r="D54" s="1215">
        <f>ABS(IFERROR(VLOOKUP(A54,Trial!$A$2:$D$9992,4,0),0))</f>
        <v>14379000.460000001</v>
      </c>
      <c r="F54" s="964"/>
    </row>
    <row r="55" spans="1:6">
      <c r="A55" s="4">
        <v>2105101000</v>
      </c>
      <c r="B55" s="332" t="s">
        <v>181</v>
      </c>
      <c r="C55" s="1147">
        <f>ABS(IFERROR(VLOOKUP(A55,Trial!$A$2:$D$10047,3,0),0))</f>
        <v>0</v>
      </c>
      <c r="D55" s="1215">
        <f>ABS(IFERROR(VLOOKUP(A55,Trial!$A$2:$D$10047,4,0),0))</f>
        <v>0</v>
      </c>
    </row>
    <row r="56" spans="1:6">
      <c r="A56" s="4">
        <v>2203101000</v>
      </c>
      <c r="B56" s="280" t="s">
        <v>182</v>
      </c>
      <c r="C56" s="1147">
        <f>ABS(IFERROR(VLOOKUP(A56,Trial!$A$2:$D$10047,3,0),0))</f>
        <v>0</v>
      </c>
      <c r="D56" s="1215">
        <f>ABS(IFERROR(VLOOKUP(A56,Trial!$A$2:$D$10047,4,0),0))</f>
        <v>0</v>
      </c>
    </row>
    <row r="57" spans="1:6">
      <c r="A57" s="4">
        <v>2203102000</v>
      </c>
      <c r="B57" s="280" t="s">
        <v>183</v>
      </c>
      <c r="C57" s="1147">
        <f>ABS(IFERROR(VLOOKUP(A57,Trial!$A$2:$D$10047,3,0),0))</f>
        <v>0</v>
      </c>
      <c r="D57" s="1215">
        <f>ABS(IFERROR(VLOOKUP(A57,Trial!$A$2:$D$10047,4,0),0))</f>
        <v>0</v>
      </c>
    </row>
    <row r="58" spans="1:6">
      <c r="A58" s="4">
        <v>2203103000</v>
      </c>
      <c r="B58" s="280" t="s">
        <v>184</v>
      </c>
      <c r="C58" s="1147">
        <f>ABS(IFERROR(VLOOKUP(A58,Trial!$A$2:$D$10047,3,0),0))</f>
        <v>0</v>
      </c>
      <c r="D58" s="1215">
        <f>ABS(IFERROR(VLOOKUP(A58,Trial!$A$2:$D$10047,4,0),0))</f>
        <v>0</v>
      </c>
    </row>
    <row r="59" spans="1:6">
      <c r="A59" s="4">
        <v>2205103000</v>
      </c>
      <c r="B59" s="280" t="s">
        <v>996</v>
      </c>
      <c r="C59" s="1147">
        <f>ABS(IFERROR(VLOOKUP(A59,Trial!$A$2:$D$10047,3,0),0))</f>
        <v>0</v>
      </c>
      <c r="D59" s="1215">
        <f>ABS(IFERROR(VLOOKUP(A59,Trial!$A$2:$D$10047,4,0),0))</f>
        <v>0</v>
      </c>
    </row>
    <row r="60" spans="1:6">
      <c r="B60" s="280" t="s">
        <v>1203</v>
      </c>
      <c r="C60" s="719"/>
      <c r="D60" s="719">
        <v>-1182606</v>
      </c>
    </row>
    <row r="61" spans="1:6">
      <c r="B61" s="280"/>
      <c r="C61" s="1157">
        <f>SUM(C54:C60)</f>
        <v>14379000.460000001</v>
      </c>
      <c r="D61" s="1216">
        <f>SUM(D54:D60)</f>
        <v>13196394.460000001</v>
      </c>
    </row>
    <row r="62" spans="1:6">
      <c r="A62" s="4">
        <v>2107101001</v>
      </c>
      <c r="B62" s="332" t="s">
        <v>1390</v>
      </c>
      <c r="C62" s="1306">
        <f>ABS(IFERROR(VLOOKUP(A62,Trial!$A$2:$D$9992,3,0),0))</f>
        <v>31357034</v>
      </c>
      <c r="D62" s="1215">
        <f>ABS(IFERROR(VLOOKUP(A62,Trial!$A$2:$D$10047,4,0),0))</f>
        <v>31357034</v>
      </c>
    </row>
    <row r="63" spans="1:6">
      <c r="B63" s="280" t="s">
        <v>1203</v>
      </c>
      <c r="C63" s="719"/>
      <c r="D63" s="719">
        <v>-13839000</v>
      </c>
    </row>
    <row r="64" spans="1:6">
      <c r="B64" s="280"/>
      <c r="C64" s="1157">
        <f>SUM(C62:C63)</f>
        <v>31357034</v>
      </c>
      <c r="D64" s="1216">
        <f>SUM(D62:D63)</f>
        <v>17518034</v>
      </c>
    </row>
    <row r="65" spans="1:4">
      <c r="A65" s="4">
        <v>2207101000</v>
      </c>
      <c r="B65" s="280" t="s">
        <v>1442</v>
      </c>
      <c r="C65" s="1306">
        <f>ABS(IFERROR(VLOOKUP(A65,Trial!$A$2:$D$9992,3,0),0))</f>
        <v>26450209.940000001</v>
      </c>
      <c r="D65" s="1215">
        <f>ABS(IFERROR(VLOOKUP(A65,Trial!$A$2:$D$9992,4,0),0))</f>
        <v>26450209.940000001</v>
      </c>
    </row>
    <row r="66" spans="1:4">
      <c r="B66" s="775" t="s">
        <v>1391</v>
      </c>
      <c r="C66" s="1148">
        <f>+C61+C64+C65</f>
        <v>72186244.400000006</v>
      </c>
      <c r="D66" s="1189">
        <f>+D61+D64+D65</f>
        <v>57164638.400000006</v>
      </c>
    </row>
    <row r="67" spans="1:4">
      <c r="B67" s="361"/>
      <c r="C67" s="1191"/>
      <c r="D67" s="1188"/>
    </row>
    <row r="68" spans="1:4">
      <c r="B68" s="332"/>
      <c r="C68" s="1108"/>
      <c r="D68" s="723"/>
    </row>
    <row r="69" spans="1:4">
      <c r="B69" s="336"/>
      <c r="C69" s="1164"/>
      <c r="D69" s="1223"/>
    </row>
    <row r="70" spans="1:4">
      <c r="B70" s="776"/>
      <c r="C70" s="1230"/>
      <c r="D70" s="1223"/>
    </row>
    <row r="71" spans="1:4" ht="31.5">
      <c r="B71" s="539" t="str">
        <f>+B4</f>
        <v>Particulars</v>
      </c>
      <c r="C71" s="1218" t="str">
        <f>+C4</f>
        <v>As at 28th February, 2019</v>
      </c>
      <c r="D71" s="1218" t="str">
        <f>+D4</f>
        <v>As at 31st December ,  2018</v>
      </c>
    </row>
    <row r="72" spans="1:4">
      <c r="B72" s="236" t="s">
        <v>1206</v>
      </c>
      <c r="C72" s="1108"/>
      <c r="D72" s="723"/>
    </row>
    <row r="73" spans="1:4">
      <c r="B73" s="236" t="s">
        <v>233</v>
      </c>
      <c r="C73" s="1108"/>
      <c r="D73" s="723"/>
    </row>
    <row r="74" spans="1:4">
      <c r="A74" s="4">
        <v>2103101000</v>
      </c>
      <c r="B74" s="280" t="s">
        <v>835</v>
      </c>
      <c r="C74" s="1306">
        <f>ABS(IFERROR(VLOOKUP(A74,Trial!$A$2:$D$9992,3,0),0))</f>
        <v>32838382.59</v>
      </c>
      <c r="D74" s="1215">
        <f>ABS(IFERROR(VLOOKUP(A74,Trial!$A$2:$D$9992,4,0),0))</f>
        <v>29644522.789999999</v>
      </c>
    </row>
    <row r="75" spans="1:4">
      <c r="A75" s="4">
        <v>2103102000</v>
      </c>
      <c r="B75" s="280" t="s">
        <v>1209</v>
      </c>
      <c r="C75" s="1153">
        <f>ABS(IFERROR(VLOOKUP(A75,Trial!$A$2:$D$9992,3,0),0))</f>
        <v>0</v>
      </c>
      <c r="D75" s="1215">
        <f>ABS(IFERROR(VLOOKUP(A75,Trial!$A$2:$D$9992,4,0),0))</f>
        <v>24290</v>
      </c>
    </row>
    <row r="76" spans="1:4">
      <c r="A76" s="4">
        <v>2103103000</v>
      </c>
      <c r="B76" s="280" t="s">
        <v>837</v>
      </c>
      <c r="C76" s="1306">
        <f>ABS(IFERROR(VLOOKUP(A76,Trial!$A$2:$D$9992,3,0),0))</f>
        <v>43556232.68</v>
      </c>
      <c r="D76" s="1215">
        <f>ABS(IFERROR(VLOOKUP(A76,Trial!$A$2:$D$9992,4,0),0))</f>
        <v>111008117.88</v>
      </c>
    </row>
    <row r="77" spans="1:4">
      <c r="B77" s="280" t="s">
        <v>234</v>
      </c>
      <c r="C77" s="1147">
        <f>+SUM(C78:C82)</f>
        <v>19664420.93</v>
      </c>
      <c r="D77" s="1147">
        <f>+SUM(D78:D81)</f>
        <v>30489070.649999999</v>
      </c>
    </row>
    <row r="78" spans="1:4">
      <c r="A78" s="4">
        <v>2103401000</v>
      </c>
      <c r="B78" s="280" t="s">
        <v>1011</v>
      </c>
      <c r="C78" s="1306">
        <f>ABS(IFERROR(VLOOKUP(A78,Trial!$A$2:$D$9992,3,0),0))</f>
        <v>319614.43</v>
      </c>
      <c r="D78" s="1215">
        <f>ABS(IFERROR(VLOOKUP(A78,Trial!$A$2:$D$9992,4,0),0))</f>
        <v>11149808.15</v>
      </c>
    </row>
    <row r="79" spans="1:4">
      <c r="A79" s="4">
        <v>2108701001</v>
      </c>
      <c r="B79" s="280" t="s">
        <v>1466</v>
      </c>
      <c r="C79" s="1153">
        <f>ABS(IFERROR(VLOOKUP(A79,Trial!$A$2:$D$9992,3,0),0))</f>
        <v>19194172</v>
      </c>
      <c r="D79" s="1215">
        <f>ABS(IFERROR(VLOOKUP(A79,Trial!$A$2:$D$9992,4,0),0))</f>
        <v>19194172</v>
      </c>
    </row>
    <row r="80" spans="1:4">
      <c r="A80" s="4">
        <v>2103701000</v>
      </c>
      <c r="B80" s="280" t="s">
        <v>840</v>
      </c>
      <c r="C80" s="1306">
        <f>ABS(IFERROR(VLOOKUP(A80,Trial!$A$2:$D$9992,3,0),0))</f>
        <v>18303</v>
      </c>
      <c r="D80" s="1215">
        <f>ABS(IFERROR(VLOOKUP(A80,Trial!$A$2:$D$9992,4,0),0))</f>
        <v>18303</v>
      </c>
    </row>
    <row r="81" spans="1:7">
      <c r="A81" s="4">
        <v>2106202000</v>
      </c>
      <c r="B81" s="280" t="s">
        <v>1012</v>
      </c>
      <c r="C81" s="1306">
        <f>ABS(IFERROR(VLOOKUP(A81,Trial!$A$2:$D$9992,3,0),0))</f>
        <v>126787.5</v>
      </c>
      <c r="D81" s="1215">
        <f>ABS(IFERROR(VLOOKUP(A81,Trial!$A$2:$D$9992,4,0),0))</f>
        <v>126787.5</v>
      </c>
    </row>
    <row r="82" spans="1:7">
      <c r="A82" s="4">
        <v>2106501001</v>
      </c>
      <c r="B82" s="280" t="s">
        <v>1014</v>
      </c>
      <c r="C82" s="1306">
        <f>ABS(IFERROR(VLOOKUP(A82,Trial!$A$2:$D$9992,3,0),0))</f>
        <v>5544</v>
      </c>
      <c r="D82" s="1215">
        <f>ABS(IFERROR(VLOOKUP(A82,Trial!$A$2:$D$9992,4,0),0))</f>
        <v>0</v>
      </c>
    </row>
    <row r="83" spans="1:7">
      <c r="B83" s="332"/>
      <c r="C83" s="1108"/>
      <c r="D83" s="723"/>
    </row>
    <row r="84" spans="1:7">
      <c r="B84" s="332"/>
      <c r="C84" s="1108"/>
      <c r="D84" s="723"/>
    </row>
    <row r="85" spans="1:7">
      <c r="B85" s="280" t="s">
        <v>114</v>
      </c>
      <c r="C85" s="1147"/>
      <c r="D85" s="1215"/>
    </row>
    <row r="86" spans="1:7">
      <c r="B86" s="777" t="s">
        <v>114</v>
      </c>
      <c r="C86" s="1148">
        <f>+C74+C75+C76+C77</f>
        <v>96059036.199999988</v>
      </c>
      <c r="D86" s="1148">
        <f>+D74+D75+D76+D77</f>
        <v>171166001.31999999</v>
      </c>
      <c r="G86" s="6"/>
    </row>
    <row r="87" spans="1:7">
      <c r="B87" s="332"/>
      <c r="C87" s="1199"/>
      <c r="D87" s="1188"/>
    </row>
    <row r="88" spans="1:7" ht="31.5">
      <c r="B88" s="222" t="str">
        <f>+B71</f>
        <v>Particulars</v>
      </c>
      <c r="C88" s="1218" t="str">
        <f t="shared" ref="C88:D88" si="3">+C71</f>
        <v>As at 28th February, 2019</v>
      </c>
      <c r="D88" s="1219" t="str">
        <f t="shared" si="3"/>
        <v>As at 31st December ,  2018</v>
      </c>
    </row>
    <row r="89" spans="1:7">
      <c r="B89" s="236" t="s">
        <v>1211</v>
      </c>
      <c r="C89" s="1191"/>
      <c r="D89" s="1188"/>
    </row>
    <row r="90" spans="1:7">
      <c r="B90" s="332" t="s">
        <v>1278</v>
      </c>
      <c r="C90" s="1155"/>
      <c r="D90" s="1108">
        <f>-'9N_14-21'!D46</f>
        <v>38850000</v>
      </c>
    </row>
    <row r="91" spans="1:7">
      <c r="A91" s="4">
        <v>2106601000</v>
      </c>
      <c r="B91" s="280" t="s">
        <v>846</v>
      </c>
      <c r="C91" s="1306">
        <f>ABS(IFERROR(VLOOKUP(A91,Trial!$A$2:$D$9992,3,0),0))</f>
        <v>3240000</v>
      </c>
      <c r="D91" s="1215">
        <f>ABS(IFERROR(VLOOKUP(A91,Trial!$A$2:$D$9992,4,0),0))</f>
        <v>3230000</v>
      </c>
    </row>
    <row r="92" spans="1:7">
      <c r="A92" s="4">
        <v>2106601001</v>
      </c>
      <c r="B92" s="280" t="s">
        <v>847</v>
      </c>
      <c r="C92" s="1306">
        <f>ABS(IFERROR(VLOOKUP(A92,Trial!$A$2:$D$9992,3,0),0))</f>
        <v>8819558.9600000009</v>
      </c>
      <c r="D92" s="1215">
        <f>ABS(IFERROR(VLOOKUP(A92,Trial!$A$2:$D$9992,4,0),0))</f>
        <v>9473957.9100000001</v>
      </c>
    </row>
    <row r="93" spans="1:7">
      <c r="A93" s="4">
        <v>2106501000</v>
      </c>
      <c r="B93" s="280" t="s">
        <v>1210</v>
      </c>
      <c r="C93" s="1306">
        <f>ABS(IFERROR(VLOOKUP(A93,Trial!$A$2:$D$9992,3,0),0))</f>
        <v>122211</v>
      </c>
      <c r="D93" s="1215">
        <f>ABS(IFERROR(VLOOKUP(A93,Trial!$A$2:$D$9992,4,0),0))</f>
        <v>57411</v>
      </c>
    </row>
    <row r="94" spans="1:7">
      <c r="A94" s="4">
        <v>2108600001</v>
      </c>
      <c r="B94" s="332" t="s">
        <v>1134</v>
      </c>
      <c r="C94" s="1153">
        <f>ABS(IFERROR(VLOOKUP(A94,Trial!$A$2:$D$9992,3,0),0))</f>
        <v>44914640.189999998</v>
      </c>
      <c r="D94" s="1215">
        <f>ABS(IFERROR(VLOOKUP(A94,Trial!$A$2:$D$9992,4,0),0))</f>
        <v>44914640.189999998</v>
      </c>
      <c r="E94" s="7"/>
      <c r="G94" s="7"/>
    </row>
    <row r="95" spans="1:7">
      <c r="B95" s="777"/>
      <c r="C95" s="1148">
        <f>SUM(C90:C94)</f>
        <v>57096410.149999999</v>
      </c>
      <c r="D95" s="1148">
        <f>SUM(D90:D94)</f>
        <v>96526009.099999994</v>
      </c>
    </row>
    <row r="96" spans="1:7">
      <c r="B96" s="332"/>
      <c r="C96" s="1223"/>
      <c r="D96" s="1223"/>
    </row>
    <row r="97" spans="1:6" ht="31.5">
      <c r="B97" s="222" t="str">
        <f>+B88</f>
        <v>Particulars</v>
      </c>
      <c r="C97" s="1218" t="str">
        <f t="shared" ref="C97:D97" si="4">+C88</f>
        <v>As at 28th February, 2019</v>
      </c>
      <c r="D97" s="1219" t="str">
        <f t="shared" si="4"/>
        <v>As at 31st December ,  2018</v>
      </c>
    </row>
    <row r="98" spans="1:6">
      <c r="B98" s="236" t="s">
        <v>1037</v>
      </c>
      <c r="C98" s="1108"/>
      <c r="D98" s="723"/>
    </row>
    <row r="99" spans="1:6">
      <c r="A99" s="4">
        <v>2108101000</v>
      </c>
      <c r="B99" s="280" t="s">
        <v>1392</v>
      </c>
      <c r="C99" s="1306">
        <f>ABS(IFERROR(VLOOKUP(A99,Trial!$A$2:$D$9992,3,0),0))+'3SOCI'!D28</f>
        <v>318521139.537</v>
      </c>
      <c r="D99" s="1215">
        <f>ABS(IFERROR(VLOOKUP(A99,Trial!$A$2:$D$9992,4,0),0))</f>
        <v>221601524.08000001</v>
      </c>
      <c r="F99" s="29"/>
    </row>
    <row r="100" spans="1:6">
      <c r="A100" s="4">
        <v>2107101000</v>
      </c>
      <c r="B100" s="332" t="s">
        <v>1204</v>
      </c>
      <c r="C100" s="1153">
        <f>-C60</f>
        <v>0</v>
      </c>
      <c r="D100" s="1153">
        <f>-D60</f>
        <v>1182606</v>
      </c>
      <c r="F100" s="7"/>
    </row>
    <row r="101" spans="1:6">
      <c r="B101" s="332" t="s">
        <v>1205</v>
      </c>
      <c r="C101" s="1155"/>
      <c r="D101" s="1155">
        <f>+-D63</f>
        <v>13839000</v>
      </c>
      <c r="F101" s="201"/>
    </row>
    <row r="102" spans="1:6">
      <c r="B102" s="332"/>
      <c r="C102" s="1108"/>
      <c r="D102" s="723"/>
    </row>
    <row r="103" spans="1:6">
      <c r="B103" s="280" t="s">
        <v>1038</v>
      </c>
      <c r="C103" s="1147">
        <f>ABS(IFERROR(VLOOKUP(A103,Trial!$A$2:$D$9992,3,0),0))</f>
        <v>0</v>
      </c>
      <c r="D103" s="1215">
        <f>ABS(IFERROR(VLOOKUP(A103,Trial!$A$2:$D$9992,4,0),0))</f>
        <v>0</v>
      </c>
    </row>
    <row r="104" spans="1:6">
      <c r="B104" s="777" t="s">
        <v>114</v>
      </c>
      <c r="C104" s="1148">
        <f>SUM(C99:C103)</f>
        <v>318521139.537</v>
      </c>
      <c r="D104" s="1148">
        <f>SUM(D99:D103)</f>
        <v>236623130.08000001</v>
      </c>
    </row>
    <row r="105" spans="1:6">
      <c r="B105" s="332"/>
      <c r="C105" s="1199"/>
      <c r="D105" s="1188"/>
    </row>
    <row r="106" spans="1:6" ht="31.5">
      <c r="B106" s="778" t="str">
        <f>+B97</f>
        <v>Particulars</v>
      </c>
      <c r="C106" s="1218" t="str">
        <f t="shared" ref="C106:D106" si="5">+C97</f>
        <v>As at 28th February, 2019</v>
      </c>
      <c r="D106" s="1218" t="str">
        <f t="shared" si="5"/>
        <v>As at 31st December ,  2018</v>
      </c>
    </row>
    <row r="107" spans="1:6">
      <c r="B107" s="236" t="s">
        <v>478</v>
      </c>
      <c r="C107" s="1108"/>
      <c r="D107" s="723"/>
    </row>
    <row r="108" spans="1:6">
      <c r="A108" s="4">
        <v>2104302001</v>
      </c>
      <c r="B108" s="336" t="s">
        <v>1195</v>
      </c>
      <c r="C108" s="1153">
        <f>ABS(IFERROR(VLOOKUP(A108,Trial!$A$2:$D$9992,3,0),0))</f>
        <v>73395094.829999998</v>
      </c>
      <c r="D108" s="1215">
        <f>ABS(IFERROR(VLOOKUP(A108,Trial!$A$2:$D$9992,4,0),0))</f>
        <v>94199332.450000003</v>
      </c>
    </row>
    <row r="109" spans="1:6">
      <c r="B109" s="336" t="s">
        <v>1213</v>
      </c>
      <c r="C109" s="1147">
        <f>+C110+C111</f>
        <v>14939208.880000001</v>
      </c>
      <c r="D109" s="1215">
        <f>+D110+D111</f>
        <v>16285213.510000002</v>
      </c>
    </row>
    <row r="110" spans="1:6">
      <c r="A110" s="4">
        <v>2103501000</v>
      </c>
      <c r="B110" s="280" t="s">
        <v>1212</v>
      </c>
      <c r="C110" s="1153">
        <f>ABS(IFERROR(VLOOKUP(A110,Trial!$A$2:$D$9992,3,0),0))</f>
        <v>306922.38</v>
      </c>
      <c r="D110" s="1215">
        <f>ABS(IFERROR(VLOOKUP(A110,Trial!$A$2:$D$9992,4,0),0))</f>
        <v>290802.38</v>
      </c>
    </row>
    <row r="111" spans="1:6">
      <c r="A111" s="4">
        <v>2103501001</v>
      </c>
      <c r="B111" s="280" t="s">
        <v>839</v>
      </c>
      <c r="C111" s="1162">
        <f>ABS(IFERROR(VLOOKUP(A111,Trial!$A$2:$D$9992,3,0),0))</f>
        <v>14632286.5</v>
      </c>
      <c r="D111" s="1215">
        <f>ABS(IFERROR(VLOOKUP(A111,Trial!$A$2:$D$9992,4,0),0))</f>
        <v>15994411.130000001</v>
      </c>
    </row>
    <row r="112" spans="1:6">
      <c r="B112" s="277" t="s">
        <v>1214</v>
      </c>
      <c r="C112" s="1147"/>
      <c r="D112" s="1215"/>
    </row>
    <row r="113" spans="1:5">
      <c r="A113" s="4">
        <v>2106103000</v>
      </c>
      <c r="B113" s="280" t="s">
        <v>841</v>
      </c>
      <c r="C113" s="1147">
        <f>ABS(IFERROR(VLOOKUP(A113,Trial!$A$2:$D$9992,3,0),0))</f>
        <v>0</v>
      </c>
      <c r="D113" s="1215">
        <f>ABS(IFERROR(VLOOKUP(A113,Trial!$A$2:$D$9992,4,0),0))</f>
        <v>0</v>
      </c>
    </row>
    <row r="114" spans="1:5">
      <c r="A114" s="4">
        <v>2106103001</v>
      </c>
      <c r="B114" s="280" t="s">
        <v>842</v>
      </c>
      <c r="C114" s="1162">
        <f>ABS(IFERROR(VLOOKUP(A114,Trial!$A$2:$D$9992,3,0),0))-SUM(Trial!C623:C635)</f>
        <v>-75235121.530000001</v>
      </c>
      <c r="D114" s="1215">
        <f>ABS(IFERROR(VLOOKUP(A114,Trial!$A$2:$D$9992,4,0),0))</f>
        <v>8335472.6299999999</v>
      </c>
    </row>
    <row r="115" spans="1:5">
      <c r="A115" s="4">
        <v>2106103002</v>
      </c>
      <c r="B115" s="280" t="s">
        <v>511</v>
      </c>
      <c r="C115" s="1162">
        <f>ABS(IFERROR(VLOOKUP(A115,Trial!$A$2:$D$9992,3,0),0))</f>
        <v>3048374.53</v>
      </c>
      <c r="D115" s="1215">
        <f>ABS(IFERROR(VLOOKUP(A115,Trial!$A$2:$D$9992,4,0),0))</f>
        <v>3048374.53</v>
      </c>
    </row>
    <row r="116" spans="1:5">
      <c r="A116" s="4">
        <v>2106201000</v>
      </c>
      <c r="B116" s="280" t="s">
        <v>843</v>
      </c>
      <c r="C116" s="1147">
        <f>ABS(IFERROR(VLOOKUP(A116,Trial!$A$2:$D$9992,3,0),0))</f>
        <v>52289.919999999998</v>
      </c>
      <c r="D116" s="1215">
        <f>ABS(IFERROR(VLOOKUP(A116,Trial!$A$2:$D$9992,4,0),0))</f>
        <v>0</v>
      </c>
    </row>
    <row r="117" spans="1:5">
      <c r="A117" s="4">
        <v>2106201001</v>
      </c>
      <c r="B117" s="280" t="s">
        <v>999</v>
      </c>
      <c r="C117" s="1147">
        <f>ABS(IFERROR(VLOOKUP(A117,Trial!$A$2:$D$9992,3,0),0))</f>
        <v>13166</v>
      </c>
      <c r="D117" s="1215">
        <f>ABS(IFERROR(VLOOKUP(A117,Trial!$A$2:$D$9992,4,0),0))</f>
        <v>0</v>
      </c>
    </row>
    <row r="118" spans="1:5">
      <c r="A118" s="4">
        <v>2106201002</v>
      </c>
      <c r="B118" s="280" t="s">
        <v>1000</v>
      </c>
      <c r="C118" s="1147">
        <f>ABS(IFERROR(VLOOKUP(A118,Trial!$A$2:$D$9992,3,0),0))</f>
        <v>0</v>
      </c>
      <c r="D118" s="1215">
        <f>ABS(IFERROR(VLOOKUP(A118,Trial!$A$2:$D$9992,4,0),0))</f>
        <v>0</v>
      </c>
      <c r="E118" s="7"/>
    </row>
    <row r="119" spans="1:5">
      <c r="A119" s="4">
        <v>2106201003</v>
      </c>
      <c r="B119" s="280" t="s">
        <v>1001</v>
      </c>
      <c r="C119" s="1147">
        <f>ABS(IFERROR(VLOOKUP(A119,Trial!$A$2:$D$9992,3,0),0))</f>
        <v>0</v>
      </c>
      <c r="D119" s="1215">
        <f>ABS(IFERROR(VLOOKUP(A119,Trial!$A$2:$D$9992,4,0),0))</f>
        <v>0</v>
      </c>
    </row>
    <row r="120" spans="1:5">
      <c r="A120" s="4">
        <v>2106201004</v>
      </c>
      <c r="B120" s="280" t="s">
        <v>1002</v>
      </c>
      <c r="C120" s="1147">
        <f>ABS(IFERROR(VLOOKUP(A120,Trial!$A$2:$D$9992,3,0),0))</f>
        <v>0</v>
      </c>
      <c r="D120" s="1215">
        <f>ABS(IFERROR(VLOOKUP(A120,Trial!$A$2:$D$9992,4,0),0))</f>
        <v>0</v>
      </c>
    </row>
    <row r="121" spans="1:5">
      <c r="A121" s="4">
        <v>2106201005</v>
      </c>
      <c r="B121" s="280" t="s">
        <v>1003</v>
      </c>
      <c r="C121" s="1147">
        <f>ABS(IFERROR(VLOOKUP(A121,Trial!$A$2:$D$9992,3,0),0))</f>
        <v>0</v>
      </c>
      <c r="D121" s="1215">
        <f>ABS(IFERROR(VLOOKUP(A121,Trial!$A$2:$D$9992,4,0),0))</f>
        <v>0</v>
      </c>
    </row>
    <row r="122" spans="1:5">
      <c r="A122" s="4">
        <v>2106301000</v>
      </c>
      <c r="B122" s="280" t="s">
        <v>1010</v>
      </c>
      <c r="C122" s="1147">
        <f>ABS(IFERROR(VLOOKUP(A122,Trial!$A$2:$D$9992,3,0),0))</f>
        <v>0</v>
      </c>
      <c r="D122" s="1215">
        <f>ABS(IFERROR(VLOOKUP(A122,Trial!$A$2:$D$9992,4,0),0))</f>
        <v>0</v>
      </c>
    </row>
    <row r="123" spans="1:5">
      <c r="A123" s="4">
        <v>2106301001</v>
      </c>
      <c r="B123" s="280" t="s">
        <v>561</v>
      </c>
      <c r="C123" s="1147">
        <f>ABS(IFERROR(VLOOKUP(A123,Trial!$A$2:$D$9992,3,0),0))</f>
        <v>0</v>
      </c>
      <c r="D123" s="1215">
        <f>ABS(IFERROR(VLOOKUP(A123,Trial!$A$2:$D$9992,4,0),0))</f>
        <v>0</v>
      </c>
    </row>
    <row r="124" spans="1:5">
      <c r="A124" s="4">
        <v>2106301002</v>
      </c>
      <c r="B124" s="280" t="s">
        <v>1009</v>
      </c>
      <c r="C124" s="1147">
        <f>ABS(IFERROR(VLOOKUP(A124,Trial!$A$2:$D$9992,3,0),0))</f>
        <v>0</v>
      </c>
      <c r="D124" s="1215">
        <f>ABS(IFERROR(VLOOKUP(A124,Trial!$A$2:$D$9992,4,0),0))</f>
        <v>0</v>
      </c>
    </row>
    <row r="125" spans="1:5">
      <c r="A125" s="4">
        <v>2106301003</v>
      </c>
      <c r="B125" s="280" t="s">
        <v>1004</v>
      </c>
      <c r="C125" s="1147">
        <f>ABS(IFERROR(VLOOKUP(A125,Trial!$A$2:$D$9992,3,0),0))</f>
        <v>0</v>
      </c>
      <c r="D125" s="1215">
        <f>ABS(IFERROR(VLOOKUP(A125,Trial!$A$2:$D$9992,4,0),0))</f>
        <v>0</v>
      </c>
    </row>
    <row r="126" spans="1:5">
      <c r="A126" s="4">
        <v>2106301005</v>
      </c>
      <c r="B126" s="280" t="s">
        <v>1005</v>
      </c>
      <c r="C126" s="1147">
        <f>ABS(IFERROR(VLOOKUP(A126,Trial!$A$2:$D$9992,3,0),0))</f>
        <v>0</v>
      </c>
      <c r="D126" s="1215">
        <f>ABS(IFERROR(VLOOKUP(A126,Trial!$A$2:$D$9992,4,0),0))</f>
        <v>0</v>
      </c>
    </row>
    <row r="127" spans="1:5">
      <c r="A127" s="4">
        <v>2106301006</v>
      </c>
      <c r="B127" s="280" t="s">
        <v>1013</v>
      </c>
      <c r="C127" s="1147">
        <f>ABS(IFERROR(VLOOKUP(A127,Trial!$A$2:$D$9992,3,0),0))</f>
        <v>0</v>
      </c>
      <c r="D127" s="1215">
        <f>ABS(IFERROR(VLOOKUP(A127,Trial!$A$2:$D$9992,4,0),0))</f>
        <v>0</v>
      </c>
    </row>
    <row r="128" spans="1:5">
      <c r="A128" s="4">
        <v>2106602000</v>
      </c>
      <c r="B128" s="280" t="s">
        <v>1006</v>
      </c>
      <c r="C128" s="1147">
        <f>ABS(IFERROR(VLOOKUP(A128,Trial!$A$2:$D$9992,3,0),0))</f>
        <v>0</v>
      </c>
      <c r="D128" s="1215">
        <f>ABS(IFERROR(VLOOKUP(A128,Trial!$A$2:$D$9992,4,0),0))</f>
        <v>0</v>
      </c>
    </row>
    <row r="129" spans="1:7">
      <c r="A129" s="4">
        <v>2106703000</v>
      </c>
      <c r="B129" s="280" t="s">
        <v>1007</v>
      </c>
      <c r="C129" s="1153">
        <f>ABS(IFERROR(VLOOKUP(A129,Trial!$A$2:$D$9992,3,0),0))</f>
        <v>23071613</v>
      </c>
      <c r="D129" s="1215">
        <f>ABS(IFERROR(VLOOKUP(A129,Trial!$A$2:$D$9992,4,0),0))</f>
        <v>47577716.939999998</v>
      </c>
    </row>
    <row r="130" spans="1:7">
      <c r="A130" s="4">
        <v>2103602000</v>
      </c>
      <c r="B130" s="332" t="s">
        <v>998</v>
      </c>
      <c r="C130" s="1147">
        <f>ABS(IFERROR(VLOOKUP(A130,Trial!$A$2:$D$10047,3,0),0))</f>
        <v>0</v>
      </c>
      <c r="D130" s="1173">
        <v>0</v>
      </c>
      <c r="E130" s="7"/>
      <c r="G130" s="7" t="e">
        <f>#REF!</f>
        <v>#REF!</v>
      </c>
    </row>
    <row r="131" spans="1:7">
      <c r="B131" s="332"/>
      <c r="C131" s="1156">
        <f>SUM(C113:C130)</f>
        <v>-49049678.079999998</v>
      </c>
      <c r="D131" s="1231">
        <f>SUM(D113:D130)</f>
        <v>58961564.099999994</v>
      </c>
      <c r="E131" s="7"/>
      <c r="G131" s="7"/>
    </row>
    <row r="132" spans="1:7">
      <c r="B132" s="332"/>
      <c r="C132" s="1157"/>
      <c r="D132" s="1216"/>
      <c r="E132" s="7"/>
      <c r="G132" s="7"/>
    </row>
    <row r="133" spans="1:7">
      <c r="A133" s="4">
        <v>2106703001</v>
      </c>
      <c r="B133" s="332" t="s">
        <v>1215</v>
      </c>
      <c r="C133" s="1160">
        <f>ABS(IFERROR(VLOOKUP(A133,Trial!$A$2:$D$10047,3,0),0))</f>
        <v>99285178.310000002</v>
      </c>
      <c r="D133" s="1215">
        <f>ABS(IFERROR(VLOOKUP(A133,Trial!$A$2:$D$9992,4,0),0))</f>
        <v>99285178.310000002</v>
      </c>
      <c r="E133" s="7"/>
      <c r="G133" s="7"/>
    </row>
    <row r="134" spans="1:7">
      <c r="A134" s="4">
        <v>2106301004</v>
      </c>
      <c r="B134" s="779" t="s">
        <v>844</v>
      </c>
      <c r="C134" s="1307">
        <f>ABS(IFERROR(VLOOKUP(A134,Trial!$A$2:$D$10047,3,0),0))</f>
        <v>1093251.8600000001</v>
      </c>
      <c r="D134" s="1215">
        <f>ABS(IFERROR(VLOOKUP(A134,Trial!$A$2:$D$9992,4,0),0))</f>
        <v>1446606</v>
      </c>
      <c r="E134" s="7"/>
      <c r="G134" s="7"/>
    </row>
    <row r="135" spans="1:7">
      <c r="A135" s="4">
        <v>2104101000</v>
      </c>
      <c r="B135" s="332" t="s">
        <v>1008</v>
      </c>
      <c r="C135" s="1158">
        <f>ABS(IFERROR(VLOOKUP(A135,Trial!$A$2:$D$10047,3,0),0))</f>
        <v>0</v>
      </c>
      <c r="D135" s="1173"/>
      <c r="E135" s="7"/>
      <c r="G135" s="7"/>
    </row>
    <row r="136" spans="1:7">
      <c r="B136" s="332"/>
      <c r="C136" s="1113"/>
      <c r="D136" s="723"/>
    </row>
    <row r="137" spans="1:7" ht="16.5" thickBot="1">
      <c r="B137" s="576"/>
      <c r="C137" s="1159">
        <f>C131+C133+C134+C108+C109</f>
        <v>139663055.80000001</v>
      </c>
      <c r="D137" s="1159">
        <f>D131+D133+D134+D108+D109</f>
        <v>270177894.37</v>
      </c>
    </row>
    <row r="138" spans="1:7" ht="16.5" thickTop="1">
      <c r="B138" s="1412" t="s">
        <v>1216</v>
      </c>
      <c r="C138" s="1413"/>
      <c r="D138" s="1414"/>
    </row>
    <row r="139" spans="1:7">
      <c r="C139" s="1232"/>
      <c r="D139" s="1232"/>
    </row>
    <row r="140" spans="1:7">
      <c r="C140" s="1232"/>
      <c r="D140" s="1232"/>
    </row>
    <row r="141" spans="1:7">
      <c r="B141" s="152"/>
      <c r="C141" s="155">
        <f>SUM(C110:C136)-C99</f>
        <v>-301302856.64700001</v>
      </c>
      <c r="D141" s="155">
        <f>SUM(D110:D136)-D99</f>
        <v>13338601.939999968</v>
      </c>
    </row>
    <row r="142" spans="1:7">
      <c r="B142" s="154"/>
    </row>
    <row r="147" spans="3:4">
      <c r="C147" s="155" t="e">
        <f>#REF!+C21</f>
        <v>#REF!</v>
      </c>
      <c r="D147" s="155" t="e">
        <f>#REF!+D21</f>
        <v>#REF!</v>
      </c>
    </row>
  </sheetData>
  <mergeCells count="7">
    <mergeCell ref="B37:D37"/>
    <mergeCell ref="B138:D138"/>
    <mergeCell ref="B1:D1"/>
    <mergeCell ref="B2:D2"/>
    <mergeCell ref="B16:D16"/>
    <mergeCell ref="B17:D17"/>
    <mergeCell ref="B33:D33"/>
  </mergeCells>
  <printOptions horizontalCentered="1"/>
  <pageMargins left="0.21" right="0.27559055118110237" top="0.55118110236220474" bottom="0.19685039370078741" header="3.937007874015748E-2" footer="3.937007874015748E-2"/>
  <pageSetup paperSize="9" scale="84" fitToWidth="0" fitToHeight="0" orientation="portrait" r:id="rId1"/>
  <rowBreaks count="1" manualBreakCount="1">
    <brk id="66" max="3" man="1"/>
  </rowBreaks>
  <colBreaks count="1" manualBreakCount="1">
    <brk id="4" max="1048575" man="1"/>
  </colBreaks>
  <ignoredErrors>
    <ignoredError sqref="C11 C110:D110 D114 C112:D113 D111 D109" formula="1"/>
  </ignoredErrors>
  <legacyDrawing r:id="rId2"/>
</worksheet>
</file>

<file path=xl/worksheets/sheet11.xml><?xml version="1.0" encoding="utf-8"?>
<worksheet xmlns="http://schemas.openxmlformats.org/spreadsheetml/2006/main" xmlns:r="http://schemas.openxmlformats.org/officeDocument/2006/relationships">
  <sheetPr enableFormatConditionsCalculation="0">
    <tabColor rgb="FF00B050"/>
  </sheetPr>
  <dimension ref="A1:G281"/>
  <sheetViews>
    <sheetView showGridLines="0" topLeftCell="A154" zoomScale="90" zoomScaleNormal="90" zoomScaleSheetLayoutView="90" zoomScalePageLayoutView="90" workbookViewId="0">
      <selection activeCell="F173" sqref="F173"/>
    </sheetView>
  </sheetViews>
  <sheetFormatPr defaultColWidth="9.140625" defaultRowHeight="15.75"/>
  <cols>
    <col min="1" max="1" width="13.28515625" style="130" bestFit="1" customWidth="1"/>
    <col min="2" max="2" width="3.28515625" style="129" bestFit="1" customWidth="1"/>
    <col min="3" max="3" width="11.28515625" style="129" customWidth="1"/>
    <col min="4" max="4" width="42.85546875" style="129" bestFit="1" customWidth="1"/>
    <col min="5" max="5" width="25.28515625" style="1296" customWidth="1"/>
    <col min="6" max="6" width="25" style="1296" customWidth="1"/>
    <col min="7" max="7" width="17.7109375" style="129" bestFit="1" customWidth="1"/>
    <col min="8" max="8" width="15.85546875" style="129" bestFit="1" customWidth="1"/>
    <col min="9" max="16384" width="9.140625" style="129"/>
  </cols>
  <sheetData>
    <row r="1" spans="1:6" ht="16.5">
      <c r="B1" s="364"/>
      <c r="C1" s="1324" t="str">
        <f>'2SFP'!B1</f>
        <v>BHUTAN TELECOM LIMITED</v>
      </c>
      <c r="D1" s="1325"/>
      <c r="E1" s="1325"/>
      <c r="F1" s="1326"/>
    </row>
    <row r="2" spans="1:6" ht="16.5">
      <c r="B2" s="364"/>
      <c r="C2" s="1366" t="s">
        <v>1052</v>
      </c>
      <c r="D2" s="1367"/>
      <c r="E2" s="1367"/>
      <c r="F2" s="1368"/>
    </row>
    <row r="3" spans="1:6" ht="16.5">
      <c r="B3" s="364"/>
      <c r="C3" s="520"/>
      <c r="D3" s="365"/>
      <c r="E3" s="1267"/>
      <c r="F3" s="1268" t="str">
        <f>'2SFP'!E3</f>
        <v>Amount in Nu.</v>
      </c>
    </row>
    <row r="4" spans="1:6" ht="16.5">
      <c r="B4" s="366"/>
      <c r="C4" s="366"/>
      <c r="D4" s="367"/>
      <c r="E4" s="1269"/>
      <c r="F4" s="1270"/>
    </row>
    <row r="5" spans="1:6" ht="16.5">
      <c r="C5" s="365"/>
      <c r="D5" s="564"/>
      <c r="E5" s="1267"/>
      <c r="F5" s="1271"/>
    </row>
    <row r="6" spans="1:6" s="133" customFormat="1" ht="31.5">
      <c r="A6" s="132"/>
      <c r="B6" s="368"/>
      <c r="C6" s="1411" t="str">
        <f>'2SFP'!B4</f>
        <v>Particulars</v>
      </c>
      <c r="D6" s="1411"/>
      <c r="E6" s="1218" t="str">
        <f>'2SFP'!D4</f>
        <v>As at 28th February, 2019</v>
      </c>
      <c r="F6" s="1218" t="str">
        <f>'3SOCI'!E4</f>
        <v>As at 31st December, 2018</v>
      </c>
    </row>
    <row r="7" spans="1:6" s="565" customFormat="1" ht="16.5">
      <c r="A7" s="132"/>
      <c r="B7" s="368"/>
      <c r="C7" s="236" t="s">
        <v>1407</v>
      </c>
      <c r="D7" s="567" t="s">
        <v>1408</v>
      </c>
      <c r="E7" s="1272"/>
      <c r="F7" s="1075"/>
    </row>
    <row r="8" spans="1:6">
      <c r="B8" s="365"/>
      <c r="C8" s="518"/>
      <c r="D8" s="567" t="s">
        <v>1097</v>
      </c>
      <c r="E8" s="723"/>
      <c r="F8" s="723"/>
    </row>
    <row r="9" spans="1:6">
      <c r="A9" s="131">
        <v>4101102000</v>
      </c>
      <c r="B9" s="134"/>
      <c r="C9" s="134"/>
      <c r="D9" s="131" t="str">
        <f>VLOOKUP(A9,Trial!A:B,2,0)</f>
        <v>Telephone Service</v>
      </c>
      <c r="E9" s="128">
        <f>ABS(IFERROR(VLOOKUP(A9,Trial!A:C,3,0),0))</f>
        <v>12272156.23</v>
      </c>
      <c r="F9" s="128">
        <f>ABS(IFERROR(VLOOKUP(A9,Trial_Balance,4,0),0))</f>
        <v>13768576.130000001</v>
      </c>
    </row>
    <row r="10" spans="1:6">
      <c r="A10" s="131">
        <v>4101101000</v>
      </c>
      <c r="B10" s="134"/>
      <c r="C10" s="134"/>
      <c r="D10" s="131" t="str">
        <f>VLOOKUP(A10,Trial!A:B,2,0)</f>
        <v>International ISD</v>
      </c>
      <c r="E10" s="128">
        <f>ABS(IFERROR(VLOOKUP(A10,Trial!A:C,3,0),0))</f>
        <v>1214074.96</v>
      </c>
      <c r="F10" s="128">
        <f>ABS(IFERROR(VLOOKUP(A10,Trial_Balance,4,0),0))</f>
        <v>1227251.45</v>
      </c>
    </row>
    <row r="11" spans="1:6">
      <c r="B11" s="365"/>
      <c r="C11" s="518"/>
      <c r="D11" s="568" t="s">
        <v>1110</v>
      </c>
      <c r="E11" s="723">
        <f>SUM(E9:E10)</f>
        <v>13486231.190000001</v>
      </c>
      <c r="F11" s="723">
        <f>SUM(F9:F10)</f>
        <v>14995827.58</v>
      </c>
    </row>
    <row r="12" spans="1:6">
      <c r="A12" s="131">
        <v>4101104001</v>
      </c>
      <c r="B12" s="134"/>
      <c r="C12" s="134"/>
      <c r="D12" s="131" t="str">
        <f>VLOOKUP(A12,Trial!A:B,2,0)</f>
        <v>Mobile - Prepaid Recharge Cards</v>
      </c>
      <c r="E12" s="128">
        <f>ABS(IFERROR(VLOOKUP(A12,Trial!A:C,3,0),0))</f>
        <v>218819946.30000001</v>
      </c>
      <c r="F12" s="128">
        <f t="shared" ref="F12:F22" si="0">ABS(IFERROR(VLOOKUP(A12,Trial_Balance,4,0),0))</f>
        <v>160598895.49000001</v>
      </c>
    </row>
    <row r="13" spans="1:6">
      <c r="A13" s="131">
        <v>4101104002</v>
      </c>
      <c r="B13" s="134"/>
      <c r="C13" s="134"/>
      <c r="D13" s="131" t="str">
        <f>VLOOKUP(A13,Trial!A:B,2,0)</f>
        <v>Mobile - Postpaid Services</v>
      </c>
      <c r="E13" s="128">
        <f>ABS(IFERROR(VLOOKUP(A13,Trial!A:C,3,0),0))</f>
        <v>25217734.120000001</v>
      </c>
      <c r="F13" s="128">
        <f t="shared" si="0"/>
        <v>27638836.129999999</v>
      </c>
    </row>
    <row r="14" spans="1:6">
      <c r="A14" s="131">
        <v>4101104003</v>
      </c>
      <c r="B14" s="134"/>
      <c r="C14" s="134"/>
      <c r="D14" s="131" t="str">
        <f>VLOOKUP(A14,Trial!A:B,2,0)</f>
        <v>Eload - Mobile</v>
      </c>
      <c r="E14" s="128">
        <f>ABS(IFERROR(VLOOKUP(A14,Trial!A:C,3,0),0))</f>
        <v>104263790.09999999</v>
      </c>
      <c r="F14" s="128">
        <f t="shared" si="0"/>
        <v>135154159.30000001</v>
      </c>
    </row>
    <row r="15" spans="1:6">
      <c r="A15" s="131">
        <v>4101104004</v>
      </c>
      <c r="B15" s="134"/>
      <c r="C15" s="134"/>
      <c r="D15" s="131" t="str">
        <f>VLOOKUP(A15,Trial!A:B,2,0)</f>
        <v>Income from IN and VAS</v>
      </c>
      <c r="E15" s="128">
        <f>ABS(IFERROR(VLOOKUP(A15,Trial!A:C,3,0),0))</f>
        <v>710320.66</v>
      </c>
      <c r="F15" s="128">
        <f t="shared" si="0"/>
        <v>758200.98</v>
      </c>
    </row>
    <row r="16" spans="1:6">
      <c r="A16" s="131">
        <v>4101104007</v>
      </c>
      <c r="B16" s="134"/>
      <c r="C16" s="134"/>
      <c r="D16" s="131" t="str">
        <f>VLOOKUP(A16,Trial!A:B,2,0)</f>
        <v>Income from Online Applications</v>
      </c>
      <c r="E16" s="128">
        <f>ABS(IFERROR(VLOOKUP(A16,Trial!A:C,3,0),0))</f>
        <v>177269378.81999999</v>
      </c>
      <c r="F16" s="128">
        <f t="shared" si="0"/>
        <v>131768316.89</v>
      </c>
    </row>
    <row r="17" spans="1:6">
      <c r="A17" s="131">
        <v>4101105013</v>
      </c>
      <c r="B17" s="134"/>
      <c r="C17" s="134"/>
      <c r="D17" s="131" t="str">
        <f>VLOOKUP(A17,Trial!A:B,2,0)</f>
        <v>Income from Interconnect</v>
      </c>
      <c r="E17" s="128">
        <f>ABS(IFERROR(VLOOKUP(A17,Trial!A:C,3,0),0))</f>
        <v>7003360.2699999996</v>
      </c>
      <c r="F17" s="128">
        <f t="shared" si="0"/>
        <v>15518090.67</v>
      </c>
    </row>
    <row r="18" spans="1:6">
      <c r="A18" s="131">
        <v>4101108001</v>
      </c>
      <c r="B18" s="134"/>
      <c r="C18" s="134"/>
      <c r="D18" s="131" t="str">
        <f>VLOOKUP(A18,Trial!A:B,2,0)</f>
        <v>Commission income from online mobile apps</v>
      </c>
      <c r="E18" s="128">
        <f>ABS(IFERROR(VLOOKUP(A18,Trial!A:C,3,0),0))</f>
        <v>164598</v>
      </c>
      <c r="F18" s="128">
        <f t="shared" si="0"/>
        <v>327369</v>
      </c>
    </row>
    <row r="19" spans="1:6">
      <c r="A19" s="131">
        <v>4101103000</v>
      </c>
      <c r="B19" s="134"/>
      <c r="C19" s="134"/>
      <c r="D19" s="131" t="str">
        <f>VLOOKUP(A19,Trial!A:B,2,0)</f>
        <v>Income from International Roaming</v>
      </c>
      <c r="E19" s="128">
        <f>ABS(IFERROR(VLOOKUP(A19,Trial!A:C,3,0),0))</f>
        <v>0</v>
      </c>
      <c r="F19" s="128">
        <f t="shared" si="0"/>
        <v>2336738.88</v>
      </c>
    </row>
    <row r="20" spans="1:6">
      <c r="A20" s="131">
        <v>4101103001</v>
      </c>
      <c r="B20" s="134"/>
      <c r="C20" s="134"/>
      <c r="D20" s="131" t="str">
        <f>VLOOKUP(A20,Trial!A:B,2,0)</f>
        <v>Income from IN &amp; VAS-INTERNATIONAL</v>
      </c>
      <c r="E20" s="128">
        <f>ABS(IFERROR(VLOOKUP(A20,Trial!A:C,3,0),0))</f>
        <v>510506.64</v>
      </c>
      <c r="F20" s="128">
        <f t="shared" si="0"/>
        <v>317724</v>
      </c>
    </row>
    <row r="21" spans="1:6">
      <c r="A21" s="131">
        <v>4101104000</v>
      </c>
      <c r="B21" s="134"/>
      <c r="C21" s="134"/>
      <c r="D21" s="131" t="str">
        <f>VLOOKUP(A21,Trial!A:B,2,0)</f>
        <v>Mobile -  Sim Cards</v>
      </c>
      <c r="E21" s="128">
        <f>ABS(IFERROR(VLOOKUP(A21,Trial!A:C,3,0),0))</f>
        <v>2762650</v>
      </c>
      <c r="F21" s="128">
        <f t="shared" si="0"/>
        <v>2041000</v>
      </c>
    </row>
    <row r="22" spans="1:6">
      <c r="A22" s="131">
        <v>4102110007</v>
      </c>
      <c r="B22" s="134"/>
      <c r="C22" s="134"/>
      <c r="D22" s="131" t="str">
        <f>VLOOKUP(A22,Trial!A:B,2,0)</f>
        <v>Income from MFS (Paku)</v>
      </c>
      <c r="E22" s="128">
        <f>ABS(IFERROR(VLOOKUP(A22,Trial!A:C,3,0),0))</f>
        <v>62544</v>
      </c>
      <c r="F22" s="128">
        <f t="shared" si="0"/>
        <v>0</v>
      </c>
    </row>
    <row r="23" spans="1:6">
      <c r="A23" s="131"/>
      <c r="B23" s="369"/>
      <c r="C23" s="563"/>
      <c r="D23" s="569" t="s">
        <v>1111</v>
      </c>
      <c r="E23" s="1215">
        <f>SUM(E12:E22)</f>
        <v>536784828.90999997</v>
      </c>
      <c r="F23" s="1215">
        <f>SUM(F12:F22)</f>
        <v>476459331.34000003</v>
      </c>
    </row>
    <row r="24" spans="1:6">
      <c r="A24" s="131">
        <v>4101105000</v>
      </c>
      <c r="B24" s="134"/>
      <c r="C24" s="134"/>
      <c r="D24" s="131" t="str">
        <f>VLOOKUP(A24,Trial!A:B,2,0)</f>
        <v>Broadband - Postpaid</v>
      </c>
      <c r="E24" s="128">
        <f>ABS(IFERROR(VLOOKUP(A24,Trial!A:C,3,0),0))</f>
        <v>3004865.73</v>
      </c>
      <c r="F24" s="128">
        <f t="shared" ref="F24:F34" si="1">ABS(IFERROR(VLOOKUP(A24,Trial_Balance,4,0),0))</f>
        <v>8667026.3499999996</v>
      </c>
    </row>
    <row r="25" spans="1:6">
      <c r="A25" s="131">
        <v>4101105001</v>
      </c>
      <c r="B25" s="134"/>
      <c r="C25" s="134"/>
      <c r="D25" s="131" t="str">
        <f>VLOOKUP(A25,Trial!A:B,2,0)</f>
        <v>Broadband - Prepaid</v>
      </c>
      <c r="E25" s="128">
        <f>ABS(IFERROR(VLOOKUP(A25,Trial!A:C,3,0),0))</f>
        <v>11688697.689999999</v>
      </c>
      <c r="F25" s="128">
        <f t="shared" si="1"/>
        <v>8740472.5500000007</v>
      </c>
    </row>
    <row r="26" spans="1:6">
      <c r="A26" s="131">
        <v>4101105002</v>
      </c>
      <c r="B26" s="134"/>
      <c r="C26" s="134"/>
      <c r="D26" s="131" t="str">
        <f>VLOOKUP(A26,Trial!A:B,2,0)</f>
        <v>Internet Leaseline</v>
      </c>
      <c r="E26" s="128">
        <f>ABS(IFERROR(VLOOKUP(A26,Trial!A:C,3,0),0))</f>
        <v>43902247.109999999</v>
      </c>
      <c r="F26" s="128">
        <f t="shared" si="1"/>
        <v>52748536.859999999</v>
      </c>
    </row>
    <row r="27" spans="1:6">
      <c r="A27" s="131">
        <v>4101105003</v>
      </c>
      <c r="B27" s="134"/>
      <c r="C27" s="134"/>
      <c r="D27" s="131" t="str">
        <f>VLOOKUP(A27,Trial!A:B,2,0)</f>
        <v>Income from Domain Name Registration</v>
      </c>
      <c r="E27" s="128">
        <f>ABS(IFERROR(VLOOKUP(A27,Trial!A:C,3,0),0))</f>
        <v>390406.65</v>
      </c>
      <c r="F27" s="128">
        <f t="shared" si="1"/>
        <v>347548</v>
      </c>
    </row>
    <row r="28" spans="1:6">
      <c r="A28" s="131">
        <v>4101105004</v>
      </c>
      <c r="B28" s="134"/>
      <c r="C28" s="134"/>
      <c r="D28" s="131" t="str">
        <f>VLOOKUP(A28,Trial!A:B,2,0)</f>
        <v>Income from IPLC - National</v>
      </c>
      <c r="E28" s="128">
        <f>ABS(IFERROR(VLOOKUP(A28,Trial!A:C,3,0),0))</f>
        <v>0</v>
      </c>
      <c r="F28" s="128">
        <f t="shared" si="1"/>
        <v>196908</v>
      </c>
    </row>
    <row r="29" spans="1:6">
      <c r="A29" s="131">
        <v>4101105006</v>
      </c>
      <c r="B29" s="134"/>
      <c r="C29" s="134"/>
      <c r="D29" s="131" t="str">
        <f>VLOOKUP(A29,Trial!A:B,2,0)</f>
        <v>DHI Intra Company Revenue</v>
      </c>
      <c r="E29" s="128">
        <f>ABS(IFERROR(VLOOKUP(A29,Trial!A:C,3,0),0))</f>
        <v>0</v>
      </c>
      <c r="F29" s="128">
        <f t="shared" si="1"/>
        <v>0</v>
      </c>
    </row>
    <row r="30" spans="1:6">
      <c r="A30" s="131">
        <v>4101106000</v>
      </c>
      <c r="B30" s="134"/>
      <c r="C30" s="134"/>
      <c r="D30" s="131" t="str">
        <f>VLOOKUP(A30,Trial!A:B,2,0)</f>
        <v>Income from IPLC - International</v>
      </c>
      <c r="E30" s="128">
        <f>ABS(IFERROR(VLOOKUP(A30,Trial!A:C,3,0),0))</f>
        <v>0</v>
      </c>
      <c r="F30" s="128">
        <f t="shared" si="1"/>
        <v>584320.23</v>
      </c>
    </row>
    <row r="31" spans="1:6">
      <c r="A31" s="131">
        <v>4101106001</v>
      </c>
      <c r="B31" s="134"/>
      <c r="C31" s="134"/>
      <c r="D31" s="131" t="str">
        <f>VLOOKUP(A31,Trial!A:B,2,0)</f>
        <v>Income from Domain Name - International</v>
      </c>
      <c r="E31" s="128">
        <f>ABS(IFERROR(VLOOKUP(A31,Trial!A:C,3,0),0))</f>
        <v>60227.839999999997</v>
      </c>
      <c r="F31" s="128">
        <f t="shared" si="1"/>
        <v>144976.94</v>
      </c>
    </row>
    <row r="32" spans="1:6">
      <c r="A32" s="131">
        <v>4101106002</v>
      </c>
      <c r="B32" s="134"/>
      <c r="C32" s="134"/>
      <c r="D32" s="131" t="str">
        <f>VLOOKUP(A32,Trial!A:B,2,0)</f>
        <v>Income from Leaseline - International</v>
      </c>
      <c r="E32" s="128">
        <f>ABS(IFERROR(VLOOKUP(A32,Trial!A:C,3,0),0))</f>
        <v>0</v>
      </c>
      <c r="F32" s="128">
        <f t="shared" si="1"/>
        <v>56500.7</v>
      </c>
    </row>
    <row r="33" spans="1:6">
      <c r="A33" s="131">
        <v>4101105008</v>
      </c>
      <c r="B33" s="134"/>
      <c r="C33" s="134"/>
      <c r="D33" s="131" t="str">
        <f>VLOOKUP(A33,Trial!A:B,2,0)</f>
        <v>Broadband - Recharge Card</v>
      </c>
      <c r="E33" s="128">
        <f>ABS(IFERROR(VLOOKUP(A33,Trial!A:C,3,0),0))</f>
        <v>897183.8</v>
      </c>
      <c r="F33" s="128">
        <f t="shared" si="1"/>
        <v>1308268.75</v>
      </c>
    </row>
    <row r="34" spans="1:6">
      <c r="A34" s="131">
        <v>4101105009</v>
      </c>
      <c r="B34" s="134"/>
      <c r="C34" s="134"/>
      <c r="D34" s="131" t="str">
        <f>VLOOKUP(A34,Trial!A:B,2,0)</f>
        <v>Eload - Broadband</v>
      </c>
      <c r="E34" s="128">
        <f>ABS(IFERROR(VLOOKUP(A34,Trial!A:C,3,0),0))</f>
        <v>95</v>
      </c>
      <c r="F34" s="128">
        <f t="shared" si="1"/>
        <v>3363</v>
      </c>
    </row>
    <row r="35" spans="1:6">
      <c r="A35" s="131"/>
      <c r="B35" s="369"/>
      <c r="C35" s="563"/>
      <c r="D35" s="569" t="s">
        <v>1112</v>
      </c>
      <c r="E35" s="1215">
        <f>SUM(E24:E34)</f>
        <v>59943723.82</v>
      </c>
      <c r="F35" s="1215">
        <f>SUM(F24:F34)</f>
        <v>72797921.379999995</v>
      </c>
    </row>
    <row r="36" spans="1:6">
      <c r="A36" s="131">
        <v>4101105011</v>
      </c>
      <c r="B36" s="134"/>
      <c r="C36" s="134"/>
      <c r="D36" s="131" t="str">
        <f>VLOOKUP(A36,Trial!A:B,2,0)</f>
        <v>Contact Center Revenue</v>
      </c>
      <c r="E36" s="128">
        <f>ABS(IFERROR(VLOOKUP(A36,Trial!A:C,3,0),0))</f>
        <v>1091397.67</v>
      </c>
      <c r="F36" s="128">
        <f>ABS(IFERROR(VLOOKUP(A36,Trial_Balance,4,0),0))</f>
        <v>1172169.96</v>
      </c>
    </row>
    <row r="37" spans="1:6">
      <c r="A37" s="1102">
        <v>4101105012</v>
      </c>
      <c r="B37" s="134"/>
      <c r="C37" s="134"/>
      <c r="D37" s="131" t="str">
        <f>VLOOKUP(A37,Trial!A:B,2,0)</f>
        <v>Income from Cloud Service</v>
      </c>
      <c r="E37" s="128">
        <f>ABS(IFERROR(VLOOKUP(A37,Trial!A:C,3,0),0))</f>
        <v>0</v>
      </c>
      <c r="F37" s="128">
        <f>ABS(IFERROR(VLOOKUP(A37,Trial_Balance,4,0),0))</f>
        <v>0</v>
      </c>
    </row>
    <row r="38" spans="1:6">
      <c r="A38" s="131">
        <v>4101105014</v>
      </c>
      <c r="B38" s="134"/>
      <c r="C38" s="134"/>
      <c r="D38" s="131" t="str">
        <f>VLOOKUP(A38,Trial!A:B,2,0)</f>
        <v>Income from Data Center</v>
      </c>
      <c r="E38" s="128">
        <f>ABS(IFERROR(VLOOKUP(A38,Trial!A:C,3,0),0))</f>
        <v>1534180.83</v>
      </c>
      <c r="F38" s="128">
        <f>ABS(IFERROR(VLOOKUP(A38,Trial_Balance,4,0),0))</f>
        <v>4419916.3600000003</v>
      </c>
    </row>
    <row r="39" spans="1:6">
      <c r="A39" s="131">
        <v>4101105015</v>
      </c>
      <c r="B39" s="134"/>
      <c r="C39" s="134"/>
      <c r="D39" s="131" t="str">
        <f>VLOOKUP(A39,Trial!A:B,2,0)</f>
        <v>Income from ERP Service</v>
      </c>
      <c r="E39" s="128">
        <f>ABS(IFERROR(VLOOKUP(A39,Trial!A:C,3,0),0))</f>
        <v>400000</v>
      </c>
      <c r="F39" s="128">
        <f>ABS(IFERROR(VLOOKUP(A39,Trial_Balance,4,0),0))</f>
        <v>0</v>
      </c>
    </row>
    <row r="40" spans="1:6">
      <c r="A40" s="131">
        <v>4102105000</v>
      </c>
      <c r="B40" s="134"/>
      <c r="C40" s="134"/>
      <c r="D40" s="131" t="str">
        <f>VLOOKUP(A40,Trial!A:B,2,0)</f>
        <v>Income from Thuraya Services</v>
      </c>
      <c r="E40" s="128">
        <f>ABS(IFERROR(VLOOKUP(A40,Trial!A:C,3,0),0))</f>
        <v>133581.51999999999</v>
      </c>
      <c r="F40" s="128">
        <f>ABS(IFERROR(VLOOKUP(A40,Trial_Balance,4,0),0))</f>
        <v>197275.62</v>
      </c>
    </row>
    <row r="41" spans="1:6">
      <c r="A41" s="131"/>
      <c r="B41" s="369"/>
      <c r="C41" s="563"/>
      <c r="D41" s="569" t="s">
        <v>1113</v>
      </c>
      <c r="E41" s="1215">
        <f>SUM(E36:E40)</f>
        <v>3159160.02</v>
      </c>
      <c r="F41" s="1215">
        <f>SUM(F36:F40)</f>
        <v>5789361.9400000004</v>
      </c>
    </row>
    <row r="42" spans="1:6">
      <c r="A42" s="131"/>
      <c r="B42" s="369"/>
      <c r="C42" s="563"/>
      <c r="D42" s="570"/>
      <c r="E42" s="1273">
        <f>SUM(E41,E35,E23,E11)</f>
        <v>613373943.94000006</v>
      </c>
      <c r="F42" s="1273">
        <f>SUM(F41,F35,F23,F11)</f>
        <v>570042442.24000013</v>
      </c>
    </row>
    <row r="43" spans="1:6">
      <c r="A43" s="131"/>
      <c r="B43" s="134"/>
      <c r="C43" s="134"/>
      <c r="D43" s="131"/>
      <c r="E43" s="137">
        <f>+E42</f>
        <v>613373943.94000006</v>
      </c>
      <c r="F43" s="137">
        <f>+F42</f>
        <v>570042442.24000013</v>
      </c>
    </row>
    <row r="44" spans="1:6">
      <c r="A44" s="131"/>
      <c r="B44" s="369"/>
      <c r="C44" s="563"/>
      <c r="D44" s="571" t="s">
        <v>1098</v>
      </c>
      <c r="E44" s="1215"/>
      <c r="F44" s="1215"/>
    </row>
    <row r="45" spans="1:6">
      <c r="A45" s="131">
        <v>4101102001</v>
      </c>
      <c r="B45" s="134"/>
      <c r="C45" s="134"/>
      <c r="D45" s="131" t="str">
        <f>VLOOKUP(A45,Trial!A:B,2,0)</f>
        <v>Miscellaneous Income - Fixed Line</v>
      </c>
      <c r="E45" s="128">
        <f>ABS(IFERROR(VLOOKUP(A45,Trial!A:C,3,0),0))</f>
        <v>187367</v>
      </c>
      <c r="F45" s="128">
        <f t="shared" ref="F45:F50" si="2">ABS(IFERROR(VLOOKUP(A45,Trial_Balance,4,0),0))</f>
        <v>232110</v>
      </c>
    </row>
    <row r="46" spans="1:6">
      <c r="A46" s="131">
        <v>4101104005</v>
      </c>
      <c r="B46" s="134"/>
      <c r="C46" s="134"/>
      <c r="D46" s="131" t="str">
        <f>VLOOKUP(A46,Trial!A:B,2,0)</f>
        <v>Miscellaneous Income - Mobile</v>
      </c>
      <c r="E46" s="128">
        <f>ABS(IFERROR(VLOOKUP(A46,Trial!A:C,3,0),0))</f>
        <v>10454.6</v>
      </c>
      <c r="F46" s="128">
        <f t="shared" si="2"/>
        <v>171383.5</v>
      </c>
    </row>
    <row r="47" spans="1:6">
      <c r="A47" s="131">
        <v>4101104006</v>
      </c>
      <c r="B47" s="134"/>
      <c r="C47" s="134"/>
      <c r="D47" s="131" t="str">
        <f>VLOOKUP(A47,Trial!A:B,2,0)</f>
        <v>Sale of Mobile Data Card</v>
      </c>
      <c r="E47" s="128">
        <f>ABS(IFERROR(VLOOKUP(A47,Trial!A:C,3,0),0))</f>
        <v>256550</v>
      </c>
      <c r="F47" s="128">
        <f t="shared" si="2"/>
        <v>95100</v>
      </c>
    </row>
    <row r="48" spans="1:6">
      <c r="A48" s="131">
        <v>4101105007</v>
      </c>
      <c r="B48" s="134"/>
      <c r="C48" s="134"/>
      <c r="D48" s="131" t="str">
        <f>VLOOKUP(A48,Trial!A:B,2,0)</f>
        <v>Sale of Internet Modem</v>
      </c>
      <c r="E48" s="128">
        <f>ABS(IFERROR(VLOOKUP(A48,Trial!A:C,3,0),0))</f>
        <v>176110</v>
      </c>
      <c r="F48" s="128">
        <f t="shared" si="2"/>
        <v>203705</v>
      </c>
    </row>
    <row r="49" spans="1:6">
      <c r="A49" s="131">
        <v>4101105005</v>
      </c>
      <c r="B49" s="134"/>
      <c r="C49" s="134"/>
      <c r="D49" s="131" t="str">
        <f>VLOOKUP(A49,Trial!A:B,2,0)</f>
        <v>Miscellaneous Income - Druknet</v>
      </c>
      <c r="E49" s="128">
        <f>ABS(IFERROR(VLOOKUP(A49,Trial!A:C,3,0),0))</f>
        <v>163106.41</v>
      </c>
      <c r="F49" s="128">
        <f t="shared" si="2"/>
        <v>174670.02</v>
      </c>
    </row>
    <row r="50" spans="1:6">
      <c r="A50" s="131">
        <v>4102105002</v>
      </c>
      <c r="B50" s="134"/>
      <c r="C50" s="134"/>
      <c r="D50" s="131" t="str">
        <f>VLOOKUP(A50,Trial!A:B,2,0)</f>
        <v>Income from sale of CPE and Equipments</v>
      </c>
      <c r="E50" s="128">
        <f>ABS(IFERROR(VLOOKUP(A50,Trial!A:C,3,0),0))</f>
        <v>397095.6</v>
      </c>
      <c r="F50" s="128">
        <f t="shared" si="2"/>
        <v>0</v>
      </c>
    </row>
    <row r="51" spans="1:6">
      <c r="A51" s="131"/>
      <c r="B51" s="369"/>
      <c r="C51" s="563"/>
      <c r="D51" s="569" t="s">
        <v>1114</v>
      </c>
      <c r="E51" s="1215">
        <f>SUM(E45:E50)</f>
        <v>1190683.6099999999</v>
      </c>
      <c r="F51" s="1215">
        <f>SUM(F45:F50)</f>
        <v>876968.52</v>
      </c>
    </row>
    <row r="52" spans="1:6">
      <c r="A52" s="131">
        <v>4102103003</v>
      </c>
      <c r="B52" s="134"/>
      <c r="C52" s="134"/>
      <c r="D52" s="131" t="str">
        <f>VLOOKUP(A52,Trial!A:B,2,0)</f>
        <v>Income from One Stop Shop (BT Shop)</v>
      </c>
      <c r="E52" s="128">
        <f>ABS(IFERROR(VLOOKUP(A52,Trial!A:C,3,0),0))</f>
        <v>8341</v>
      </c>
      <c r="F52" s="128">
        <f>ABS(IFERROR(VLOOKUP(A52,Trial_Balance,4,0),0))</f>
        <v>5581</v>
      </c>
    </row>
    <row r="53" spans="1:6">
      <c r="A53" s="131">
        <v>4102103002</v>
      </c>
      <c r="B53" s="134"/>
      <c r="C53" s="134"/>
      <c r="D53" s="131" t="str">
        <f>VLOOKUP(A53,Trial!A:B,2,0)</f>
        <v>Income from BSecure</v>
      </c>
      <c r="E53" s="128">
        <f>ABS(IFERROR(VLOOKUP(A53,Trial!A:C,3,0),0))</f>
        <v>12550</v>
      </c>
      <c r="F53" s="128">
        <f>ABS(IFERROR(VLOOKUP(A53,Trial_Balance,4,0),0))</f>
        <v>1136454</v>
      </c>
    </row>
    <row r="54" spans="1:6" ht="16.5">
      <c r="A54" s="131"/>
      <c r="B54" s="370"/>
      <c r="C54" s="566"/>
      <c r="D54" s="569" t="s">
        <v>1115</v>
      </c>
      <c r="E54" s="1215">
        <f>SUM(E52:E53)</f>
        <v>20891</v>
      </c>
      <c r="F54" s="1215">
        <f>SUM(F52:F53)</f>
        <v>1142035</v>
      </c>
    </row>
    <row r="55" spans="1:6" ht="16.5">
      <c r="A55" s="131"/>
      <c r="B55" s="370"/>
      <c r="C55" s="566"/>
      <c r="D55" s="569"/>
      <c r="E55" s="1231">
        <f>SUBTOTAL(9,E54,E51)</f>
        <v>1211574.6099999999</v>
      </c>
      <c r="F55" s="1231">
        <f>SUBTOTAL(9,F54,F51)</f>
        <v>2019003.52</v>
      </c>
    </row>
    <row r="56" spans="1:6" ht="16.5">
      <c r="B56" s="364"/>
      <c r="C56" s="574"/>
      <c r="D56" s="575" t="s">
        <v>114</v>
      </c>
      <c r="E56" s="1273">
        <f>+E42+E55</f>
        <v>614585518.55000007</v>
      </c>
      <c r="F56" s="1273">
        <f>+F42+F55</f>
        <v>572061445.76000011</v>
      </c>
    </row>
    <row r="57" spans="1:6" ht="16.5">
      <c r="B57" s="364"/>
      <c r="C57" s="520"/>
      <c r="D57" s="371"/>
      <c r="E57" s="1274"/>
      <c r="F57" s="1216"/>
    </row>
    <row r="58" spans="1:6" ht="16.5">
      <c r="B58" s="364"/>
      <c r="C58" s="577"/>
      <c r="D58" s="579" t="s">
        <v>1217</v>
      </c>
      <c r="E58" s="1156"/>
      <c r="F58" s="1231"/>
    </row>
    <row r="59" spans="1:6" ht="16.5">
      <c r="B59" s="364"/>
      <c r="C59" s="520"/>
      <c r="D59" s="246" t="s">
        <v>1218</v>
      </c>
      <c r="E59" s="1157">
        <f>+E56-E60</f>
        <v>569402005.55000007</v>
      </c>
      <c r="F59" s="1216">
        <f>+F56-F60</f>
        <v>572061445.76000011</v>
      </c>
    </row>
    <row r="60" spans="1:6" ht="16.5">
      <c r="B60" s="364"/>
      <c r="C60" s="574"/>
      <c r="D60" s="580" t="s">
        <v>1219</v>
      </c>
      <c r="E60" s="1275">
        <v>45183513</v>
      </c>
      <c r="F60" s="1276">
        <v>0</v>
      </c>
    </row>
    <row r="61" spans="1:6" ht="16.5">
      <c r="B61" s="364"/>
      <c r="C61" s="520"/>
      <c r="D61" s="371"/>
      <c r="E61" s="1274"/>
      <c r="F61" s="1216"/>
    </row>
    <row r="62" spans="1:6" ht="31.5">
      <c r="B62" s="364"/>
      <c r="C62" s="1411" t="str">
        <f>+C6</f>
        <v>Particulars</v>
      </c>
      <c r="D62" s="1411"/>
      <c r="E62" s="1218" t="str">
        <f>+E6</f>
        <v>As at 28th February, 2019</v>
      </c>
      <c r="F62" s="1219" t="str">
        <f>+F6</f>
        <v>As at 31st December, 2018</v>
      </c>
    </row>
    <row r="63" spans="1:6" s="4" customFormat="1">
      <c r="A63" s="130"/>
      <c r="B63" s="129"/>
      <c r="C63" s="236" t="s">
        <v>1409</v>
      </c>
      <c r="D63" s="567" t="s">
        <v>1410</v>
      </c>
      <c r="E63" s="937"/>
      <c r="F63" s="2"/>
    </row>
    <row r="64" spans="1:6" ht="16.5">
      <c r="A64" s="131">
        <v>4102106000</v>
      </c>
      <c r="B64" s="370"/>
      <c r="C64" s="566"/>
      <c r="D64" s="581" t="str">
        <f>VLOOKUP(A64,Trial!A:B,2,0)</f>
        <v>Fines</v>
      </c>
      <c r="E64" s="1147">
        <f>ABS(IFERROR(VLOOKUP(A64,Trial!A:C,3,0),0))</f>
        <v>522157.74</v>
      </c>
      <c r="F64" s="1215">
        <f t="shared" ref="F64:F70" si="3">ABS(IFERROR(VLOOKUP(A64,Trial_Balance,4,0),0))</f>
        <v>206608.24</v>
      </c>
    </row>
    <row r="65" spans="1:6" ht="16.5">
      <c r="A65" s="131">
        <v>4102108000</v>
      </c>
      <c r="B65" s="370"/>
      <c r="C65" s="566"/>
      <c r="D65" s="581" t="str">
        <f>VLOOKUP(A65,Trial!A:B,2,0)</f>
        <v>Income from Depository Works</v>
      </c>
      <c r="E65" s="1147">
        <f>ABS(IFERROR(VLOOKUP(A65,Trial!A:C,3,0),0))</f>
        <v>0</v>
      </c>
      <c r="F65" s="1215">
        <f t="shared" si="3"/>
        <v>0</v>
      </c>
    </row>
    <row r="66" spans="1:6" ht="16.5">
      <c r="A66" s="131">
        <v>4102108001</v>
      </c>
      <c r="B66" s="370"/>
      <c r="C66" s="566"/>
      <c r="D66" s="581" t="str">
        <f>VLOOKUP(A66,Trial!A:B,2,0)</f>
        <v>Net Income from Depository Works</v>
      </c>
      <c r="E66" s="1147">
        <f>ABS(IFERROR(VLOOKUP(A66,Trial!A:C,3,0),0))</f>
        <v>0</v>
      </c>
      <c r="F66" s="1215">
        <f t="shared" si="3"/>
        <v>52646.879999999997</v>
      </c>
    </row>
    <row r="67" spans="1:6">
      <c r="A67" s="131">
        <v>4102110006</v>
      </c>
      <c r="B67" s="134"/>
      <c r="C67" s="134"/>
      <c r="D67" s="131" t="str">
        <f>VLOOKUP(A67,Trial!A:B,2,0)</f>
        <v>Rounding Difference - Gain</v>
      </c>
      <c r="E67" s="128">
        <f>ABS(IFERROR(VLOOKUP(A67,Trial!A:C,3,0),0))</f>
        <v>0.08</v>
      </c>
      <c r="F67" s="128">
        <f>ABS(IFERROR(VLOOKUP(A67,Trial_Balance,4,0),0))</f>
        <v>0.63</v>
      </c>
    </row>
    <row r="68" spans="1:6">
      <c r="A68" s="131">
        <v>5105126007</v>
      </c>
      <c r="B68" s="134"/>
      <c r="C68" s="134"/>
      <c r="D68" s="131" t="str">
        <f>VLOOKUP(A68,Trial!A:B,2,0)</f>
        <v>Rounding Difference - Loss</v>
      </c>
      <c r="E68" s="128">
        <f>-ABS(IFERROR(VLOOKUP(A68,Trial!A:C,3,0),0))</f>
        <v>-0.11</v>
      </c>
      <c r="F68" s="128">
        <f>-ABS(IFERROR(VLOOKUP(A68,Trial_Balance,4,0),0))</f>
        <v>-1.23</v>
      </c>
    </row>
    <row r="69" spans="1:6" ht="16.5">
      <c r="A69" s="131">
        <v>4104102000</v>
      </c>
      <c r="B69" s="370"/>
      <c r="C69" s="566"/>
      <c r="D69" s="581" t="str">
        <f>VLOOKUP(A69,Trial!A:B,2,0)</f>
        <v>Interest from Fixed Deposits</v>
      </c>
      <c r="E69" s="1147">
        <f>ABS(IFERROR(VLOOKUP(A69,Trial!A:C,3,0),0))</f>
        <v>114775.03999999999</v>
      </c>
      <c r="F69" s="1215">
        <f t="shared" si="3"/>
        <v>136035.10999999999</v>
      </c>
    </row>
    <row r="70" spans="1:6" ht="16.5">
      <c r="A70" s="131">
        <v>4102110000</v>
      </c>
      <c r="B70" s="370"/>
      <c r="C70" s="566"/>
      <c r="D70" s="581" t="str">
        <f>VLOOKUP(A70,Trial!A:B,2,0)</f>
        <v>Income from Sale of Yellow Page</v>
      </c>
      <c r="E70" s="1147">
        <f>ABS(IFERROR(VLOOKUP(A70,Trial!A:C,3,0),0))</f>
        <v>0</v>
      </c>
      <c r="F70" s="1215">
        <f t="shared" si="3"/>
        <v>0</v>
      </c>
    </row>
    <row r="71" spans="1:6">
      <c r="A71" s="131">
        <v>5111102000</v>
      </c>
      <c r="D71" s="131" t="str">
        <f>VLOOKUP(A71,Trial!A:B,2,0)</f>
        <v>Loss on Forex Fluctuation</v>
      </c>
      <c r="E71" s="1147"/>
      <c r="F71" s="128"/>
    </row>
    <row r="72" spans="1:6" s="130" customFormat="1">
      <c r="A72" s="131">
        <v>4103501000</v>
      </c>
      <c r="B72" s="131"/>
      <c r="C72" s="131"/>
      <c r="D72" s="131" t="str">
        <f>VLOOKUP(A72,Trial!A:B,2,0)</f>
        <v>Gain on Forex Fluctuation</v>
      </c>
      <c r="E72" s="1147"/>
      <c r="F72" s="128"/>
    </row>
    <row r="73" spans="1:6" ht="16.5">
      <c r="A73" s="131"/>
      <c r="B73" s="370"/>
      <c r="C73" s="566"/>
      <c r="D73" s="578" t="str">
        <f>D72</f>
        <v>Gain on Forex Fluctuation</v>
      </c>
      <c r="E73" s="1191">
        <f>SUM(E71:E72)</f>
        <v>0</v>
      </c>
      <c r="F73" s="723">
        <f>SUM(F71:F72)</f>
        <v>0</v>
      </c>
    </row>
    <row r="74" spans="1:6" ht="16.5">
      <c r="A74" s="131"/>
      <c r="B74" s="370"/>
      <c r="C74" s="566"/>
      <c r="D74" s="578" t="s">
        <v>613</v>
      </c>
      <c r="E74" s="1108">
        <f>+SUM(E75:E82)</f>
        <v>742368.89</v>
      </c>
      <c r="F74" s="723">
        <f>+SUM(F75:F82)</f>
        <v>559337.40000000014</v>
      </c>
    </row>
    <row r="75" spans="1:6">
      <c r="A75" s="131">
        <v>4102109000</v>
      </c>
      <c r="D75" s="131" t="str">
        <f>VLOOKUP(A75,Trial!A:B,2,0)</f>
        <v>Income from Sale of Tender Documents</v>
      </c>
      <c r="E75" s="128">
        <f>ABS(IFERROR(VLOOKUP(A75,Trial!A:C,3,0),0))</f>
        <v>0</v>
      </c>
      <c r="F75" s="128">
        <f t="shared" ref="F75:F82" si="4">ABS(IFERROR(VLOOKUP(A75,Trial_Balance,4,0),0))</f>
        <v>0</v>
      </c>
    </row>
    <row r="76" spans="1:6">
      <c r="A76" s="131">
        <v>4102110005</v>
      </c>
      <c r="D76" s="131" t="str">
        <f>VLOOKUP(A76,Trial!A:B,2,0)</f>
        <v>Discount Received</v>
      </c>
      <c r="E76" s="128">
        <f>ABS(IFERROR(VLOOKUP(A76,Trial!A:C,3,0),0))</f>
        <v>0</v>
      </c>
      <c r="F76" s="128">
        <f t="shared" si="4"/>
        <v>0</v>
      </c>
    </row>
    <row r="77" spans="1:6" s="130" customFormat="1">
      <c r="A77" s="131">
        <v>4102102000</v>
      </c>
      <c r="B77" s="129"/>
      <c r="C77" s="129"/>
      <c r="D77" s="131" t="str">
        <f>VLOOKUP(A77,Trial!A:B,2,0)</f>
        <v>Income from House Rent</v>
      </c>
      <c r="E77" s="128">
        <f>ABS(IFERROR(VLOOKUP(A77,Trial!A:C,3,0),0))</f>
        <v>568040.92000000004</v>
      </c>
      <c r="F77" s="128">
        <f t="shared" si="4"/>
        <v>525714.81000000006</v>
      </c>
    </row>
    <row r="78" spans="1:6" s="130" customFormat="1">
      <c r="A78" s="131">
        <v>4102102001</v>
      </c>
      <c r="B78" s="129"/>
      <c r="C78" s="129"/>
      <c r="D78" s="131" t="str">
        <f>VLOOKUP(A78,Trial!A:B,2,0)</f>
        <v>Income from Rent-Others</v>
      </c>
      <c r="E78" s="128">
        <f>ABS(IFERROR(VLOOKUP(A78,Trial!A:C,3,0),0))</f>
        <v>43400</v>
      </c>
      <c r="F78" s="128">
        <f t="shared" si="4"/>
        <v>0</v>
      </c>
    </row>
    <row r="79" spans="1:6" s="130" customFormat="1">
      <c r="A79" s="131">
        <v>4102103000</v>
      </c>
      <c r="B79" s="129"/>
      <c r="C79" s="129"/>
      <c r="D79" s="131" t="s">
        <v>602</v>
      </c>
      <c r="E79" s="128">
        <f>ABS(IFERROR(VLOOKUP(A79,Trial!A:C,3,0),0))</f>
        <v>59504</v>
      </c>
      <c r="F79" s="128">
        <f t="shared" si="4"/>
        <v>0</v>
      </c>
    </row>
    <row r="80" spans="1:6">
      <c r="A80" s="131">
        <v>4102103001</v>
      </c>
      <c r="D80" s="131" t="str">
        <f>VLOOKUP(A80,Trial!A:B,2,0)</f>
        <v>Income from BT Guide</v>
      </c>
      <c r="E80" s="128">
        <f>ABS(IFERROR(VLOOKUP(A80,Trial!A:C,3,0),0))</f>
        <v>0</v>
      </c>
      <c r="F80" s="128">
        <f t="shared" si="4"/>
        <v>0</v>
      </c>
    </row>
    <row r="81" spans="1:6">
      <c r="A81" s="131"/>
      <c r="B81" s="2"/>
      <c r="C81" s="2"/>
      <c r="D81" s="488" t="str">
        <f>D67</f>
        <v>Rounding Difference - Gain</v>
      </c>
      <c r="E81" s="126">
        <f>SUM(E67:E68)</f>
        <v>-0.03</v>
      </c>
      <c r="F81" s="126">
        <f>SUM(F67:F68)</f>
        <v>-0.6</v>
      </c>
    </row>
    <row r="82" spans="1:6">
      <c r="A82" s="131">
        <v>4102119999</v>
      </c>
      <c r="D82" s="131" t="str">
        <f>VLOOKUP(A82,Trial!A:B,2,0)</f>
        <v>Miscellaneous Income</v>
      </c>
      <c r="E82" s="128">
        <f>ABS(IFERROR(VLOOKUP(A82,Trial!A:C,3,0),0))</f>
        <v>71424</v>
      </c>
      <c r="F82" s="128">
        <f t="shared" si="4"/>
        <v>33623.19</v>
      </c>
    </row>
    <row r="83" spans="1:6" ht="16.5">
      <c r="A83" s="131"/>
      <c r="B83" s="370"/>
      <c r="C83" s="583"/>
      <c r="D83" s="573"/>
      <c r="E83" s="1148">
        <f>+E64+E65+E69+E74+E73</f>
        <v>1379301.67</v>
      </c>
      <c r="F83" s="1189">
        <f>+F64+F65+F69+F74+F73</f>
        <v>901980.75000000012</v>
      </c>
    </row>
    <row r="84" spans="1:6" ht="16.5">
      <c r="A84" s="131"/>
      <c r="B84" s="370"/>
      <c r="C84" s="566"/>
      <c r="D84" s="371" t="s">
        <v>114</v>
      </c>
      <c r="E84" s="1199"/>
      <c r="F84" s="1188"/>
    </row>
    <row r="85" spans="1:6" ht="31.5">
      <c r="A85" s="131"/>
      <c r="B85" s="370"/>
      <c r="C85" s="1411" t="str">
        <f>+C62</f>
        <v>Particulars</v>
      </c>
      <c r="D85" s="1411"/>
      <c r="E85" s="1218" t="str">
        <f>+E62</f>
        <v>As at 28th February, 2019</v>
      </c>
      <c r="F85" s="1219" t="str">
        <f>+F62</f>
        <v>As at 31st December, 2018</v>
      </c>
    </row>
    <row r="86" spans="1:6" s="4" customFormat="1">
      <c r="A86" s="131"/>
      <c r="B86" s="134"/>
      <c r="C86" s="236" t="s">
        <v>1411</v>
      </c>
      <c r="D86" s="567" t="s">
        <v>1414</v>
      </c>
      <c r="E86" s="933"/>
      <c r="F86" s="126"/>
    </row>
    <row r="87" spans="1:6">
      <c r="A87" s="131">
        <v>5105120008</v>
      </c>
      <c r="B87" s="134"/>
      <c r="C87" s="134"/>
      <c r="D87" s="131" t="str">
        <f>VLOOKUP(A87,Trial!A:B,2,0)</f>
        <v>Expense on Thuraya Services</v>
      </c>
      <c r="E87" s="128">
        <f>ABS(IFERROR(VLOOKUP(A87,Trial!A:C,3,0),0))</f>
        <v>313984.86</v>
      </c>
      <c r="F87" s="128">
        <f t="shared" ref="F87:F94" si="5">ABS(IFERROR(VLOOKUP(A87,Trial_Balance,4,0),0))</f>
        <v>119682.4</v>
      </c>
    </row>
    <row r="88" spans="1:6">
      <c r="A88" s="131">
        <v>5105120007</v>
      </c>
      <c r="B88" s="134"/>
      <c r="C88" s="134"/>
      <c r="D88" s="131" t="str">
        <f>VLOOKUP(A88,Trial!A:B,2,0)</f>
        <v>GTS Settlement</v>
      </c>
      <c r="E88" s="128">
        <f>ABS(IFERROR(VLOOKUP(A88,Trial!A:C,3,0),0))</f>
        <v>0</v>
      </c>
      <c r="F88" s="128">
        <f t="shared" si="5"/>
        <v>0</v>
      </c>
    </row>
    <row r="89" spans="1:6">
      <c r="A89" s="131">
        <v>5105120006</v>
      </c>
      <c r="B89" s="134"/>
      <c r="C89" s="134"/>
      <c r="D89" s="131" t="str">
        <f>VLOOKUP(A89,Trial!A:B,2,0)</f>
        <v>International Roaming</v>
      </c>
      <c r="E89" s="128">
        <f>ABS(IFERROR(VLOOKUP(A89,Trial!A:C,3,0),0))</f>
        <v>132712.53</v>
      </c>
      <c r="F89" s="128">
        <f t="shared" si="5"/>
        <v>2362219.2000000002</v>
      </c>
    </row>
    <row r="90" spans="1:6">
      <c r="A90" s="131">
        <v>5105120004</v>
      </c>
      <c r="B90" s="134"/>
      <c r="C90" s="134"/>
      <c r="D90" s="131" t="str">
        <f>VLOOKUP(A90,Trial!A:B,2,0)</f>
        <v>International Traffic Settlement, Voice</v>
      </c>
      <c r="E90" s="128">
        <f>ABS(IFERROR(VLOOKUP(A90,Trial!A:C,3,0),0))</f>
        <v>642991.18000000005</v>
      </c>
      <c r="F90" s="128">
        <f t="shared" si="5"/>
        <v>946318.82</v>
      </c>
    </row>
    <row r="91" spans="1:6">
      <c r="A91" s="131">
        <v>5105120005</v>
      </c>
      <c r="B91" s="134"/>
      <c r="C91" s="134"/>
      <c r="D91" s="131" t="str">
        <f>VLOOKUP(A91,Trial!A:B,2,0)</f>
        <v>Internet Port Charges, IP Transit</v>
      </c>
      <c r="E91" s="128">
        <f>ABS(IFERROR(VLOOKUP(A91,Trial!A:C,3,0),0))</f>
        <v>786479.91</v>
      </c>
      <c r="F91" s="128">
        <f t="shared" si="5"/>
        <v>1177167.44</v>
      </c>
    </row>
    <row r="92" spans="1:6">
      <c r="A92" s="131">
        <v>5105120002</v>
      </c>
      <c r="D92" s="131" t="s">
        <v>687</v>
      </c>
      <c r="E92" s="128">
        <f>ABS(IFERROR(VLOOKUP(A92,Trial!A:C,3,0),0))</f>
        <v>0</v>
      </c>
      <c r="F92" s="128">
        <f t="shared" si="5"/>
        <v>449223.17</v>
      </c>
    </row>
    <row r="93" spans="1:6">
      <c r="A93" s="131">
        <v>5105120003</v>
      </c>
      <c r="B93" s="134"/>
      <c r="C93" s="134"/>
      <c r="D93" s="131" t="str">
        <f>VLOOKUP(A93,Trial!A:B,2,0)</f>
        <v>Service fee for IPLC</v>
      </c>
      <c r="E93" s="128">
        <f>ABS(IFERROR(VLOOKUP(A93,Trial!A:C,3,0),0))</f>
        <v>17178603.48</v>
      </c>
      <c r="F93" s="128">
        <f t="shared" si="5"/>
        <v>20277291.609999999</v>
      </c>
    </row>
    <row r="94" spans="1:6">
      <c r="A94" s="131">
        <v>5105119005</v>
      </c>
      <c r="B94" s="134"/>
      <c r="C94" s="134"/>
      <c r="D94" s="131" t="str">
        <f>VLOOKUP(A94,Trial!A:B,2,0)</f>
        <v>Expense on Interconnect Settlement</v>
      </c>
      <c r="E94" s="128">
        <f>ABS(IFERROR(VLOOKUP(A94,Trial!A:C,3,0),0))</f>
        <v>13231253.74</v>
      </c>
      <c r="F94" s="128">
        <f t="shared" si="5"/>
        <v>12924567.68</v>
      </c>
    </row>
    <row r="95" spans="1:6" ht="16.5">
      <c r="A95" s="131"/>
      <c r="B95" s="370"/>
      <c r="C95" s="566"/>
      <c r="D95" s="581" t="s">
        <v>1443</v>
      </c>
      <c r="E95" s="1147">
        <f>SUM(E87:E94)</f>
        <v>32286025.700000003</v>
      </c>
      <c r="F95" s="1215">
        <f>SUM(F87:F94)</f>
        <v>38256470.32</v>
      </c>
    </row>
    <row r="96" spans="1:6">
      <c r="A96" s="131">
        <v>5103101003</v>
      </c>
      <c r="B96" s="134"/>
      <c r="C96" s="134"/>
      <c r="D96" s="131" t="str">
        <f>VLOOKUP(A96,Trial!A:B,2,0)</f>
        <v>R&amp;M Power - AMC</v>
      </c>
      <c r="E96" s="128">
        <f>ABS(IFERROR(VLOOKUP(A96,Trial!A:C,3,0),0))</f>
        <v>0</v>
      </c>
      <c r="F96" s="128">
        <f t="shared" ref="F96:F101" si="6">ABS(IFERROR(VLOOKUP(A96,Trial_Balance,4,0),0))</f>
        <v>0</v>
      </c>
    </row>
    <row r="97" spans="1:6">
      <c r="A97" s="131">
        <v>5103101000</v>
      </c>
      <c r="B97" s="134"/>
      <c r="C97" s="134"/>
      <c r="D97" s="131" t="str">
        <f>VLOOKUP(A97,Trial!A:B,2,0)</f>
        <v>R&amp;M Power - Service</v>
      </c>
      <c r="E97" s="128">
        <f>ABS(IFERROR(VLOOKUP(A97,Trial!A:C,3,0),0))</f>
        <v>21655</v>
      </c>
      <c r="F97" s="128">
        <f t="shared" si="6"/>
        <v>60279</v>
      </c>
    </row>
    <row r="98" spans="1:6">
      <c r="A98" s="131">
        <v>5103101004</v>
      </c>
      <c r="B98" s="134"/>
      <c r="C98" s="134"/>
      <c r="D98" s="131" t="str">
        <f>VLOOKUP(A98,Trial!A:B,2,0)</f>
        <v>R&amp;M Generator Set - AMC</v>
      </c>
      <c r="E98" s="128">
        <f>ABS(IFERROR(VLOOKUP(A98,Trial!A:C,3,0),0))</f>
        <v>0</v>
      </c>
      <c r="F98" s="128">
        <f t="shared" si="6"/>
        <v>0</v>
      </c>
    </row>
    <row r="99" spans="1:6">
      <c r="A99" s="131">
        <v>5103101002</v>
      </c>
      <c r="B99" s="134"/>
      <c r="C99" s="134"/>
      <c r="D99" s="131" t="str">
        <f>VLOOKUP(A99,Trial!A:B,2,0)</f>
        <v>R&amp;M Generator Set - Service</v>
      </c>
      <c r="E99" s="128">
        <f>ABS(IFERROR(VLOOKUP(A99,Trial!A:C,3,0),0))</f>
        <v>0</v>
      </c>
      <c r="F99" s="128">
        <f t="shared" si="6"/>
        <v>4645</v>
      </c>
    </row>
    <row r="100" spans="1:6">
      <c r="A100" s="131">
        <v>5103101001</v>
      </c>
      <c r="D100" s="131" t="s">
        <v>640</v>
      </c>
      <c r="E100" s="128">
        <f>ABS(IFERROR(VLOOKUP(A100,Trial!A:C,3,0),0))</f>
        <v>439093.02</v>
      </c>
      <c r="F100" s="128">
        <f t="shared" si="6"/>
        <v>727045</v>
      </c>
    </row>
    <row r="101" spans="1:6">
      <c r="A101" s="131">
        <v>5105121000</v>
      </c>
      <c r="B101" s="134"/>
      <c r="C101" s="134"/>
      <c r="D101" s="131" t="str">
        <f>VLOOKUP(A101,Trial!A:B,2,0)</f>
        <v>Electricity</v>
      </c>
      <c r="E101" s="128">
        <f>ABS(IFERROR(VLOOKUP(A101,Trial!A:C,3,0),0))</f>
        <v>4980317.6500000004</v>
      </c>
      <c r="F101" s="128">
        <f t="shared" si="6"/>
        <v>5408105.4100000001</v>
      </c>
    </row>
    <row r="102" spans="1:6" ht="16.5">
      <c r="A102" s="131"/>
      <c r="B102" s="370"/>
      <c r="C102" s="566"/>
      <c r="D102" s="581" t="s">
        <v>1117</v>
      </c>
      <c r="E102" s="1147">
        <f>SUM(E96:E101)</f>
        <v>5441065.6699999999</v>
      </c>
      <c r="F102" s="1215">
        <f>SUM(F96:F101)</f>
        <v>6200074.4100000001</v>
      </c>
    </row>
    <row r="103" spans="1:6">
      <c r="A103" s="131">
        <v>5103103006</v>
      </c>
      <c r="B103" s="134"/>
      <c r="C103" s="134"/>
      <c r="D103" s="131" t="str">
        <f>VLOOKUP(A103,Trial!A:B,2,0)</f>
        <v>R&amp;M Cables and Accessories - AMC</v>
      </c>
      <c r="E103" s="128">
        <f>ABS(IFERROR(VLOOKUP(A103,Trial!A:C,3,0),0))</f>
        <v>0</v>
      </c>
      <c r="F103" s="128">
        <f t="shared" ref="F103:F110" si="7">ABS(IFERROR(VLOOKUP(A103,Trial_Balance,4,0),0))</f>
        <v>0</v>
      </c>
    </row>
    <row r="104" spans="1:6">
      <c r="A104" s="131">
        <v>5103103004</v>
      </c>
      <c r="B104" s="134"/>
      <c r="C104" s="134"/>
      <c r="D104" s="131" t="str">
        <f>VLOOKUP(A104,Trial!A:B,2,0)</f>
        <v>R&amp;M Cables and Accessories - Services</v>
      </c>
      <c r="E104" s="128">
        <f>ABS(IFERROR(VLOOKUP(A104,Trial!A:C,3,0),0))</f>
        <v>23465</v>
      </c>
      <c r="F104" s="128">
        <f t="shared" si="7"/>
        <v>27955</v>
      </c>
    </row>
    <row r="105" spans="1:6">
      <c r="A105" s="131">
        <v>5103102001</v>
      </c>
      <c r="B105" s="134"/>
      <c r="C105" s="134"/>
      <c r="D105" s="131" t="str">
        <f>VLOOKUP(A105,Trial!A:B,2,0)</f>
        <v>R&amp;M Plant and Machinery - AMC</v>
      </c>
      <c r="E105" s="128">
        <f>ABS(IFERROR(VLOOKUP(A105,Trial!A:C,3,0),0))</f>
        <v>8505863.8200000003</v>
      </c>
      <c r="F105" s="128">
        <f t="shared" si="7"/>
        <v>2741667</v>
      </c>
    </row>
    <row r="106" spans="1:6">
      <c r="A106" s="131">
        <v>5103102000</v>
      </c>
      <c r="B106" s="134"/>
      <c r="C106" s="134"/>
      <c r="D106" s="131" t="str">
        <f>VLOOKUP(A106,Trial!A:B,2,0)</f>
        <v>R&amp;M Plant and Machinery - Service</v>
      </c>
      <c r="E106" s="128">
        <f>ABS(IFERROR(VLOOKUP(A106,Trial!A:C,3,0),0))</f>
        <v>7033.2</v>
      </c>
      <c r="F106" s="128">
        <f t="shared" si="7"/>
        <v>6690</v>
      </c>
    </row>
    <row r="107" spans="1:6">
      <c r="A107" s="131">
        <v>5103103007</v>
      </c>
      <c r="B107" s="134"/>
      <c r="C107" s="134"/>
      <c r="D107" s="131" t="str">
        <f>VLOOKUP(A107,Trial!A:B,2,0)</f>
        <v>R&amp;M Software Application - AMC</v>
      </c>
      <c r="E107" s="128">
        <f>ABS(IFERROR(VLOOKUP(A107,Trial!A:C,3,0),0))</f>
        <v>0</v>
      </c>
      <c r="F107" s="128">
        <f t="shared" si="7"/>
        <v>0</v>
      </c>
    </row>
    <row r="108" spans="1:6">
      <c r="A108" s="131">
        <v>5103103005</v>
      </c>
      <c r="B108" s="134"/>
      <c r="C108" s="134"/>
      <c r="D108" s="131" t="str">
        <f>VLOOKUP(A108,Trial!A:B,2,0)</f>
        <v>R&amp;M Software Application - Services</v>
      </c>
      <c r="E108" s="128">
        <f>ABS(IFERROR(VLOOKUP(A108,Trial!A:C,3,0),0))</f>
        <v>0</v>
      </c>
      <c r="F108" s="128">
        <f t="shared" si="7"/>
        <v>0</v>
      </c>
    </row>
    <row r="109" spans="1:6">
      <c r="A109" s="131">
        <v>5102105000</v>
      </c>
      <c r="B109" s="134"/>
      <c r="C109" s="134"/>
      <c r="D109" s="131" t="str">
        <f>VLOOKUP(A109,Trial!A:B,2,0)</f>
        <v>Consumables</v>
      </c>
      <c r="E109" s="128">
        <f>ABS(IFERROR(VLOOKUP(A109,Trial!A:C,3,0),0))</f>
        <v>664709.17000000004</v>
      </c>
      <c r="F109" s="128">
        <f t="shared" si="7"/>
        <v>67631.929999999993</v>
      </c>
    </row>
    <row r="110" spans="1:6">
      <c r="A110" s="131">
        <v>5102103000</v>
      </c>
      <c r="B110" s="134"/>
      <c r="C110" s="134"/>
      <c r="D110" s="131" t="str">
        <f>VLOOKUP(A110,Trial!A:B,2,0)</f>
        <v>Consumption of Equipment Spares</v>
      </c>
      <c r="E110" s="128">
        <f>ABS(IFERROR(VLOOKUP(A110,Trial!A:C,3,0),0))</f>
        <v>5337302.91</v>
      </c>
      <c r="F110" s="128">
        <f t="shared" si="7"/>
        <v>5960985.8200000003</v>
      </c>
    </row>
    <row r="111" spans="1:6" ht="16.5">
      <c r="A111" s="131"/>
      <c r="B111" s="370"/>
      <c r="C111" s="566"/>
      <c r="D111" s="586" t="s">
        <v>1116</v>
      </c>
      <c r="E111" s="1147">
        <f>SUM(E103:E110)</f>
        <v>14538374.1</v>
      </c>
      <c r="F111" s="1215">
        <f>SUM(F103:F110)</f>
        <v>8804929.75</v>
      </c>
    </row>
    <row r="112" spans="1:6">
      <c r="A112" s="131">
        <v>5105107001</v>
      </c>
      <c r="B112" s="134"/>
      <c r="C112" s="134"/>
      <c r="D112" s="131" t="str">
        <f>VLOOKUP(A112,Trial!A:B,2,0)</f>
        <v>Fees and Subscriptions - International</v>
      </c>
      <c r="E112" s="128">
        <f>ABS(IFERROR(VLOOKUP(A112,Trial!A:C,3,0),0))</f>
        <v>129839.36</v>
      </c>
      <c r="F112" s="128">
        <f>ABS(IFERROR(VLOOKUP(A112,Trial_Balance,4,0),0))</f>
        <v>458953.56</v>
      </c>
    </row>
    <row r="113" spans="1:6">
      <c r="A113" s="131">
        <v>5105107000</v>
      </c>
      <c r="B113" s="131"/>
      <c r="C113" s="131"/>
      <c r="D113" s="131" t="str">
        <f>VLOOKUP(A113,Trial!A:B,2,0)</f>
        <v>Fees and Subscriptions - National</v>
      </c>
      <c r="E113" s="128">
        <f>ABS(IFERROR(VLOOKUP(A113,Trial!A:C,3,0),0))</f>
        <v>409146</v>
      </c>
      <c r="F113" s="128">
        <f>ABS(IFERROR(VLOOKUP(A113,Trial_Balance,4,0),0))</f>
        <v>651070</v>
      </c>
    </row>
    <row r="114" spans="1:6" s="130" customFormat="1">
      <c r="A114" s="131">
        <v>5105114000</v>
      </c>
      <c r="B114" s="134"/>
      <c r="C114" s="134"/>
      <c r="D114" s="131" t="str">
        <f>VLOOKUP(A114,Trial!A:B,2,0)</f>
        <v>Rent</v>
      </c>
      <c r="E114" s="128">
        <f>ABS(IFERROR(VLOOKUP(A114,Trial!A:C,3,0),0))</f>
        <v>877995.22</v>
      </c>
      <c r="F114" s="128">
        <f>ABS(IFERROR(VLOOKUP(A114,Trial_Balance,4,0),0))</f>
        <v>965852.83</v>
      </c>
    </row>
    <row r="115" spans="1:6" s="130" customFormat="1" ht="16.5">
      <c r="A115" s="131"/>
      <c r="B115" s="370"/>
      <c r="C115" s="566"/>
      <c r="D115" s="581" t="s">
        <v>1099</v>
      </c>
      <c r="E115" s="1147">
        <f>SUM(E112:E114)</f>
        <v>1416980.58</v>
      </c>
      <c r="F115" s="1215">
        <f>SUM(F112:F114)</f>
        <v>2075876.3900000001</v>
      </c>
    </row>
    <row r="116" spans="1:6" s="130" customFormat="1">
      <c r="A116" s="131"/>
      <c r="B116" s="297"/>
      <c r="C116" s="584"/>
      <c r="D116" s="587"/>
      <c r="E116" s="1277">
        <f>SUM(E115,E111,E102,E95)</f>
        <v>53682446.050000004</v>
      </c>
      <c r="F116" s="1273">
        <f>SUM(F115,F111,F102,F95)</f>
        <v>55337350.870000005</v>
      </c>
    </row>
    <row r="117" spans="1:6" ht="16.5">
      <c r="A117" s="131"/>
      <c r="B117" s="370"/>
      <c r="C117" s="566"/>
      <c r="D117" s="297"/>
      <c r="E117" s="1225"/>
      <c r="F117" s="1215"/>
    </row>
    <row r="118" spans="1:6" ht="31.5">
      <c r="A118" s="131"/>
      <c r="B118" s="370"/>
      <c r="C118" s="1411" t="str">
        <f>+C85</f>
        <v>Particulars</v>
      </c>
      <c r="D118" s="1411"/>
      <c r="E118" s="1218" t="str">
        <f>+E85</f>
        <v>As at 28th February, 2019</v>
      </c>
      <c r="F118" s="1218" t="str">
        <f>+F85</f>
        <v>As at 31st December, 2018</v>
      </c>
    </row>
    <row r="119" spans="1:6" s="4" customFormat="1" ht="16.5">
      <c r="A119" s="131"/>
      <c r="B119" s="370"/>
      <c r="C119" s="236" t="s">
        <v>1412</v>
      </c>
      <c r="D119" s="595" t="s">
        <v>1413</v>
      </c>
      <c r="E119" s="1278"/>
      <c r="F119" s="1272"/>
    </row>
    <row r="120" spans="1:6" ht="16.5">
      <c r="A120" s="131"/>
      <c r="B120" s="370"/>
      <c r="C120" s="566"/>
      <c r="D120" s="581" t="s">
        <v>1105</v>
      </c>
      <c r="E120" s="1279">
        <f>+SUM(E121:E122)</f>
        <v>6157928.21</v>
      </c>
      <c r="F120" s="1279">
        <f>+SUM(F121:F122)</f>
        <v>4557873.87</v>
      </c>
    </row>
    <row r="121" spans="1:6">
      <c r="A121" s="131">
        <v>5102108000</v>
      </c>
      <c r="B121" s="134"/>
      <c r="C121" s="134"/>
      <c r="D121" s="131" t="str">
        <f>VLOOKUP(A121,Trial!A:B,2,0)</f>
        <v>Consumption of Trading Goods</v>
      </c>
      <c r="E121" s="128">
        <f>ABS(IFERROR(VLOOKUP(A121,Trial!A:C,3,0),0))</f>
        <v>2037979.41</v>
      </c>
      <c r="F121" s="128">
        <f>ABS(IFERROR(VLOOKUP(A121,Trial_Balance,4,0),0))</f>
        <v>276081.78999999998</v>
      </c>
    </row>
    <row r="122" spans="1:6">
      <c r="A122" s="131">
        <v>5102109000</v>
      </c>
      <c r="B122" s="134"/>
      <c r="C122" s="134"/>
      <c r="D122" s="131" t="str">
        <f>VLOOKUP(A122,Trial!A:B,2,0)</f>
        <v>COGS of Trading Goods</v>
      </c>
      <c r="E122" s="128">
        <f>ABS(IFERROR(VLOOKUP(A122,Trial!A:C,3,0),0))</f>
        <v>4119948.8</v>
      </c>
      <c r="F122" s="128">
        <f>ABS(IFERROR(VLOOKUP(A122,Trial_Balance,4,0),0))</f>
        <v>4281792.08</v>
      </c>
    </row>
    <row r="123" spans="1:6" ht="16.5">
      <c r="B123" s="370"/>
      <c r="C123" s="583"/>
      <c r="D123" s="588" t="s">
        <v>114</v>
      </c>
      <c r="E123" s="1189">
        <f>SUM(E121:E122)</f>
        <v>6157928.21</v>
      </c>
      <c r="F123" s="1189">
        <f>SUM(F121:F122)</f>
        <v>4557873.87</v>
      </c>
    </row>
    <row r="124" spans="1:6" ht="31.5">
      <c r="A124" s="131"/>
      <c r="B124" s="134"/>
      <c r="C124" s="1411" t="str">
        <f>+C118</f>
        <v>Particulars</v>
      </c>
      <c r="D124" s="1411"/>
      <c r="E124" s="1219" t="str">
        <f>+E118</f>
        <v>As at 28th February, 2019</v>
      </c>
      <c r="F124" s="1218" t="str">
        <f>+F118</f>
        <v>As at 31st December, 2018</v>
      </c>
    </row>
    <row r="125" spans="1:6" s="4" customFormat="1">
      <c r="A125" s="131"/>
      <c r="B125" s="134"/>
      <c r="C125" s="236" t="s">
        <v>1416</v>
      </c>
      <c r="D125" s="244" t="s">
        <v>1415</v>
      </c>
      <c r="E125" s="1075"/>
      <c r="F125" s="1278"/>
    </row>
    <row r="126" spans="1:6">
      <c r="A126" s="131">
        <v>5104101000</v>
      </c>
      <c r="B126" s="134"/>
      <c r="C126" s="134"/>
      <c r="D126" s="131" t="str">
        <f>VLOOKUP(A126,Trial!A:B,2,0)</f>
        <v>Basic Pay</v>
      </c>
      <c r="E126" s="128">
        <f>ABS(IFERROR(VLOOKUP(A126,Trial!A:C,3,0),0))</f>
        <v>25023242.98</v>
      </c>
      <c r="F126" s="128">
        <f t="shared" ref="F126:F131" si="8">ABS(IFERROR(VLOOKUP(A126,Trial_Balance,4,0),0))</f>
        <v>23490576.030000001</v>
      </c>
    </row>
    <row r="127" spans="1:6">
      <c r="A127" s="131">
        <v>5104101001</v>
      </c>
      <c r="B127" s="134"/>
      <c r="C127" s="134"/>
      <c r="D127" s="131" t="s">
        <v>625</v>
      </c>
      <c r="E127" s="128">
        <f>ABS(IFERROR(VLOOKUP(A127,Trial!A:C,3,0),0))</f>
        <v>0</v>
      </c>
      <c r="F127" s="128">
        <f t="shared" si="8"/>
        <v>2000</v>
      </c>
    </row>
    <row r="128" spans="1:6">
      <c r="A128" s="131">
        <v>5104102000</v>
      </c>
      <c r="B128" s="134"/>
      <c r="C128" s="134"/>
      <c r="D128" s="131" t="str">
        <f>VLOOKUP(A128,Trial!A:B,2,0)</f>
        <v>Allowances</v>
      </c>
      <c r="E128" s="128">
        <f>ABS(IFERROR(VLOOKUP(A128,Trial!A:C,3,0),0))</f>
        <v>6735936.0300000003</v>
      </c>
      <c r="F128" s="128">
        <f t="shared" si="8"/>
        <v>6810570.2000000002</v>
      </c>
    </row>
    <row r="129" spans="1:6">
      <c r="A129" s="131">
        <v>5104103000</v>
      </c>
      <c r="B129" s="134"/>
      <c r="C129" s="134"/>
      <c r="D129" s="131" t="str">
        <f>VLOOKUP(A129,Trial!A:B,2,0)</f>
        <v>Leave Travel Concession</v>
      </c>
      <c r="E129" s="128">
        <f>ABS(IFERROR(VLOOKUP(A129,Trial!A:C,3,0),0))</f>
        <v>0</v>
      </c>
      <c r="F129" s="128">
        <f t="shared" si="8"/>
        <v>0</v>
      </c>
    </row>
    <row r="130" spans="1:6">
      <c r="A130" s="131">
        <v>5104203000</v>
      </c>
      <c r="B130" s="134"/>
      <c r="C130" s="134"/>
      <c r="D130" s="131" t="str">
        <f>VLOOKUP(A130,Trial!A:B,2,0)</f>
        <v>Leave Encashment</v>
      </c>
      <c r="E130" s="128">
        <f>ABS(IFERROR(VLOOKUP(A130,Trial!A:C,3,0),0))</f>
        <v>4314824</v>
      </c>
      <c r="F130" s="128">
        <f t="shared" si="8"/>
        <v>3427265</v>
      </c>
    </row>
    <row r="131" spans="1:6">
      <c r="A131" s="131">
        <v>5104104000</v>
      </c>
      <c r="B131" s="134"/>
      <c r="C131" s="134"/>
      <c r="D131" s="131" t="str">
        <f>VLOOKUP(A131,Trial!A:B,2,0)</f>
        <v>Bonus</v>
      </c>
      <c r="E131" s="128">
        <f>ABS(IFERROR(VLOOKUP(A131,Trial!A:C,3,0),0))</f>
        <v>0</v>
      </c>
      <c r="F131" s="128">
        <f t="shared" si="8"/>
        <v>0</v>
      </c>
    </row>
    <row r="132" spans="1:6" ht="16.5">
      <c r="A132" s="131"/>
      <c r="B132" s="370"/>
      <c r="C132" s="566"/>
      <c r="D132" s="581" t="s">
        <v>1118</v>
      </c>
      <c r="E132" s="1225">
        <f>SUM(E126:E131)</f>
        <v>36074003.010000005</v>
      </c>
      <c r="F132" s="1147">
        <f>SUM(F126:F131)</f>
        <v>33730411.230000004</v>
      </c>
    </row>
    <row r="133" spans="1:6" ht="16.5">
      <c r="A133" s="131">
        <v>5104204000</v>
      </c>
      <c r="B133" s="370"/>
      <c r="C133" s="566"/>
      <c r="D133" s="581" t="str">
        <f>VLOOKUP(A133,Trial!A:B,2,0)</f>
        <v>Provident Fund Contribution</v>
      </c>
      <c r="E133" s="1225">
        <f>ABS(IFERROR(VLOOKUP(A133,Trial!A:C,3,0),0))</f>
        <v>2666796</v>
      </c>
      <c r="F133" s="1147">
        <f t="shared" ref="F133:F138" si="9">ABS(IFERROR(VLOOKUP(A133,Trial_Balance,4,0),0))</f>
        <v>2678447</v>
      </c>
    </row>
    <row r="134" spans="1:6" ht="16.5">
      <c r="A134" s="131">
        <v>5104205000</v>
      </c>
      <c r="B134" s="370"/>
      <c r="C134" s="566"/>
      <c r="D134" s="581" t="s">
        <v>1393</v>
      </c>
      <c r="E134" s="1225">
        <f>ABS(IFERROR(VLOOKUP(A134,Trial!A:C,3,0),0))</f>
        <v>0</v>
      </c>
      <c r="F134" s="1147">
        <f t="shared" si="9"/>
        <v>0</v>
      </c>
    </row>
    <row r="135" spans="1:6">
      <c r="A135" s="131">
        <v>5104105000</v>
      </c>
      <c r="B135" s="134"/>
      <c r="C135" s="134"/>
      <c r="D135" s="131" t="str">
        <f>VLOOKUP(A135,Trial!A:B,2,0)</f>
        <v>Medical Expenses</v>
      </c>
      <c r="E135" s="128">
        <f>ABS(IFERROR(VLOOKUP(A135,Trial!A:C,3,0),0))</f>
        <v>0</v>
      </c>
      <c r="F135" s="128">
        <f t="shared" si="9"/>
        <v>3685</v>
      </c>
    </row>
    <row r="136" spans="1:6">
      <c r="A136" s="131">
        <v>5104106000</v>
      </c>
      <c r="B136" s="134"/>
      <c r="C136" s="134"/>
      <c r="D136" s="131" t="str">
        <f>VLOOKUP(A136,Trial!A:B,2,0)</f>
        <v>Uniform and Livery Expenses</v>
      </c>
      <c r="E136" s="128">
        <f>ABS(IFERROR(VLOOKUP(A136,Trial!A:C,3,0),0))</f>
        <v>38590</v>
      </c>
      <c r="F136" s="128">
        <f t="shared" si="9"/>
        <v>140178.32999999999</v>
      </c>
    </row>
    <row r="137" spans="1:6">
      <c r="A137" s="131">
        <v>5104106001</v>
      </c>
      <c r="B137" s="134"/>
      <c r="C137" s="134"/>
      <c r="D137" s="131" t="str">
        <f>VLOOKUP(A137,Trial!A:B,2,0)</f>
        <v>Staff Welfare Expenses</v>
      </c>
      <c r="E137" s="128">
        <f>ABS(IFERROR(VLOOKUP(A137,Trial!A:C,3,0),0))</f>
        <v>57190</v>
      </c>
      <c r="F137" s="128">
        <f t="shared" si="9"/>
        <v>0</v>
      </c>
    </row>
    <row r="138" spans="1:6">
      <c r="A138" s="131">
        <v>5104202000</v>
      </c>
      <c r="B138" s="134"/>
      <c r="C138" s="134"/>
      <c r="D138" s="131" t="str">
        <f>VLOOKUP(A138,Trial!A:B,2,0)</f>
        <v>Pilgrimage Expenses</v>
      </c>
      <c r="E138" s="128">
        <f>ABS(IFERROR(VLOOKUP(A138,Trial!A:C,3,0),0))</f>
        <v>125939.8</v>
      </c>
      <c r="F138" s="128">
        <f t="shared" si="9"/>
        <v>0</v>
      </c>
    </row>
    <row r="139" spans="1:6" ht="16.5">
      <c r="A139" s="131"/>
      <c r="B139" s="370"/>
      <c r="C139" s="566"/>
      <c r="D139" s="581" t="s">
        <v>1119</v>
      </c>
      <c r="E139" s="1225">
        <f>SUM(E135:E138)</f>
        <v>221719.8</v>
      </c>
      <c r="F139" s="1147">
        <f>SUM(F135:F138)</f>
        <v>143863.32999999999</v>
      </c>
    </row>
    <row r="140" spans="1:6">
      <c r="A140" s="131">
        <v>5104108000</v>
      </c>
      <c r="B140" s="134"/>
      <c r="C140" s="134"/>
      <c r="D140" s="131" t="str">
        <f>VLOOKUP(A140,Trial!A:B,2,0)</f>
        <v>Training - In Country</v>
      </c>
      <c r="E140" s="128">
        <f>ABS(IFERROR(VLOOKUP(A140,Trial!A:C,3,0),0))</f>
        <v>234160</v>
      </c>
      <c r="F140" s="128">
        <f>ABS(IFERROR(VLOOKUP(A140,Trial_Balance,4,0),0))</f>
        <v>15660</v>
      </c>
    </row>
    <row r="141" spans="1:6">
      <c r="A141" s="131">
        <v>5104108001</v>
      </c>
      <c r="B141" s="134"/>
      <c r="C141" s="134"/>
      <c r="D141" s="131" t="str">
        <f>VLOOKUP(A141,Trial!A:B,2,0)</f>
        <v>Training - Ex Country</v>
      </c>
      <c r="E141" s="128">
        <f>ABS(IFERROR(VLOOKUP(A141,Trial!A:C,3,0),0))</f>
        <v>15000</v>
      </c>
      <c r="F141" s="128">
        <f>ABS(IFERROR(VLOOKUP(A141,Trial_Balance,4,0),0))</f>
        <v>217126</v>
      </c>
    </row>
    <row r="142" spans="1:6">
      <c r="A142" s="131">
        <v>5104108002</v>
      </c>
      <c r="B142" s="134"/>
      <c r="C142" s="134"/>
      <c r="D142" s="131" t="str">
        <f>VLOOKUP(A142,Trial!A:B,2,0)</f>
        <v>Meeting and Seminar</v>
      </c>
      <c r="E142" s="128">
        <f>ABS(IFERROR(VLOOKUP(A142,Trial!A:C,3,0),0))</f>
        <v>225051</v>
      </c>
      <c r="F142" s="128">
        <f>ABS(IFERROR(VLOOKUP(A142,Trial_Balance,4,0),0))</f>
        <v>1014624</v>
      </c>
    </row>
    <row r="143" spans="1:6">
      <c r="A143" s="131">
        <v>5104108006</v>
      </c>
      <c r="B143" s="134"/>
      <c r="C143" s="134"/>
      <c r="D143" s="131" t="str">
        <f>VLOOKUP(A143,Trial!A:B,2,0)</f>
        <v>BT Day &amp; Development Program Expense</v>
      </c>
      <c r="E143" s="128">
        <f>ABS(IFERROR(VLOOKUP(A143,Trial!A:C,3,0),0))</f>
        <v>0</v>
      </c>
      <c r="F143" s="128">
        <f>ABS(IFERROR(VLOOKUP(A143,Trial_Balance,4,0),0))</f>
        <v>1080</v>
      </c>
    </row>
    <row r="144" spans="1:6">
      <c r="A144" s="131">
        <v>5104108005</v>
      </c>
      <c r="B144" s="134"/>
      <c r="C144" s="134"/>
      <c r="D144" s="131" t="str">
        <f>VLOOKUP(A144,Trial!A:B,2,0)</f>
        <v>Transfer Grant Expenses</v>
      </c>
      <c r="E144" s="128">
        <f>ABS(IFERROR(VLOOKUP(A144,Trial!A:C,3,0),0))</f>
        <v>934077.74</v>
      </c>
      <c r="F144" s="128">
        <f>ABS(IFERROR(VLOOKUP(A144,Trial_Balance,4,0),0))</f>
        <v>1179475.1100000001</v>
      </c>
    </row>
    <row r="145" spans="1:6" ht="16.5">
      <c r="B145" s="364"/>
      <c r="C145" s="520"/>
      <c r="D145" s="581" t="s">
        <v>1394</v>
      </c>
      <c r="E145" s="1225">
        <f>SUM(E140:E144)</f>
        <v>1408288.74</v>
      </c>
      <c r="F145" s="1147">
        <f>SUM(F140:F144)</f>
        <v>2427965.1100000003</v>
      </c>
    </row>
    <row r="146" spans="1:6" ht="16.5">
      <c r="A146" s="131"/>
      <c r="B146" s="370"/>
      <c r="C146" s="583"/>
      <c r="D146" s="589"/>
      <c r="E146" s="1277">
        <f>SUM(E145+E139+E134+E133+E132)</f>
        <v>40370807.550000004</v>
      </c>
      <c r="F146" s="1280">
        <f>SUM(F145+F139+F134+F133+F132)</f>
        <v>38980686.670000002</v>
      </c>
    </row>
    <row r="147" spans="1:6" ht="16.5">
      <c r="A147" s="131"/>
      <c r="B147" s="370"/>
      <c r="C147" s="566"/>
      <c r="D147" s="297" t="s">
        <v>1395</v>
      </c>
      <c r="E147" s="1274"/>
      <c r="F147" s="1216"/>
    </row>
    <row r="148" spans="1:6" ht="16.5">
      <c r="A148" s="131"/>
      <c r="B148" s="370"/>
      <c r="C148" s="583"/>
      <c r="D148" s="374"/>
      <c r="E148" s="1281"/>
      <c r="F148" s="1282"/>
    </row>
    <row r="149" spans="1:6" ht="31.5">
      <c r="A149" s="131"/>
      <c r="B149" s="370"/>
      <c r="C149" s="1411" t="str">
        <f>+C124</f>
        <v>Particulars</v>
      </c>
      <c r="D149" s="1411"/>
      <c r="E149" s="1218" t="str">
        <f>+E124</f>
        <v>As at 28th February, 2019</v>
      </c>
      <c r="F149" s="1219" t="str">
        <f>+F124</f>
        <v>As at 31st December, 2018</v>
      </c>
    </row>
    <row r="150" spans="1:6" s="4" customFormat="1" ht="16.5">
      <c r="A150" s="131"/>
      <c r="B150" s="370"/>
      <c r="C150" s="236" t="s">
        <v>1418</v>
      </c>
      <c r="D150" s="579" t="s">
        <v>1417</v>
      </c>
      <c r="E150" s="1278"/>
      <c r="F150" s="1272"/>
    </row>
    <row r="151" spans="1:6" s="130" customFormat="1">
      <c r="A151" s="131">
        <v>5105101000</v>
      </c>
      <c r="B151" s="297"/>
      <c r="C151" s="280"/>
      <c r="D151" s="581" t="s">
        <v>652</v>
      </c>
      <c r="E151" s="1147">
        <f>ABS(IFERROR(VLOOKUP(A151,Trial!A:C,3,0),0))</f>
        <v>20495</v>
      </c>
      <c r="F151" s="1215">
        <f>ABS(IFERROR(VLOOKUP(A151,Trial_Balance,4,0),0))</f>
        <v>33250</v>
      </c>
    </row>
    <row r="152" spans="1:6">
      <c r="A152" s="131">
        <v>5105101001</v>
      </c>
      <c r="B152" s="134"/>
      <c r="C152" s="134"/>
      <c r="D152" s="131" t="str">
        <f>VLOOKUP(A152,Trial!A:B,2,0)</f>
        <v>Discount Allowed</v>
      </c>
      <c r="E152" s="128">
        <f>ABS(IFERROR(VLOOKUP(A152,Trial!A:C,3,0),0))</f>
        <v>6000</v>
      </c>
      <c r="F152" s="128">
        <f>ABS(IFERROR(VLOOKUP(A152,Trial_Balance,4,0),0))</f>
        <v>419127.7</v>
      </c>
    </row>
    <row r="153" spans="1:6" ht="16.5">
      <c r="A153" s="131">
        <v>5105109000</v>
      </c>
      <c r="B153" s="370"/>
      <c r="C153" s="566"/>
      <c r="D153" s="581" t="str">
        <f>VLOOKUP(A153,Trial!A:B,2,0)</f>
        <v>Advertisement</v>
      </c>
      <c r="E153" s="1147">
        <f>ABS(IFERROR(VLOOKUP(A153,Trial!A:C,3,0),0))</f>
        <v>600893</v>
      </c>
      <c r="F153" s="1215">
        <f>ABS(IFERROR(VLOOKUP(A153,Trial_Balance,4,0),0))</f>
        <v>101425</v>
      </c>
    </row>
    <row r="154" spans="1:6" ht="16.5">
      <c r="A154" s="131">
        <v>5105120000</v>
      </c>
      <c r="B154" s="370"/>
      <c r="C154" s="566"/>
      <c r="D154" s="581" t="str">
        <f>VLOOKUP(A154,Trial!A:B,2,0)</f>
        <v>Commission</v>
      </c>
      <c r="E154" s="1147">
        <f>ABS(IFERROR(VLOOKUP(A154,Trial!A:C,3,0),0))</f>
        <v>28724353.609999999</v>
      </c>
      <c r="F154" s="1215">
        <f>ABS(IFERROR(VLOOKUP(A154,Trial_Balance,4,0),0))</f>
        <v>25644796.199999999</v>
      </c>
    </row>
    <row r="155" spans="1:6" s="130" customFormat="1">
      <c r="A155" s="131">
        <v>5105104001</v>
      </c>
      <c r="B155" s="131"/>
      <c r="C155" s="131"/>
      <c r="D155" s="131" t="str">
        <f>VLOOKUP(A155,Trial!A:B,2,0)</f>
        <v>Brand &amp; Management Fees</v>
      </c>
      <c r="E155" s="128">
        <f>ABS(IFERROR(VLOOKUP(A155,Trial!A:C,3,0),0))</f>
        <v>0</v>
      </c>
      <c r="F155" s="128">
        <f>ABS(IFERROR(VLOOKUP(A155,Trial_Balance,4,0),0))</f>
        <v>0</v>
      </c>
    </row>
    <row r="156" spans="1:6" ht="16.5">
      <c r="A156" s="131"/>
      <c r="B156" s="370"/>
      <c r="C156" s="566"/>
      <c r="D156" s="581" t="s">
        <v>1099</v>
      </c>
      <c r="E156" s="1147">
        <f>E155</f>
        <v>0</v>
      </c>
      <c r="F156" s="1215">
        <f>F155</f>
        <v>0</v>
      </c>
    </row>
    <row r="157" spans="1:6">
      <c r="A157" s="131"/>
      <c r="B157" s="3"/>
      <c r="C157" s="592"/>
      <c r="D157" s="591"/>
      <c r="E157" s="1283">
        <f>SUM(E156+E152+E154+E153+E151)</f>
        <v>29351741.609999999</v>
      </c>
      <c r="F157" s="1284">
        <f>SUM(F156+F154+F153+F151)</f>
        <v>25779471.199999999</v>
      </c>
    </row>
    <row r="158" spans="1:6">
      <c r="A158" s="131"/>
      <c r="B158" s="3"/>
      <c r="C158" s="590"/>
      <c r="D158" s="125"/>
      <c r="E158" s="548"/>
      <c r="F158" s="894"/>
    </row>
    <row r="159" spans="1:6" ht="31.5">
      <c r="B159" s="135"/>
      <c r="C159" s="1411" t="str">
        <f>+C149</f>
        <v>Particulars</v>
      </c>
      <c r="D159" s="1411"/>
      <c r="E159" s="1219" t="str">
        <f>+E149</f>
        <v>As at 28th February, 2019</v>
      </c>
      <c r="F159" s="1218" t="str">
        <f>+F149</f>
        <v>As at 31st December, 2018</v>
      </c>
    </row>
    <row r="160" spans="1:6" s="4" customFormat="1">
      <c r="A160" s="130"/>
      <c r="B160" s="135"/>
      <c r="C160" s="236" t="s">
        <v>1420</v>
      </c>
      <c r="D160" s="934" t="s">
        <v>1419</v>
      </c>
      <c r="E160" s="1272"/>
      <c r="F160" s="1272"/>
    </row>
    <row r="161" spans="1:7">
      <c r="A161" s="131">
        <v>5107101000</v>
      </c>
      <c r="B161" s="134"/>
      <c r="C161" s="134"/>
      <c r="D161" s="131" t="str">
        <f>VLOOKUP(A161,Trial!A:B,2,0)</f>
        <v>Depreciation - Building</v>
      </c>
      <c r="E161" s="128">
        <f>ABS(IFERROR(VLOOKUP(A161,Trial!A:C,3,0),0))</f>
        <v>4599547.1900000004</v>
      </c>
      <c r="F161" s="128">
        <f t="shared" ref="F161:F170" si="10">ABS(IFERROR(VLOOKUP(A161,Trial_Balance,4,0),0))</f>
        <v>4131856</v>
      </c>
    </row>
    <row r="162" spans="1:7">
      <c r="A162" s="131">
        <v>5107102000</v>
      </c>
      <c r="B162" s="134"/>
      <c r="C162" s="134"/>
      <c r="D162" s="131" t="str">
        <f>VLOOKUP(A162,Trial!A:B,2,0)</f>
        <v>Depreciation - Tele Equipment</v>
      </c>
      <c r="E162" s="128">
        <f>ABS(IFERROR(VLOOKUP(A162,Trial!A:C,3,0),0))</f>
        <v>60935746.600000001</v>
      </c>
      <c r="F162" s="128">
        <f t="shared" si="10"/>
        <v>58337082</v>
      </c>
    </row>
    <row r="163" spans="1:7">
      <c r="A163" s="131">
        <v>5108101000</v>
      </c>
      <c r="B163" s="134"/>
      <c r="C163" s="134"/>
      <c r="D163" s="131" t="s">
        <v>177</v>
      </c>
      <c r="E163" s="128">
        <f>-ABS(IFERROR(VLOOKUP(A163,Trial!A:C,3,0),0))</f>
        <v>0</v>
      </c>
      <c r="F163" s="128">
        <f>-ABS(IFERROR(VLOOKUP(A163,Trial_Balance,4,0),0))</f>
        <v>0</v>
      </c>
    </row>
    <row r="164" spans="1:7">
      <c r="A164" s="131">
        <v>5107103000</v>
      </c>
      <c r="B164" s="134"/>
      <c r="C164" s="134"/>
      <c r="D164" s="131" t="str">
        <f>VLOOKUP(A164,Trial!A:B,2,0)</f>
        <v>Depreciation - Office Equipment</v>
      </c>
      <c r="E164" s="128">
        <f>ABS(IFERROR(VLOOKUP(A164,Trial!A:C,3,0),0))</f>
        <v>1297549.04</v>
      </c>
      <c r="F164" s="128">
        <f t="shared" si="10"/>
        <v>1434544.84</v>
      </c>
    </row>
    <row r="165" spans="1:7">
      <c r="A165" s="131">
        <v>5107103001</v>
      </c>
      <c r="B165" s="134"/>
      <c r="C165" s="134"/>
      <c r="D165" s="131" t="str">
        <f>VLOOKUP(A165,Trial!A:B,2,0)</f>
        <v>Depreciation - Furniture and Fixtures</v>
      </c>
      <c r="E165" s="128">
        <f>ABS(IFERROR(VLOOKUP(A165,Trial!A:C,3,0),0))</f>
        <v>245472.91</v>
      </c>
      <c r="F165" s="128">
        <f t="shared" si="10"/>
        <v>245123</v>
      </c>
    </row>
    <row r="166" spans="1:7">
      <c r="A166" s="131">
        <v>5107104000</v>
      </c>
      <c r="B166" s="134"/>
      <c r="C166" s="134"/>
      <c r="D166" s="131" t="str">
        <f>VLOOKUP(A166,Trial!A:B,2,0)</f>
        <v>Depreciation - Power System</v>
      </c>
      <c r="E166" s="128">
        <f>ABS(IFERROR(VLOOKUP(A166,Trial!A:C,3,0),0))</f>
        <v>18010643</v>
      </c>
      <c r="F166" s="128">
        <f t="shared" si="10"/>
        <v>18581271</v>
      </c>
    </row>
    <row r="167" spans="1:7">
      <c r="A167" s="131">
        <v>5107104001</v>
      </c>
      <c r="B167" s="134"/>
      <c r="C167" s="134"/>
      <c r="D167" s="131" t="str">
        <f>VLOOKUP(A167,Trial!A:B,2,0)</f>
        <v>Depreciation - Cable and Accessories</v>
      </c>
      <c r="E167" s="128">
        <f>ABS(IFERROR(VLOOKUP(A167,Trial!A:C,3,0),0))</f>
        <v>7440705</v>
      </c>
      <c r="F167" s="128">
        <f t="shared" si="10"/>
        <v>6694113</v>
      </c>
    </row>
    <row r="168" spans="1:7">
      <c r="A168" s="131">
        <v>5107105000</v>
      </c>
      <c r="B168" s="134"/>
      <c r="C168" s="134"/>
      <c r="D168" s="131" t="str">
        <f>VLOOKUP(A168,Trial!A:B,2,0)</f>
        <v>Depreciation - Vehicle</v>
      </c>
      <c r="E168" s="128">
        <f>ABS(IFERROR(VLOOKUP(A168,Trial!A:C,3,0),0))</f>
        <v>1128515</v>
      </c>
      <c r="F168" s="128">
        <f t="shared" si="10"/>
        <v>1190087.1299999999</v>
      </c>
    </row>
    <row r="169" spans="1:7">
      <c r="A169" s="131">
        <v>5107106000</v>
      </c>
      <c r="B169" s="134"/>
      <c r="C169" s="134"/>
      <c r="D169" s="131" t="str">
        <f>VLOOKUP(A169,Trial!A:B,2,0)</f>
        <v>Depreciation - Tools and Spare Parts</v>
      </c>
      <c r="E169" s="128">
        <f>ABS(IFERROR(VLOOKUP(A169,Trial!A:C,3,0),0))</f>
        <v>1543759</v>
      </c>
      <c r="F169" s="128">
        <f t="shared" si="10"/>
        <v>1237383</v>
      </c>
    </row>
    <row r="170" spans="1:7">
      <c r="A170" s="130">
        <v>5107107000</v>
      </c>
      <c r="D170" s="131" t="str">
        <f>VLOOKUP(A170,Trial!A:B,2,0)</f>
        <v>Depreciation - Leasehold Building</v>
      </c>
      <c r="E170" s="128">
        <f>ABS(IFERROR(VLOOKUP(A170,Trial!A:C,3,0),0))</f>
        <v>0</v>
      </c>
      <c r="F170" s="128">
        <f t="shared" si="10"/>
        <v>0</v>
      </c>
    </row>
    <row r="171" spans="1:7">
      <c r="A171" s="130">
        <v>5107108000</v>
      </c>
      <c r="B171" s="135"/>
      <c r="C171" s="135"/>
      <c r="D171" s="131" t="str">
        <f>VLOOKUP(A171,Trial!A:B,2,0)</f>
        <v>Depreciation - Capital Grants</v>
      </c>
      <c r="E171" s="128">
        <f>-ABS(IFERROR(VLOOKUP(A171,Trial!A:C,3,0),0))-E174</f>
        <v>0</v>
      </c>
      <c r="F171" s="128">
        <f>-ABS(IFERROR(VLOOKUP(A171,Trial_Balance,4,0),0))-F174</f>
        <v>0</v>
      </c>
    </row>
    <row r="172" spans="1:7">
      <c r="B172" s="375"/>
      <c r="C172" s="593"/>
      <c r="D172" s="581" t="s">
        <v>1396</v>
      </c>
      <c r="E172" s="1147">
        <f>SUM(E161:E171)</f>
        <v>95201937.739999995</v>
      </c>
      <c r="F172" s="1215">
        <f>SUM(F161:F171)</f>
        <v>91851459.969999999</v>
      </c>
    </row>
    <row r="173" spans="1:7">
      <c r="A173" s="131">
        <v>5107202000</v>
      </c>
      <c r="B173" s="135"/>
      <c r="C173" s="135"/>
      <c r="D173" s="131" t="str">
        <f>VLOOKUP(A173,Trial!A:B,2,0)</f>
        <v>Amortization of Software</v>
      </c>
      <c r="E173" s="128">
        <f>ABS(IFERROR(VLOOKUP(A173,Trial!A:C,3,0),0))</f>
        <v>60582390</v>
      </c>
      <c r="F173" s="128">
        <f>ABS(IFERROR(VLOOKUP(A173,Trial_Balance,4,0),0))</f>
        <v>48736333.700000003</v>
      </c>
    </row>
    <row r="174" spans="1:7">
      <c r="A174" s="131">
        <v>5107108000</v>
      </c>
      <c r="D174" s="131" t="s">
        <v>176</v>
      </c>
      <c r="E174" s="128">
        <v>0</v>
      </c>
      <c r="F174" s="128">
        <v>0</v>
      </c>
    </row>
    <row r="175" spans="1:7" ht="16.5">
      <c r="A175" s="131"/>
      <c r="B175" s="364"/>
      <c r="C175" s="520"/>
      <c r="D175" s="581" t="s">
        <v>1397</v>
      </c>
      <c r="E175" s="1215">
        <f>SUM(E173:E174)</f>
        <v>60582390</v>
      </c>
      <c r="F175" s="1215">
        <f>SUM(F173:F174)</f>
        <v>48736333.700000003</v>
      </c>
    </row>
    <row r="176" spans="1:7" ht="16.5">
      <c r="B176" s="370"/>
      <c r="C176" s="583"/>
      <c r="D176" s="588" t="s">
        <v>114</v>
      </c>
      <c r="E176" s="1148">
        <f>E175+E172</f>
        <v>155784327.74000001</v>
      </c>
      <c r="F176" s="1189">
        <f>F175+F172</f>
        <v>140587793.67000002</v>
      </c>
      <c r="G176" s="1297"/>
    </row>
    <row r="177" spans="1:6">
      <c r="A177" s="131"/>
      <c r="B177" s="134"/>
      <c r="C177" s="134"/>
      <c r="D177" s="131"/>
      <c r="E177" s="247"/>
      <c r="F177" s="247"/>
    </row>
    <row r="178" spans="1:6">
      <c r="A178" s="131"/>
      <c r="B178" s="3"/>
      <c r="C178" s="590"/>
      <c r="D178" s="125" t="s">
        <v>1398</v>
      </c>
      <c r="E178" s="548"/>
      <c r="F178" s="894"/>
    </row>
    <row r="179" spans="1:6">
      <c r="A179" s="131"/>
      <c r="B179" s="3"/>
      <c r="C179" s="590"/>
      <c r="D179" s="125"/>
      <c r="E179" s="548"/>
      <c r="F179" s="894"/>
    </row>
    <row r="180" spans="1:6" ht="31.5">
      <c r="A180" s="131"/>
      <c r="B180" s="370"/>
      <c r="C180" s="1411" t="str">
        <f>+C159</f>
        <v>Particulars</v>
      </c>
      <c r="D180" s="1411"/>
      <c r="E180" s="1218" t="str">
        <f>+E159</f>
        <v>As at 28th February, 2019</v>
      </c>
      <c r="F180" s="1219" t="str">
        <f>+F159</f>
        <v>As at 31st December, 2018</v>
      </c>
    </row>
    <row r="181" spans="1:6" s="4" customFormat="1" ht="16.5">
      <c r="A181" s="131"/>
      <c r="B181" s="370"/>
      <c r="C181" s="236" t="s">
        <v>1422</v>
      </c>
      <c r="D181" s="244" t="s">
        <v>1421</v>
      </c>
      <c r="E181" s="1285"/>
      <c r="F181" s="1272"/>
    </row>
    <row r="182" spans="1:6" ht="16.5">
      <c r="A182" s="131">
        <v>5106101000</v>
      </c>
      <c r="B182" s="370"/>
      <c r="C182" s="566"/>
      <c r="D182" s="581" t="s">
        <v>1399</v>
      </c>
      <c r="E182" s="1147">
        <f>ABS(IFERROR(VLOOKUP(A182,Trial!A:C,3,0),0))</f>
        <v>878424.66</v>
      </c>
      <c r="F182" s="1215">
        <f>ABS(IFERROR(VLOOKUP(A182,Trial_Balance,4,0),0))</f>
        <v>878424.66</v>
      </c>
    </row>
    <row r="183" spans="1:6" ht="16.5">
      <c r="A183" s="131">
        <v>5106102000</v>
      </c>
      <c r="B183" s="370"/>
      <c r="C183" s="566"/>
      <c r="D183" s="581" t="str">
        <f>VLOOKUP(A183,Trial!A:B,2,0)</f>
        <v>Bank Charges</v>
      </c>
      <c r="E183" s="1147">
        <f>ABS(IFERROR(VLOOKUP(A183,Trial!A:C,3,0),0))</f>
        <v>125292.74</v>
      </c>
      <c r="F183" s="1215">
        <f>ABS(IFERROR(VLOOKUP(A183,Trial_Balance,4,0),0))</f>
        <v>117297.55</v>
      </c>
    </row>
    <row r="184" spans="1:6">
      <c r="A184" s="131">
        <v>5106101001</v>
      </c>
      <c r="B184" s="297"/>
      <c r="C184" s="280"/>
      <c r="D184" s="578" t="s">
        <v>1139</v>
      </c>
      <c r="E184" s="1147">
        <f>ABS(IFERROR(VLOOKUP(A184,Trial!A:C,3,0),0))</f>
        <v>0</v>
      </c>
      <c r="F184" s="1215">
        <f>ABS(IFERROR(VLOOKUP(A184,Trial_Balance,4,0),0))</f>
        <v>0</v>
      </c>
    </row>
    <row r="185" spans="1:6" ht="16.5">
      <c r="A185" s="131"/>
      <c r="B185" s="370"/>
      <c r="C185" s="583"/>
      <c r="D185" s="588"/>
      <c r="E185" s="1148">
        <f>+SUM(E182:E183)+E184</f>
        <v>1003717.4</v>
      </c>
      <c r="F185" s="1189">
        <f>+SUM(F182:F183)+F184</f>
        <v>995722.21000000008</v>
      </c>
    </row>
    <row r="186" spans="1:6" ht="16.5">
      <c r="A186" s="131"/>
      <c r="B186" s="370"/>
      <c r="C186" s="566"/>
      <c r="D186" s="246" t="s">
        <v>1400</v>
      </c>
      <c r="E186" s="1199"/>
      <c r="F186" s="1188"/>
    </row>
    <row r="187" spans="1:6">
      <c r="A187" s="131"/>
      <c r="B187" s="134"/>
      <c r="C187" s="134"/>
      <c r="D187" s="131"/>
      <c r="E187" s="247"/>
      <c r="F187" s="247"/>
    </row>
    <row r="188" spans="1:6" ht="16.5">
      <c r="A188" s="131"/>
      <c r="B188" s="370"/>
      <c r="C188" s="566"/>
      <c r="D188" s="297"/>
      <c r="E188" s="1199"/>
      <c r="F188" s="1188"/>
    </row>
    <row r="189" spans="1:6" ht="31.5">
      <c r="A189" s="131"/>
      <c r="B189" s="370"/>
      <c r="C189" s="1411" t="str">
        <f>+C180</f>
        <v>Particulars</v>
      </c>
      <c r="D189" s="1411"/>
      <c r="E189" s="1218" t="str">
        <f>+E180</f>
        <v>As at 28th February, 2019</v>
      </c>
      <c r="F189" s="1219" t="str">
        <f>+F180</f>
        <v>As at 31st December, 2018</v>
      </c>
    </row>
    <row r="190" spans="1:6" ht="16.5">
      <c r="A190" s="131"/>
      <c r="B190" s="370"/>
      <c r="C190" s="236" t="s">
        <v>1424</v>
      </c>
      <c r="D190" s="244" t="s">
        <v>1423</v>
      </c>
      <c r="E190" s="1286"/>
      <c r="F190" s="1287"/>
    </row>
    <row r="191" spans="1:6" ht="16.5">
      <c r="A191" s="131">
        <v>5105114001</v>
      </c>
      <c r="B191" s="370"/>
      <c r="C191" s="566"/>
      <c r="D191" s="581" t="str">
        <f>VLOOKUP(A191,Trial!A:B,2,0)</f>
        <v>Fines &amp; Penalty</v>
      </c>
      <c r="E191" s="1147">
        <f>ABS(IFERROR(VLOOKUP(A191,Trial!A:C,3,0),0))</f>
        <v>0</v>
      </c>
      <c r="F191" s="1215">
        <f t="shared" ref="F191:F199" si="11">ABS(IFERROR(VLOOKUP(A191,Trial_Balance,4,0),0))</f>
        <v>0</v>
      </c>
    </row>
    <row r="192" spans="1:6" s="130" customFormat="1">
      <c r="A192" s="131">
        <v>5105117000</v>
      </c>
      <c r="B192" s="297"/>
      <c r="C192" s="280"/>
      <c r="D192" s="581" t="str">
        <f>VLOOKUP(A192,Trial!A:B,2,0)</f>
        <v>Rates and Taxes</v>
      </c>
      <c r="E192" s="1147">
        <f>ABS(IFERROR(VLOOKUP(A192,Trial!A:C,3,0),0))</f>
        <v>2500</v>
      </c>
      <c r="F192" s="1215">
        <f t="shared" si="11"/>
        <v>12231.6</v>
      </c>
    </row>
    <row r="193" spans="1:6" ht="16.5">
      <c r="A193" s="131">
        <v>5105126003</v>
      </c>
      <c r="B193" s="370"/>
      <c r="C193" s="566"/>
      <c r="D193" s="581" t="s">
        <v>1401</v>
      </c>
      <c r="E193" s="1147">
        <f>ABS(IFERROR(VLOOKUP(A193,Trial!A:C,3,0),0))</f>
        <v>0</v>
      </c>
      <c r="F193" s="1215">
        <f t="shared" si="11"/>
        <v>0</v>
      </c>
    </row>
    <row r="194" spans="1:6" s="130" customFormat="1">
      <c r="A194" s="131">
        <v>5103103008</v>
      </c>
      <c r="B194" s="297"/>
      <c r="C194" s="280"/>
      <c r="D194" s="581" t="s">
        <v>1444</v>
      </c>
      <c r="E194" s="1147">
        <f>ABS(IFERROR(VLOOKUP(A194,Trial!A:C,3,0),0))</f>
        <v>0</v>
      </c>
      <c r="F194" s="1215">
        <f t="shared" si="11"/>
        <v>144161.12</v>
      </c>
    </row>
    <row r="195" spans="1:6" ht="16.5">
      <c r="A195" s="131">
        <v>5105113000</v>
      </c>
      <c r="B195" s="370"/>
      <c r="C195" s="566"/>
      <c r="D195" s="581" t="str">
        <f>VLOOKUP(A195,Trial!A:B,2,0)</f>
        <v>Communication (Fax, Mail, Post)</v>
      </c>
      <c r="E195" s="1147">
        <f>ABS(IFERROR(VLOOKUP(A195,Trial!A:C,3,0),0))</f>
        <v>46189</v>
      </c>
      <c r="F195" s="1215">
        <f t="shared" si="11"/>
        <v>44850</v>
      </c>
    </row>
    <row r="196" spans="1:6" s="130" customFormat="1">
      <c r="A196" s="131">
        <v>5105123000</v>
      </c>
      <c r="B196" s="297"/>
      <c r="C196" s="280"/>
      <c r="D196" s="581" t="str">
        <f>VLOOKUP(A196,Trial!A:B,2,0)</f>
        <v>Carriage Outward &amp; Inward</v>
      </c>
      <c r="E196" s="1147">
        <f>ABS(IFERROR(VLOOKUP(A196,Trial!A:C,3,0),0))</f>
        <v>53904</v>
      </c>
      <c r="F196" s="1215">
        <f t="shared" si="11"/>
        <v>110041</v>
      </c>
    </row>
    <row r="197" spans="1:6" ht="16.5">
      <c r="A197" s="131">
        <v>5103104000</v>
      </c>
      <c r="B197" s="370"/>
      <c r="C197" s="566"/>
      <c r="D197" s="581" t="str">
        <f>VLOOKUP(A197,Trial!A:B,2,0)</f>
        <v>Vehicle Running Expense - POL</v>
      </c>
      <c r="E197" s="1147">
        <f>ABS(IFERROR(VLOOKUP(A197,Trial!A:C,3,0),0))</f>
        <v>1209470.05</v>
      </c>
      <c r="F197" s="1215">
        <f t="shared" si="11"/>
        <v>795140.08</v>
      </c>
    </row>
    <row r="198" spans="1:6" s="130" customFormat="1">
      <c r="A198" s="130">
        <v>5105130000</v>
      </c>
      <c r="D198" s="131" t="str">
        <f>VLOOKUP(A198,Trial!A:B,2,0)</f>
        <v>Audit Fees</v>
      </c>
      <c r="E198" s="128">
        <f>ABS(IFERROR(VLOOKUP(A198,Trial!A:C,3,0),0))</f>
        <v>0</v>
      </c>
      <c r="F198" s="128">
        <f t="shared" si="11"/>
        <v>0</v>
      </c>
    </row>
    <row r="199" spans="1:6">
      <c r="A199" s="131">
        <v>5105130001</v>
      </c>
      <c r="B199" s="134"/>
      <c r="C199" s="134"/>
      <c r="D199" s="131" t="str">
        <f>VLOOKUP(A199,Trial!A:B,2,0)</f>
        <v>Audit Expenses</v>
      </c>
      <c r="E199" s="128">
        <f>ABS(IFERROR(VLOOKUP(A199,Trial!A:C,3,0),0))</f>
        <v>380527.5</v>
      </c>
      <c r="F199" s="128">
        <f t="shared" si="11"/>
        <v>325447.5</v>
      </c>
    </row>
    <row r="200" spans="1:6" ht="16.5">
      <c r="A200" s="131"/>
      <c r="B200" s="370"/>
      <c r="C200" s="566"/>
      <c r="D200" s="581" t="s">
        <v>1127</v>
      </c>
      <c r="E200" s="1147">
        <f>SUM(E198:E199)</f>
        <v>380527.5</v>
      </c>
      <c r="F200" s="1215">
        <f>SUM(F198:F199)</f>
        <v>325447.5</v>
      </c>
    </row>
    <row r="201" spans="1:6">
      <c r="A201" s="131">
        <v>5105108000</v>
      </c>
      <c r="B201" s="134"/>
      <c r="C201" s="134"/>
      <c r="D201" s="131" t="str">
        <f>VLOOKUP(A201,Trial!A:B,2,0)</f>
        <v>Printing and Stationary</v>
      </c>
      <c r="E201" s="128">
        <f>ABS(IFERROR(VLOOKUP(A201,Trial!A:C,3,0),0))</f>
        <v>1080</v>
      </c>
      <c r="F201" s="128">
        <f>ABS(IFERROR(VLOOKUP(A201,Trial_Balance,4,0),0))</f>
        <v>0</v>
      </c>
    </row>
    <row r="202" spans="1:6">
      <c r="A202" s="131">
        <v>5102106000</v>
      </c>
      <c r="B202" s="134"/>
      <c r="C202" s="134"/>
      <c r="D202" s="131" t="str">
        <f>VLOOKUP(A202,Trial!A:B,2,0)</f>
        <v>Consumption of Printing and Stationaries</v>
      </c>
      <c r="E202" s="128">
        <f>ABS(IFERROR(VLOOKUP(A202,Trial!A:C,3,0),0))</f>
        <v>121106.8</v>
      </c>
      <c r="F202" s="128">
        <f>ABS(IFERROR(VLOOKUP(A202,Trial_Balance,4,0),0))</f>
        <v>110674.47</v>
      </c>
    </row>
    <row r="203" spans="1:6" ht="16.5">
      <c r="A203" s="131"/>
      <c r="B203" s="370"/>
      <c r="C203" s="566"/>
      <c r="D203" s="581" t="s">
        <v>1126</v>
      </c>
      <c r="E203" s="1147">
        <f>SUM(E201:E202)</f>
        <v>122186.8</v>
      </c>
      <c r="F203" s="1215">
        <f>SUM(F201:F202)</f>
        <v>110674.47</v>
      </c>
    </row>
    <row r="204" spans="1:6">
      <c r="A204" s="131">
        <v>5105119003</v>
      </c>
      <c r="B204" s="134"/>
      <c r="C204" s="134"/>
      <c r="D204" s="131" t="str">
        <f>VLOOKUP(A204,Trial!A:B,2,0)</f>
        <v>Insurance on Telecom Equipment</v>
      </c>
      <c r="E204" s="128">
        <f>ABS(IFERROR(VLOOKUP(A204,Trial!A:C,3,0),0))</f>
        <v>0</v>
      </c>
      <c r="F204" s="128">
        <f>ABS(IFERROR(VLOOKUP(A204,Trial_Balance,4,0),0))</f>
        <v>0</v>
      </c>
    </row>
    <row r="205" spans="1:6">
      <c r="A205" s="131">
        <v>5105119000</v>
      </c>
      <c r="D205" s="131" t="s">
        <v>668</v>
      </c>
      <c r="E205" s="128">
        <f>ABS(IFERROR(VLOOKUP(A205,Trial!A:C,3,0),0))</f>
        <v>11537</v>
      </c>
      <c r="F205" s="128">
        <f>ABS(IFERROR(VLOOKUP(A205,Trial_Balance,4,0),0))</f>
        <v>11062</v>
      </c>
    </row>
    <row r="206" spans="1:6" ht="16.5">
      <c r="A206" s="131"/>
      <c r="B206" s="364"/>
      <c r="C206" s="520"/>
      <c r="D206" s="581" t="s">
        <v>1125</v>
      </c>
      <c r="E206" s="1147">
        <f>SUM(E204:E205)</f>
        <v>11537</v>
      </c>
      <c r="F206" s="1215">
        <f>SUM(F204:F205)</f>
        <v>11062</v>
      </c>
    </row>
    <row r="207" spans="1:6">
      <c r="A207" s="131">
        <v>5105126005</v>
      </c>
      <c r="B207" s="134"/>
      <c r="C207" s="134"/>
      <c r="D207" s="131" t="str">
        <f>VLOOKUP(A207,Trial!A:B,2,0)</f>
        <v>Loss/Scrapping/Retirement of Asset</v>
      </c>
      <c r="E207" s="128">
        <f>ABS(IFERROR(VLOOKUP(A207,Trial!A:C,3,0),0))</f>
        <v>0</v>
      </c>
      <c r="F207" s="128">
        <f>ABS(IFERROR(VLOOKUP(A207,Trial_Balance,4,0),0))</f>
        <v>0</v>
      </c>
    </row>
    <row r="208" spans="1:6" s="130" customFormat="1">
      <c r="A208" s="131">
        <v>5105126006</v>
      </c>
      <c r="B208" s="131"/>
      <c r="C208" s="131"/>
      <c r="D208" s="131" t="str">
        <f>VLOOKUP(A208,Trial!A:B,2,0)</f>
        <v>Loss on Sale of Fixed Asset</v>
      </c>
      <c r="E208" s="128">
        <f>ABS(IFERROR(VLOOKUP(A208,Trial!A:C,3,0),0))</f>
        <v>0</v>
      </c>
      <c r="F208" s="128">
        <f>ABS(IFERROR(VLOOKUP(A208,Trial_Balance,4,0),0))</f>
        <v>0</v>
      </c>
    </row>
    <row r="209" spans="1:6">
      <c r="A209" s="131">
        <v>4102105001</v>
      </c>
      <c r="B209" s="134"/>
      <c r="C209" s="134"/>
      <c r="D209" s="131" t="str">
        <f>VLOOKUP(A209,Trial!A:B,2,0)</f>
        <v>Gain on Sale of Fixed Assets</v>
      </c>
      <c r="E209" s="128">
        <f>-ABS(IFERROR(VLOOKUP(A209,Trial!A:C,3,0),0))</f>
        <v>0</v>
      </c>
      <c r="F209" s="128">
        <f>-ABS(IFERROR(VLOOKUP(A209,Trial_Balance,4,0),0))</f>
        <v>0</v>
      </c>
    </row>
    <row r="210" spans="1:6" ht="16.5">
      <c r="A210" s="131"/>
      <c r="B210" s="370"/>
      <c r="C210" s="566"/>
      <c r="D210" s="581" t="s">
        <v>1123</v>
      </c>
      <c r="E210" s="1147">
        <f>SUM(E207:E209)</f>
        <v>0</v>
      </c>
      <c r="F210" s="1215">
        <f>SUM(F207:F209)</f>
        <v>0</v>
      </c>
    </row>
    <row r="211" spans="1:6" s="130" customFormat="1">
      <c r="A211" s="131">
        <v>5105104000</v>
      </c>
      <c r="B211" s="131"/>
      <c r="C211" s="131"/>
      <c r="D211" s="131" t="str">
        <f>VLOOKUP(A211,Trial!A:B,2,0)</f>
        <v>Directors Fees</v>
      </c>
      <c r="E211" s="128">
        <f>ABS(IFERROR(VLOOKUP(A211,Trial!A:C,3,0),0))</f>
        <v>142000</v>
      </c>
      <c r="F211" s="128">
        <f>ABS(IFERROR(VLOOKUP(A211,Trial_Balance,4,0),0))</f>
        <v>182000</v>
      </c>
    </row>
    <row r="212" spans="1:6">
      <c r="A212" s="131">
        <v>5105128000</v>
      </c>
      <c r="B212" s="134"/>
      <c r="C212" s="134"/>
      <c r="D212" s="131" t="str">
        <f>VLOOKUP(A212,Trial!A:B,2,0)</f>
        <v>Professional Charges</v>
      </c>
      <c r="E212" s="128">
        <f>ABS(IFERROR(VLOOKUP(A212,Trial!A:C,3,0),0))</f>
        <v>0</v>
      </c>
      <c r="F212" s="128">
        <f>ABS(IFERROR(VLOOKUP(A212,Trial_Balance,4,0),0))</f>
        <v>0</v>
      </c>
    </row>
    <row r="213" spans="1:6" ht="16.5">
      <c r="A213" s="131"/>
      <c r="B213" s="370"/>
      <c r="C213" s="566"/>
      <c r="D213" s="581" t="s">
        <v>1122</v>
      </c>
      <c r="E213" s="1147">
        <f>SUM(E211:E212)</f>
        <v>142000</v>
      </c>
      <c r="F213" s="1215">
        <f>SUM(F211:F212)</f>
        <v>182000</v>
      </c>
    </row>
    <row r="214" spans="1:6">
      <c r="A214" s="131">
        <v>5105125000</v>
      </c>
      <c r="B214" s="134"/>
      <c r="C214" s="134"/>
      <c r="D214" s="131" t="str">
        <f>VLOOKUP(A214,Trial!A:B,2,0)</f>
        <v>Corporate Social Responsibility</v>
      </c>
      <c r="E214" s="128">
        <f>ABS(IFERROR(VLOOKUP(A214,Trial!A:C,3,0),0))</f>
        <v>30000</v>
      </c>
      <c r="F214" s="128">
        <f>ABS(IFERROR(VLOOKUP(A214,Trial_Balance,4,0),0))</f>
        <v>60000</v>
      </c>
    </row>
    <row r="215" spans="1:6">
      <c r="A215" s="131">
        <v>5105125001</v>
      </c>
      <c r="B215" s="134"/>
      <c r="C215" s="134"/>
      <c r="D215" s="131" t="str">
        <f>VLOOKUP(A215,Trial!A:B,2,0)</f>
        <v>Donation</v>
      </c>
      <c r="E215" s="128">
        <f>ABS(IFERROR(VLOOKUP(A215,Trial!A:C,3,0),0))</f>
        <v>80000</v>
      </c>
      <c r="F215" s="128">
        <f>ABS(IFERROR(VLOOKUP(A215,Trial_Balance,4,0),0))</f>
        <v>0</v>
      </c>
    </row>
    <row r="216" spans="1:6" ht="16.5">
      <c r="A216" s="131"/>
      <c r="B216" s="370"/>
      <c r="C216" s="566"/>
      <c r="D216" s="581" t="s">
        <v>1121</v>
      </c>
      <c r="E216" s="1147">
        <f>SUM(E214:E215)</f>
        <v>110000</v>
      </c>
      <c r="F216" s="1215">
        <f>SUM(F214:F215)</f>
        <v>60000</v>
      </c>
    </row>
    <row r="217" spans="1:6" s="130" customFormat="1">
      <c r="A217" s="131">
        <v>5105116000</v>
      </c>
      <c r="B217" s="131"/>
      <c r="C217" s="131"/>
      <c r="D217" s="131" t="str">
        <f>VLOOKUP(A217,Trial!A:B,2,0)</f>
        <v>Travel - Local</v>
      </c>
      <c r="E217" s="128">
        <f>ABS(IFERROR(VLOOKUP(A217,Trial!A:C,3,0),0))</f>
        <v>1275650</v>
      </c>
      <c r="F217" s="128">
        <f>ABS(IFERROR(VLOOKUP(A217,Trial_Balance,4,0),0))</f>
        <v>1106396</v>
      </c>
    </row>
    <row r="218" spans="1:6" s="130" customFormat="1">
      <c r="A218" s="131">
        <v>5105116001</v>
      </c>
      <c r="B218" s="131"/>
      <c r="C218" s="131"/>
      <c r="D218" s="131" t="str">
        <f>VLOOKUP(A218,Trial!A:B,2,0)</f>
        <v>Travel - Maintenance &amp; Project</v>
      </c>
      <c r="E218" s="128">
        <f>ABS(IFERROR(VLOOKUP(A218,Trial!A:C,3,0),0))</f>
        <v>160500</v>
      </c>
      <c r="F218" s="128">
        <f>ABS(IFERROR(VLOOKUP(A218,Trial_Balance,4,0),0))</f>
        <v>192800</v>
      </c>
    </row>
    <row r="219" spans="1:6" s="130" customFormat="1">
      <c r="A219" s="131"/>
      <c r="B219" s="297"/>
      <c r="C219" s="280"/>
      <c r="D219" s="581" t="s">
        <v>1220</v>
      </c>
      <c r="E219" s="1147">
        <f>+E220+E221</f>
        <v>1436150</v>
      </c>
      <c r="F219" s="1215">
        <f>+F220+F221</f>
        <v>1454216</v>
      </c>
    </row>
    <row r="220" spans="1:6" s="130" customFormat="1">
      <c r="A220" s="131"/>
      <c r="B220" s="131"/>
      <c r="C220" s="131"/>
      <c r="D220" s="131" t="s">
        <v>1120</v>
      </c>
      <c r="E220" s="128">
        <f>SUM(E217:E218)</f>
        <v>1436150</v>
      </c>
      <c r="F220" s="128">
        <f>SUM(F217:F218)</f>
        <v>1299196</v>
      </c>
    </row>
    <row r="221" spans="1:6">
      <c r="A221" s="131">
        <v>5105115000</v>
      </c>
      <c r="B221" s="131"/>
      <c r="C221" s="131"/>
      <c r="D221" s="131" t="str">
        <f>VLOOKUP(A221,Trial!A:B,2,0)</f>
        <v>Travel - Foreign</v>
      </c>
      <c r="E221" s="128">
        <f>ABS(IFERROR(VLOOKUP(A221,Trial!A:C,3,0),0))</f>
        <v>0</v>
      </c>
      <c r="F221" s="128">
        <f>ABS(IFERROR(VLOOKUP(A221,Trial_Balance,4,0),0))</f>
        <v>155020</v>
      </c>
    </row>
    <row r="222" spans="1:6" s="130" customFormat="1">
      <c r="A222" s="131">
        <v>5105126002</v>
      </c>
      <c r="B222" s="131"/>
      <c r="C222" s="131"/>
      <c r="D222" s="131" t="str">
        <f>VLOOKUP(A222,Trial!A:B,2,0)</f>
        <v>Physical Verification of Inventory - Loss</v>
      </c>
      <c r="E222" s="128">
        <f>ABS(IFERROR(VLOOKUP(A222,Trial!A:C,3,0),0))</f>
        <v>0</v>
      </c>
      <c r="F222" s="128">
        <f>ABS(IFERROR(VLOOKUP(A222,Trial_Balance,4,0),0))</f>
        <v>0</v>
      </c>
    </row>
    <row r="223" spans="1:6">
      <c r="A223" s="131">
        <v>4102110003</v>
      </c>
      <c r="B223" s="134"/>
      <c r="C223" s="134"/>
      <c r="D223" s="131" t="str">
        <f>VLOOKUP(A223,Trial!A:B,2,0)</f>
        <v>Physical Verification on Inventory - Gain</v>
      </c>
      <c r="E223" s="128">
        <f>-ABS(IFERROR(VLOOKUP(A223,Trial!A:C,3,0),0))</f>
        <v>0</v>
      </c>
      <c r="F223" s="128">
        <f>-ABS(IFERROR(VLOOKUP(A223,Trial_Balance,4,0),0))</f>
        <v>0</v>
      </c>
    </row>
    <row r="224" spans="1:6" s="130" customFormat="1">
      <c r="A224" s="131">
        <v>5105126000</v>
      </c>
      <c r="B224" s="131"/>
      <c r="C224" s="131"/>
      <c r="D224" s="131" t="str">
        <f>VLOOKUP(A224,Trial!A:B,2,0)</f>
        <v>Price Difference of Material - Loss</v>
      </c>
      <c r="E224" s="128">
        <f>ABS(IFERROR(VLOOKUP(A224,Trial!A:C,3,0),0))</f>
        <v>0</v>
      </c>
      <c r="F224" s="128">
        <f>ABS(IFERROR(VLOOKUP(A224,Trial_Balance,4,0),0))</f>
        <v>0</v>
      </c>
    </row>
    <row r="225" spans="1:6">
      <c r="A225" s="131">
        <v>5105126001</v>
      </c>
      <c r="B225" s="134"/>
      <c r="C225" s="134"/>
      <c r="D225" s="131" t="str">
        <f>VLOOKUP(A225,Trial!A:B,2,0)</f>
        <v>Revaluation of Material - Loss</v>
      </c>
      <c r="E225" s="128">
        <f>ABS(IFERROR(VLOOKUP(A225,Trial!A:C,3,0),0))</f>
        <v>0</v>
      </c>
      <c r="F225" s="128">
        <f>ABS(IFERROR(VLOOKUP(A225,Trial_Balance,4,0),0))</f>
        <v>256351.56</v>
      </c>
    </row>
    <row r="226" spans="1:6">
      <c r="A226" s="131">
        <v>5105126004</v>
      </c>
      <c r="B226" s="134"/>
      <c r="C226" s="134"/>
      <c r="D226" s="131" t="str">
        <f>VLOOKUP(A226,Trial!A:B,2,0)</f>
        <v>Loss/Scrapping/Retirement of Inventory</v>
      </c>
      <c r="E226" s="128">
        <f>ABS(IFERROR(VLOOKUP(A226,Trial!A:C,3,0),0))</f>
        <v>0</v>
      </c>
      <c r="F226" s="128">
        <f>ABS(IFERROR(VLOOKUP(A226,Trial_Balance,4,0),0))</f>
        <v>0</v>
      </c>
    </row>
    <row r="227" spans="1:6">
      <c r="A227" s="131">
        <v>4102110001</v>
      </c>
      <c r="B227" s="134"/>
      <c r="C227" s="134"/>
      <c r="D227" s="131" t="str">
        <f>VLOOKUP(A227,Trial!A:B,2,0)</f>
        <v>Price Difference of Material - Gain</v>
      </c>
      <c r="E227" s="128">
        <f>ABS(IFERROR(VLOOKUP(A227,Trial!A:C,3,0),0))</f>
        <v>0</v>
      </c>
      <c r="F227" s="128">
        <f>ABS(IFERROR(VLOOKUP(A227,Trial_Balance,4,0),0))</f>
        <v>0</v>
      </c>
    </row>
    <row r="228" spans="1:6">
      <c r="A228" s="131">
        <v>4102110002</v>
      </c>
      <c r="B228" s="134"/>
      <c r="C228" s="134"/>
      <c r="D228" s="131" t="str">
        <f>VLOOKUP(A228,Trial!A:B,2,0)</f>
        <v>Revaluation of Material - Gain</v>
      </c>
      <c r="E228" s="128">
        <f>-ABS(IFERROR(VLOOKUP(A228,Trial!A:C,3,0),0))</f>
        <v>0</v>
      </c>
      <c r="F228" s="128">
        <f>-ABS(IFERROR(VLOOKUP(A228,Trial_Balance,4,0),0))</f>
        <v>-215653.88</v>
      </c>
    </row>
    <row r="229" spans="1:6" ht="16.5">
      <c r="A229" s="131"/>
      <c r="B229" s="370"/>
      <c r="C229" s="566"/>
      <c r="D229" s="581" t="s">
        <v>1124</v>
      </c>
      <c r="E229" s="1147">
        <f>SUM(E222:E228)</f>
        <v>0</v>
      </c>
      <c r="F229" s="1215">
        <f>SUM(F222:F228)</f>
        <v>40697.679999999993</v>
      </c>
    </row>
    <row r="230" spans="1:6" ht="16.5">
      <c r="A230" s="131">
        <v>5103103000</v>
      </c>
      <c r="B230" s="370"/>
      <c r="C230" s="566"/>
      <c r="D230" s="581" t="str">
        <f>VLOOKUP(A230,Trial!A:B,2,0)</f>
        <v>R&amp;M Building - Service</v>
      </c>
      <c r="E230" s="1147">
        <f>ABS(IFERROR(VLOOKUP(A230,Trial!A:C,3,0),0))</f>
        <v>914026.63</v>
      </c>
      <c r="F230" s="1215">
        <f t="shared" ref="F230:F237" si="12">ABS(IFERROR(VLOOKUP(A230,Trial_Balance,4,0),0))</f>
        <v>47205</v>
      </c>
    </row>
    <row r="231" spans="1:6">
      <c r="A231" s="131">
        <v>5102104000</v>
      </c>
      <c r="B231" s="134"/>
      <c r="C231" s="134"/>
      <c r="D231" s="131" t="str">
        <f>VLOOKUP(A231,Trial!A:B,2,0)</f>
        <v>Consumption of General Item</v>
      </c>
      <c r="E231" s="128">
        <f>ABS(IFERROR(VLOOKUP(A231,Trial!A:C,3,0),0))</f>
        <v>0</v>
      </c>
      <c r="F231" s="128">
        <f t="shared" si="12"/>
        <v>2179</v>
      </c>
    </row>
    <row r="232" spans="1:6">
      <c r="A232" s="131">
        <v>5103103001</v>
      </c>
      <c r="B232" s="134"/>
      <c r="C232" s="134"/>
      <c r="D232" s="131" t="str">
        <f>VLOOKUP(A232,Trial!A:B,2,0)</f>
        <v>R&amp;M Office Equipment - Service</v>
      </c>
      <c r="E232" s="128">
        <f>ABS(IFERROR(VLOOKUP(A232,Trial!A:C,3,0),0))</f>
        <v>5310</v>
      </c>
      <c r="F232" s="128">
        <f t="shared" si="12"/>
        <v>14600</v>
      </c>
    </row>
    <row r="233" spans="1:6">
      <c r="A233" s="131">
        <v>5103103002</v>
      </c>
      <c r="B233" s="134"/>
      <c r="C233" s="134"/>
      <c r="D233" s="131" t="str">
        <f>VLOOKUP(A233,Trial!A:B,2,0)</f>
        <v>R&amp;M Furniture &amp; Fixture - Service</v>
      </c>
      <c r="E233" s="128">
        <f>ABS(IFERROR(VLOOKUP(A233,Trial!A:C,3,0),0))</f>
        <v>0</v>
      </c>
      <c r="F233" s="128">
        <f t="shared" si="12"/>
        <v>0</v>
      </c>
    </row>
    <row r="234" spans="1:6">
      <c r="A234" s="131">
        <v>5102102000</v>
      </c>
      <c r="D234" s="134" t="s">
        <v>617</v>
      </c>
      <c r="E234" s="128">
        <f>ABS(IFERROR(VLOOKUP(A234,Trial!A:C,3,0),0))</f>
        <v>400556.74</v>
      </c>
      <c r="F234" s="128">
        <f t="shared" si="12"/>
        <v>172284.17</v>
      </c>
    </row>
    <row r="235" spans="1:6">
      <c r="A235" s="131">
        <v>5103103003</v>
      </c>
      <c r="B235" s="134"/>
      <c r="C235" s="134"/>
      <c r="D235" s="131" t="str">
        <f>VLOOKUP(A235,Trial!A:B,2,0)</f>
        <v>R&amp;M Office Equipment - AMC</v>
      </c>
      <c r="E235" s="128">
        <f>ABS(IFERROR(VLOOKUP(A235,Trial!A:C,3,0),0))</f>
        <v>0</v>
      </c>
      <c r="F235" s="128">
        <f t="shared" si="12"/>
        <v>229890</v>
      </c>
    </row>
    <row r="236" spans="1:6">
      <c r="A236" s="131">
        <v>5103104001</v>
      </c>
      <c r="B236" s="134"/>
      <c r="C236" s="134"/>
      <c r="D236" s="131" t="str">
        <f>VLOOKUP(A236,Trial!A:B,2,0)</f>
        <v>R&amp;M Vehicles - Services</v>
      </c>
      <c r="E236" s="128">
        <f>ABS(IFERROR(VLOOKUP(A236,Trial!A:C,3,0),0))</f>
        <v>745237</v>
      </c>
      <c r="F236" s="128">
        <f t="shared" si="12"/>
        <v>802885</v>
      </c>
    </row>
    <row r="237" spans="1:6">
      <c r="A237" s="130">
        <v>5102101000</v>
      </c>
      <c r="D237" s="130" t="s">
        <v>616</v>
      </c>
      <c r="E237" s="128">
        <f>ABS(IFERROR(VLOOKUP(A237,Trial!A:C,3,0),0))</f>
        <v>131103.95000000001</v>
      </c>
      <c r="F237" s="128">
        <f t="shared" si="12"/>
        <v>294402.23</v>
      </c>
    </row>
    <row r="238" spans="1:6" ht="16.5">
      <c r="B238" s="364"/>
      <c r="C238" s="520"/>
      <c r="D238" s="578" t="s">
        <v>1445</v>
      </c>
      <c r="E238" s="1147">
        <f>SUM(E231:E237)</f>
        <v>1282207.69</v>
      </c>
      <c r="F238" s="1215">
        <f>SUM(F231:F237)</f>
        <v>1516240.4</v>
      </c>
    </row>
    <row r="239" spans="1:6" ht="16.5">
      <c r="A239" s="130">
        <v>5105126009</v>
      </c>
      <c r="B239" s="364"/>
      <c r="C239" s="520"/>
      <c r="D239" s="578" t="s">
        <v>1130</v>
      </c>
      <c r="E239" s="126">
        <f>ABS(IFERROR(VLOOKUP(A239,Trial!A:C,3,0),0))</f>
        <v>0</v>
      </c>
      <c r="F239" s="126">
        <f t="shared" ref="F239:F250" si="13">ABS(IFERROR(VLOOKUP(A239,Trial_Balance,4,0),0))</f>
        <v>0</v>
      </c>
    </row>
    <row r="240" spans="1:6">
      <c r="A240" s="131">
        <v>5105124000</v>
      </c>
      <c r="B240" s="134"/>
      <c r="C240" s="134"/>
      <c r="D240" s="131" t="str">
        <f>VLOOKUP(A240,Trial!A:B,2,0)</f>
        <v>Books, Magazines and Newspapers</v>
      </c>
      <c r="E240" s="128">
        <f>ABS(IFERROR(VLOOKUP(A240,Trial!A:C,3,0),0))</f>
        <v>0</v>
      </c>
      <c r="F240" s="128">
        <f t="shared" si="13"/>
        <v>0</v>
      </c>
    </row>
    <row r="241" spans="1:6" s="130" customFormat="1">
      <c r="A241" s="131">
        <v>5105117003</v>
      </c>
      <c r="B241" s="131"/>
      <c r="C241" s="131"/>
      <c r="D241" s="131" t="str">
        <f>VLOOKUP(A241,Trial!A:B,2,0)</f>
        <v>Rebate Expense</v>
      </c>
      <c r="E241" s="128">
        <f>ABS(IFERROR(VLOOKUP(A241,Trial!A:C,3,0),0))</f>
        <v>0</v>
      </c>
      <c r="F241" s="128">
        <f t="shared" si="13"/>
        <v>0</v>
      </c>
    </row>
    <row r="242" spans="1:6">
      <c r="A242" s="131">
        <v>5105113001</v>
      </c>
      <c r="B242" s="134"/>
      <c r="C242" s="134"/>
      <c r="D242" s="131" t="str">
        <f>VLOOKUP(A242,Trial!A:B,2,0)</f>
        <v>Office Maintenance</v>
      </c>
      <c r="E242" s="128">
        <f>ABS(IFERROR(VLOOKUP(A242,Trial!A:C,3,0),0))</f>
        <v>95927.89</v>
      </c>
      <c r="F242" s="128">
        <f t="shared" si="13"/>
        <v>36270.92</v>
      </c>
    </row>
    <row r="243" spans="1:6">
      <c r="A243" s="131">
        <v>5105113002</v>
      </c>
      <c r="B243" s="134"/>
      <c r="C243" s="134"/>
      <c r="D243" s="131" t="str">
        <f>VLOOKUP(A243,Trial!A:B,2,0)</f>
        <v>Water and Sewerage</v>
      </c>
      <c r="E243" s="128">
        <f>ABS(IFERROR(VLOOKUP(A243,Trial!A:C,3,0),0))</f>
        <v>39198</v>
      </c>
      <c r="F243" s="128">
        <f t="shared" si="13"/>
        <v>12901</v>
      </c>
    </row>
    <row r="244" spans="1:6" s="130" customFormat="1">
      <c r="A244" s="131">
        <v>5105117001</v>
      </c>
      <c r="B244" s="131"/>
      <c r="C244" s="131"/>
      <c r="D244" s="131" t="str">
        <f>VLOOKUP(A244,Trial!A:B,2,0)</f>
        <v>Custom Clearing Charges</v>
      </c>
      <c r="E244" s="128">
        <f>ABS(IFERROR(VLOOKUP(A244,Trial!A:C,3,0),0))</f>
        <v>1400</v>
      </c>
      <c r="F244" s="128">
        <f t="shared" si="13"/>
        <v>0</v>
      </c>
    </row>
    <row r="245" spans="1:6">
      <c r="A245" s="131">
        <v>5105118000</v>
      </c>
      <c r="B245" s="134"/>
      <c r="C245" s="134"/>
      <c r="D245" s="131" t="str">
        <f>VLOOKUP(A245,Trial!A:B,2,0)</f>
        <v>Registration and Filing Fees/Survey</v>
      </c>
      <c r="E245" s="128">
        <f>ABS(IFERROR(VLOOKUP(A245,Trial!A:C,3,0),0))</f>
        <v>30097</v>
      </c>
      <c r="F245" s="128">
        <f t="shared" si="13"/>
        <v>18764</v>
      </c>
    </row>
    <row r="246" spans="1:6">
      <c r="A246" s="131">
        <v>5105122000</v>
      </c>
      <c r="B246" s="134"/>
      <c r="C246" s="134"/>
      <c r="D246" s="131" t="str">
        <f>VLOOKUP(A246,Trial!A:B,2,0)</f>
        <v>Entertainment</v>
      </c>
      <c r="E246" s="128">
        <f>ABS(IFERROR(VLOOKUP(A246,Trial!A:C,3,0),0))</f>
        <v>390054.68</v>
      </c>
      <c r="F246" s="128">
        <f t="shared" si="13"/>
        <v>587851.62</v>
      </c>
    </row>
    <row r="247" spans="1:6" s="130" customFormat="1">
      <c r="A247" s="131">
        <v>5105132000</v>
      </c>
      <c r="B247" s="131"/>
      <c r="C247" s="131"/>
      <c r="D247" s="131" t="str">
        <f>VLOOKUP(A247,Trial!A:B,2,0)</f>
        <v>Hospitality</v>
      </c>
      <c r="E247" s="128">
        <f>ABS(IFERROR(VLOOKUP(A247,Trial!A:C,3,0),0))</f>
        <v>8760</v>
      </c>
      <c r="F247" s="128">
        <f t="shared" si="13"/>
        <v>0</v>
      </c>
    </row>
    <row r="248" spans="1:6">
      <c r="A248" s="131">
        <v>5105123002</v>
      </c>
      <c r="B248" s="134"/>
      <c r="C248" s="134"/>
      <c r="D248" s="131" t="str">
        <f>VLOOKUP(A248,Trial!A:B,2,0)</f>
        <v>Hire Charges</v>
      </c>
      <c r="E248" s="128">
        <f>ABS(IFERROR(VLOOKUP(A248,Trial!A:C,3,0),0))</f>
        <v>0</v>
      </c>
      <c r="F248" s="128">
        <f t="shared" si="13"/>
        <v>0</v>
      </c>
    </row>
    <row r="249" spans="1:6">
      <c r="A249" s="131">
        <v>5105126999</v>
      </c>
      <c r="B249" s="134"/>
      <c r="C249" s="134"/>
      <c r="D249" s="131" t="str">
        <f>VLOOKUP(A249,Trial!A:B,2,0)</f>
        <v>Misc. Expenses</v>
      </c>
      <c r="E249" s="128">
        <f>ABS(IFERROR(VLOOKUP(A249,Trial!A:C,3,0),0))</f>
        <v>0</v>
      </c>
      <c r="F249" s="128">
        <f>ABS(IFERROR(VLOOKUP(A249,Trial_Balance,4,0),0))</f>
        <v>32071.599999999999</v>
      </c>
    </row>
    <row r="250" spans="1:6" s="130" customFormat="1">
      <c r="A250" s="131">
        <v>5105120001</v>
      </c>
      <c r="B250" s="131"/>
      <c r="C250" s="131"/>
      <c r="D250" s="131" t="str">
        <f>VLOOKUP(A250,Trial!A:B,2,0)</f>
        <v>Revenue Sharing - National</v>
      </c>
      <c r="E250" s="128">
        <f>ABS(IFERROR(VLOOKUP(A250,Trial!A:C,3,0),0))</f>
        <v>36934.5</v>
      </c>
      <c r="F250" s="128">
        <f t="shared" si="13"/>
        <v>53213.25</v>
      </c>
    </row>
    <row r="251" spans="1:6">
      <c r="A251" s="131">
        <v>4102110006</v>
      </c>
      <c r="B251" s="134"/>
      <c r="C251" s="134"/>
      <c r="D251" s="131" t="str">
        <f>VLOOKUP(A251,Trial!A:B,2,0)</f>
        <v>Rounding Difference - Gain</v>
      </c>
      <c r="E251" s="128"/>
      <c r="F251" s="128"/>
    </row>
    <row r="252" spans="1:6">
      <c r="A252" s="131">
        <v>5105126007</v>
      </c>
      <c r="B252" s="134"/>
      <c r="C252" s="134"/>
      <c r="D252" s="131" t="str">
        <f>VLOOKUP(A252,Trial!A:B,2,0)</f>
        <v>Rounding Difference - Loss</v>
      </c>
      <c r="E252" s="128"/>
      <c r="F252" s="128"/>
    </row>
    <row r="253" spans="1:6">
      <c r="A253" s="131">
        <v>5111102000</v>
      </c>
      <c r="D253" s="131" t="str">
        <f>VLOOKUP(A253,Trial!A:B,2,0)</f>
        <v>Loss on Forex Fluctuation</v>
      </c>
      <c r="E253" s="128">
        <f>ABS(IFERROR(VLOOKUP(A253,Trial!A:C,3,0),0))</f>
        <v>534662.04</v>
      </c>
      <c r="F253" s="128">
        <f>ABS(IFERROR(VLOOKUP(A253,Trial_Balance,4,0),0))</f>
        <v>309358.56</v>
      </c>
    </row>
    <row r="254" spans="1:6" s="130" customFormat="1">
      <c r="A254" s="131">
        <v>4103501000</v>
      </c>
      <c r="B254" s="131"/>
      <c r="C254" s="131"/>
      <c r="D254" s="131" t="str">
        <f>VLOOKUP(A254,Trial!A:B,2,0)</f>
        <v>Gain on Forex Fluctuation</v>
      </c>
      <c r="E254" s="128">
        <f>-ABS(IFERROR(VLOOKUP(A254,Trial!A:C,3,0),0))</f>
        <v>-169516.82</v>
      </c>
      <c r="F254" s="128">
        <f>-ABS(IFERROR(VLOOKUP(A254,Trial_Balance,4,0),0))</f>
        <v>-677151.87</v>
      </c>
    </row>
    <row r="255" spans="1:6">
      <c r="A255" s="131"/>
      <c r="B255" s="125"/>
      <c r="C255" s="125"/>
      <c r="D255" s="125" t="s">
        <v>692</v>
      </c>
      <c r="E255" s="126">
        <f>SUM(E253:E254)</f>
        <v>365145.22000000003</v>
      </c>
      <c r="F255" s="126">
        <f>SUM(F253:F254)</f>
        <v>-367793.31</v>
      </c>
    </row>
    <row r="256" spans="1:6" ht="16.5">
      <c r="A256" s="131"/>
      <c r="B256" s="370"/>
      <c r="C256" s="566"/>
      <c r="D256" s="581" t="s">
        <v>1104</v>
      </c>
      <c r="E256" s="1147">
        <f>SUM(E240:E254)</f>
        <v>967517.29</v>
      </c>
      <c r="F256" s="1215">
        <f>SUM(F240:F254)</f>
        <v>373279.07999999996</v>
      </c>
    </row>
    <row r="257" spans="1:7" ht="16.5">
      <c r="B257" s="370"/>
      <c r="C257" s="583"/>
      <c r="D257" s="588" t="s">
        <v>114</v>
      </c>
      <c r="E257" s="1148">
        <f>SUM((E256+E238+E230+E229+E219+E216+E213+E210+E206+E203+E200+SUM(E191:E197)))+E239</f>
        <v>6678215.959999999</v>
      </c>
      <c r="F257" s="1189">
        <f>SUM((F256+F238+F230+F229+F219+F216+F213+F210+F206+F203+F200+SUM(F191:F197)))+F239</f>
        <v>5227245.93</v>
      </c>
      <c r="G257" s="1297">
        <f>F257-'[2]10N_22-33'!$E$280</f>
        <v>-112850791.39000002</v>
      </c>
    </row>
    <row r="258" spans="1:7" ht="16.5">
      <c r="A258" s="131"/>
      <c r="B258" s="370"/>
      <c r="C258" s="566"/>
      <c r="D258" s="364"/>
      <c r="E258" s="1288"/>
      <c r="F258" s="1288"/>
    </row>
    <row r="260" spans="1:7">
      <c r="A260" s="131"/>
      <c r="C260" s="895"/>
      <c r="D260" s="896"/>
      <c r="E260" s="1289"/>
      <c r="F260" s="1290"/>
    </row>
    <row r="261" spans="1:7" ht="31.5">
      <c r="A261" s="131"/>
      <c r="B261" s="370"/>
      <c r="C261" s="1411" t="str">
        <f>+C189</f>
        <v>Particulars</v>
      </c>
      <c r="D261" s="1411"/>
      <c r="E261" s="1218" t="str">
        <f>+E189</f>
        <v>As at 28th February, 2019</v>
      </c>
      <c r="F261" s="1218" t="str">
        <f>+F189</f>
        <v>As at 31st December, 2018</v>
      </c>
    </row>
    <row r="262" spans="1:7" s="4" customFormat="1" ht="16.5">
      <c r="A262" s="131"/>
      <c r="B262" s="370"/>
      <c r="C262" s="236" t="s">
        <v>1427</v>
      </c>
      <c r="D262" s="934" t="s">
        <v>1446</v>
      </c>
      <c r="E262" s="1272"/>
      <c r="F262" s="1278"/>
    </row>
    <row r="263" spans="1:7" ht="16.5">
      <c r="A263" s="131">
        <v>4102101000</v>
      </c>
      <c r="B263" s="370"/>
      <c r="C263" s="566"/>
      <c r="D263" s="581" t="s">
        <v>157</v>
      </c>
      <c r="E263" s="1147">
        <f>-ABS(IFERROR(VLOOKUP(A263,Trial!A:C,3,0),0))</f>
        <v>0</v>
      </c>
      <c r="F263" s="1147">
        <f>ABS(IFERROR(VLOOKUP(A263,Trial_Balance,4,0),0))</f>
        <v>0</v>
      </c>
    </row>
    <row r="264" spans="1:7" ht="16.5">
      <c r="A264" s="131">
        <v>5110201000</v>
      </c>
      <c r="B264" s="370"/>
      <c r="C264" s="566"/>
      <c r="D264" s="581" t="str">
        <f>VLOOKUP(A264,Trial!A:B,2,0)</f>
        <v>Deferred Tax Expense</v>
      </c>
      <c r="E264" s="1147">
        <f>ABS(IFERROR(VLOOKUP(A264,Trial!A:C,3,0),0))</f>
        <v>0</v>
      </c>
      <c r="F264" s="1147">
        <f>ABS(IFERROR(VLOOKUP(A264,Trial_Balance,4,0),0))</f>
        <v>0</v>
      </c>
    </row>
    <row r="265" spans="1:7" ht="16.5">
      <c r="A265" s="131">
        <v>5110101000</v>
      </c>
      <c r="B265" s="370"/>
      <c r="C265" s="566"/>
      <c r="D265" s="581" t="str">
        <f>VLOOKUP(A265,Trial!A:B,2,0)</f>
        <v>Corporate Income Tax Paid</v>
      </c>
      <c r="E265" s="1147">
        <f>ABS(IFERROR(VLOOKUP(A265,Trial!A:C,3,0),0))</f>
        <v>0</v>
      </c>
      <c r="F265" s="1147">
        <f>ABS(IFERROR(VLOOKUP(A265,Trial_Balance,4,0),0))</f>
        <v>0</v>
      </c>
    </row>
    <row r="266" spans="1:7" ht="16.5">
      <c r="A266" s="131">
        <v>5110101001</v>
      </c>
      <c r="B266" s="370"/>
      <c r="C266" s="566"/>
      <c r="D266" s="581" t="s">
        <v>1221</v>
      </c>
      <c r="E266" s="1147">
        <f>ABS(IFERROR(VLOOKUP(A266,Trial!A:C,3,0),0))</f>
        <v>0</v>
      </c>
      <c r="F266" s="1147">
        <f>ABS(IFERROR(VLOOKUP(A266,Trial_Balance,4,0),0))</f>
        <v>0</v>
      </c>
    </row>
    <row r="267" spans="1:7" ht="16.5">
      <c r="A267" s="131"/>
      <c r="B267" s="370"/>
      <c r="C267" s="583"/>
      <c r="D267" s="589" t="s">
        <v>114</v>
      </c>
      <c r="E267" s="1291">
        <f>SUM(E263:E266)</f>
        <v>0</v>
      </c>
      <c r="F267" s="1290">
        <f>+F266+F265-F263</f>
        <v>0</v>
      </c>
    </row>
    <row r="268" spans="1:7" ht="16.5">
      <c r="A268" s="131"/>
      <c r="B268" s="370"/>
      <c r="C268" s="583"/>
      <c r="D268" s="374" t="s">
        <v>1405</v>
      </c>
      <c r="E268" s="1292"/>
      <c r="F268" s="1293"/>
    </row>
    <row r="269" spans="1:7" s="4" customFormat="1">
      <c r="A269" s="125">
        <v>6103101000</v>
      </c>
      <c r="B269" s="3"/>
      <c r="C269" s="3"/>
      <c r="D269" s="125" t="str">
        <f>VLOOKUP(A269,Trial!A:B,2,0)</f>
        <v>Actuarial G/L  Post Employment Benefit Obligations</v>
      </c>
      <c r="E269" s="126">
        <f>ABS(IFERROR(VLOOKUP(A269,Trial!A:C,3,0),0))</f>
        <v>0</v>
      </c>
      <c r="F269" s="126">
        <f>ABS(IFERROR(VLOOKUP(A269,Trial_Balance,4,0),0))</f>
        <v>0</v>
      </c>
    </row>
    <row r="270" spans="1:7">
      <c r="A270" s="127">
        <v>6109101000</v>
      </c>
      <c r="B270" s="3"/>
      <c r="C270" s="3"/>
      <c r="D270" s="125" t="s">
        <v>1030</v>
      </c>
      <c r="E270" s="126">
        <f>-ABS(IFERROR(VLOOKUP(A270,Trial!A:C,3,0),0))</f>
        <v>0</v>
      </c>
      <c r="F270" s="126">
        <f>ABS(IFERROR(VLOOKUP(A270,Trial_Balance,4,0),0))</f>
        <v>0</v>
      </c>
    </row>
    <row r="271" spans="1:7">
      <c r="A271" s="127"/>
      <c r="B271" s="3"/>
      <c r="C271" s="3"/>
      <c r="D271" s="125"/>
      <c r="E271" s="126"/>
      <c r="F271" s="126"/>
    </row>
    <row r="272" spans="1:7" ht="31.5">
      <c r="B272" s="370"/>
      <c r="C272" s="1411" t="str">
        <f>+C261</f>
        <v>Particulars</v>
      </c>
      <c r="D272" s="1411"/>
      <c r="E272" s="1218" t="str">
        <f>+E261</f>
        <v>As at 28th February, 2019</v>
      </c>
      <c r="F272" s="1218" t="str">
        <f>+F261</f>
        <v>As at 31st December, 2018</v>
      </c>
    </row>
    <row r="273" spans="1:6" s="4" customFormat="1" ht="16.5">
      <c r="A273" s="130"/>
      <c r="B273" s="370"/>
      <c r="C273" s="236" t="s">
        <v>1426</v>
      </c>
      <c r="D273" s="567" t="s">
        <v>1425</v>
      </c>
      <c r="E273" s="1294"/>
      <c r="F273" s="1272"/>
    </row>
    <row r="274" spans="1:6" ht="16.5">
      <c r="B274" s="370"/>
      <c r="C274" s="566"/>
      <c r="D274" s="581" t="s">
        <v>479</v>
      </c>
      <c r="E274" s="1156">
        <f>'3SOCI'!D30</f>
        <v>226016020.24300003</v>
      </c>
      <c r="F274" s="1216">
        <f>'3SOCI'!E30</f>
        <v>211011756.76804674</v>
      </c>
    </row>
    <row r="275" spans="1:6" ht="16.5">
      <c r="B275" s="370"/>
      <c r="C275" s="566"/>
      <c r="D275" s="581" t="s">
        <v>480</v>
      </c>
      <c r="E275" s="1147">
        <v>854082</v>
      </c>
      <c r="F275" s="1215">
        <v>854082</v>
      </c>
    </row>
    <row r="276" spans="1:6" ht="16.5">
      <c r="B276" s="370"/>
      <c r="C276" s="566"/>
      <c r="D276" s="581" t="s">
        <v>481</v>
      </c>
      <c r="E276" s="1147">
        <v>1000</v>
      </c>
      <c r="F276" s="1215">
        <v>1000</v>
      </c>
    </row>
    <row r="277" spans="1:6" ht="16.5">
      <c r="B277" s="370"/>
      <c r="C277" s="566"/>
      <c r="D277" s="581" t="s">
        <v>482</v>
      </c>
      <c r="E277" s="1280">
        <f>(E274/E275)</f>
        <v>264.63035193693349</v>
      </c>
      <c r="F277" s="1280">
        <f>+F274/F275</f>
        <v>247.06264359633704</v>
      </c>
    </row>
    <row r="278" spans="1:6" ht="16.5">
      <c r="B278" s="370"/>
      <c r="C278" s="566"/>
      <c r="D278" s="581" t="s">
        <v>114</v>
      </c>
      <c r="E278" s="1147"/>
      <c r="F278" s="1215"/>
    </row>
    <row r="279" spans="1:6" ht="16.5">
      <c r="A279" s="129"/>
      <c r="B279" s="370"/>
      <c r="C279" s="566"/>
      <c r="D279" s="581" t="s">
        <v>1091</v>
      </c>
      <c r="E279" s="1147">
        <v>661</v>
      </c>
      <c r="F279" s="1215"/>
    </row>
    <row r="280" spans="1:6" ht="16.5">
      <c r="A280" s="129"/>
      <c r="B280" s="370"/>
      <c r="C280" s="566"/>
      <c r="D280" s="581" t="s">
        <v>195</v>
      </c>
      <c r="E280" s="1147">
        <f>E274/1000000</f>
        <v>226.01602024300004</v>
      </c>
      <c r="F280" s="1215"/>
    </row>
    <row r="281" spans="1:6" ht="16.5">
      <c r="A281" s="129"/>
      <c r="B281" s="370"/>
      <c r="C281" s="583"/>
      <c r="D281" s="587" t="s">
        <v>196</v>
      </c>
      <c r="E281" s="719">
        <f>(E280/E279)</f>
        <v>0.34193043909682308</v>
      </c>
      <c r="F281" s="1295"/>
    </row>
  </sheetData>
  <autoFilter ref="A4:F281"/>
  <sortState ref="D4:F116">
    <sortCondition ref="D70:D90"/>
  </sortState>
  <mergeCells count="13">
    <mergeCell ref="C261:D261"/>
    <mergeCell ref="C272:D272"/>
    <mergeCell ref="C1:F1"/>
    <mergeCell ref="C2:F2"/>
    <mergeCell ref="C124:D124"/>
    <mergeCell ref="C149:D149"/>
    <mergeCell ref="C159:D159"/>
    <mergeCell ref="C180:D180"/>
    <mergeCell ref="C189:D189"/>
    <mergeCell ref="C62:D62"/>
    <mergeCell ref="C85:D85"/>
    <mergeCell ref="C118:D118"/>
    <mergeCell ref="C6:D6"/>
  </mergeCells>
  <conditionalFormatting sqref="A242 A201 A211">
    <cfRule type="duplicateValues" dxfId="8" priority="34"/>
  </conditionalFormatting>
  <conditionalFormatting sqref="A71:A74">
    <cfRule type="duplicateValues" dxfId="7" priority="7"/>
  </conditionalFormatting>
  <conditionalFormatting sqref="A223 A229">
    <cfRule type="duplicateValues" dxfId="6" priority="5"/>
  </conditionalFormatting>
  <conditionalFormatting sqref="A110">
    <cfRule type="duplicateValues" dxfId="5" priority="1"/>
  </conditionalFormatting>
  <conditionalFormatting sqref="A110">
    <cfRule type="duplicateValues" dxfId="4" priority="2"/>
  </conditionalFormatting>
  <conditionalFormatting sqref="A251:A252">
    <cfRule type="duplicateValues" dxfId="3" priority="167"/>
  </conditionalFormatting>
  <conditionalFormatting sqref="A269 A243:A250 A263:A266 A9:A10 A12:A62 A64:A70 A224:A228 A230:A236 A240:A241 A212:A222 A253:A258 A202:A210 A111:A200 A75:A109">
    <cfRule type="duplicateValues" dxfId="2" priority="187"/>
  </conditionalFormatting>
  <conditionalFormatting sqref="A260:A262">
    <cfRule type="duplicateValues" dxfId="1" priority="239"/>
  </conditionalFormatting>
  <conditionalFormatting sqref="A260:A269 A253:A258 A224:A228 A9:A10 A12:A62 A64:A70 A230:A250 A111:A222 A75:A109">
    <cfRule type="duplicateValues" dxfId="0" priority="254"/>
  </conditionalFormatting>
  <printOptions horizontalCentered="1"/>
  <pageMargins left="0" right="0" top="0.55118110236220474" bottom="0.19685039370078741" header="3.937007874015748E-2" footer="3.937007874015748E-2"/>
  <pageSetup paperSize="9" scale="80" orientation="portrait" r:id="rId1"/>
  <headerFooter scaleWithDoc="0" alignWithMargins="0"/>
  <rowBreaks count="1" manualBreakCount="1">
    <brk id="257" max="5" man="1"/>
  </rowBreaks>
  <ignoredErrors>
    <ignoredError sqref="E11 E23 F11:F41 E96:E101 F95:F115 F139 E203:E229 F200:F208 E44:E51 E41:E42 E35 F44:F51 F211:F218 F230:F237 F220:F228 E112:E114 E103:E110" formula="1"/>
  </ignoredErrors>
  <drawing r:id="rId2"/>
</worksheet>
</file>

<file path=xl/worksheets/sheet12.xml><?xml version="1.0" encoding="utf-8"?>
<worksheet xmlns="http://schemas.openxmlformats.org/spreadsheetml/2006/main" xmlns:r="http://schemas.openxmlformats.org/officeDocument/2006/relationships">
  <sheetPr enableFormatConditionsCalculation="0">
    <tabColor rgb="FF00B050"/>
  </sheetPr>
  <dimension ref="A1:J73"/>
  <sheetViews>
    <sheetView showGridLines="0" topLeftCell="B18" zoomScale="80" zoomScaleNormal="80" zoomScaleSheetLayoutView="80" zoomScalePageLayoutView="80" workbookViewId="0">
      <selection activeCell="B44" sqref="B44"/>
    </sheetView>
  </sheetViews>
  <sheetFormatPr defaultColWidth="8.85546875" defaultRowHeight="15.75"/>
  <cols>
    <col min="1" max="1" width="0.42578125" style="1" hidden="1" customWidth="1"/>
    <col min="2" max="2" width="120.7109375" style="1" bestFit="1" customWidth="1"/>
    <col min="3" max="3" width="9.42578125" style="179" bestFit="1" customWidth="1"/>
    <col min="4" max="4" width="18.42578125" style="179" bestFit="1" customWidth="1"/>
    <col min="5" max="5" width="17.85546875" style="179" bestFit="1" customWidth="1"/>
    <col min="6" max="6" width="18.7109375" style="1" bestFit="1" customWidth="1"/>
    <col min="7" max="7" width="10.140625" style="1" bestFit="1" customWidth="1"/>
    <col min="8" max="9" width="28.42578125" style="1" customWidth="1"/>
    <col min="10" max="10" width="20.140625" style="1" bestFit="1" customWidth="1"/>
    <col min="11" max="16384" width="8.85546875" style="1"/>
  </cols>
  <sheetData>
    <row r="1" spans="1:10">
      <c r="A1" s="913"/>
      <c r="B1" s="1424" t="str">
        <f>'2SFP'!B1</f>
        <v>BHUTAN TELECOM LIMITED</v>
      </c>
      <c r="C1" s="1425"/>
      <c r="D1" s="1425"/>
      <c r="E1" s="1426"/>
    </row>
    <row r="2" spans="1:10">
      <c r="A2" s="914"/>
      <c r="B2" s="1427" t="str">
        <f>'7N_3-12'!B2:D2</f>
        <v>Notes forming part of the Financial Statements for the year ended 31st December, 2018</v>
      </c>
      <c r="C2" s="1428"/>
      <c r="D2" s="1428"/>
      <c r="E2" s="1429"/>
    </row>
    <row r="3" spans="1:10" s="985" customFormat="1">
      <c r="A3" s="981"/>
      <c r="B3" s="982"/>
      <c r="C3" s="181"/>
      <c r="D3" s="983"/>
      <c r="E3" s="984"/>
    </row>
    <row r="4" spans="1:10" s="985" customFormat="1">
      <c r="A4" s="981"/>
      <c r="B4" s="986" t="s">
        <v>1406</v>
      </c>
      <c r="C4" s="987"/>
      <c r="D4" s="988"/>
      <c r="E4" s="989"/>
    </row>
    <row r="5" spans="1:10" s="985" customFormat="1">
      <c r="A5" s="981"/>
      <c r="B5" s="990"/>
      <c r="C5" s="987"/>
      <c r="D5" s="988"/>
      <c r="E5" s="989"/>
    </row>
    <row r="6" spans="1:10" s="985" customFormat="1">
      <c r="A6" s="981"/>
      <c r="B6" s="990"/>
      <c r="C6" s="987"/>
      <c r="D6" s="988"/>
      <c r="E6" s="989"/>
    </row>
    <row r="7" spans="1:10" s="985" customFormat="1">
      <c r="A7" s="981"/>
      <c r="B7" s="991" t="s">
        <v>1447</v>
      </c>
      <c r="C7" s="987"/>
      <c r="D7" s="988"/>
      <c r="E7" s="989"/>
    </row>
    <row r="8" spans="1:10" s="985" customFormat="1" ht="31.5">
      <c r="A8" s="981"/>
      <c r="B8" s="1430" t="s">
        <v>21</v>
      </c>
      <c r="C8" s="1430"/>
      <c r="D8" s="992" t="s">
        <v>1402</v>
      </c>
      <c r="E8" s="993" t="s">
        <v>1403</v>
      </c>
    </row>
    <row r="9" spans="1:10" s="985" customFormat="1">
      <c r="A9" s="981"/>
      <c r="B9" s="994" t="s">
        <v>1222</v>
      </c>
      <c r="C9" s="995"/>
      <c r="D9" s="996"/>
      <c r="E9" s="997"/>
    </row>
    <row r="10" spans="1:10" s="985" customFormat="1">
      <c r="A10" s="981"/>
      <c r="B10" s="998"/>
      <c r="C10" s="999"/>
      <c r="D10" s="1000"/>
      <c r="E10" s="997"/>
    </row>
    <row r="11" spans="1:10" s="985" customFormat="1">
      <c r="A11" s="981"/>
      <c r="B11" s="994" t="s">
        <v>1223</v>
      </c>
      <c r="C11" s="999"/>
      <c r="D11" s="1001"/>
      <c r="E11" s="1002"/>
    </row>
    <row r="12" spans="1:10" s="985" customFormat="1">
      <c r="A12" s="981"/>
      <c r="B12" s="998" t="s">
        <v>1448</v>
      </c>
      <c r="C12" s="999"/>
      <c r="D12" s="1003">
        <f>+'10N_22-33'!E265</f>
        <v>0</v>
      </c>
      <c r="E12" s="1004">
        <f>+'10N_22-33'!F265</f>
        <v>0</v>
      </c>
      <c r="J12" s="985">
        <v>2503187080.9192119</v>
      </c>
    </row>
    <row r="13" spans="1:10" s="985" customFormat="1">
      <c r="A13" s="981"/>
      <c r="B13" s="998" t="s">
        <v>1224</v>
      </c>
      <c r="C13" s="999"/>
      <c r="D13" s="1005">
        <f>+'10N_22-33'!E266</f>
        <v>0</v>
      </c>
      <c r="E13" s="989">
        <f>+'10N_22-33'!F266</f>
        <v>0</v>
      </c>
      <c r="J13" s="985">
        <v>54272254.060000002</v>
      </c>
    </row>
    <row r="14" spans="1:10" s="985" customFormat="1">
      <c r="A14" s="981"/>
      <c r="B14" s="991"/>
      <c r="C14" s="999"/>
      <c r="D14" s="1006">
        <f>SUM(D12:D13)</f>
        <v>0</v>
      </c>
      <c r="E14" s="1007">
        <f>SUM(E12:E13)</f>
        <v>0</v>
      </c>
      <c r="J14" s="985">
        <v>2557459334.9792118</v>
      </c>
    </row>
    <row r="15" spans="1:10" s="985" customFormat="1">
      <c r="A15" s="981"/>
      <c r="B15" s="994" t="s">
        <v>1225</v>
      </c>
      <c r="C15" s="999"/>
      <c r="D15" s="1008"/>
      <c r="E15" s="1002"/>
    </row>
    <row r="16" spans="1:10" s="985" customFormat="1">
      <c r="A16" s="981"/>
      <c r="B16" s="998" t="s">
        <v>1226</v>
      </c>
      <c r="C16" s="999"/>
      <c r="D16" s="1005">
        <f>+'10N_22-33'!E263</f>
        <v>0</v>
      </c>
      <c r="E16" s="1004">
        <f>-'10N_22-33'!F263</f>
        <v>0</v>
      </c>
      <c r="J16" s="985">
        <v>0</v>
      </c>
    </row>
    <row r="17" spans="1:10" s="985" customFormat="1">
      <c r="A17" s="981"/>
      <c r="B17" s="991"/>
      <c r="C17" s="999"/>
      <c r="D17" s="1009">
        <f>SUM(D16)</f>
        <v>0</v>
      </c>
      <c r="E17" s="1007">
        <f>SUM(E16)</f>
        <v>0</v>
      </c>
      <c r="J17" s="985">
        <v>0</v>
      </c>
    </row>
    <row r="18" spans="1:10" s="985" customFormat="1">
      <c r="A18" s="981"/>
      <c r="B18" s="990"/>
      <c r="C18" s="999"/>
      <c r="D18" s="1008"/>
      <c r="E18" s="1002"/>
    </row>
    <row r="19" spans="1:10" s="1012" customFormat="1">
      <c r="A19" s="981"/>
      <c r="B19" s="991"/>
      <c r="C19" s="1010"/>
      <c r="D19" s="1011"/>
      <c r="E19" s="989"/>
    </row>
    <row r="20" spans="1:10" s="1012" customFormat="1">
      <c r="A20" s="981"/>
      <c r="B20" s="991"/>
      <c r="C20" s="1010"/>
      <c r="D20" s="1011"/>
      <c r="E20" s="989"/>
    </row>
    <row r="21" spans="1:10" s="1012" customFormat="1">
      <c r="A21" s="981"/>
      <c r="B21" s="991"/>
      <c r="C21" s="1010"/>
      <c r="D21" s="1006"/>
      <c r="E21" s="1013"/>
    </row>
    <row r="22" spans="1:10" s="1012" customFormat="1">
      <c r="A22" s="981"/>
      <c r="B22" s="991"/>
      <c r="C22" s="1010"/>
      <c r="D22" s="1014"/>
      <c r="E22" s="1015"/>
    </row>
    <row r="23" spans="1:10" s="1012" customFormat="1">
      <c r="A23" s="981"/>
      <c r="B23" s="994" t="s">
        <v>1227</v>
      </c>
      <c r="C23" s="1010"/>
      <c r="D23" s="1016">
        <f>+D14+D17+D21</f>
        <v>0</v>
      </c>
      <c r="E23" s="1013">
        <f>+E14+E17+E21</f>
        <v>0</v>
      </c>
      <c r="J23" s="1012">
        <v>2557459334.9792118</v>
      </c>
    </row>
    <row r="24" spans="1:10" s="1012" customFormat="1">
      <c r="A24" s="981"/>
      <c r="B24" s="991"/>
      <c r="C24" s="1010"/>
      <c r="D24" s="1017"/>
      <c r="E24" s="989"/>
    </row>
    <row r="25" spans="1:10" s="1012" customFormat="1">
      <c r="A25" s="981"/>
      <c r="B25" s="994" t="s">
        <v>1228</v>
      </c>
      <c r="C25" s="1010"/>
      <c r="D25" s="1017"/>
      <c r="E25" s="989"/>
    </row>
    <row r="26" spans="1:10" s="1012" customFormat="1">
      <c r="A26" s="981"/>
      <c r="B26" s="1421" t="s">
        <v>1229</v>
      </c>
      <c r="C26" s="1422"/>
      <c r="D26" s="1018">
        <f>+'3SOCI'!D34</f>
        <v>0</v>
      </c>
      <c r="E26" s="1019">
        <f>+'3SOCI'!E34</f>
        <v>0</v>
      </c>
      <c r="J26" s="1012">
        <v>0</v>
      </c>
    </row>
    <row r="27" spans="1:10" s="1012" customFormat="1">
      <c r="A27" s="981"/>
      <c r="B27" s="1020" t="s">
        <v>1230</v>
      </c>
      <c r="C27" s="1021"/>
      <c r="D27" s="1016">
        <f>SUM(D26)</f>
        <v>0</v>
      </c>
      <c r="E27" s="1022">
        <f>SUM(E26)</f>
        <v>0</v>
      </c>
      <c r="J27" s="1012">
        <v>0</v>
      </c>
    </row>
    <row r="28" spans="1:10" s="1012" customFormat="1">
      <c r="A28" s="981"/>
      <c r="B28" s="991"/>
      <c r="C28" s="1023"/>
      <c r="D28" s="1024"/>
      <c r="E28" s="989"/>
    </row>
    <row r="29" spans="1:10" s="1012" customFormat="1">
      <c r="A29" s="981"/>
      <c r="B29" s="998" t="s">
        <v>1236</v>
      </c>
      <c r="C29" s="1023"/>
      <c r="D29" s="1024"/>
      <c r="E29" s="989"/>
    </row>
    <row r="30" spans="1:10" s="1012" customFormat="1">
      <c r="A30" s="981"/>
      <c r="B30" s="991"/>
      <c r="C30" s="1023"/>
      <c r="D30" s="1024"/>
      <c r="E30" s="989"/>
    </row>
    <row r="31" spans="1:10" s="1012" customFormat="1">
      <c r="A31" s="981"/>
      <c r="B31" s="1025" t="s">
        <v>1231</v>
      </c>
      <c r="C31" s="1026" t="s">
        <v>1232</v>
      </c>
      <c r="D31" s="1027">
        <f>+'3SOCI'!D23</f>
        <v>322935635.70000005</v>
      </c>
      <c r="E31" s="1028">
        <f>+'3SOCI'!E23</f>
        <v>301497282.09000009</v>
      </c>
      <c r="J31" s="1012">
        <v>7322166325.2800064</v>
      </c>
    </row>
    <row r="32" spans="1:10" s="1012" customFormat="1">
      <c r="A32" s="981"/>
      <c r="B32" s="1029" t="s">
        <v>1237</v>
      </c>
      <c r="C32" s="1030">
        <f>+D32/D31</f>
        <v>0.3</v>
      </c>
      <c r="D32" s="1011">
        <f>+D31*30%</f>
        <v>96880690.710000008</v>
      </c>
      <c r="E32" s="1031">
        <f>+E31*30%</f>
        <v>90449184.627000019</v>
      </c>
      <c r="J32" s="1012">
        <v>2534055321.8529043</v>
      </c>
    </row>
    <row r="33" spans="1:10" s="1012" customFormat="1">
      <c r="A33" s="981"/>
      <c r="B33" s="1029" t="s">
        <v>1233</v>
      </c>
      <c r="C33" s="1030">
        <f>+D33/D31</f>
        <v>-0.3</v>
      </c>
      <c r="D33" s="1011">
        <f>+D35-D32-D34</f>
        <v>-96880690.710000008</v>
      </c>
      <c r="E33" s="989">
        <f>+E35-E32-E34</f>
        <v>-90449184.627000019</v>
      </c>
      <c r="J33" s="1012">
        <v>-30868240.933692515</v>
      </c>
    </row>
    <row r="34" spans="1:10" s="1012" customFormat="1">
      <c r="A34" s="981"/>
      <c r="B34" s="1029" t="s">
        <v>1234</v>
      </c>
      <c r="C34" s="1030">
        <f>+D34/D31</f>
        <v>0</v>
      </c>
      <c r="D34" s="1005">
        <f>+D13</f>
        <v>0</v>
      </c>
      <c r="E34" s="989">
        <f>+E13</f>
        <v>0</v>
      </c>
      <c r="J34" s="1012">
        <v>54272254.060000002</v>
      </c>
    </row>
    <row r="35" spans="1:10" s="1012" customFormat="1">
      <c r="A35" s="1032"/>
      <c r="B35" s="1033" t="s">
        <v>1235</v>
      </c>
      <c r="C35" s="1034">
        <f>+D35/D31</f>
        <v>0</v>
      </c>
      <c r="D35" s="1016">
        <f>+D23</f>
        <v>0</v>
      </c>
      <c r="E35" s="1013">
        <f>+E23</f>
        <v>0</v>
      </c>
      <c r="J35" s="1012">
        <v>2557459334.9792118</v>
      </c>
    </row>
    <row r="36" spans="1:10" s="1012" customFormat="1">
      <c r="A36" s="1035"/>
      <c r="C36" s="1023"/>
      <c r="D36" s="1024"/>
      <c r="E36" s="1036"/>
    </row>
    <row r="37" spans="1:10" s="1012" customFormat="1">
      <c r="A37" s="1035"/>
      <c r="C37" s="1023"/>
      <c r="D37" s="1024"/>
      <c r="E37" s="1036"/>
    </row>
    <row r="39" spans="1:10">
      <c r="B39" s="1037"/>
      <c r="C39" s="1038"/>
      <c r="D39" s="1039"/>
      <c r="E39" s="1039"/>
      <c r="F39" s="1040"/>
      <c r="G39" s="1041"/>
    </row>
    <row r="40" spans="1:10">
      <c r="B40" s="1012"/>
      <c r="C40" s="1038"/>
      <c r="D40" s="1039"/>
      <c r="E40" s="1039"/>
      <c r="F40" s="1041"/>
      <c r="G40" s="1041"/>
    </row>
    <row r="41" spans="1:10">
      <c r="B41" s="1012"/>
      <c r="C41" s="1038"/>
      <c r="D41" s="1042"/>
      <c r="E41" s="185"/>
      <c r="F41" s="1041"/>
      <c r="G41" s="1041"/>
    </row>
    <row r="42" spans="1:10">
      <c r="B42" s="1012"/>
      <c r="C42" s="1038"/>
      <c r="D42" s="1043"/>
      <c r="E42" s="185"/>
      <c r="F42" s="1041"/>
      <c r="G42" s="1041"/>
    </row>
    <row r="43" spans="1:10">
      <c r="B43" s="1012"/>
      <c r="C43" s="1038"/>
      <c r="D43" s="1043"/>
      <c r="E43" s="185"/>
      <c r="F43" s="1041"/>
      <c r="G43" s="1041"/>
    </row>
    <row r="44" spans="1:10">
      <c r="B44" s="1037"/>
      <c r="C44" s="1044"/>
      <c r="D44" s="1045"/>
      <c r="E44" s="1046"/>
      <c r="F44" s="1047"/>
      <c r="G44" s="1041"/>
    </row>
    <row r="45" spans="1:10">
      <c r="B45" s="1012"/>
      <c r="C45" s="1038"/>
      <c r="D45" s="1046"/>
      <c r="E45" s="1048"/>
      <c r="F45" s="1041"/>
      <c r="G45" s="1041"/>
    </row>
    <row r="46" spans="1:10">
      <c r="B46" s="565"/>
      <c r="C46" s="1038"/>
      <c r="D46" s="1049"/>
      <c r="E46" s="185"/>
      <c r="F46" s="1041"/>
      <c r="G46" s="1041"/>
    </row>
    <row r="47" spans="1:10">
      <c r="B47" s="1423"/>
      <c r="C47" s="1038"/>
      <c r="D47" s="1050"/>
      <c r="E47" s="1038"/>
      <c r="F47" s="1051"/>
      <c r="G47" s="1041"/>
    </row>
    <row r="48" spans="1:10">
      <c r="B48" s="1423"/>
      <c r="C48" s="1038"/>
      <c r="D48" s="1052"/>
      <c r="E48" s="1038"/>
      <c r="F48" s="1051"/>
      <c r="G48" s="1041"/>
    </row>
    <row r="49" spans="2:7">
      <c r="B49" s="1423"/>
      <c r="C49" s="1038"/>
      <c r="D49" s="1053"/>
      <c r="E49" s="1038"/>
      <c r="F49" s="1040"/>
      <c r="G49" s="1041"/>
    </row>
    <row r="50" spans="2:7">
      <c r="B50" s="565"/>
      <c r="C50" s="1038"/>
      <c r="D50" s="1054"/>
      <c r="E50" s="1038"/>
      <c r="F50" s="1041"/>
      <c r="G50" s="1041"/>
    </row>
    <row r="51" spans="2:7">
      <c r="B51" s="1055"/>
      <c r="C51" s="1038"/>
      <c r="D51" s="1054"/>
      <c r="E51" s="1038"/>
      <c r="F51" s="1041"/>
      <c r="G51" s="1041"/>
    </row>
    <row r="52" spans="2:7">
      <c r="B52" s="1055"/>
      <c r="C52" s="1038"/>
      <c r="D52" s="1054"/>
      <c r="E52" s="1038"/>
      <c r="F52" s="1041"/>
      <c r="G52" s="1041"/>
    </row>
    <row r="53" spans="2:7">
      <c r="B53" s="1055"/>
      <c r="C53" s="1038"/>
      <c r="D53" s="1054"/>
      <c r="E53" s="1038"/>
      <c r="F53" s="1041"/>
      <c r="G53" s="1041"/>
    </row>
    <row r="54" spans="2:7">
      <c r="B54" s="1055"/>
      <c r="C54" s="1038"/>
      <c r="D54" s="1054"/>
      <c r="E54" s="1038"/>
      <c r="F54" s="1041"/>
      <c r="G54" s="1041"/>
    </row>
    <row r="55" spans="2:7">
      <c r="B55" s="1055"/>
      <c r="C55" s="1038"/>
      <c r="D55" s="1054"/>
      <c r="E55" s="1038"/>
      <c r="F55" s="1041"/>
      <c r="G55" s="1041"/>
    </row>
    <row r="56" spans="2:7">
      <c r="B56" s="1055"/>
      <c r="C56" s="1038"/>
      <c r="D56" s="1054"/>
      <c r="E56" s="1038"/>
      <c r="F56" s="1041"/>
      <c r="G56" s="1041"/>
    </row>
    <row r="57" spans="2:7">
      <c r="B57" s="1055"/>
      <c r="C57" s="1038"/>
      <c r="D57" s="1054"/>
      <c r="E57" s="1038"/>
      <c r="F57" s="1041"/>
      <c r="G57" s="1041"/>
    </row>
    <row r="58" spans="2:7">
      <c r="B58" s="1055"/>
      <c r="C58" s="1038"/>
      <c r="D58" s="1054"/>
      <c r="E58" s="1038"/>
      <c r="F58" s="1041"/>
      <c r="G58" s="1041"/>
    </row>
    <row r="59" spans="2:7">
      <c r="B59" s="1056"/>
      <c r="C59" s="1038"/>
      <c r="D59" s="1057"/>
      <c r="E59" s="1038"/>
      <c r="F59" s="1047"/>
      <c r="G59" s="1041"/>
    </row>
    <row r="60" spans="2:7">
      <c r="B60" s="1056"/>
      <c r="C60" s="1038"/>
      <c r="D60" s="1057"/>
      <c r="E60" s="1038"/>
      <c r="F60" s="1047"/>
      <c r="G60" s="1041"/>
    </row>
    <row r="61" spans="2:7">
      <c r="B61" s="1056"/>
      <c r="C61" s="1038"/>
      <c r="D61" s="1057"/>
      <c r="E61" s="1038"/>
      <c r="F61" s="1047"/>
      <c r="G61" s="1041"/>
    </row>
    <row r="62" spans="2:7">
      <c r="B62" s="1056"/>
      <c r="C62" s="1038"/>
      <c r="D62" s="1057"/>
      <c r="E62" s="1038"/>
      <c r="F62" s="1047"/>
      <c r="G62" s="1041"/>
    </row>
    <row r="63" spans="2:7">
      <c r="B63" s="1037"/>
      <c r="C63" s="1038"/>
      <c r="D63" s="1053" t="s">
        <v>1243</v>
      </c>
      <c r="E63" s="1038"/>
      <c r="F63" s="1040" t="s">
        <v>1243</v>
      </c>
      <c r="G63" s="1040" t="s">
        <v>1243</v>
      </c>
    </row>
    <row r="64" spans="2:7" ht="16.5" thickBot="1">
      <c r="B64" s="1058" t="s">
        <v>1244</v>
      </c>
      <c r="C64" s="1059"/>
      <c r="D64" s="1060" t="e">
        <f>#REF!</f>
        <v>#REF!</v>
      </c>
      <c r="E64" s="1059"/>
      <c r="F64" s="1061" t="e">
        <f>#REF!</f>
        <v>#REF!</v>
      </c>
      <c r="G64" s="1061" t="e">
        <f>F64</f>
        <v>#REF!</v>
      </c>
    </row>
    <row r="65" spans="2:7" ht="16.5" thickBot="1">
      <c r="B65" s="1062"/>
      <c r="C65" s="1063"/>
      <c r="D65" s="1064" t="s">
        <v>1245</v>
      </c>
      <c r="E65" s="1063"/>
      <c r="F65" s="1065" t="s">
        <v>1245</v>
      </c>
      <c r="G65" s="1061" t="s">
        <v>1246</v>
      </c>
    </row>
    <row r="66" spans="2:7">
      <c r="B66" s="1056" t="s">
        <v>1247</v>
      </c>
      <c r="C66" s="1038"/>
      <c r="D66" s="1066">
        <f>+F72</f>
        <v>205501911</v>
      </c>
      <c r="E66" s="1038"/>
      <c r="F66" s="1041">
        <v>166802860</v>
      </c>
      <c r="G66" s="1067" t="e">
        <f t="shared" ref="G66:G69" si="0">ROUND(F66/$D$3,2)</f>
        <v>#DIV/0!</v>
      </c>
    </row>
    <row r="67" spans="2:7">
      <c r="B67" s="1068" t="s">
        <v>1248</v>
      </c>
      <c r="C67" s="1038"/>
      <c r="D67" s="1066">
        <v>0</v>
      </c>
      <c r="E67" s="1038"/>
      <c r="F67" s="1041">
        <v>0</v>
      </c>
      <c r="G67" s="1067" t="e">
        <f t="shared" si="0"/>
        <v>#DIV/0!</v>
      </c>
    </row>
    <row r="68" spans="2:7">
      <c r="B68" s="1068" t="s">
        <v>1249</v>
      </c>
      <c r="C68" s="1038"/>
      <c r="D68" s="1066">
        <f>+'[3]Trial Conso IND AS 31.03.18'!D1682-'[3]Trial Conso IND AS 31.03.18'!C1682</f>
        <v>-245575</v>
      </c>
      <c r="E68" s="1038"/>
      <c r="F68" s="1041">
        <v>38699044</v>
      </c>
      <c r="G68" s="1067" t="e">
        <f t="shared" si="0"/>
        <v>#DIV/0!</v>
      </c>
    </row>
    <row r="69" spans="2:7">
      <c r="B69" s="1068" t="s">
        <v>1250</v>
      </c>
      <c r="C69" s="1038"/>
      <c r="D69" s="1066">
        <f>+'[3]Trial Conso IND AS 31.03.18'!D1683-'[3]Trial Conso IND AS 31.03.18'!C1683</f>
        <v>-25357.360000000004</v>
      </c>
      <c r="E69" s="1038"/>
      <c r="F69" s="1041">
        <f>'[3]Trial Conso IND AS 31.03.18'!L1683</f>
        <v>7</v>
      </c>
      <c r="G69" s="1067" t="e">
        <f t="shared" si="0"/>
        <v>#DIV/0!</v>
      </c>
    </row>
    <row r="70" spans="2:7">
      <c r="B70" s="1055" t="s">
        <v>1251</v>
      </c>
      <c r="C70" s="1038"/>
      <c r="D70" s="1066"/>
      <c r="E70" s="1038"/>
      <c r="F70" s="1041"/>
      <c r="G70" s="1067" t="e">
        <f t="shared" ref="G70:G71" si="1">F70/$D$3</f>
        <v>#DIV/0!</v>
      </c>
    </row>
    <row r="71" spans="2:7">
      <c r="B71" s="1055" t="s">
        <v>1252</v>
      </c>
      <c r="C71" s="1038"/>
      <c r="D71" s="1066"/>
      <c r="E71" s="1038"/>
      <c r="F71" s="1041"/>
      <c r="G71" s="1067" t="e">
        <f t="shared" si="1"/>
        <v>#DIV/0!</v>
      </c>
    </row>
    <row r="72" spans="2:7" ht="16.5" thickBot="1">
      <c r="B72" s="1056" t="s">
        <v>1253</v>
      </c>
      <c r="C72" s="1038"/>
      <c r="D72" s="1069">
        <f>SUM(D66:D71)</f>
        <v>205230978.63999999</v>
      </c>
      <c r="E72" s="1038"/>
      <c r="F72" s="1070">
        <f>SUM(F66:F71)</f>
        <v>205501911</v>
      </c>
      <c r="G72" s="1070" t="e">
        <f>SUM(G66:G71)</f>
        <v>#DIV/0!</v>
      </c>
    </row>
    <row r="73" spans="2:7">
      <c r="B73" s="1055"/>
      <c r="C73" s="1038"/>
      <c r="D73" s="1071">
        <f>D32-D72</f>
        <v>-108350287.92999998</v>
      </c>
      <c r="E73" s="1038"/>
      <c r="F73" s="1041">
        <f>F32-F72</f>
        <v>-205501911</v>
      </c>
      <c r="G73" s="1041"/>
    </row>
  </sheetData>
  <mergeCells count="5">
    <mergeCell ref="B26:C26"/>
    <mergeCell ref="B47:B49"/>
    <mergeCell ref="B1:E1"/>
    <mergeCell ref="B2:E2"/>
    <mergeCell ref="B8:C8"/>
  </mergeCells>
  <pageMargins left="0.70866141732283472" right="0.31496062992125984" top="0.74803149606299213" bottom="0.74803149606299213" header="0.31496062992125984" footer="0.31496062992125984"/>
  <pageSetup scale="65" orientation="portrait" r:id="rId1"/>
  <colBreaks count="1" manualBreakCount="1">
    <brk id="5" max="1048575" man="1"/>
  </colBreaks>
</worksheet>
</file>

<file path=xl/worksheets/sheet13.xml><?xml version="1.0" encoding="utf-8"?>
<worksheet xmlns="http://schemas.openxmlformats.org/spreadsheetml/2006/main" xmlns:r="http://schemas.openxmlformats.org/officeDocument/2006/relationships">
  <sheetPr enableFormatConditionsCalculation="0">
    <tabColor rgb="FF00B050"/>
  </sheetPr>
  <dimension ref="A1:N83"/>
  <sheetViews>
    <sheetView showGridLines="0" zoomScaleSheetLayoutView="80" workbookViewId="0">
      <selection sqref="A1:G1"/>
    </sheetView>
  </sheetViews>
  <sheetFormatPr defaultColWidth="9.140625" defaultRowHeight="15.75"/>
  <cols>
    <col min="1" max="1" width="34.42578125" style="127" customWidth="1"/>
    <col min="2" max="2" width="19.42578125" style="127" bestFit="1" customWidth="1"/>
    <col min="3" max="3" width="19.42578125" style="127" customWidth="1"/>
    <col min="4" max="4" width="21.140625" style="127" customWidth="1"/>
    <col min="5" max="5" width="21.42578125" style="127" customWidth="1"/>
    <col min="6" max="6" width="18.7109375" style="127" bestFit="1" customWidth="1"/>
    <col min="7" max="7" width="19.28515625" style="127" bestFit="1" customWidth="1"/>
    <col min="8" max="8" width="6.28515625" style="127" customWidth="1"/>
    <col min="9" max="9" width="7.42578125" style="127" customWidth="1"/>
    <col min="10" max="10" width="17.42578125" style="127" bestFit="1" customWidth="1"/>
    <col min="11" max="11" width="15.7109375" style="127" bestFit="1" customWidth="1"/>
    <col min="12" max="12" width="19.85546875" style="127" bestFit="1" customWidth="1"/>
    <col min="13" max="13" width="17.7109375" style="127" customWidth="1"/>
    <col min="14" max="14" width="87.7109375" style="57" bestFit="1" customWidth="1"/>
    <col min="15" max="15" width="16.42578125" style="57" bestFit="1" customWidth="1"/>
    <col min="16" max="16" width="14.42578125" style="57" bestFit="1" customWidth="1"/>
    <col min="17" max="17" width="14.85546875" style="57" bestFit="1" customWidth="1"/>
    <col min="18" max="18" width="14.42578125" style="57" bestFit="1" customWidth="1"/>
    <col min="19" max="21" width="9.140625" style="57"/>
    <col min="22" max="22" width="14.42578125" style="57" bestFit="1" customWidth="1"/>
    <col min="23" max="16384" width="9.140625" style="57"/>
  </cols>
  <sheetData>
    <row r="1" spans="1:12">
      <c r="A1" s="1455" t="s">
        <v>0</v>
      </c>
      <c r="B1" s="1456"/>
      <c r="C1" s="1456"/>
      <c r="D1" s="1456"/>
      <c r="E1" s="1456"/>
      <c r="F1" s="1456"/>
      <c r="G1" s="1457"/>
      <c r="H1" s="780"/>
      <c r="I1" s="780"/>
      <c r="J1" s="449"/>
    </row>
    <row r="2" spans="1:12">
      <c r="A2" s="149"/>
      <c r="B2" s="665" t="s">
        <v>1052</v>
      </c>
      <c r="C2" s="666"/>
      <c r="D2" s="666"/>
      <c r="E2" s="666"/>
      <c r="F2" s="666"/>
      <c r="G2" s="908"/>
      <c r="H2" s="376"/>
      <c r="I2" s="376"/>
      <c r="J2" s="781"/>
    </row>
    <row r="3" spans="1:12">
      <c r="A3" s="149"/>
      <c r="B3" s="665"/>
      <c r="C3" s="666"/>
      <c r="D3" s="666"/>
      <c r="E3" s="666"/>
      <c r="F3" s="666"/>
      <c r="G3" s="908"/>
      <c r="H3" s="376"/>
      <c r="I3" s="376"/>
      <c r="J3" s="781"/>
    </row>
    <row r="4" spans="1:12">
      <c r="A4" s="782" t="s">
        <v>483</v>
      </c>
      <c r="B4" s="667"/>
      <c r="C4" s="667"/>
      <c r="D4" s="667"/>
      <c r="E4" s="668"/>
      <c r="F4" s="376"/>
      <c r="G4" s="781"/>
      <c r="H4" s="376"/>
      <c r="I4" s="376"/>
      <c r="J4" s="781"/>
    </row>
    <row r="5" spans="1:12">
      <c r="A5" s="782"/>
      <c r="B5" s="667"/>
      <c r="C5" s="667"/>
      <c r="D5" s="667"/>
      <c r="E5" s="668"/>
      <c r="F5" s="376"/>
      <c r="G5" s="781"/>
      <c r="H5" s="376"/>
      <c r="I5" s="376"/>
      <c r="J5" s="781"/>
    </row>
    <row r="6" spans="1:12" ht="16.5" thickBot="1">
      <c r="A6" s="909" t="s">
        <v>347</v>
      </c>
      <c r="B6" s="910"/>
      <c r="C6" s="910"/>
      <c r="D6" s="910"/>
      <c r="E6" s="910"/>
      <c r="F6" s="910"/>
      <c r="G6" s="911"/>
      <c r="H6" s="669"/>
      <c r="I6" s="669"/>
      <c r="J6" s="784"/>
      <c r="K6" s="181"/>
      <c r="L6" s="182"/>
    </row>
    <row r="7" spans="1:12">
      <c r="A7" s="1438" t="s">
        <v>21</v>
      </c>
      <c r="B7" s="1432" t="s">
        <v>554</v>
      </c>
      <c r="C7" s="1433"/>
      <c r="D7" s="1433"/>
      <c r="E7" s="1432" t="s">
        <v>346</v>
      </c>
      <c r="F7" s="1433"/>
      <c r="G7" s="1440"/>
      <c r="H7" s="1441" t="s">
        <v>324</v>
      </c>
      <c r="I7" s="1442"/>
      <c r="J7" s="1442"/>
    </row>
    <row r="8" spans="1:12" ht="15.75" customHeight="1" thickBot="1">
      <c r="A8" s="1439"/>
      <c r="B8" s="598" t="s">
        <v>325</v>
      </c>
      <c r="C8" s="599" t="s">
        <v>326</v>
      </c>
      <c r="D8" s="599" t="s">
        <v>327</v>
      </c>
      <c r="E8" s="598" t="s">
        <v>325</v>
      </c>
      <c r="F8" s="599" t="s">
        <v>326</v>
      </c>
      <c r="G8" s="600" t="s">
        <v>327</v>
      </c>
      <c r="H8" s="377" t="s">
        <v>325</v>
      </c>
      <c r="I8" s="377" t="s">
        <v>326</v>
      </c>
      <c r="J8" s="378" t="s">
        <v>327</v>
      </c>
    </row>
    <row r="9" spans="1:12">
      <c r="A9" s="785" t="s">
        <v>1404</v>
      </c>
      <c r="B9" s="381"/>
      <c r="C9" s="380"/>
      <c r="D9" s="380"/>
      <c r="E9" s="379"/>
      <c r="F9" s="381"/>
      <c r="G9" s="382"/>
      <c r="H9" s="381"/>
      <c r="I9" s="381"/>
      <c r="J9" s="382"/>
    </row>
    <row r="10" spans="1:12">
      <c r="A10" s="786" t="s">
        <v>1262</v>
      </c>
      <c r="B10" s="380">
        <v>0</v>
      </c>
      <c r="C10" s="380">
        <v>0</v>
      </c>
      <c r="D10" s="383">
        <v>0</v>
      </c>
      <c r="E10" s="601">
        <v>0</v>
      </c>
      <c r="F10" s="383">
        <v>0</v>
      </c>
      <c r="G10" s="384">
        <f>+'7N_3-12'!D11</f>
        <v>0</v>
      </c>
      <c r="H10" s="381"/>
      <c r="I10" s="381"/>
      <c r="J10" s="382"/>
    </row>
    <row r="11" spans="1:12">
      <c r="A11" s="786" t="s">
        <v>1259</v>
      </c>
      <c r="B11" s="380">
        <v>0</v>
      </c>
      <c r="C11" s="380">
        <v>0</v>
      </c>
      <c r="D11" s="393">
        <f>'7N_3-12'!C15</f>
        <v>180000000</v>
      </c>
      <c r="E11" s="601">
        <v>0</v>
      </c>
      <c r="F11" s="383">
        <v>0</v>
      </c>
      <c r="G11" s="384">
        <f>'7N_3-12'!D15</f>
        <v>180000000</v>
      </c>
      <c r="H11" s="381"/>
      <c r="I11" s="381"/>
      <c r="J11" s="382">
        <v>0</v>
      </c>
    </row>
    <row r="12" spans="1:12">
      <c r="A12" s="786" t="s">
        <v>150</v>
      </c>
      <c r="B12" s="380">
        <v>0</v>
      </c>
      <c r="C12" s="380">
        <v>0</v>
      </c>
      <c r="D12" s="384">
        <f>+'7N_3-12'!C16</f>
        <v>1000000</v>
      </c>
      <c r="E12" s="383">
        <v>0</v>
      </c>
      <c r="F12" s="383">
        <v>0</v>
      </c>
      <c r="G12" s="384">
        <v>0</v>
      </c>
      <c r="H12" s="379"/>
      <c r="I12" s="381"/>
      <c r="J12" s="382"/>
    </row>
    <row r="13" spans="1:12">
      <c r="A13" s="786" t="s">
        <v>1152</v>
      </c>
      <c r="B13" s="380">
        <v>0</v>
      </c>
      <c r="C13" s="380">
        <v>0</v>
      </c>
      <c r="D13" s="384">
        <f>'7N_3-12'!C17</f>
        <v>9682582.5199999996</v>
      </c>
      <c r="E13" s="383">
        <v>0</v>
      </c>
      <c r="F13" s="383">
        <v>0</v>
      </c>
      <c r="G13" s="384">
        <f>'7N_3-12'!D17</f>
        <v>9682582.5199999996</v>
      </c>
      <c r="H13" s="379"/>
      <c r="I13" s="381"/>
      <c r="J13" s="382"/>
    </row>
    <row r="14" spans="1:12">
      <c r="A14" s="786" t="s">
        <v>1255</v>
      </c>
      <c r="B14" s="380">
        <v>0</v>
      </c>
      <c r="C14" s="380">
        <v>0</v>
      </c>
      <c r="D14" s="384">
        <f>'7N_3-12'!C75</f>
        <v>107897308.53000002</v>
      </c>
      <c r="E14" s="383">
        <v>0</v>
      </c>
      <c r="F14" s="383">
        <v>0</v>
      </c>
      <c r="G14" s="384">
        <f>'7N_3-12'!D75</f>
        <v>108911295.60000001</v>
      </c>
      <c r="H14" s="379"/>
      <c r="I14" s="381"/>
      <c r="J14" s="382">
        <v>53207355.950000003</v>
      </c>
    </row>
    <row r="15" spans="1:12">
      <c r="A15" s="786" t="s">
        <v>1256</v>
      </c>
      <c r="B15" s="380">
        <v>0</v>
      </c>
      <c r="C15" s="380">
        <v>0</v>
      </c>
      <c r="D15" s="384">
        <f>'7N_3-12'!C85</f>
        <v>865505442.21000004</v>
      </c>
      <c r="E15" s="383">
        <v>0</v>
      </c>
      <c r="F15" s="383">
        <v>0</v>
      </c>
      <c r="G15" s="384">
        <f>'7N_3-12'!D85</f>
        <v>633519823.84999979</v>
      </c>
      <c r="H15" s="379"/>
      <c r="I15" s="381"/>
      <c r="J15" s="382">
        <v>522619424.35000002</v>
      </c>
    </row>
    <row r="16" spans="1:12">
      <c r="A16" s="786" t="s">
        <v>489</v>
      </c>
      <c r="B16" s="380">
        <v>0</v>
      </c>
      <c r="C16" s="380">
        <v>0</v>
      </c>
      <c r="D16" s="384">
        <f>'7N_3-12'!C91</f>
        <v>1265005.6499999999</v>
      </c>
      <c r="E16" s="383">
        <v>0</v>
      </c>
      <c r="F16" s="383">
        <v>0</v>
      </c>
      <c r="G16" s="384">
        <f>'7N_3-12'!D91</f>
        <v>1265005.6499999999</v>
      </c>
      <c r="H16" s="379"/>
      <c r="I16" s="381"/>
      <c r="J16" s="382">
        <v>739651</v>
      </c>
    </row>
    <row r="17" spans="1:14">
      <c r="A17" s="786" t="s">
        <v>1257</v>
      </c>
      <c r="B17" s="380">
        <v>0</v>
      </c>
      <c r="C17" s="380">
        <v>0</v>
      </c>
      <c r="D17" s="384">
        <f>'7N_3-12'!C93</f>
        <v>2007812.9</v>
      </c>
      <c r="E17" s="383">
        <v>0</v>
      </c>
      <c r="F17" s="383">
        <v>0</v>
      </c>
      <c r="G17" s="384">
        <f>'7N_3-12'!D93</f>
        <v>2007812.9</v>
      </c>
      <c r="H17" s="379"/>
      <c r="I17" s="381"/>
      <c r="J17" s="382">
        <v>0</v>
      </c>
    </row>
    <row r="18" spans="1:14">
      <c r="A18" s="786" t="s">
        <v>1258</v>
      </c>
      <c r="B18" s="380">
        <v>0</v>
      </c>
      <c r="C18" s="380">
        <v>0</v>
      </c>
      <c r="D18" s="384">
        <f>'7N_3-12'!C92</f>
        <v>64264.35</v>
      </c>
      <c r="E18" s="383">
        <v>0</v>
      </c>
      <c r="F18" s="383">
        <v>0</v>
      </c>
      <c r="G18" s="384">
        <f>'7N_3-12'!D92</f>
        <v>64264.35</v>
      </c>
      <c r="H18" s="379"/>
      <c r="I18" s="381"/>
      <c r="J18" s="382">
        <v>2212782.17</v>
      </c>
    </row>
    <row r="19" spans="1:14">
      <c r="A19" s="787" t="s">
        <v>329</v>
      </c>
      <c r="B19" s="386">
        <f t="shared" ref="B19:J19" si="0">SUM(B11:B18)</f>
        <v>0</v>
      </c>
      <c r="C19" s="386">
        <f t="shared" si="0"/>
        <v>0</v>
      </c>
      <c r="D19" s="387">
        <f t="shared" si="0"/>
        <v>1167422416.1600001</v>
      </c>
      <c r="E19" s="388">
        <f t="shared" si="0"/>
        <v>0</v>
      </c>
      <c r="F19" s="388">
        <f t="shared" si="0"/>
        <v>0</v>
      </c>
      <c r="G19" s="387">
        <f>SUM(G10:G18)</f>
        <v>935450784.86999977</v>
      </c>
      <c r="H19" s="385">
        <f t="shared" si="0"/>
        <v>0</v>
      </c>
      <c r="I19" s="386">
        <f t="shared" si="0"/>
        <v>0</v>
      </c>
      <c r="J19" s="389">
        <f t="shared" si="0"/>
        <v>578779213.47000003</v>
      </c>
      <c r="K19" s="153"/>
      <c r="L19" s="183"/>
    </row>
    <row r="20" spans="1:14">
      <c r="A20" s="788" t="s">
        <v>330</v>
      </c>
      <c r="B20" s="381"/>
      <c r="C20" s="390"/>
      <c r="D20" s="391"/>
      <c r="E20" s="392"/>
      <c r="F20" s="393"/>
      <c r="G20" s="384"/>
      <c r="H20" s="379"/>
      <c r="I20" s="381"/>
      <c r="J20" s="382"/>
      <c r="L20" s="210"/>
    </row>
    <row r="21" spans="1:14">
      <c r="A21" s="789" t="s">
        <v>1261</v>
      </c>
      <c r="B21" s="380">
        <v>0</v>
      </c>
      <c r="C21" s="380">
        <v>0</v>
      </c>
      <c r="D21" s="384">
        <f>+'9N_14-21'!C26</f>
        <v>376022238.06999999</v>
      </c>
      <c r="E21" s="383">
        <v>0</v>
      </c>
      <c r="F21" s="383">
        <v>0</v>
      </c>
      <c r="G21" s="384">
        <f>+'9N_14-21'!D26</f>
        <v>396826475.69</v>
      </c>
      <c r="H21" s="379"/>
      <c r="I21" s="381"/>
      <c r="J21" s="382">
        <v>94636502</v>
      </c>
      <c r="K21" s="153"/>
      <c r="L21" s="211"/>
    </row>
    <row r="22" spans="1:14">
      <c r="A22" s="789" t="s">
        <v>485</v>
      </c>
      <c r="B22" s="380">
        <v>0</v>
      </c>
      <c r="C22" s="380">
        <v>0</v>
      </c>
      <c r="D22" s="384">
        <f>'9N_14-21'!C29</f>
        <v>300000000</v>
      </c>
      <c r="E22" s="383">
        <v>0</v>
      </c>
      <c r="F22" s="383">
        <v>0</v>
      </c>
      <c r="G22" s="384">
        <f>'9N_14-21'!D29</f>
        <v>300000000</v>
      </c>
      <c r="H22" s="379"/>
      <c r="I22" s="381"/>
      <c r="J22" s="382">
        <v>300000000</v>
      </c>
      <c r="K22" s="153"/>
      <c r="L22" s="211"/>
    </row>
    <row r="23" spans="1:14">
      <c r="A23" s="789" t="s">
        <v>1260</v>
      </c>
      <c r="B23" s="380">
        <v>0</v>
      </c>
      <c r="C23" s="380">
        <v>0</v>
      </c>
      <c r="D23" s="384">
        <f>+'9N_14-21'!C42</f>
        <v>194250000</v>
      </c>
      <c r="E23" s="383">
        <v>0</v>
      </c>
      <c r="F23" s="383">
        <v>0</v>
      </c>
      <c r="G23" s="384">
        <f>+'9N_14-21'!D42</f>
        <v>194250000</v>
      </c>
      <c r="H23" s="379"/>
      <c r="I23" s="381"/>
      <c r="J23" s="382"/>
      <c r="K23" s="153"/>
      <c r="L23" s="211"/>
    </row>
    <row r="24" spans="1:14">
      <c r="A24" s="789" t="s">
        <v>486</v>
      </c>
      <c r="B24" s="380">
        <v>0</v>
      </c>
      <c r="C24" s="380">
        <v>0</v>
      </c>
      <c r="D24" s="384">
        <f>SUM('9N_14-21'!C74:C76)</f>
        <v>76394615.269999996</v>
      </c>
      <c r="E24" s="383">
        <v>0</v>
      </c>
      <c r="F24" s="383">
        <v>0</v>
      </c>
      <c r="G24" s="384">
        <f>SUM('9N_14-21'!D74:D76)</f>
        <v>140676930.66999999</v>
      </c>
      <c r="H24" s="379"/>
      <c r="I24" s="381"/>
      <c r="J24" s="382">
        <v>73503206.629999995</v>
      </c>
      <c r="K24" s="153"/>
      <c r="L24" s="211"/>
    </row>
    <row r="25" spans="1:14">
      <c r="A25" s="789" t="s">
        <v>234</v>
      </c>
      <c r="B25" s="380">
        <v>0</v>
      </c>
      <c r="C25" s="380">
        <v>0</v>
      </c>
      <c r="D25" s="384">
        <f>+'9N_14-21'!C77</f>
        <v>19664420.93</v>
      </c>
      <c r="E25" s="383">
        <v>0</v>
      </c>
      <c r="F25" s="383">
        <v>0</v>
      </c>
      <c r="G25" s="384">
        <f>+'9N_14-21'!D77</f>
        <v>30489070.649999999</v>
      </c>
      <c r="H25" s="379"/>
      <c r="I25" s="381"/>
      <c r="J25" s="382">
        <v>4509246.58</v>
      </c>
      <c r="K25" s="153"/>
      <c r="L25" s="211"/>
    </row>
    <row r="26" spans="1:14">
      <c r="A26" s="786" t="s">
        <v>1210</v>
      </c>
      <c r="B26" s="380">
        <v>0</v>
      </c>
      <c r="C26" s="380">
        <v>0</v>
      </c>
      <c r="D26" s="384">
        <f>'9N_14-21'!C93</f>
        <v>122211</v>
      </c>
      <c r="E26" s="383">
        <v>0</v>
      </c>
      <c r="F26" s="383">
        <v>0</v>
      </c>
      <c r="G26" s="384">
        <f>'9N_14-21'!D93</f>
        <v>57411</v>
      </c>
      <c r="H26" s="379"/>
      <c r="I26" s="381"/>
      <c r="J26" s="382">
        <v>0</v>
      </c>
      <c r="K26" s="153"/>
      <c r="L26" s="211"/>
    </row>
    <row r="27" spans="1:14">
      <c r="A27" s="789" t="s">
        <v>1134</v>
      </c>
      <c r="B27" s="380">
        <v>0</v>
      </c>
      <c r="C27" s="380">
        <v>0</v>
      </c>
      <c r="D27" s="384">
        <f>+'9N_14-21'!C94</f>
        <v>44914640.189999998</v>
      </c>
      <c r="E27" s="383">
        <v>0</v>
      </c>
      <c r="F27" s="383">
        <v>0</v>
      </c>
      <c r="G27" s="384">
        <f>+'9N_14-21'!D94</f>
        <v>44914640.189999998</v>
      </c>
      <c r="H27" s="379"/>
      <c r="I27" s="381"/>
      <c r="J27" s="382">
        <v>20054.86</v>
      </c>
      <c r="K27" s="153"/>
      <c r="L27" s="211"/>
    </row>
    <row r="28" spans="1:14">
      <c r="A28" s="789" t="s">
        <v>1263</v>
      </c>
      <c r="B28" s="380">
        <v>0</v>
      </c>
      <c r="C28" s="380">
        <v>0</v>
      </c>
      <c r="D28" s="384">
        <f>SUM('9N_14-21'!C91:C92)</f>
        <v>12059558.960000001</v>
      </c>
      <c r="E28" s="383">
        <v>0</v>
      </c>
      <c r="F28" s="383">
        <v>0</v>
      </c>
      <c r="G28" s="384">
        <f>SUM('9N_14-21'!D91:D92)</f>
        <v>12703957.91</v>
      </c>
      <c r="H28" s="379"/>
      <c r="I28" s="381"/>
      <c r="J28" s="382">
        <v>7808954.9299999997</v>
      </c>
      <c r="K28" s="153"/>
      <c r="L28" s="211"/>
    </row>
    <row r="29" spans="1:14">
      <c r="A29" s="897" t="s">
        <v>332</v>
      </c>
      <c r="B29" s="898">
        <v>0</v>
      </c>
      <c r="C29" s="899">
        <v>0</v>
      </c>
      <c r="D29" s="388">
        <f t="shared" ref="D29:J29" si="1">SUM(D21:D28)</f>
        <v>1023427684.4199998</v>
      </c>
      <c r="E29" s="900">
        <v>0</v>
      </c>
      <c r="F29" s="901">
        <v>0</v>
      </c>
      <c r="G29" s="387">
        <f t="shared" si="1"/>
        <v>1119918486.1100001</v>
      </c>
      <c r="H29" s="386">
        <f t="shared" si="1"/>
        <v>0</v>
      </c>
      <c r="I29" s="386">
        <f t="shared" si="1"/>
        <v>0</v>
      </c>
      <c r="J29" s="389">
        <f t="shared" si="1"/>
        <v>480477965</v>
      </c>
      <c r="K29" s="153"/>
      <c r="L29" s="183"/>
      <c r="M29" s="184"/>
      <c r="N29" s="58"/>
    </row>
    <row r="30" spans="1:14">
      <c r="A30" s="917"/>
      <c r="B30" s="918"/>
      <c r="C30" s="918"/>
      <c r="D30" s="918"/>
      <c r="E30" s="918"/>
      <c r="F30" s="918"/>
      <c r="G30" s="919"/>
      <c r="H30" s="918"/>
      <c r="I30" s="918"/>
      <c r="J30" s="919"/>
      <c r="K30" s="185"/>
      <c r="L30" s="185"/>
    </row>
    <row r="31" spans="1:14">
      <c r="A31" s="783" t="s">
        <v>333</v>
      </c>
      <c r="B31" s="670"/>
      <c r="C31" s="670"/>
      <c r="D31" s="670"/>
      <c r="E31" s="670"/>
      <c r="F31" s="670"/>
      <c r="G31" s="791"/>
      <c r="H31" s="670"/>
      <c r="I31" s="670"/>
      <c r="J31" s="790"/>
      <c r="K31" s="185"/>
      <c r="L31" s="185"/>
    </row>
    <row r="32" spans="1:14" ht="63" customHeight="1">
      <c r="A32" s="1458" t="s">
        <v>334</v>
      </c>
      <c r="B32" s="1454"/>
      <c r="C32" s="1454"/>
      <c r="D32" s="1454"/>
      <c r="E32" s="1454"/>
      <c r="F32" s="1454"/>
      <c r="G32" s="1459"/>
      <c r="H32" s="931"/>
      <c r="I32" s="931"/>
      <c r="J32" s="932"/>
      <c r="K32" s="186"/>
      <c r="L32" s="186"/>
      <c r="M32" s="186"/>
    </row>
    <row r="33" spans="1:13" ht="15.75" customHeight="1">
      <c r="A33" s="1458" t="s">
        <v>1283</v>
      </c>
      <c r="B33" s="1454"/>
      <c r="C33" s="1454"/>
      <c r="D33" s="1454"/>
      <c r="E33" s="1454"/>
      <c r="F33" s="931"/>
      <c r="G33" s="932"/>
      <c r="H33" s="931"/>
      <c r="I33" s="931"/>
      <c r="J33" s="932"/>
      <c r="K33" s="186"/>
      <c r="L33" s="186"/>
      <c r="M33" s="186"/>
    </row>
    <row r="34" spans="1:13" ht="48.75" customHeight="1">
      <c r="A34" s="1458" t="s">
        <v>1284</v>
      </c>
      <c r="B34" s="1454"/>
      <c r="C34" s="1454"/>
      <c r="D34" s="1454"/>
      <c r="E34" s="1454"/>
      <c r="F34" s="1454"/>
      <c r="G34" s="1459"/>
      <c r="H34" s="931"/>
      <c r="I34" s="931"/>
      <c r="J34" s="932"/>
      <c r="K34" s="186"/>
      <c r="L34" s="186"/>
      <c r="M34" s="186"/>
    </row>
    <row r="35" spans="1:13" ht="15.75" customHeight="1">
      <c r="A35" s="1458" t="s">
        <v>1285</v>
      </c>
      <c r="B35" s="1454"/>
      <c r="C35" s="1454"/>
      <c r="D35" s="1454"/>
      <c r="E35" s="1454"/>
      <c r="F35" s="1454"/>
      <c r="G35" s="932"/>
      <c r="H35" s="931"/>
      <c r="I35" s="931"/>
      <c r="J35" s="932"/>
      <c r="K35" s="186"/>
      <c r="L35" s="186"/>
      <c r="M35" s="186"/>
    </row>
    <row r="36" spans="1:13" ht="15.75" customHeight="1">
      <c r="A36" s="1454" t="s">
        <v>335</v>
      </c>
      <c r="B36" s="1454"/>
      <c r="C36" s="1454"/>
      <c r="D36" s="1454"/>
      <c r="E36" s="1454"/>
      <c r="F36" s="1454"/>
      <c r="G36" s="932"/>
      <c r="H36" s="931"/>
      <c r="I36" s="931"/>
      <c r="J36" s="931"/>
      <c r="K36" s="186"/>
      <c r="L36" s="186"/>
      <c r="M36" s="186"/>
    </row>
    <row r="37" spans="1:13" ht="12.75" customHeight="1">
      <c r="A37" s="1454"/>
      <c r="B37" s="1454"/>
      <c r="C37" s="1454"/>
      <c r="D37" s="1454"/>
      <c r="E37" s="1454"/>
      <c r="F37" s="1454"/>
      <c r="G37" s="932"/>
      <c r="H37" s="931"/>
      <c r="I37" s="931"/>
      <c r="J37" s="931"/>
      <c r="K37" s="186"/>
      <c r="L37" s="186"/>
      <c r="M37" s="186"/>
    </row>
    <row r="38" spans="1:13">
      <c r="A38" s="783" t="s">
        <v>336</v>
      </c>
      <c r="B38" s="670"/>
      <c r="C38" s="670"/>
      <c r="D38" s="670"/>
      <c r="E38" s="670"/>
      <c r="F38" s="670"/>
      <c r="G38" s="791"/>
      <c r="H38" s="670"/>
      <c r="I38" s="670"/>
      <c r="J38" s="791"/>
      <c r="K38" s="185"/>
      <c r="L38" s="185"/>
    </row>
    <row r="39" spans="1:13">
      <c r="A39" s="792" t="s">
        <v>337</v>
      </c>
      <c r="B39" s="671"/>
      <c r="C39" s="671"/>
      <c r="D39" s="671"/>
      <c r="E39" s="671"/>
      <c r="F39" s="671"/>
      <c r="G39" s="793"/>
      <c r="H39" s="671"/>
      <c r="I39" s="671"/>
      <c r="J39" s="793"/>
      <c r="K39" s="187"/>
      <c r="L39" s="187"/>
      <c r="M39" s="187"/>
    </row>
    <row r="40" spans="1:13">
      <c r="A40" s="794" t="s">
        <v>338</v>
      </c>
      <c r="B40" s="795"/>
      <c r="C40" s="795"/>
      <c r="D40" s="795"/>
      <c r="E40" s="795"/>
      <c r="F40" s="795"/>
      <c r="G40" s="796"/>
      <c r="H40" s="795"/>
      <c r="I40" s="795"/>
      <c r="J40" s="796"/>
      <c r="K40" s="188"/>
      <c r="L40" s="188"/>
      <c r="M40" s="188"/>
    </row>
    <row r="41" spans="1:13">
      <c r="A41" s="797"/>
      <c r="B41" s="798"/>
      <c r="C41" s="798"/>
      <c r="D41" s="798"/>
      <c r="E41" s="798"/>
      <c r="F41" s="798"/>
      <c r="G41" s="799"/>
      <c r="H41" s="394"/>
      <c r="I41" s="394"/>
      <c r="J41" s="394"/>
      <c r="K41" s="188"/>
      <c r="L41" s="188"/>
      <c r="M41" s="188"/>
    </row>
    <row r="42" spans="1:13">
      <c r="A42" s="800" t="s">
        <v>339</v>
      </c>
      <c r="B42" s="672"/>
      <c r="C42" s="672"/>
      <c r="D42" s="672"/>
      <c r="E42" s="394"/>
      <c r="F42" s="394"/>
      <c r="G42" s="801"/>
      <c r="H42" s="394"/>
      <c r="I42" s="394"/>
      <c r="J42" s="394"/>
      <c r="K42" s="188"/>
      <c r="L42" s="188"/>
      <c r="M42" s="188"/>
    </row>
    <row r="43" spans="1:13" ht="13.35" customHeight="1">
      <c r="A43" s="1446" t="s">
        <v>21</v>
      </c>
      <c r="B43" s="1434" t="s">
        <v>555</v>
      </c>
      <c r="C43" s="1435"/>
      <c r="D43" s="1434" t="s">
        <v>348</v>
      </c>
      <c r="E43" s="1435"/>
      <c r="F43" s="1436" t="s">
        <v>340</v>
      </c>
      <c r="G43" s="1437"/>
      <c r="H43" s="376"/>
      <c r="I43" s="376"/>
      <c r="J43" s="376"/>
    </row>
    <row r="44" spans="1:13" ht="13.35" customHeight="1">
      <c r="A44" s="1447"/>
      <c r="B44" s="602" t="s">
        <v>341</v>
      </c>
      <c r="C44" s="603" t="s">
        <v>342</v>
      </c>
      <c r="D44" s="602" t="s">
        <v>341</v>
      </c>
      <c r="E44" s="602" t="s">
        <v>342</v>
      </c>
      <c r="F44" s="395" t="s">
        <v>341</v>
      </c>
      <c r="G44" s="802" t="s">
        <v>342</v>
      </c>
      <c r="H44" s="376"/>
      <c r="I44" s="376"/>
      <c r="J44" s="376"/>
    </row>
    <row r="45" spans="1:13" ht="13.35" customHeight="1">
      <c r="A45" s="604" t="s">
        <v>328</v>
      </c>
      <c r="B45" s="396"/>
      <c r="C45" s="397"/>
      <c r="D45" s="398"/>
      <c r="E45" s="398"/>
      <c r="F45" s="399"/>
      <c r="G45" s="803"/>
      <c r="H45" s="376"/>
      <c r="I45" s="376"/>
      <c r="J45" s="376"/>
    </row>
    <row r="46" spans="1:13" ht="13.35" customHeight="1">
      <c r="A46" s="400" t="str">
        <f>+A10</f>
        <v>Investment in associates</v>
      </c>
      <c r="B46" s="401">
        <f>+D10</f>
        <v>0</v>
      </c>
      <c r="C46" s="402">
        <f>+B46</f>
        <v>0</v>
      </c>
      <c r="D46" s="403">
        <f>+G10</f>
        <v>0</v>
      </c>
      <c r="E46" s="403">
        <f>+D46</f>
        <v>0</v>
      </c>
      <c r="F46" s="399"/>
      <c r="G46" s="803"/>
      <c r="H46" s="376"/>
      <c r="I46" s="376"/>
      <c r="J46" s="376"/>
    </row>
    <row r="47" spans="1:13" ht="13.35" customHeight="1">
      <c r="A47" s="400" t="str">
        <f>+A11</f>
        <v>Investment for redemption of bond</v>
      </c>
      <c r="B47" s="401">
        <f>'7N_3-12'!C15</f>
        <v>180000000</v>
      </c>
      <c r="C47" s="402">
        <f>B47</f>
        <v>180000000</v>
      </c>
      <c r="D47" s="403">
        <f>'7N_3-12'!D15</f>
        <v>180000000</v>
      </c>
      <c r="E47" s="403">
        <f>D47</f>
        <v>180000000</v>
      </c>
      <c r="F47" s="399">
        <v>0</v>
      </c>
      <c r="G47" s="803">
        <v>0</v>
      </c>
      <c r="H47" s="376"/>
      <c r="I47" s="376"/>
      <c r="J47" s="376"/>
    </row>
    <row r="48" spans="1:13">
      <c r="A48" s="400" t="str">
        <f>+A13</f>
        <v>Accrued income on investments</v>
      </c>
      <c r="B48" s="401">
        <f>'7N_3-12'!C17</f>
        <v>9682582.5199999996</v>
      </c>
      <c r="C48" s="402">
        <f>B48</f>
        <v>9682582.5199999996</v>
      </c>
      <c r="D48" s="401">
        <f>'7N_3-12'!D17</f>
        <v>9682582.5199999996</v>
      </c>
      <c r="E48" s="403">
        <f>D48</f>
        <v>9682582.5199999996</v>
      </c>
      <c r="F48" s="399"/>
      <c r="G48" s="803"/>
      <c r="H48" s="376"/>
      <c r="I48" s="376"/>
      <c r="J48" s="376"/>
    </row>
    <row r="49" spans="1:12">
      <c r="A49" s="400" t="s">
        <v>1308</v>
      </c>
      <c r="B49" s="401">
        <f>+D14</f>
        <v>107897308.53000002</v>
      </c>
      <c r="C49" s="402">
        <f t="shared" ref="C49:C54" si="2">+B49</f>
        <v>107897308.53000002</v>
      </c>
      <c r="D49" s="401">
        <f>+G14</f>
        <v>108911295.60000001</v>
      </c>
      <c r="E49" s="403">
        <f t="shared" ref="E49:E54" si="3">+D49</f>
        <v>108911295.60000001</v>
      </c>
      <c r="F49" s="399"/>
      <c r="G49" s="803"/>
      <c r="H49" s="376"/>
      <c r="I49" s="376"/>
      <c r="J49" s="376"/>
    </row>
    <row r="50" spans="1:12">
      <c r="A50" s="400" t="str">
        <f>+A12</f>
        <v>Other Receivables - Non Current</v>
      </c>
      <c r="B50" s="401">
        <f>+D12</f>
        <v>1000000</v>
      </c>
      <c r="C50" s="402">
        <f t="shared" si="2"/>
        <v>1000000</v>
      </c>
      <c r="D50" s="401">
        <f>+G12</f>
        <v>0</v>
      </c>
      <c r="E50" s="403">
        <f t="shared" si="3"/>
        <v>0</v>
      </c>
      <c r="F50" s="399"/>
      <c r="G50" s="803"/>
      <c r="H50" s="376"/>
      <c r="I50" s="376"/>
      <c r="J50" s="376"/>
    </row>
    <row r="51" spans="1:12">
      <c r="A51" s="400" t="str">
        <f>+A17</f>
        <v xml:space="preserve"> Income accrued but not Due</v>
      </c>
      <c r="B51" s="401">
        <f>+D17</f>
        <v>2007812.9</v>
      </c>
      <c r="C51" s="402">
        <f t="shared" si="2"/>
        <v>2007812.9</v>
      </c>
      <c r="D51" s="401">
        <f>+G17</f>
        <v>2007812.9</v>
      </c>
      <c r="E51" s="403">
        <f t="shared" si="3"/>
        <v>2007812.9</v>
      </c>
      <c r="F51" s="399"/>
      <c r="G51" s="803"/>
      <c r="H51" s="376"/>
      <c r="I51" s="376"/>
      <c r="J51" s="376"/>
    </row>
    <row r="52" spans="1:12">
      <c r="A52" s="400" t="str">
        <f>+A16</f>
        <v xml:space="preserve"> Security deposits</v>
      </c>
      <c r="B52" s="401">
        <f>+D16</f>
        <v>1265005.6499999999</v>
      </c>
      <c r="C52" s="402">
        <f t="shared" si="2"/>
        <v>1265005.6499999999</v>
      </c>
      <c r="D52" s="401">
        <f>+G16</f>
        <v>1265005.6499999999</v>
      </c>
      <c r="E52" s="403">
        <f t="shared" si="3"/>
        <v>1265005.6499999999</v>
      </c>
      <c r="F52" s="399"/>
      <c r="G52" s="803"/>
      <c r="H52" s="376"/>
      <c r="I52" s="376"/>
      <c r="J52" s="376"/>
    </row>
    <row r="53" spans="1:12">
      <c r="A53" s="400" t="str">
        <f>+A15</f>
        <v xml:space="preserve"> Cash and cash equivalent</v>
      </c>
      <c r="B53" s="401">
        <f>+D15</f>
        <v>865505442.21000004</v>
      </c>
      <c r="C53" s="402">
        <f t="shared" si="2"/>
        <v>865505442.21000004</v>
      </c>
      <c r="D53" s="401">
        <f>+G15</f>
        <v>633519823.84999979</v>
      </c>
      <c r="E53" s="403">
        <f t="shared" si="3"/>
        <v>633519823.84999979</v>
      </c>
      <c r="F53" s="399"/>
      <c r="G53" s="803"/>
      <c r="H53" s="376"/>
      <c r="I53" s="376"/>
      <c r="J53" s="376"/>
    </row>
    <row r="54" spans="1:12">
      <c r="A54" s="400" t="str">
        <f>+A18</f>
        <v xml:space="preserve"> Other Receivables</v>
      </c>
      <c r="B54" s="401">
        <f>+D18</f>
        <v>64264.35</v>
      </c>
      <c r="C54" s="402">
        <f t="shared" si="2"/>
        <v>64264.35</v>
      </c>
      <c r="D54" s="401">
        <f>+G18</f>
        <v>64264.35</v>
      </c>
      <c r="E54" s="403">
        <f t="shared" si="3"/>
        <v>64264.35</v>
      </c>
      <c r="F54" s="399"/>
      <c r="G54" s="803"/>
      <c r="H54" s="376"/>
      <c r="I54" s="376"/>
      <c r="J54" s="376"/>
    </row>
    <row r="55" spans="1:12">
      <c r="A55" s="605" t="s">
        <v>329</v>
      </c>
      <c r="B55" s="404">
        <f>SUM(B46:B54)</f>
        <v>1167422416.1599998</v>
      </c>
      <c r="C55" s="404">
        <f t="shared" ref="C55:E55" si="4">SUM(C46:C54)</f>
        <v>1167422416.1599998</v>
      </c>
      <c r="D55" s="404">
        <f t="shared" si="4"/>
        <v>935450784.86999977</v>
      </c>
      <c r="E55" s="404">
        <f t="shared" si="4"/>
        <v>935450784.86999977</v>
      </c>
      <c r="F55" s="405">
        <f>SUM(F46:F48)</f>
        <v>0</v>
      </c>
      <c r="G55" s="804">
        <f>SUM(G46:G48)</f>
        <v>0</v>
      </c>
      <c r="H55" s="376"/>
      <c r="I55" s="376"/>
      <c r="J55" s="406"/>
    </row>
    <row r="56" spans="1:12">
      <c r="A56" s="407"/>
      <c r="B56" s="408"/>
      <c r="C56" s="409"/>
      <c r="D56" s="410"/>
      <c r="E56" s="410"/>
      <c r="F56" s="411"/>
      <c r="G56" s="805"/>
      <c r="H56" s="376"/>
      <c r="I56" s="376"/>
      <c r="J56" s="376"/>
    </row>
    <row r="57" spans="1:12">
      <c r="A57" s="606" t="s">
        <v>343</v>
      </c>
      <c r="B57" s="412"/>
      <c r="C57" s="413"/>
      <c r="D57" s="401"/>
      <c r="E57" s="401"/>
      <c r="F57" s="399"/>
      <c r="G57" s="803"/>
      <c r="H57" s="376"/>
      <c r="I57" s="376"/>
      <c r="J57" s="376"/>
    </row>
    <row r="58" spans="1:12">
      <c r="A58" s="400" t="str">
        <f>+A21</f>
        <v>Term loan - BOB</v>
      </c>
      <c r="B58" s="414">
        <f t="shared" ref="B58:B65" si="5">+D21</f>
        <v>376022238.06999999</v>
      </c>
      <c r="C58" s="414">
        <f>+B58</f>
        <v>376022238.06999999</v>
      </c>
      <c r="D58" s="403">
        <f t="shared" ref="D58:D65" si="6">+G21</f>
        <v>396826475.69</v>
      </c>
      <c r="E58" s="403">
        <f>+D58</f>
        <v>396826475.69</v>
      </c>
      <c r="F58" s="399">
        <v>300000000</v>
      </c>
      <c r="G58" s="803">
        <v>300000000</v>
      </c>
      <c r="H58" s="376"/>
      <c r="I58" s="376"/>
      <c r="J58" s="406"/>
      <c r="K58" s="189"/>
      <c r="L58" s="189"/>
    </row>
    <row r="59" spans="1:12">
      <c r="A59" s="400" t="str">
        <f t="shared" ref="A59:A65" si="7">+A22</f>
        <v>Corporate bond</v>
      </c>
      <c r="B59" s="414">
        <f t="shared" si="5"/>
        <v>300000000</v>
      </c>
      <c r="C59" s="414">
        <f t="shared" ref="C59:C65" si="8">+B59</f>
        <v>300000000</v>
      </c>
      <c r="D59" s="403">
        <f t="shared" si="6"/>
        <v>300000000</v>
      </c>
      <c r="E59" s="403">
        <f t="shared" ref="E59:E65" si="9">+D59</f>
        <v>300000000</v>
      </c>
      <c r="F59" s="399"/>
      <c r="G59" s="803"/>
      <c r="H59" s="376"/>
      <c r="I59" s="376"/>
      <c r="J59" s="406"/>
      <c r="K59" s="189"/>
      <c r="L59" s="189"/>
    </row>
    <row r="60" spans="1:12">
      <c r="A60" s="400" t="str">
        <f t="shared" si="7"/>
        <v>License fee payable</v>
      </c>
      <c r="B60" s="414">
        <f t="shared" si="5"/>
        <v>194250000</v>
      </c>
      <c r="C60" s="414">
        <f t="shared" si="8"/>
        <v>194250000</v>
      </c>
      <c r="D60" s="403">
        <f t="shared" si="6"/>
        <v>194250000</v>
      </c>
      <c r="E60" s="403">
        <f t="shared" si="9"/>
        <v>194250000</v>
      </c>
      <c r="F60" s="399"/>
      <c r="G60" s="803"/>
      <c r="H60" s="376"/>
      <c r="I60" s="376"/>
      <c r="J60" s="406"/>
      <c r="K60" s="189"/>
      <c r="L60" s="189"/>
    </row>
    <row r="61" spans="1:12">
      <c r="A61" s="400" t="str">
        <f t="shared" si="7"/>
        <v>Trade payables</v>
      </c>
      <c r="B61" s="414">
        <f t="shared" si="5"/>
        <v>76394615.269999996</v>
      </c>
      <c r="C61" s="414">
        <f t="shared" si="8"/>
        <v>76394615.269999996</v>
      </c>
      <c r="D61" s="403">
        <f t="shared" si="6"/>
        <v>140676930.66999999</v>
      </c>
      <c r="E61" s="403">
        <f t="shared" si="9"/>
        <v>140676930.66999999</v>
      </c>
      <c r="F61" s="399"/>
      <c r="G61" s="803"/>
      <c r="H61" s="376"/>
      <c r="I61" s="376"/>
      <c r="J61" s="406"/>
      <c r="K61" s="189"/>
      <c r="L61" s="189"/>
    </row>
    <row r="62" spans="1:12">
      <c r="A62" s="400" t="str">
        <f t="shared" si="7"/>
        <v>Other payables</v>
      </c>
      <c r="B62" s="414">
        <f t="shared" si="5"/>
        <v>19664420.93</v>
      </c>
      <c r="C62" s="414">
        <f t="shared" si="8"/>
        <v>19664420.93</v>
      </c>
      <c r="D62" s="403">
        <f t="shared" si="6"/>
        <v>30489070.649999999</v>
      </c>
      <c r="E62" s="403">
        <f t="shared" si="9"/>
        <v>30489070.649999999</v>
      </c>
      <c r="F62" s="399"/>
      <c r="G62" s="803"/>
      <c r="H62" s="376"/>
      <c r="I62" s="376"/>
      <c r="J62" s="406"/>
      <c r="K62" s="189"/>
      <c r="L62" s="189"/>
    </row>
    <row r="63" spans="1:12">
      <c r="A63" s="400" t="str">
        <f t="shared" si="7"/>
        <v>Payable to employees</v>
      </c>
      <c r="B63" s="414">
        <f t="shared" si="5"/>
        <v>122211</v>
      </c>
      <c r="C63" s="414">
        <f t="shared" si="8"/>
        <v>122211</v>
      </c>
      <c r="D63" s="403">
        <f t="shared" si="6"/>
        <v>57411</v>
      </c>
      <c r="E63" s="403">
        <f t="shared" si="9"/>
        <v>57411</v>
      </c>
      <c r="F63" s="399"/>
      <c r="G63" s="803"/>
      <c r="H63" s="376"/>
      <c r="I63" s="376"/>
      <c r="J63" s="406"/>
      <c r="K63" s="189"/>
      <c r="L63" s="189"/>
    </row>
    <row r="64" spans="1:12">
      <c r="A64" s="400" t="str">
        <f t="shared" si="7"/>
        <v>Provision for Bonus</v>
      </c>
      <c r="B64" s="414">
        <f t="shared" si="5"/>
        <v>44914640.189999998</v>
      </c>
      <c r="C64" s="414">
        <f t="shared" si="8"/>
        <v>44914640.189999998</v>
      </c>
      <c r="D64" s="403">
        <f t="shared" si="6"/>
        <v>44914640.189999998</v>
      </c>
      <c r="E64" s="403">
        <f t="shared" si="9"/>
        <v>44914640.189999998</v>
      </c>
      <c r="F64" s="399"/>
      <c r="G64" s="803"/>
      <c r="H64" s="376"/>
      <c r="I64" s="376"/>
      <c r="J64" s="406"/>
      <c r="K64" s="189"/>
      <c r="L64" s="189"/>
    </row>
    <row r="65" spans="1:13">
      <c r="A65" s="400" t="str">
        <f t="shared" si="7"/>
        <v>Security deposits</v>
      </c>
      <c r="B65" s="414">
        <f t="shared" si="5"/>
        <v>12059558.960000001</v>
      </c>
      <c r="C65" s="414">
        <f t="shared" si="8"/>
        <v>12059558.960000001</v>
      </c>
      <c r="D65" s="403">
        <f t="shared" si="6"/>
        <v>12703957.91</v>
      </c>
      <c r="E65" s="403">
        <f t="shared" si="9"/>
        <v>12703957.91</v>
      </c>
      <c r="F65" s="399"/>
      <c r="G65" s="803"/>
      <c r="H65" s="376"/>
      <c r="I65" s="376"/>
      <c r="J65" s="406"/>
      <c r="K65" s="189"/>
      <c r="L65" s="189"/>
    </row>
    <row r="66" spans="1:13">
      <c r="A66" s="605" t="s">
        <v>332</v>
      </c>
      <c r="B66" s="415">
        <f t="shared" ref="B66:G66" si="10">SUM(B57:B65)</f>
        <v>1023427684.4199998</v>
      </c>
      <c r="C66" s="415">
        <f t="shared" si="10"/>
        <v>1023427684.4199998</v>
      </c>
      <c r="D66" s="415">
        <f t="shared" si="10"/>
        <v>1119918486.1100001</v>
      </c>
      <c r="E66" s="415">
        <f t="shared" si="10"/>
        <v>1119918486.1100001</v>
      </c>
      <c r="F66" s="405">
        <f t="shared" si="10"/>
        <v>300000000</v>
      </c>
      <c r="G66" s="804">
        <f t="shared" si="10"/>
        <v>300000000</v>
      </c>
      <c r="H66" s="376"/>
      <c r="I66" s="376"/>
      <c r="J66" s="376"/>
    </row>
    <row r="67" spans="1:13">
      <c r="A67" s="806"/>
      <c r="B67" s="394"/>
      <c r="C67" s="394"/>
      <c r="D67" s="394"/>
      <c r="E67" s="394"/>
      <c r="F67" s="394"/>
      <c r="G67" s="801"/>
      <c r="H67" s="394"/>
      <c r="I67" s="394"/>
      <c r="J67" s="394"/>
      <c r="K67" s="188"/>
      <c r="L67" s="188"/>
      <c r="M67" s="188"/>
    </row>
    <row r="68" spans="1:13" ht="33" customHeight="1">
      <c r="A68" s="1443" t="s">
        <v>1449</v>
      </c>
      <c r="B68" s="1444"/>
      <c r="C68" s="1444"/>
      <c r="D68" s="1444"/>
      <c r="E68" s="1444"/>
      <c r="F68" s="1444"/>
      <c r="G68" s="1445"/>
      <c r="H68" s="416"/>
      <c r="I68" s="416"/>
      <c r="J68" s="416"/>
      <c r="K68" s="190"/>
      <c r="L68" s="190"/>
      <c r="M68" s="190"/>
    </row>
    <row r="69" spans="1:13" ht="31.5" customHeight="1">
      <c r="A69" s="1448" t="s">
        <v>1450</v>
      </c>
      <c r="B69" s="1449"/>
      <c r="C69" s="1449"/>
      <c r="D69" s="1449"/>
      <c r="E69" s="1449"/>
      <c r="F69" s="1449"/>
      <c r="G69" s="1450"/>
      <c r="H69" s="416"/>
      <c r="I69" s="416"/>
      <c r="J69" s="416"/>
      <c r="K69" s="190"/>
      <c r="L69" s="190"/>
      <c r="M69" s="190"/>
    </row>
    <row r="70" spans="1:13">
      <c r="A70" s="800" t="s">
        <v>344</v>
      </c>
      <c r="B70" s="672"/>
      <c r="C70" s="672"/>
      <c r="D70" s="672"/>
      <c r="E70" s="417"/>
      <c r="F70" s="417"/>
      <c r="G70" s="807"/>
      <c r="H70" s="417"/>
      <c r="I70" s="417"/>
      <c r="J70" s="417"/>
      <c r="K70" s="191"/>
      <c r="L70" s="191"/>
      <c r="M70" s="192"/>
    </row>
    <row r="71" spans="1:13" ht="48" customHeight="1">
      <c r="A71" s="1451" t="s">
        <v>345</v>
      </c>
      <c r="B71" s="1452"/>
      <c r="C71" s="1452"/>
      <c r="D71" s="1452"/>
      <c r="E71" s="1452"/>
      <c r="F71" s="1452"/>
      <c r="G71" s="1453"/>
      <c r="H71" s="416"/>
      <c r="I71" s="416"/>
      <c r="J71" s="416"/>
      <c r="K71" s="190"/>
      <c r="L71" s="190"/>
      <c r="M71" s="190"/>
    </row>
    <row r="72" spans="1:13">
      <c r="A72" s="190"/>
      <c r="B72" s="190"/>
      <c r="C72" s="190"/>
      <c r="D72" s="190"/>
      <c r="E72" s="190"/>
      <c r="F72" s="190"/>
      <c r="G72" s="190"/>
      <c r="H72" s="190"/>
      <c r="I72" s="190"/>
      <c r="J72" s="190"/>
      <c r="K72" s="190"/>
      <c r="L72" s="190"/>
      <c r="M72" s="190"/>
    </row>
    <row r="73" spans="1:13">
      <c r="A73" s="190"/>
      <c r="B73" s="190"/>
      <c r="C73" s="190"/>
      <c r="D73" s="190"/>
      <c r="E73" s="190"/>
      <c r="F73" s="190"/>
      <c r="G73" s="190"/>
      <c r="H73" s="190"/>
      <c r="I73" s="190"/>
      <c r="J73" s="190"/>
      <c r="K73" s="190"/>
      <c r="L73" s="190"/>
      <c r="M73" s="190"/>
    </row>
    <row r="74" spans="1:13" ht="13.35" customHeight="1">
      <c r="A74" s="1431"/>
      <c r="B74" s="1431"/>
      <c r="C74" s="1431"/>
      <c r="D74" s="1431"/>
      <c r="E74" s="1431"/>
      <c r="F74" s="1431"/>
      <c r="G74" s="1431"/>
      <c r="H74" s="1431"/>
      <c r="I74" s="1431"/>
      <c r="J74" s="1431"/>
      <c r="K74" s="1431"/>
      <c r="L74" s="1431"/>
      <c r="M74" s="1431"/>
    </row>
    <row r="75" spans="1:13">
      <c r="A75" s="180"/>
      <c r="B75" s="180"/>
      <c r="C75" s="180"/>
      <c r="D75" s="180"/>
      <c r="E75" s="185"/>
      <c r="F75" s="185"/>
      <c r="G75" s="185"/>
      <c r="H75" s="185"/>
      <c r="I75" s="185"/>
      <c r="J75" s="185"/>
      <c r="K75" s="185"/>
      <c r="L75" s="185"/>
    </row>
    <row r="76" spans="1:13">
      <c r="A76" s="180"/>
      <c r="B76" s="180"/>
      <c r="C76" s="180"/>
      <c r="D76" s="180"/>
      <c r="E76" s="185"/>
      <c r="F76" s="185"/>
      <c r="G76" s="185"/>
      <c r="H76" s="185"/>
      <c r="I76" s="185"/>
      <c r="J76" s="185"/>
      <c r="K76" s="185"/>
      <c r="L76" s="185"/>
    </row>
    <row r="77" spans="1:13" ht="16.5" customHeight="1">
      <c r="A77" s="186"/>
      <c r="B77" s="186"/>
      <c r="C77" s="186"/>
      <c r="D77" s="186"/>
      <c r="E77" s="186"/>
      <c r="F77" s="186"/>
      <c r="G77" s="186"/>
      <c r="H77" s="186"/>
      <c r="I77" s="186"/>
      <c r="J77" s="186"/>
      <c r="K77" s="186"/>
      <c r="L77" s="186"/>
      <c r="M77" s="186"/>
    </row>
    <row r="78" spans="1:13">
      <c r="A78" s="193"/>
      <c r="B78" s="193"/>
      <c r="C78" s="193"/>
      <c r="D78" s="193"/>
      <c r="E78" s="194"/>
      <c r="F78" s="194"/>
      <c r="G78" s="194"/>
      <c r="H78" s="194"/>
      <c r="I78" s="194"/>
      <c r="J78" s="194"/>
      <c r="K78" s="194"/>
      <c r="L78" s="194"/>
      <c r="M78" s="194"/>
    </row>
    <row r="79" spans="1:13">
      <c r="A79" s="180"/>
      <c r="B79" s="180"/>
      <c r="C79" s="180"/>
      <c r="D79" s="180"/>
      <c r="E79" s="185"/>
      <c r="F79" s="185"/>
      <c r="G79" s="185"/>
      <c r="H79" s="185"/>
      <c r="I79" s="185"/>
      <c r="J79" s="185"/>
      <c r="K79" s="185"/>
      <c r="L79" s="185"/>
    </row>
    <row r="80" spans="1:13">
      <c r="A80" s="194"/>
      <c r="B80" s="194"/>
      <c r="C80" s="194"/>
      <c r="D80" s="194"/>
      <c r="E80" s="185"/>
      <c r="F80" s="185"/>
      <c r="G80" s="185"/>
      <c r="H80" s="185"/>
      <c r="I80" s="185"/>
      <c r="J80" s="185"/>
      <c r="K80" s="185"/>
      <c r="L80" s="185"/>
    </row>
    <row r="81" spans="1:13">
      <c r="A81" s="180"/>
      <c r="B81" s="180"/>
      <c r="C81" s="180"/>
      <c r="D81" s="180"/>
      <c r="E81" s="185"/>
      <c r="F81" s="185"/>
      <c r="G81" s="185"/>
      <c r="H81" s="185"/>
      <c r="I81" s="185"/>
      <c r="J81" s="185"/>
      <c r="K81" s="185"/>
      <c r="L81" s="185"/>
    </row>
    <row r="82" spans="1:13">
      <c r="A82" s="193"/>
      <c r="B82" s="193"/>
      <c r="C82" s="193"/>
      <c r="D82" s="193"/>
      <c r="E82" s="194"/>
      <c r="F82" s="194"/>
      <c r="G82" s="194"/>
      <c r="H82" s="194"/>
      <c r="I82" s="194"/>
      <c r="J82" s="194"/>
      <c r="K82" s="194"/>
      <c r="L82" s="194"/>
      <c r="M82" s="194"/>
    </row>
    <row r="83" spans="1:13">
      <c r="A83" s="195"/>
      <c r="B83" s="195"/>
      <c r="C83" s="195"/>
      <c r="D83" s="195"/>
      <c r="E83" s="195"/>
      <c r="F83" s="195"/>
      <c r="G83" s="195"/>
      <c r="H83" s="195"/>
      <c r="I83" s="195"/>
      <c r="J83" s="195"/>
      <c r="K83" s="195"/>
      <c r="L83" s="195"/>
      <c r="M83" s="195"/>
    </row>
  </sheetData>
  <mergeCells count="19">
    <mergeCell ref="A1:G1"/>
    <mergeCell ref="A32:G32"/>
    <mergeCell ref="A34:G34"/>
    <mergeCell ref="A35:F35"/>
    <mergeCell ref="A36:F36"/>
    <mergeCell ref="A33:E33"/>
    <mergeCell ref="A74:M74"/>
    <mergeCell ref="B7:D7"/>
    <mergeCell ref="B43:C43"/>
    <mergeCell ref="D43:E43"/>
    <mergeCell ref="F43:G43"/>
    <mergeCell ref="A7:A8"/>
    <mergeCell ref="E7:G7"/>
    <mergeCell ref="H7:J7"/>
    <mergeCell ref="A68:G68"/>
    <mergeCell ref="A43:A44"/>
    <mergeCell ref="A69:G69"/>
    <mergeCell ref="A71:G71"/>
    <mergeCell ref="A37:F37"/>
  </mergeCells>
  <pageMargins left="0.94488188976377963" right="0.27559055118110237" top="0.43307086614173229" bottom="0.15748031496062992" header="3.937007874015748E-2" footer="0.15748031496062992"/>
  <pageSetup paperSize="9" scale="78" fitToWidth="0" fitToHeight="0" orientation="landscape" r:id="rId1"/>
  <rowBreaks count="1" manualBreakCount="1">
    <brk id="40" max="6" man="1"/>
  </rowBreaks>
</worksheet>
</file>

<file path=xl/worksheets/sheet14.xml><?xml version="1.0" encoding="utf-8"?>
<worksheet xmlns="http://schemas.openxmlformats.org/spreadsheetml/2006/main" xmlns:r="http://schemas.openxmlformats.org/officeDocument/2006/relationships">
  <sheetPr enableFormatConditionsCalculation="0">
    <tabColor rgb="FF00B050"/>
  </sheetPr>
  <dimension ref="A1:P118"/>
  <sheetViews>
    <sheetView showGridLines="0" showWhiteSpace="0" topLeftCell="A30" zoomScale="90" zoomScaleNormal="90" zoomScaleSheetLayoutView="90" zoomScalePageLayoutView="90" workbookViewId="0">
      <selection activeCell="A30" sqref="A30"/>
    </sheetView>
  </sheetViews>
  <sheetFormatPr defaultColWidth="9.140625" defaultRowHeight="15.75"/>
  <cols>
    <col min="1" max="1" width="33.42578125" style="626" customWidth="1"/>
    <col min="2" max="2" width="13.42578125" style="626" customWidth="1"/>
    <col min="3" max="3" width="20.42578125" style="626" customWidth="1"/>
    <col min="4" max="4" width="20.28515625" style="626" bestFit="1" customWidth="1"/>
    <col min="5" max="5" width="27.140625" style="626" customWidth="1"/>
    <col min="6" max="6" width="12" style="250" customWidth="1"/>
    <col min="7" max="7" width="18.140625" style="250" hidden="1" customWidth="1"/>
    <col min="8" max="8" width="9.140625" style="250" hidden="1" customWidth="1"/>
    <col min="9" max="9" width="17.28515625" style="250" hidden="1" customWidth="1"/>
    <col min="10" max="10" width="15.7109375" style="250" customWidth="1"/>
    <col min="11" max="11" width="9.140625" style="250" customWidth="1"/>
    <col min="12" max="12" width="16.28515625" style="250" hidden="1" customWidth="1"/>
    <col min="13" max="13" width="16.85546875" style="860" hidden="1" customWidth="1"/>
    <col min="14" max="14" width="15.7109375" style="250" hidden="1" customWidth="1"/>
    <col min="15" max="16" width="16.85546875" style="250" hidden="1" customWidth="1"/>
    <col min="17" max="16384" width="9.140625" style="250"/>
  </cols>
  <sheetData>
    <row r="1" spans="1:10">
      <c r="A1" s="1455" t="s">
        <v>0</v>
      </c>
      <c r="B1" s="1456"/>
      <c r="C1" s="1456"/>
      <c r="D1" s="1456"/>
      <c r="E1" s="1456"/>
      <c r="F1" s="859"/>
      <c r="G1" s="859"/>
      <c r="H1" s="859"/>
      <c r="I1" s="859"/>
      <c r="J1" s="827"/>
    </row>
    <row r="2" spans="1:10">
      <c r="A2" s="1333" t="s">
        <v>1052</v>
      </c>
      <c r="B2" s="1334"/>
      <c r="C2" s="1334"/>
      <c r="D2" s="1334"/>
      <c r="E2" s="1334"/>
      <c r="J2" s="828"/>
    </row>
    <row r="3" spans="1:10">
      <c r="A3" s="808"/>
      <c r="B3" s="665"/>
      <c r="C3" s="673"/>
      <c r="D3" s="673"/>
      <c r="E3" s="673"/>
      <c r="J3" s="828"/>
    </row>
    <row r="4" spans="1:10" ht="16.5">
      <c r="A4" s="809" t="s">
        <v>484</v>
      </c>
      <c r="B4" s="442"/>
      <c r="C4" s="442"/>
      <c r="D4" s="442"/>
      <c r="E4" s="442"/>
      <c r="F4" s="861"/>
      <c r="G4" s="861"/>
      <c r="H4" s="861"/>
      <c r="I4" s="861"/>
      <c r="J4" s="828"/>
    </row>
    <row r="5" spans="1:10">
      <c r="A5" s="465" t="s">
        <v>350</v>
      </c>
      <c r="B5" s="674"/>
      <c r="C5" s="674"/>
      <c r="D5" s="674"/>
      <c r="E5" s="674"/>
      <c r="F5" s="664"/>
      <c r="G5" s="664"/>
      <c r="H5" s="664"/>
      <c r="I5" s="664"/>
      <c r="J5" s="828"/>
    </row>
    <row r="6" spans="1:10" ht="27.75" customHeight="1">
      <c r="A6" s="1479" t="s">
        <v>351</v>
      </c>
      <c r="B6" s="1480"/>
      <c r="C6" s="1480"/>
      <c r="D6" s="1480"/>
      <c r="E6" s="1480"/>
      <c r="F6" s="664"/>
      <c r="G6" s="664"/>
      <c r="H6" s="664"/>
      <c r="I6" s="664"/>
      <c r="J6" s="828"/>
    </row>
    <row r="7" spans="1:10">
      <c r="A7" s="465"/>
      <c r="B7" s="675"/>
      <c r="C7" s="675"/>
      <c r="D7" s="675"/>
      <c r="E7" s="675"/>
      <c r="F7" s="862"/>
      <c r="G7" s="862"/>
      <c r="H7" s="862"/>
      <c r="I7" s="862"/>
      <c r="J7" s="828"/>
    </row>
    <row r="8" spans="1:10">
      <c r="A8" s="607" t="s">
        <v>352</v>
      </c>
      <c r="B8" s="1466" t="s">
        <v>353</v>
      </c>
      <c r="C8" s="1466"/>
      <c r="D8" s="608" t="s">
        <v>354</v>
      </c>
      <c r="E8" s="608" t="s">
        <v>355</v>
      </c>
      <c r="F8" s="863"/>
      <c r="G8" s="863"/>
      <c r="H8" s="863"/>
      <c r="I8" s="863"/>
      <c r="J8" s="828"/>
    </row>
    <row r="9" spans="1:10" ht="45">
      <c r="A9" s="418" t="s">
        <v>356</v>
      </c>
      <c r="B9" s="1467" t="s">
        <v>357</v>
      </c>
      <c r="C9" s="1467"/>
      <c r="D9" s="418" t="s">
        <v>358</v>
      </c>
      <c r="E9" s="418" t="s">
        <v>359</v>
      </c>
      <c r="F9" s="863"/>
      <c r="G9" s="863"/>
      <c r="H9" s="863"/>
      <c r="I9" s="863"/>
      <c r="J9" s="828"/>
    </row>
    <row r="10" spans="1:10" ht="45">
      <c r="A10" s="419" t="s">
        <v>360</v>
      </c>
      <c r="B10" s="1467" t="s">
        <v>361</v>
      </c>
      <c r="C10" s="1467"/>
      <c r="D10" s="419" t="s">
        <v>362</v>
      </c>
      <c r="E10" s="418" t="s">
        <v>363</v>
      </c>
      <c r="F10" s="863"/>
      <c r="G10" s="863"/>
      <c r="H10" s="863"/>
      <c r="I10" s="863"/>
      <c r="J10" s="828"/>
    </row>
    <row r="11" spans="1:10" ht="45">
      <c r="A11" s="419" t="s">
        <v>364</v>
      </c>
      <c r="B11" s="1467" t="s">
        <v>365</v>
      </c>
      <c r="C11" s="1467"/>
      <c r="D11" s="419" t="s">
        <v>366</v>
      </c>
      <c r="E11" s="419" t="s">
        <v>367</v>
      </c>
      <c r="F11" s="863"/>
      <c r="G11" s="863"/>
      <c r="H11" s="863"/>
      <c r="I11" s="863"/>
      <c r="J11" s="828"/>
    </row>
    <row r="12" spans="1:10" ht="45">
      <c r="A12" s="419" t="s">
        <v>368</v>
      </c>
      <c r="B12" s="1467" t="s">
        <v>369</v>
      </c>
      <c r="C12" s="1467"/>
      <c r="D12" s="419" t="s">
        <v>370</v>
      </c>
      <c r="E12" s="419" t="s">
        <v>371</v>
      </c>
      <c r="F12" s="863"/>
      <c r="G12" s="863"/>
      <c r="H12" s="863"/>
      <c r="I12" s="863"/>
      <c r="J12" s="828"/>
    </row>
    <row r="13" spans="1:10">
      <c r="A13" s="810"/>
      <c r="B13" s="466"/>
      <c r="C13" s="466"/>
      <c r="D13" s="466"/>
      <c r="E13" s="466"/>
      <c r="F13" s="248"/>
      <c r="G13" s="248"/>
      <c r="H13" s="248"/>
      <c r="I13" s="248"/>
      <c r="J13" s="828"/>
    </row>
    <row r="14" spans="1:10" ht="16.5">
      <c r="A14" s="809" t="s">
        <v>372</v>
      </c>
      <c r="B14" s="442"/>
      <c r="C14" s="442"/>
      <c r="D14" s="442"/>
      <c r="E14" s="442"/>
      <c r="F14" s="861"/>
      <c r="G14" s="861"/>
      <c r="H14" s="861"/>
      <c r="I14" s="861"/>
      <c r="J14" s="828"/>
    </row>
    <row r="15" spans="1:10" ht="96.75" customHeight="1">
      <c r="A15" s="1483" t="s">
        <v>1065</v>
      </c>
      <c r="B15" s="1484"/>
      <c r="C15" s="1484"/>
      <c r="D15" s="1484"/>
      <c r="E15" s="1484"/>
      <c r="F15" s="864"/>
      <c r="G15" s="863"/>
      <c r="H15" s="863"/>
      <c r="I15" s="863"/>
      <c r="J15" s="828"/>
    </row>
    <row r="16" spans="1:10">
      <c r="A16" s="811"/>
      <c r="B16" s="676"/>
      <c r="C16" s="676"/>
      <c r="D16" s="676"/>
      <c r="E16" s="676"/>
      <c r="F16" s="864"/>
      <c r="G16" s="863"/>
      <c r="H16" s="863"/>
      <c r="I16" s="863"/>
      <c r="J16" s="828"/>
    </row>
    <row r="17" spans="1:10">
      <c r="A17" s="465" t="s">
        <v>373</v>
      </c>
      <c r="B17" s="674"/>
      <c r="C17" s="674"/>
      <c r="D17" s="674"/>
      <c r="E17" s="674"/>
      <c r="F17" s="664"/>
      <c r="G17" s="664"/>
      <c r="H17" s="664"/>
      <c r="I17" s="664"/>
      <c r="J17" s="828"/>
    </row>
    <row r="18" spans="1:10" ht="57.75" customHeight="1">
      <c r="A18" s="1479" t="s">
        <v>1451</v>
      </c>
      <c r="B18" s="1480"/>
      <c r="C18" s="1480"/>
      <c r="D18" s="1480"/>
      <c r="E18" s="1480"/>
      <c r="F18" s="664"/>
      <c r="G18" s="664"/>
      <c r="H18" s="664"/>
      <c r="I18" s="664"/>
      <c r="J18" s="828"/>
    </row>
    <row r="19" spans="1:10" ht="248.25" customHeight="1">
      <c r="A19" s="1475" t="s">
        <v>1452</v>
      </c>
      <c r="B19" s="1476"/>
      <c r="C19" s="1476"/>
      <c r="D19" s="1476"/>
      <c r="E19" s="1476"/>
      <c r="F19" s="864"/>
      <c r="G19" s="863"/>
      <c r="H19" s="863"/>
      <c r="I19" s="863"/>
      <c r="J19" s="828"/>
    </row>
    <row r="20" spans="1:10" ht="16.5">
      <c r="A20" s="809" t="s">
        <v>374</v>
      </c>
      <c r="B20" s="442"/>
      <c r="C20" s="442"/>
      <c r="D20" s="442"/>
      <c r="E20" s="442"/>
      <c r="F20" s="861"/>
      <c r="G20" s="861"/>
      <c r="H20" s="861"/>
      <c r="I20" s="861"/>
      <c r="J20" s="828"/>
    </row>
    <row r="21" spans="1:10" ht="186.75" customHeight="1">
      <c r="A21" s="1475" t="s">
        <v>1453</v>
      </c>
      <c r="B21" s="1476"/>
      <c r="C21" s="1476"/>
      <c r="D21" s="1476"/>
      <c r="E21" s="1476"/>
      <c r="F21" s="864"/>
      <c r="G21" s="864"/>
      <c r="H21" s="863"/>
      <c r="I21" s="863"/>
      <c r="J21" s="828"/>
    </row>
    <row r="22" spans="1:10">
      <c r="A22" s="812" t="s">
        <v>1287</v>
      </c>
      <c r="B22" s="677"/>
      <c r="C22" s="677"/>
      <c r="D22" s="677"/>
      <c r="E22" s="677"/>
      <c r="F22" s="864"/>
      <c r="G22" s="864"/>
      <c r="H22" s="863"/>
      <c r="I22" s="863"/>
      <c r="J22" s="828"/>
    </row>
    <row r="23" spans="1:10" ht="16.5">
      <c r="A23" s="609"/>
      <c r="B23" s="1468" t="s">
        <v>1288</v>
      </c>
      <c r="C23" s="1468"/>
      <c r="D23" s="1468" t="s">
        <v>1289</v>
      </c>
      <c r="E23" s="1468"/>
      <c r="F23" s="609" t="s">
        <v>1290</v>
      </c>
      <c r="G23" s="865"/>
      <c r="H23" s="866"/>
      <c r="I23" s="866"/>
      <c r="J23" s="1462" t="s">
        <v>1</v>
      </c>
    </row>
    <row r="24" spans="1:10" ht="49.5">
      <c r="A24" s="610" t="s">
        <v>21</v>
      </c>
      <c r="B24" s="611" t="s">
        <v>1291</v>
      </c>
      <c r="C24" s="611" t="s">
        <v>1292</v>
      </c>
      <c r="D24" s="611" t="s">
        <v>1293</v>
      </c>
      <c r="E24" s="611" t="s">
        <v>1294</v>
      </c>
      <c r="F24" s="611" t="s">
        <v>1295</v>
      </c>
      <c r="G24" s="865"/>
      <c r="H24" s="866"/>
      <c r="I24" s="866"/>
      <c r="J24" s="1463"/>
    </row>
    <row r="25" spans="1:10" ht="16.5">
      <c r="A25" s="612" t="s">
        <v>1296</v>
      </c>
      <c r="B25" s="492">
        <v>5</v>
      </c>
      <c r="C25" s="492">
        <v>20</v>
      </c>
      <c r="D25" s="492">
        <v>30</v>
      </c>
      <c r="E25" s="492">
        <v>60</v>
      </c>
      <c r="F25" s="492">
        <v>100</v>
      </c>
      <c r="G25" s="865"/>
      <c r="H25" s="866"/>
      <c r="I25" s="866"/>
      <c r="J25" s="492"/>
    </row>
    <row r="26" spans="1:10" ht="16.5">
      <c r="A26" s="491" t="s">
        <v>1297</v>
      </c>
      <c r="B26" s="491">
        <v>76623190.459999993</v>
      </c>
      <c r="C26" s="491">
        <v>6111514.5899999999</v>
      </c>
      <c r="D26" s="491">
        <v>3809446.4</v>
      </c>
      <c r="E26" s="491">
        <f>25508186.93-18491.4</f>
        <v>25489695.530000001</v>
      </c>
      <c r="F26" s="491">
        <v>5696165.1100000003</v>
      </c>
      <c r="G26" s="865"/>
      <c r="H26" s="866"/>
      <c r="I26" s="866"/>
      <c r="J26" s="491">
        <v>117730012.09</v>
      </c>
    </row>
    <row r="27" spans="1:10" ht="16.5">
      <c r="A27" s="491" t="s">
        <v>1298</v>
      </c>
      <c r="B27" s="491">
        <v>8434898.1600000001</v>
      </c>
      <c r="C27" s="491">
        <v>0</v>
      </c>
      <c r="D27" s="491">
        <v>2534.6</v>
      </c>
      <c r="E27" s="491">
        <v>0</v>
      </c>
      <c r="F27" s="491">
        <v>0</v>
      </c>
      <c r="G27" s="865"/>
      <c r="H27" s="866"/>
      <c r="I27" s="866"/>
      <c r="J27" s="491">
        <v>8437432.7599999998</v>
      </c>
    </row>
    <row r="28" spans="1:10" ht="16.5">
      <c r="A28" s="491" t="s">
        <v>1299</v>
      </c>
      <c r="B28" s="491">
        <v>8647255.9399999976</v>
      </c>
      <c r="C28" s="491">
        <v>2758245.09</v>
      </c>
      <c r="D28" s="491">
        <v>1562543.96</v>
      </c>
      <c r="E28" s="491">
        <v>1122459.9200000002</v>
      </c>
      <c r="F28" s="491">
        <v>791051.68</v>
      </c>
      <c r="G28" s="865"/>
      <c r="H28" s="866"/>
      <c r="I28" s="866"/>
      <c r="J28" s="491">
        <v>14881556.589999998</v>
      </c>
    </row>
    <row r="29" spans="1:10" ht="16.5">
      <c r="A29" s="491" t="s">
        <v>1300</v>
      </c>
      <c r="B29" s="491">
        <v>211362.65000000002</v>
      </c>
      <c r="C29" s="491">
        <v>29869.66</v>
      </c>
      <c r="D29" s="491">
        <v>128826.16</v>
      </c>
      <c r="E29" s="491">
        <v>22012.67</v>
      </c>
      <c r="F29" s="491">
        <v>83846.28</v>
      </c>
      <c r="G29" s="865"/>
      <c r="H29" s="866"/>
      <c r="I29" s="866"/>
      <c r="J29" s="491">
        <v>475917.42000000004</v>
      </c>
    </row>
    <row r="30" spans="1:10" ht="16.5">
      <c r="A30" s="491"/>
      <c r="B30" s="491"/>
      <c r="C30" s="491"/>
      <c r="D30" s="491"/>
      <c r="E30" s="491"/>
      <c r="F30" s="491"/>
      <c r="G30" s="865"/>
      <c r="H30" s="866"/>
      <c r="I30" s="866"/>
      <c r="J30" s="491">
        <v>0</v>
      </c>
    </row>
    <row r="31" spans="1:10" ht="16.5">
      <c r="A31" s="612" t="s">
        <v>1</v>
      </c>
      <c r="B31" s="490">
        <f>SUM(B26:B30)</f>
        <v>93916707.209999993</v>
      </c>
      <c r="C31" s="490">
        <f t="shared" ref="C31:F31" si="0">SUM(C26:C30)</f>
        <v>8899629.3399999999</v>
      </c>
      <c r="D31" s="490">
        <f t="shared" si="0"/>
        <v>5503351.1200000001</v>
      </c>
      <c r="E31" s="490">
        <f t="shared" si="0"/>
        <v>26634168.120000005</v>
      </c>
      <c r="F31" s="490">
        <f t="shared" si="0"/>
        <v>6571063.0700000003</v>
      </c>
      <c r="G31" s="865"/>
      <c r="H31" s="866"/>
      <c r="I31" s="866"/>
      <c r="J31" s="490">
        <v>141524918.85999998</v>
      </c>
    </row>
    <row r="32" spans="1:10" ht="16.5">
      <c r="A32" s="612" t="s">
        <v>1301</v>
      </c>
      <c r="B32" s="490">
        <f>B31*B25/100</f>
        <v>4695835.3604999995</v>
      </c>
      <c r="C32" s="490">
        <f t="shared" ref="C32:F32" si="1">C31*C25/100</f>
        <v>1779925.868</v>
      </c>
      <c r="D32" s="490">
        <f t="shared" si="1"/>
        <v>1651005.3359999999</v>
      </c>
      <c r="E32" s="490">
        <f t="shared" si="1"/>
        <v>15980500.872000003</v>
      </c>
      <c r="F32" s="490">
        <f t="shared" si="1"/>
        <v>6571063.0700000003</v>
      </c>
      <c r="G32" s="865"/>
      <c r="H32" s="866"/>
      <c r="I32" s="866"/>
      <c r="J32" s="490">
        <v>30678330.506500002</v>
      </c>
    </row>
    <row r="33" spans="1:16" ht="16.5">
      <c r="A33" s="612" t="s">
        <v>1302</v>
      </c>
      <c r="B33" s="490"/>
      <c r="C33" s="490"/>
      <c r="D33" s="490"/>
      <c r="E33" s="490"/>
      <c r="F33" s="490"/>
      <c r="G33" s="865"/>
      <c r="H33" s="866"/>
      <c r="I33" s="866"/>
      <c r="J33" s="490">
        <v>5348471.62</v>
      </c>
    </row>
    <row r="34" spans="1:16" ht="16.5">
      <c r="A34" s="612"/>
      <c r="B34" s="490"/>
      <c r="C34" s="490"/>
      <c r="D34" s="490"/>
      <c r="E34" s="490"/>
      <c r="F34" s="490"/>
      <c r="G34" s="865"/>
      <c r="H34" s="866"/>
      <c r="I34" s="866"/>
      <c r="J34" s="490">
        <v>24253015.120000001</v>
      </c>
    </row>
    <row r="35" spans="1:16" ht="16.5">
      <c r="A35" s="612" t="s">
        <v>1303</v>
      </c>
      <c r="B35" s="491"/>
      <c r="C35" s="491"/>
      <c r="D35" s="491"/>
      <c r="E35" s="491"/>
      <c r="F35" s="491"/>
      <c r="G35" s="865"/>
      <c r="H35" s="866"/>
      <c r="I35" s="866"/>
      <c r="J35" s="491">
        <v>6425315.386500001</v>
      </c>
    </row>
    <row r="36" spans="1:16">
      <c r="A36" s="813"/>
      <c r="B36" s="678"/>
      <c r="C36" s="678"/>
      <c r="D36" s="678"/>
      <c r="E36" s="678"/>
      <c r="F36" s="864"/>
      <c r="G36" s="864"/>
      <c r="H36" s="863"/>
      <c r="I36" s="863"/>
      <c r="J36" s="828"/>
    </row>
    <row r="37" spans="1:16">
      <c r="A37" s="465" t="s">
        <v>375</v>
      </c>
      <c r="B37" s="674"/>
      <c r="C37" s="674"/>
      <c r="D37" s="674"/>
      <c r="E37" s="674"/>
      <c r="F37" s="713"/>
      <c r="G37" s="713"/>
      <c r="H37" s="713"/>
      <c r="I37" s="713"/>
      <c r="J37" s="828"/>
    </row>
    <row r="38" spans="1:16" ht="31.5" customHeight="1">
      <c r="A38" s="1479" t="s">
        <v>1066</v>
      </c>
      <c r="B38" s="1480"/>
      <c r="C38" s="1480"/>
      <c r="D38" s="1480"/>
      <c r="E38" s="1480"/>
      <c r="F38" s="664"/>
      <c r="G38" s="664"/>
      <c r="H38" s="664"/>
      <c r="I38" s="664"/>
      <c r="J38" s="828"/>
    </row>
    <row r="39" spans="1:16">
      <c r="A39" s="465" t="s">
        <v>376</v>
      </c>
      <c r="B39" s="674"/>
      <c r="C39" s="674"/>
      <c r="D39" s="674"/>
      <c r="E39" s="674"/>
      <c r="F39" s="664"/>
      <c r="G39" s="664"/>
      <c r="H39" s="664"/>
      <c r="I39" s="664"/>
      <c r="J39" s="828"/>
    </row>
    <row r="40" spans="1:16" ht="32.25" customHeight="1">
      <c r="A40" s="1477" t="s">
        <v>377</v>
      </c>
      <c r="B40" s="1478"/>
      <c r="C40" s="1478"/>
      <c r="D40" s="1478"/>
      <c r="E40" s="1478"/>
      <c r="F40" s="890"/>
      <c r="G40" s="890"/>
      <c r="H40" s="890"/>
      <c r="I40" s="890"/>
      <c r="J40" s="887"/>
      <c r="N40" s="249" t="s">
        <v>1074</v>
      </c>
      <c r="O40" s="249" t="s">
        <v>1</v>
      </c>
      <c r="P40" s="250" t="s">
        <v>1077</v>
      </c>
    </row>
    <row r="41" spans="1:16" ht="9" customHeight="1">
      <c r="A41" s="891"/>
      <c r="B41" s="892"/>
      <c r="C41" s="892"/>
      <c r="D41" s="892"/>
      <c r="E41" s="892"/>
      <c r="F41" s="893"/>
      <c r="G41" s="893"/>
      <c r="H41" s="893"/>
      <c r="I41" s="893"/>
      <c r="J41" s="827"/>
      <c r="N41" s="249"/>
      <c r="O41" s="249"/>
    </row>
    <row r="42" spans="1:16" ht="16.5">
      <c r="A42" s="809" t="s">
        <v>378</v>
      </c>
      <c r="B42" s="466"/>
      <c r="C42" s="466"/>
      <c r="D42" s="466"/>
      <c r="E42" s="466"/>
      <c r="F42" s="248"/>
      <c r="G42" s="248"/>
      <c r="H42" s="248"/>
      <c r="I42" s="664"/>
      <c r="J42" s="828"/>
      <c r="L42" s="493" t="s">
        <v>1067</v>
      </c>
      <c r="M42" s="867">
        <v>300000000</v>
      </c>
    </row>
    <row r="43" spans="1:16" ht="31.5">
      <c r="A43" s="613" t="s">
        <v>21</v>
      </c>
      <c r="B43" s="1460" t="s">
        <v>379</v>
      </c>
      <c r="C43" s="1461"/>
      <c r="D43" s="326" t="s">
        <v>380</v>
      </c>
      <c r="E43" s="327" t="s">
        <v>1</v>
      </c>
      <c r="H43" s="868"/>
      <c r="I43" s="664"/>
      <c r="J43" s="828"/>
      <c r="L43" s="493" t="s">
        <v>1068</v>
      </c>
      <c r="M43" s="867">
        <v>7.4999999999999997E-2</v>
      </c>
    </row>
    <row r="44" spans="1:16" ht="16.5" hidden="1">
      <c r="A44" s="420"/>
      <c r="B44" s="376"/>
      <c r="C44" s="421"/>
      <c r="D44" s="421"/>
      <c r="E44" s="422"/>
      <c r="H44" s="868"/>
      <c r="I44" s="664"/>
      <c r="J44" s="828"/>
      <c r="L44" s="493"/>
      <c r="M44" s="867"/>
    </row>
    <row r="45" spans="1:16" ht="16.5">
      <c r="A45" s="615" t="s">
        <v>556</v>
      </c>
      <c r="B45" s="376"/>
      <c r="C45" s="421"/>
      <c r="D45" s="421"/>
      <c r="E45" s="422"/>
      <c r="H45" s="868"/>
      <c r="I45" s="664"/>
      <c r="J45" s="828"/>
      <c r="L45" s="493" t="s">
        <v>1069</v>
      </c>
      <c r="M45" s="867">
        <f>M42*M43</f>
        <v>22500000</v>
      </c>
    </row>
    <row r="46" spans="1:16" ht="16.5">
      <c r="A46" s="423" t="s">
        <v>381</v>
      </c>
      <c r="B46" s="376"/>
      <c r="C46" s="424"/>
      <c r="D46" s="424"/>
      <c r="E46" s="425"/>
      <c r="H46" s="863"/>
      <c r="I46" s="863"/>
      <c r="J46" s="828"/>
      <c r="L46" s="493" t="s">
        <v>1070</v>
      </c>
      <c r="M46" s="867">
        <f>M45*5</f>
        <v>112500000</v>
      </c>
    </row>
    <row r="47" spans="1:16" ht="16.5">
      <c r="A47" s="314" t="s">
        <v>485</v>
      </c>
      <c r="B47" s="376"/>
      <c r="C47" s="426">
        <v>0</v>
      </c>
      <c r="D47" s="426">
        <f>+'9N_14-21'!C29</f>
        <v>300000000</v>
      </c>
      <c r="E47" s="427">
        <f t="shared" ref="E47:E54" si="2">SUM(C47:D47)</f>
        <v>300000000</v>
      </c>
      <c r="G47" s="869">
        <f>D47-C47</f>
        <v>300000000</v>
      </c>
      <c r="H47" s="870"/>
      <c r="I47" s="870"/>
      <c r="J47" s="828"/>
      <c r="L47" s="493" t="s">
        <v>1071</v>
      </c>
      <c r="M47" s="867">
        <f>M46+M42</f>
        <v>412500000</v>
      </c>
    </row>
    <row r="48" spans="1:16">
      <c r="A48" s="314" t="s">
        <v>416</v>
      </c>
      <c r="B48" s="376"/>
      <c r="C48" s="426">
        <f>+'9N_14-21'!C27</f>
        <v>73395094.829999998</v>
      </c>
      <c r="D48" s="426">
        <f>+'9N_14-21'!C28</f>
        <v>302627143.24000001</v>
      </c>
      <c r="E48" s="427">
        <f t="shared" si="2"/>
        <v>376022238.06999999</v>
      </c>
      <c r="H48" s="870"/>
      <c r="I48" s="870">
        <v>300000000</v>
      </c>
      <c r="J48" s="828"/>
      <c r="L48" s="250" t="s">
        <v>1072</v>
      </c>
      <c r="M48" s="860">
        <f>M45/4</f>
        <v>5625000</v>
      </c>
      <c r="N48" s="869">
        <f>M48</f>
        <v>5625000</v>
      </c>
      <c r="O48" s="869">
        <f>M47-N48</f>
        <v>406875000</v>
      </c>
      <c r="P48" s="869">
        <f>O48-N48</f>
        <v>401250000</v>
      </c>
    </row>
    <row r="49" spans="1:16">
      <c r="A49" s="314" t="s">
        <v>486</v>
      </c>
      <c r="B49" s="376"/>
      <c r="C49" s="426">
        <f>'10FV_34'!D24</f>
        <v>76394615.269999996</v>
      </c>
      <c r="D49" s="426">
        <v>0</v>
      </c>
      <c r="E49" s="427">
        <f t="shared" si="2"/>
        <v>76394615.269999996</v>
      </c>
      <c r="H49" s="870"/>
      <c r="I49" s="871">
        <v>7.5</v>
      </c>
      <c r="J49" s="828"/>
      <c r="L49" s="250" t="s">
        <v>1073</v>
      </c>
      <c r="M49" s="860">
        <f>M45</f>
        <v>22500000</v>
      </c>
      <c r="N49" s="869">
        <f>M49</f>
        <v>22500000</v>
      </c>
      <c r="O49" s="869">
        <f>O48-N49</f>
        <v>384375000</v>
      </c>
      <c r="P49" s="869">
        <f>O49-N49</f>
        <v>361875000</v>
      </c>
    </row>
    <row r="50" spans="1:16">
      <c r="A50" s="314" t="s">
        <v>234</v>
      </c>
      <c r="B50" s="376"/>
      <c r="C50" s="426">
        <f>'10FV_34'!D25</f>
        <v>19664420.93</v>
      </c>
      <c r="D50" s="426">
        <v>0</v>
      </c>
      <c r="E50" s="427">
        <f t="shared" si="2"/>
        <v>19664420.93</v>
      </c>
      <c r="H50" s="870"/>
      <c r="I50" s="870">
        <f>I48*I49</f>
        <v>2250000000</v>
      </c>
      <c r="J50" s="828"/>
      <c r="L50" s="250" t="s">
        <v>1076</v>
      </c>
      <c r="M50" s="860">
        <f>M49</f>
        <v>22500000</v>
      </c>
      <c r="N50" s="869">
        <f>M50</f>
        <v>22500000</v>
      </c>
      <c r="O50" s="869">
        <f>O49-N50</f>
        <v>361875000</v>
      </c>
      <c r="P50" s="869">
        <f>O50-N50</f>
        <v>339375000</v>
      </c>
    </row>
    <row r="51" spans="1:16">
      <c r="A51" s="314" t="s">
        <v>1210</v>
      </c>
      <c r="B51" s="376"/>
      <c r="C51" s="426">
        <f>'10FV_34'!D26</f>
        <v>122211</v>
      </c>
      <c r="D51" s="426">
        <v>0</v>
      </c>
      <c r="E51" s="427">
        <f t="shared" si="2"/>
        <v>122211</v>
      </c>
      <c r="H51" s="870"/>
      <c r="I51" s="870">
        <f>I50*5</f>
        <v>11250000000</v>
      </c>
      <c r="J51" s="828"/>
      <c r="L51" s="250" t="s">
        <v>1075</v>
      </c>
      <c r="M51" s="860">
        <f>M50</f>
        <v>22500000</v>
      </c>
      <c r="N51" s="869">
        <f>M51</f>
        <v>22500000</v>
      </c>
      <c r="O51" s="869">
        <f>O50-N51</f>
        <v>339375000</v>
      </c>
      <c r="P51" s="869">
        <f>O51-N51</f>
        <v>316875000</v>
      </c>
    </row>
    <row r="52" spans="1:16">
      <c r="A52" s="314" t="s">
        <v>1134</v>
      </c>
      <c r="B52" s="376"/>
      <c r="C52" s="426">
        <f>'10FV_34'!D27</f>
        <v>44914640.189999998</v>
      </c>
      <c r="D52" s="426">
        <v>0</v>
      </c>
      <c r="E52" s="427">
        <f t="shared" si="2"/>
        <v>44914640.189999998</v>
      </c>
      <c r="H52" s="870"/>
      <c r="I52" s="870"/>
      <c r="J52" s="828"/>
      <c r="L52" s="250" t="s">
        <v>1078</v>
      </c>
      <c r="M52" s="860">
        <f>M51</f>
        <v>22500000</v>
      </c>
      <c r="N52" s="869">
        <f>M52</f>
        <v>22500000</v>
      </c>
      <c r="O52" s="869">
        <f>O51-N52</f>
        <v>316875000</v>
      </c>
      <c r="P52" s="869">
        <f>O52-N52</f>
        <v>294375000</v>
      </c>
    </row>
    <row r="53" spans="1:16">
      <c r="A53" s="314" t="s">
        <v>489</v>
      </c>
      <c r="B53" s="376"/>
      <c r="C53" s="426">
        <f>'10FV_34'!D28</f>
        <v>12059558.960000001</v>
      </c>
      <c r="D53" s="426">
        <v>0</v>
      </c>
      <c r="E53" s="427">
        <f t="shared" si="2"/>
        <v>12059558.960000001</v>
      </c>
      <c r="H53" s="870"/>
      <c r="I53" s="870"/>
      <c r="J53" s="828"/>
    </row>
    <row r="54" spans="1:16">
      <c r="A54" s="314" t="s">
        <v>1260</v>
      </c>
      <c r="B54" s="376"/>
      <c r="C54" s="426">
        <v>38850000</v>
      </c>
      <c r="D54" s="426">
        <v>155400000</v>
      </c>
      <c r="E54" s="427">
        <f t="shared" si="2"/>
        <v>194250000</v>
      </c>
      <c r="H54" s="870"/>
      <c r="I54" s="870"/>
      <c r="J54" s="828"/>
    </row>
    <row r="55" spans="1:16">
      <c r="A55" s="314"/>
      <c r="B55" s="376"/>
      <c r="C55" s="426"/>
      <c r="D55" s="426"/>
      <c r="E55" s="427"/>
      <c r="H55" s="870"/>
      <c r="I55" s="870"/>
      <c r="J55" s="828"/>
    </row>
    <row r="56" spans="1:16">
      <c r="A56" s="614" t="s">
        <v>382</v>
      </c>
      <c r="B56" s="429"/>
      <c r="C56" s="430">
        <f>SUM(C47:C55)</f>
        <v>265400541.18000001</v>
      </c>
      <c r="D56" s="430">
        <f t="shared" ref="D56:E56" si="3">SUM(D47:D55)</f>
        <v>758027143.24000001</v>
      </c>
      <c r="E56" s="430">
        <f t="shared" si="3"/>
        <v>1023427684.4199998</v>
      </c>
      <c r="G56" s="496"/>
      <c r="H56" s="872"/>
      <c r="I56" s="872"/>
      <c r="J56" s="828"/>
    </row>
    <row r="57" spans="1:16" ht="0.75" customHeight="1">
      <c r="A57" s="431"/>
      <c r="B57" s="376"/>
      <c r="C57" s="432"/>
      <c r="D57" s="432"/>
      <c r="E57" s="432"/>
      <c r="G57" s="873"/>
      <c r="H57" s="872"/>
      <c r="I57" s="872"/>
      <c r="J57" s="828"/>
    </row>
    <row r="58" spans="1:16">
      <c r="A58" s="615" t="s">
        <v>400</v>
      </c>
      <c r="B58" s="376"/>
      <c r="C58" s="421"/>
      <c r="D58" s="421"/>
      <c r="E58" s="422"/>
      <c r="H58" s="868"/>
      <c r="I58" s="664"/>
      <c r="J58" s="828"/>
    </row>
    <row r="59" spans="1:16">
      <c r="A59" s="616" t="s">
        <v>381</v>
      </c>
      <c r="B59" s="376"/>
      <c r="C59" s="424"/>
      <c r="D59" s="424"/>
      <c r="E59" s="425"/>
      <c r="H59" s="863"/>
      <c r="I59" s="863"/>
      <c r="J59" s="828"/>
    </row>
    <row r="60" spans="1:16">
      <c r="A60" s="314" t="s">
        <v>485</v>
      </c>
      <c r="B60" s="376"/>
      <c r="C60" s="426">
        <v>0</v>
      </c>
      <c r="D60" s="426">
        <f>+D47</f>
        <v>300000000</v>
      </c>
      <c r="E60" s="427">
        <f t="shared" ref="E60:E67" si="4">SUM(C60:D60)</f>
        <v>300000000</v>
      </c>
      <c r="H60" s="870"/>
      <c r="I60" s="870"/>
      <c r="J60" s="828"/>
    </row>
    <row r="61" spans="1:16">
      <c r="A61" s="314" t="s">
        <v>416</v>
      </c>
      <c r="B61" s="376"/>
      <c r="C61" s="426">
        <v>79636472.989999995</v>
      </c>
      <c r="D61" s="426">
        <v>348615398.00999999</v>
      </c>
      <c r="E61" s="427">
        <f t="shared" si="4"/>
        <v>428251871</v>
      </c>
      <c r="H61" s="870"/>
      <c r="I61" s="870"/>
      <c r="J61" s="828"/>
    </row>
    <row r="62" spans="1:16">
      <c r="A62" s="314" t="s">
        <v>486</v>
      </c>
      <c r="B62" s="376"/>
      <c r="C62" s="426">
        <v>71318096.5</v>
      </c>
      <c r="D62" s="426">
        <v>0</v>
      </c>
      <c r="E62" s="427">
        <f t="shared" si="4"/>
        <v>71318096.5</v>
      </c>
      <c r="H62" s="870"/>
      <c r="I62" s="870"/>
      <c r="J62" s="828"/>
    </row>
    <row r="63" spans="1:16">
      <c r="A63" s="314" t="s">
        <v>234</v>
      </c>
      <c r="B63" s="376"/>
      <c r="C63" s="426">
        <f>+'9N_14-21'!D77</f>
        <v>30489070.649999999</v>
      </c>
      <c r="D63" s="426">
        <v>0</v>
      </c>
      <c r="E63" s="427">
        <f t="shared" si="4"/>
        <v>30489070.649999999</v>
      </c>
      <c r="H63" s="870"/>
      <c r="I63" s="870"/>
      <c r="J63" s="828"/>
    </row>
    <row r="64" spans="1:16">
      <c r="A64" s="314" t="str">
        <f>+A51</f>
        <v>Payable to employees</v>
      </c>
      <c r="B64" s="376"/>
      <c r="C64" s="426">
        <f>+'9N_14-21'!D93</f>
        <v>57411</v>
      </c>
      <c r="D64" s="426">
        <v>0</v>
      </c>
      <c r="E64" s="427">
        <f t="shared" si="4"/>
        <v>57411</v>
      </c>
      <c r="H64" s="870"/>
      <c r="I64" s="870"/>
      <c r="J64" s="828"/>
    </row>
    <row r="65" spans="1:10">
      <c r="A65" s="314" t="str">
        <f>+A53</f>
        <v xml:space="preserve"> Security deposits</v>
      </c>
      <c r="B65" s="376"/>
      <c r="C65" s="426">
        <f>+'9N_14-21'!D91+'9N_14-21'!D92</f>
        <v>12703957.91</v>
      </c>
      <c r="D65" s="426">
        <v>0</v>
      </c>
      <c r="E65" s="427">
        <f t="shared" si="4"/>
        <v>12703957.91</v>
      </c>
      <c r="H65" s="870"/>
      <c r="I65" s="870"/>
      <c r="J65" s="828"/>
    </row>
    <row r="66" spans="1:10">
      <c r="A66" s="314" t="str">
        <f>+A52</f>
        <v>Provision for Bonus</v>
      </c>
      <c r="B66" s="376"/>
      <c r="C66" s="426">
        <f>+'9N_14-21'!D94</f>
        <v>44914640.189999998</v>
      </c>
      <c r="D66" s="426">
        <v>0</v>
      </c>
      <c r="E66" s="427">
        <f t="shared" si="4"/>
        <v>44914640.189999998</v>
      </c>
      <c r="H66" s="870"/>
      <c r="I66" s="870"/>
      <c r="J66" s="828"/>
    </row>
    <row r="67" spans="1:10">
      <c r="A67" s="314" t="str">
        <f>+A54</f>
        <v>License fee payable</v>
      </c>
      <c r="B67" s="376"/>
      <c r="C67" s="426">
        <f>+C54</f>
        <v>38850000</v>
      </c>
      <c r="D67" s="426">
        <f>+'9N_14-21'!D42-C67</f>
        <v>155400000</v>
      </c>
      <c r="E67" s="427">
        <f t="shared" si="4"/>
        <v>194250000</v>
      </c>
      <c r="H67" s="870"/>
      <c r="I67" s="870"/>
      <c r="J67" s="828"/>
    </row>
    <row r="68" spans="1:10">
      <c r="A68" s="614" t="s">
        <v>382</v>
      </c>
      <c r="B68" s="429"/>
      <c r="C68" s="430">
        <f>SUM(C60:C67)</f>
        <v>277969649.24000001</v>
      </c>
      <c r="D68" s="430">
        <f>SUM(D60:D67)</f>
        <v>804015398.00999999</v>
      </c>
      <c r="E68" s="430">
        <f>SUM(E60:E67)</f>
        <v>1081985047.25</v>
      </c>
      <c r="G68" s="496"/>
      <c r="H68" s="872"/>
      <c r="I68" s="872"/>
      <c r="J68" s="828"/>
    </row>
    <row r="69" spans="1:10" ht="16.5" hidden="1">
      <c r="A69" s="431"/>
      <c r="B69" s="376"/>
      <c r="C69" s="433"/>
      <c r="D69" s="433"/>
      <c r="E69" s="433"/>
      <c r="G69" s="873"/>
      <c r="H69" s="872"/>
      <c r="I69" s="872"/>
      <c r="J69" s="828"/>
    </row>
    <row r="70" spans="1:10" ht="16.5" hidden="1">
      <c r="A70" s="420" t="s">
        <v>340</v>
      </c>
      <c r="B70" s="376"/>
      <c r="C70" s="434"/>
      <c r="D70" s="435"/>
      <c r="E70" s="435"/>
      <c r="G70" s="874"/>
      <c r="H70" s="875"/>
      <c r="I70" s="876"/>
      <c r="J70" s="828"/>
    </row>
    <row r="71" spans="1:10" ht="16.5" hidden="1">
      <c r="A71" s="436" t="s">
        <v>381</v>
      </c>
      <c r="B71" s="376"/>
      <c r="C71" s="437"/>
      <c r="D71" s="437"/>
      <c r="E71" s="437"/>
      <c r="G71" s="877"/>
      <c r="H71" s="870"/>
      <c r="I71" s="870"/>
      <c r="J71" s="828"/>
    </row>
    <row r="72" spans="1:10" hidden="1">
      <c r="A72" s="314" t="s">
        <v>331</v>
      </c>
      <c r="B72" s="376"/>
      <c r="C72" s="437">
        <v>134590512.71000001</v>
      </c>
      <c r="D72" s="438">
        <v>0</v>
      </c>
      <c r="E72" s="439">
        <f t="shared" ref="E72:E78" si="5">SUM(C72:D72)</f>
        <v>134590512.71000001</v>
      </c>
      <c r="H72" s="870"/>
      <c r="I72" s="870"/>
      <c r="J72" s="828"/>
    </row>
    <row r="73" spans="1:10" hidden="1">
      <c r="A73" s="314" t="s">
        <v>485</v>
      </c>
      <c r="B73" s="376"/>
      <c r="C73" s="437">
        <v>22500000</v>
      </c>
      <c r="D73" s="438">
        <v>384375000</v>
      </c>
      <c r="E73" s="439">
        <f t="shared" si="5"/>
        <v>406875000</v>
      </c>
      <c r="H73" s="870"/>
      <c r="I73" s="870"/>
      <c r="J73" s="828"/>
    </row>
    <row r="74" spans="1:10" hidden="1">
      <c r="A74" s="314" t="s">
        <v>486</v>
      </c>
      <c r="B74" s="376"/>
      <c r="C74" s="437">
        <v>73503206.629999995</v>
      </c>
      <c r="D74" s="438">
        <v>0</v>
      </c>
      <c r="E74" s="439">
        <f t="shared" si="5"/>
        <v>73503206.629999995</v>
      </c>
      <c r="H74" s="870"/>
      <c r="I74" s="870"/>
      <c r="J74" s="828"/>
    </row>
    <row r="75" spans="1:10" hidden="1">
      <c r="A75" s="314" t="s">
        <v>349</v>
      </c>
      <c r="B75" s="376"/>
      <c r="C75" s="440">
        <v>94636502</v>
      </c>
      <c r="D75" s="438">
        <v>0</v>
      </c>
      <c r="E75" s="439">
        <f t="shared" si="5"/>
        <v>94636502</v>
      </c>
      <c r="H75" s="870"/>
      <c r="I75" s="870"/>
      <c r="J75" s="828"/>
    </row>
    <row r="76" spans="1:10" hidden="1">
      <c r="A76" s="314" t="s">
        <v>487</v>
      </c>
      <c r="B76" s="376"/>
      <c r="C76" s="437">
        <v>4509246.58</v>
      </c>
      <c r="D76" s="438">
        <v>0</v>
      </c>
      <c r="E76" s="439">
        <f t="shared" si="5"/>
        <v>4509246.58</v>
      </c>
      <c r="H76" s="870"/>
      <c r="I76" s="870"/>
      <c r="J76" s="828"/>
    </row>
    <row r="77" spans="1:10" hidden="1">
      <c r="A77" s="314" t="s">
        <v>488</v>
      </c>
      <c r="B77" s="376"/>
      <c r="C77" s="438">
        <v>20054.86</v>
      </c>
      <c r="D77" s="438">
        <v>0</v>
      </c>
      <c r="E77" s="439">
        <f t="shared" si="5"/>
        <v>20054.86</v>
      </c>
      <c r="H77" s="870"/>
      <c r="I77" s="870"/>
      <c r="J77" s="828"/>
    </row>
    <row r="78" spans="1:10" hidden="1">
      <c r="A78" s="314" t="s">
        <v>489</v>
      </c>
      <c r="B78" s="376"/>
      <c r="C78" s="438">
        <v>7808954.9299999997</v>
      </c>
      <c r="D78" s="438">
        <v>0</v>
      </c>
      <c r="E78" s="439">
        <f t="shared" si="5"/>
        <v>7808954.9299999997</v>
      </c>
      <c r="H78" s="870"/>
      <c r="I78" s="872"/>
      <c r="J78" s="828"/>
    </row>
    <row r="79" spans="1:10" hidden="1">
      <c r="A79" s="428" t="s">
        <v>382</v>
      </c>
      <c r="B79" s="429"/>
      <c r="C79" s="441">
        <f>SUM(C72:C78)</f>
        <v>337568477.71000004</v>
      </c>
      <c r="D79" s="441">
        <f>SUM(D72:D78)</f>
        <v>384375000</v>
      </c>
      <c r="E79" s="441">
        <f>SUM(E72:E78)</f>
        <v>721943477.71000004</v>
      </c>
      <c r="G79" s="496"/>
      <c r="H79" s="870"/>
      <c r="I79" s="870"/>
      <c r="J79" s="828"/>
    </row>
    <row r="80" spans="1:10" ht="16.5">
      <c r="A80" s="814"/>
      <c r="B80" s="443"/>
      <c r="C80" s="443"/>
      <c r="D80" s="444"/>
      <c r="E80" s="444"/>
      <c r="F80" s="878"/>
      <c r="H80" s="863"/>
      <c r="I80" s="863"/>
      <c r="J80" s="828"/>
    </row>
    <row r="81" spans="1:10">
      <c r="A81" s="809" t="s">
        <v>383</v>
      </c>
      <c r="B81" s="596"/>
      <c r="C81" s="596"/>
      <c r="D81" s="596"/>
      <c r="E81" s="596"/>
      <c r="F81" s="248"/>
      <c r="H81" s="248"/>
      <c r="I81" s="248"/>
      <c r="J81" s="828"/>
    </row>
    <row r="82" spans="1:10">
      <c r="A82" s="597"/>
      <c r="B82" s="596"/>
      <c r="C82" s="596"/>
      <c r="D82" s="596"/>
      <c r="E82" s="596"/>
      <c r="F82" s="248"/>
      <c r="H82" s="248"/>
      <c r="I82" s="248"/>
      <c r="J82" s="828"/>
    </row>
    <row r="83" spans="1:10">
      <c r="A83" s="809" t="s">
        <v>384</v>
      </c>
      <c r="B83" s="596"/>
      <c r="C83" s="596"/>
      <c r="D83" s="596"/>
      <c r="E83" s="596"/>
      <c r="F83" s="248"/>
      <c r="G83" s="248"/>
      <c r="H83" s="248"/>
      <c r="I83" s="248"/>
      <c r="J83" s="828"/>
    </row>
    <row r="84" spans="1:10" ht="36.75" customHeight="1">
      <c r="A84" s="1479" t="s">
        <v>385</v>
      </c>
      <c r="B84" s="1480"/>
      <c r="C84" s="1480"/>
      <c r="D84" s="1480"/>
      <c r="E84" s="1480"/>
      <c r="F84" s="248"/>
      <c r="G84" s="248"/>
      <c r="H84" s="248"/>
      <c r="I84" s="248"/>
      <c r="J84" s="828"/>
    </row>
    <row r="85" spans="1:10" ht="78.75" customHeight="1">
      <c r="A85" s="1475" t="s">
        <v>1454</v>
      </c>
      <c r="B85" s="1476"/>
      <c r="C85" s="1476"/>
      <c r="D85" s="1476"/>
      <c r="E85" s="1476"/>
      <c r="F85" s="248"/>
      <c r="G85" s="248"/>
      <c r="H85" s="248"/>
      <c r="I85" s="248"/>
      <c r="J85" s="828"/>
    </row>
    <row r="86" spans="1:10">
      <c r="A86" s="815"/>
      <c r="B86" s="445"/>
      <c r="C86" s="679"/>
      <c r="D86" s="446"/>
      <c r="E86" s="447" t="s">
        <v>386</v>
      </c>
      <c r="F86" s="879"/>
      <c r="G86" s="880"/>
      <c r="H86" s="881"/>
      <c r="J86" s="828"/>
    </row>
    <row r="87" spans="1:10">
      <c r="A87" s="448"/>
      <c r="B87" s="449"/>
      <c r="C87" s="617" t="s">
        <v>555</v>
      </c>
      <c r="D87" s="617" t="s">
        <v>348</v>
      </c>
      <c r="E87" s="540" t="s">
        <v>340</v>
      </c>
      <c r="F87" s="882"/>
      <c r="G87" s="880"/>
      <c r="J87" s="828"/>
    </row>
    <row r="88" spans="1:10">
      <c r="A88" s="450"/>
      <c r="B88" s="451"/>
      <c r="C88" s="618" t="s">
        <v>387</v>
      </c>
      <c r="D88" s="618" t="s">
        <v>387</v>
      </c>
      <c r="E88" s="452" t="s">
        <v>387</v>
      </c>
      <c r="F88" s="882"/>
      <c r="G88" s="880"/>
      <c r="J88" s="828"/>
    </row>
    <row r="89" spans="1:10">
      <c r="A89" s="453" t="s">
        <v>328</v>
      </c>
      <c r="B89" s="454"/>
      <c r="C89" s="455">
        <v>208823.70000000004</v>
      </c>
      <c r="D89" s="456">
        <v>113505.33</v>
      </c>
      <c r="E89" s="457">
        <v>6611740.4699999997</v>
      </c>
      <c r="F89" s="882"/>
      <c r="G89" s="880"/>
      <c r="J89" s="828"/>
    </row>
    <row r="90" spans="1:10">
      <c r="A90" s="453" t="s">
        <v>343</v>
      </c>
      <c r="B90" s="454"/>
      <c r="C90" s="458">
        <v>972627.7</v>
      </c>
      <c r="D90" s="459">
        <v>42304.97</v>
      </c>
      <c r="E90" s="460">
        <v>37323977.359999999</v>
      </c>
      <c r="F90" s="882"/>
      <c r="G90" s="880"/>
      <c r="J90" s="828"/>
    </row>
    <row r="91" spans="1:10" ht="17.25" customHeight="1">
      <c r="A91" s="1464" t="s">
        <v>388</v>
      </c>
      <c r="B91" s="1465"/>
      <c r="C91" s="935">
        <v>-763803.99999999988</v>
      </c>
      <c r="D91" s="461">
        <v>71200.36</v>
      </c>
      <c r="E91" s="462">
        <f t="shared" ref="E91" si="6">E89-E90</f>
        <v>-30712236.890000001</v>
      </c>
      <c r="F91" s="882"/>
      <c r="G91" s="880"/>
      <c r="J91" s="828"/>
    </row>
    <row r="92" spans="1:10">
      <c r="A92" s="1481"/>
      <c r="B92" s="1482"/>
      <c r="C92" s="541"/>
      <c r="D92" s="463"/>
      <c r="E92" s="464"/>
      <c r="F92" s="883"/>
      <c r="G92" s="880"/>
      <c r="H92" s="248"/>
      <c r="I92" s="248"/>
      <c r="J92" s="828"/>
    </row>
    <row r="93" spans="1:10">
      <c r="A93" s="465"/>
      <c r="B93" s="466"/>
      <c r="C93" s="466"/>
      <c r="D93" s="467"/>
      <c r="E93" s="468"/>
      <c r="F93" s="883"/>
      <c r="G93" s="880"/>
      <c r="H93" s="248"/>
      <c r="I93" s="248"/>
      <c r="J93" s="828"/>
    </row>
    <row r="94" spans="1:10">
      <c r="A94" s="448"/>
      <c r="B94" s="449"/>
      <c r="C94" s="617" t="s">
        <v>555</v>
      </c>
      <c r="D94" s="617" t="s">
        <v>348</v>
      </c>
      <c r="E94" s="540" t="s">
        <v>340</v>
      </c>
      <c r="F94" s="883"/>
      <c r="G94" s="248"/>
      <c r="H94" s="248"/>
      <c r="I94" s="248"/>
      <c r="J94" s="828"/>
    </row>
    <row r="95" spans="1:10">
      <c r="A95" s="450"/>
      <c r="B95" s="451"/>
      <c r="C95" s="619" t="s">
        <v>389</v>
      </c>
      <c r="D95" s="618" t="s">
        <v>389</v>
      </c>
      <c r="E95" s="452" t="s">
        <v>389</v>
      </c>
      <c r="F95" s="883"/>
      <c r="G95" s="248"/>
      <c r="H95" s="248"/>
      <c r="I95" s="248"/>
      <c r="J95" s="828"/>
    </row>
    <row r="96" spans="1:10">
      <c r="A96" s="453" t="s">
        <v>328</v>
      </c>
      <c r="B96" s="454"/>
      <c r="C96" s="469">
        <v>3234.08</v>
      </c>
      <c r="D96" s="470">
        <v>522.95000000000005</v>
      </c>
      <c r="E96" s="457">
        <v>231920.45</v>
      </c>
      <c r="F96" s="883"/>
      <c r="G96" s="248"/>
      <c r="H96" s="248"/>
      <c r="I96" s="248"/>
      <c r="J96" s="828"/>
    </row>
    <row r="97" spans="1:10">
      <c r="A97" s="453" t="s">
        <v>343</v>
      </c>
      <c r="B97" s="454"/>
      <c r="C97" s="469">
        <v>785.4</v>
      </c>
      <c r="D97" s="471">
        <v>422.89</v>
      </c>
      <c r="E97" s="460">
        <v>229575419.41</v>
      </c>
      <c r="F97" s="883"/>
      <c r="G97" s="248"/>
      <c r="H97" s="248"/>
      <c r="I97" s="248"/>
      <c r="J97" s="828"/>
    </row>
    <row r="98" spans="1:10" ht="36.75" customHeight="1">
      <c r="A98" s="1464" t="s">
        <v>388</v>
      </c>
      <c r="B98" s="1465"/>
      <c r="C98" s="472">
        <v>2448.6799999999998</v>
      </c>
      <c r="D98" s="473">
        <v>100.06000000000006</v>
      </c>
      <c r="E98" s="462">
        <f t="shared" ref="E98" si="7">E96-E97</f>
        <v>-229343498.96000001</v>
      </c>
      <c r="F98" s="883"/>
      <c r="G98" s="248"/>
      <c r="H98" s="248"/>
      <c r="I98" s="248"/>
      <c r="J98" s="828"/>
    </row>
    <row r="99" spans="1:10">
      <c r="A99" s="465"/>
      <c r="B99" s="466"/>
      <c r="C99" s="466"/>
      <c r="D99" s="467"/>
      <c r="E99" s="468"/>
      <c r="F99" s="883"/>
      <c r="G99" s="248"/>
      <c r="H99" s="248"/>
      <c r="I99" s="248"/>
      <c r="J99" s="828"/>
    </row>
    <row r="100" spans="1:10">
      <c r="A100" s="809" t="s">
        <v>390</v>
      </c>
      <c r="B100" s="674"/>
      <c r="C100" s="674"/>
      <c r="D100" s="674"/>
      <c r="E100" s="680"/>
      <c r="F100" s="248"/>
      <c r="G100" s="248"/>
      <c r="H100" s="248"/>
      <c r="I100" s="248"/>
      <c r="J100" s="828"/>
    </row>
    <row r="101" spans="1:10" ht="30.6" customHeight="1">
      <c r="A101" s="1485" t="s">
        <v>391</v>
      </c>
      <c r="B101" s="1486"/>
      <c r="C101" s="1486"/>
      <c r="D101" s="1486"/>
      <c r="E101" s="1486"/>
      <c r="F101" s="884"/>
      <c r="G101" s="884"/>
      <c r="H101" s="884"/>
      <c r="I101" s="884"/>
      <c r="J101" s="828"/>
    </row>
    <row r="102" spans="1:10">
      <c r="A102" s="474"/>
      <c r="B102" s="475"/>
      <c r="C102" s="620" t="s">
        <v>1264</v>
      </c>
      <c r="D102" s="1469" t="s">
        <v>392</v>
      </c>
      <c r="E102" s="1470"/>
      <c r="G102" s="248"/>
      <c r="H102" s="248"/>
      <c r="I102" s="248"/>
      <c r="J102" s="828"/>
    </row>
    <row r="103" spans="1:10">
      <c r="A103" s="476"/>
      <c r="B103" s="477"/>
      <c r="C103" s="620" t="s">
        <v>1265</v>
      </c>
      <c r="D103" s="621" t="s">
        <v>555</v>
      </c>
      <c r="E103" s="622" t="s">
        <v>348</v>
      </c>
      <c r="G103" s="248"/>
      <c r="H103" s="248"/>
      <c r="I103" s="248"/>
      <c r="J103" s="828"/>
    </row>
    <row r="104" spans="1:10" ht="16.5">
      <c r="A104" s="623" t="s">
        <v>393</v>
      </c>
      <c r="B104" s="478"/>
      <c r="C104" s="479"/>
      <c r="D104" s="480"/>
      <c r="E104" s="480"/>
      <c r="G104" s="248"/>
      <c r="H104" s="248"/>
      <c r="I104" s="248"/>
      <c r="J104" s="828"/>
    </row>
    <row r="105" spans="1:10" ht="16.5">
      <c r="A105" s="481" t="s">
        <v>1266</v>
      </c>
      <c r="B105" s="482"/>
      <c r="C105" s="483">
        <v>0.05</v>
      </c>
      <c r="D105" s="484">
        <f>-C91*C105</f>
        <v>38190.199999999997</v>
      </c>
      <c r="E105" s="484">
        <f>+-D91*C105</f>
        <v>-3560.018</v>
      </c>
      <c r="G105" s="248"/>
      <c r="H105" s="248"/>
      <c r="I105" s="248"/>
      <c r="J105" s="828"/>
    </row>
    <row r="106" spans="1:10" ht="16.5">
      <c r="A106" s="481" t="s">
        <v>1267</v>
      </c>
      <c r="B106" s="482"/>
      <c r="C106" s="483">
        <v>-0.05</v>
      </c>
      <c r="D106" s="484">
        <f>+-D105</f>
        <v>-38190.199999999997</v>
      </c>
      <c r="E106" s="485">
        <f>-E105</f>
        <v>3560.018</v>
      </c>
      <c r="G106" s="248"/>
      <c r="H106" s="248"/>
      <c r="I106" s="248"/>
      <c r="J106" s="828"/>
    </row>
    <row r="107" spans="1:10" ht="16.5">
      <c r="A107" s="623" t="s">
        <v>394</v>
      </c>
      <c r="B107" s="478"/>
      <c r="C107" s="483"/>
      <c r="D107" s="486"/>
      <c r="E107" s="486"/>
      <c r="G107" s="248"/>
      <c r="H107" s="248"/>
      <c r="I107" s="248"/>
      <c r="J107" s="828"/>
    </row>
    <row r="108" spans="1:10" ht="16.5">
      <c r="A108" s="481" t="s">
        <v>1266</v>
      </c>
      <c r="B108" s="478"/>
      <c r="C108" s="483">
        <v>0.05</v>
      </c>
      <c r="D108" s="485">
        <f>-C98*C108</f>
        <v>-122.434</v>
      </c>
      <c r="E108" s="485">
        <f>-D98*C108</f>
        <v>-5.0030000000000037</v>
      </c>
      <c r="G108" s="248"/>
      <c r="H108" s="248"/>
      <c r="I108" s="248"/>
      <c r="J108" s="828"/>
    </row>
    <row r="109" spans="1:10" ht="16.5">
      <c r="A109" s="481" t="s">
        <v>1267</v>
      </c>
      <c r="B109" s="478"/>
      <c r="C109" s="483">
        <v>-0.05</v>
      </c>
      <c r="D109" s="485">
        <f>++-D108</f>
        <v>122.434</v>
      </c>
      <c r="E109" s="485">
        <f>+-E108</f>
        <v>5.0030000000000037</v>
      </c>
      <c r="G109" s="248"/>
      <c r="H109" s="248"/>
      <c r="I109" s="248"/>
      <c r="J109" s="828"/>
    </row>
    <row r="110" spans="1:10">
      <c r="A110" s="810"/>
      <c r="B110" s="466"/>
      <c r="C110" s="466"/>
      <c r="D110" s="681"/>
      <c r="E110" s="680"/>
      <c r="F110" s="248"/>
      <c r="G110" s="248"/>
      <c r="H110" s="248"/>
      <c r="I110" s="248"/>
      <c r="J110" s="828"/>
    </row>
    <row r="111" spans="1:10">
      <c r="A111" s="810" t="s">
        <v>395</v>
      </c>
      <c r="B111" s="466"/>
      <c r="C111" s="682"/>
      <c r="D111" s="681"/>
      <c r="E111" s="680"/>
      <c r="F111" s="248"/>
      <c r="G111" s="248"/>
      <c r="H111" s="248"/>
      <c r="I111" s="248"/>
      <c r="J111" s="828"/>
    </row>
    <row r="112" spans="1:10">
      <c r="A112" s="816"/>
      <c r="B112" s="680"/>
      <c r="C112" s="680"/>
      <c r="D112" s="680"/>
      <c r="E112" s="680"/>
      <c r="F112" s="248"/>
      <c r="G112" s="248"/>
      <c r="H112" s="248"/>
      <c r="I112" s="248"/>
      <c r="J112" s="828"/>
    </row>
    <row r="113" spans="1:10" ht="38.25" customHeight="1">
      <c r="A113" s="1483" t="s">
        <v>1455</v>
      </c>
      <c r="B113" s="1484"/>
      <c r="C113" s="1484"/>
      <c r="D113" s="1484"/>
      <c r="E113" s="680"/>
      <c r="F113" s="248"/>
      <c r="G113" s="248"/>
      <c r="H113" s="248"/>
      <c r="I113" s="248"/>
      <c r="J113" s="828"/>
    </row>
    <row r="114" spans="1:10">
      <c r="A114" s="816"/>
      <c r="B114" s="680"/>
      <c r="C114" s="680"/>
      <c r="D114" s="680"/>
      <c r="E114" s="680"/>
      <c r="F114" s="248"/>
      <c r="G114" s="248"/>
      <c r="H114" s="248"/>
      <c r="I114" s="248"/>
      <c r="J114" s="828"/>
    </row>
    <row r="115" spans="1:10">
      <c r="A115" s="809" t="s">
        <v>396</v>
      </c>
      <c r="B115" s="376"/>
      <c r="C115" s="376"/>
      <c r="D115" s="376"/>
      <c r="E115" s="376"/>
      <c r="J115" s="828"/>
    </row>
    <row r="116" spans="1:10" ht="76.5" customHeight="1">
      <c r="A116" s="1471" t="s">
        <v>397</v>
      </c>
      <c r="B116" s="1472"/>
      <c r="C116" s="1472"/>
      <c r="D116" s="1472"/>
      <c r="E116" s="1472"/>
      <c r="F116" s="558"/>
      <c r="J116" s="828"/>
    </row>
    <row r="117" spans="1:10">
      <c r="A117" s="236" t="s">
        <v>398</v>
      </c>
      <c r="B117" s="376"/>
      <c r="C117" s="376"/>
      <c r="D117" s="376"/>
      <c r="E117" s="376"/>
      <c r="J117" s="828"/>
    </row>
    <row r="118" spans="1:10" ht="81.75" customHeight="1">
      <c r="A118" s="1473" t="s">
        <v>399</v>
      </c>
      <c r="B118" s="1474"/>
      <c r="C118" s="1474"/>
      <c r="D118" s="1474"/>
      <c r="E118" s="1474"/>
      <c r="F118" s="885"/>
      <c r="G118" s="885"/>
      <c r="H118" s="885"/>
      <c r="I118" s="886"/>
      <c r="J118" s="887"/>
    </row>
  </sheetData>
  <mergeCells count="28">
    <mergeCell ref="D102:E102"/>
    <mergeCell ref="A1:E1"/>
    <mergeCell ref="A116:E116"/>
    <mergeCell ref="A118:E118"/>
    <mergeCell ref="A21:E21"/>
    <mergeCell ref="A40:E40"/>
    <mergeCell ref="A85:E85"/>
    <mergeCell ref="A38:E38"/>
    <mergeCell ref="A92:B92"/>
    <mergeCell ref="A113:D113"/>
    <mergeCell ref="A15:E15"/>
    <mergeCell ref="A18:E18"/>
    <mergeCell ref="A19:E19"/>
    <mergeCell ref="A6:E6"/>
    <mergeCell ref="A84:E84"/>
    <mergeCell ref="A101:E101"/>
    <mergeCell ref="A2:E2"/>
    <mergeCell ref="B43:C43"/>
    <mergeCell ref="J23:J24"/>
    <mergeCell ref="A91:B91"/>
    <mergeCell ref="A98:B98"/>
    <mergeCell ref="B8:C8"/>
    <mergeCell ref="B9:C9"/>
    <mergeCell ref="B10:C10"/>
    <mergeCell ref="B11:C11"/>
    <mergeCell ref="B12:C12"/>
    <mergeCell ref="B23:C23"/>
    <mergeCell ref="D23:E23"/>
  </mergeCells>
  <printOptions horizontalCentered="1"/>
  <pageMargins left="0.15748031496062992" right="0.27559055118110237" top="3.937007874015748E-2" bottom="1.1811023622047245" header="3.937007874015748E-2" footer="3.937007874015748E-2"/>
  <pageSetup paperSize="9" scale="56" fitToWidth="0" fitToHeight="0" orientation="portrait" r:id="rId1"/>
  <rowBreaks count="1" manualBreakCount="1">
    <brk id="40" max="9" man="1"/>
  </rowBreaks>
</worksheet>
</file>

<file path=xl/worksheets/sheet15.xml><?xml version="1.0" encoding="utf-8"?>
<worksheet xmlns="http://schemas.openxmlformats.org/spreadsheetml/2006/main" xmlns:r="http://schemas.openxmlformats.org/officeDocument/2006/relationships">
  <sheetPr enableFormatConditionsCalculation="0">
    <tabColor rgb="FF00B050"/>
    <pageSetUpPr fitToPage="1"/>
  </sheetPr>
  <dimension ref="A1:E16"/>
  <sheetViews>
    <sheetView showGridLines="0" topLeftCell="A15" zoomScaleSheetLayoutView="90" workbookViewId="0">
      <selection activeCell="D15" sqref="D15"/>
    </sheetView>
  </sheetViews>
  <sheetFormatPr defaultColWidth="8.85546875" defaultRowHeight="15"/>
  <cols>
    <col min="1" max="1" width="54.7109375" customWidth="1"/>
    <col min="3" max="4" width="20.42578125" style="718" bestFit="1" customWidth="1"/>
  </cols>
  <sheetData>
    <row r="1" spans="1:5" ht="16.5" customHeight="1">
      <c r="A1" s="1324" t="s">
        <v>0</v>
      </c>
      <c r="B1" s="1325"/>
      <c r="C1" s="1325"/>
      <c r="D1" s="1325"/>
      <c r="E1" s="817"/>
    </row>
    <row r="2" spans="1:5" ht="15.75">
      <c r="A2" s="1333" t="s">
        <v>1052</v>
      </c>
      <c r="B2" s="1334"/>
      <c r="C2" s="1334"/>
      <c r="D2" s="1334"/>
      <c r="E2" s="1335"/>
    </row>
    <row r="3" spans="1:5" ht="16.5">
      <c r="A3" s="818"/>
      <c r="B3" s="683"/>
      <c r="C3" s="714"/>
      <c r="D3" s="714"/>
      <c r="E3" s="819"/>
    </row>
    <row r="4" spans="1:5" ht="16.5">
      <c r="A4" s="236" t="s">
        <v>490</v>
      </c>
      <c r="B4" s="364"/>
      <c r="C4" s="246"/>
      <c r="D4" s="246"/>
      <c r="E4" s="820"/>
    </row>
    <row r="5" spans="1:5" ht="15.75">
      <c r="A5" s="809" t="s">
        <v>401</v>
      </c>
      <c r="B5" s="684"/>
      <c r="C5" s="715"/>
      <c r="D5" s="715"/>
      <c r="E5" s="820"/>
    </row>
    <row r="6" spans="1:5">
      <c r="A6" s="625"/>
      <c r="B6" s="684"/>
      <c r="C6" s="715"/>
      <c r="D6" s="715"/>
      <c r="E6" s="820"/>
    </row>
    <row r="7" spans="1:5">
      <c r="A7" s="465" t="s">
        <v>402</v>
      </c>
      <c r="B7" s="690"/>
      <c r="C7" s="690"/>
      <c r="D7" s="690"/>
      <c r="E7" s="820"/>
    </row>
    <row r="8" spans="1:5" ht="33" customHeight="1">
      <c r="A8" s="1483" t="s">
        <v>406</v>
      </c>
      <c r="B8" s="1484"/>
      <c r="C8" s="1484"/>
      <c r="D8" s="1484"/>
      <c r="E8" s="820"/>
    </row>
    <row r="9" spans="1:5" ht="30" customHeight="1">
      <c r="A9" s="1479" t="s">
        <v>407</v>
      </c>
      <c r="B9" s="1480"/>
      <c r="C9" s="1480"/>
      <c r="D9" s="1480"/>
      <c r="E9" s="820"/>
    </row>
    <row r="10" spans="1:5" ht="51" customHeight="1">
      <c r="A10" s="1475" t="s">
        <v>403</v>
      </c>
      <c r="B10" s="1476"/>
      <c r="C10" s="1476"/>
      <c r="D10" s="1476"/>
      <c r="E10" s="820"/>
    </row>
    <row r="11" spans="1:5" ht="16.5">
      <c r="A11" s="821"/>
      <c r="B11" s="685"/>
      <c r="C11" s="716"/>
      <c r="D11" s="716"/>
      <c r="E11" s="820"/>
    </row>
    <row r="12" spans="1:5" ht="16.5">
      <c r="A12" s="809" t="s">
        <v>404</v>
      </c>
      <c r="B12" s="686"/>
      <c r="C12" s="466"/>
      <c r="D12" s="466"/>
      <c r="E12" s="820"/>
    </row>
    <row r="13" spans="1:5" ht="15.75">
      <c r="A13" s="1487" t="s">
        <v>21</v>
      </c>
      <c r="B13" s="1487"/>
      <c r="C13" s="622" t="s">
        <v>555</v>
      </c>
      <c r="D13" s="622" t="s">
        <v>348</v>
      </c>
      <c r="E13" s="820"/>
    </row>
    <row r="14" spans="1:5" ht="16.5">
      <c r="A14" s="625"/>
      <c r="B14" s="624"/>
      <c r="C14" s="717"/>
      <c r="D14" s="717"/>
      <c r="E14" s="820"/>
    </row>
    <row r="15" spans="1:5" ht="16.5">
      <c r="A15" s="822" t="s">
        <v>405</v>
      </c>
      <c r="B15" s="823"/>
      <c r="C15" s="824">
        <f>-'5SOCE'!F13</f>
        <v>0</v>
      </c>
      <c r="D15" s="824">
        <f>-'5SOCE'!F8</f>
        <v>843900560</v>
      </c>
      <c r="E15" s="825"/>
    </row>
    <row r="16" spans="1:5" ht="16.5">
      <c r="A16" s="487"/>
      <c r="B16" s="487"/>
      <c r="C16" s="376"/>
      <c r="D16" s="376"/>
    </row>
  </sheetData>
  <mergeCells count="6">
    <mergeCell ref="A13:B13"/>
    <mergeCell ref="A8:D8"/>
    <mergeCell ref="A10:D10"/>
    <mergeCell ref="A9:D9"/>
    <mergeCell ref="A1:D1"/>
    <mergeCell ref="A2:E2"/>
  </mergeCells>
  <printOptions horizontalCentered="1"/>
  <pageMargins left="0.7" right="0.7" top="0.75" bottom="0.75" header="0.3" footer="0.3"/>
  <pageSetup paperSize="9" scale="77" orientation="portrait" r:id="rId1"/>
  <drawing r:id="rId2"/>
</worksheet>
</file>

<file path=xl/worksheets/sheet16.xml><?xml version="1.0" encoding="utf-8"?>
<worksheet xmlns="http://schemas.openxmlformats.org/spreadsheetml/2006/main" xmlns:r="http://schemas.openxmlformats.org/officeDocument/2006/relationships">
  <sheetPr enableFormatConditionsCalculation="0">
    <tabColor rgb="FF00B050"/>
  </sheetPr>
  <dimension ref="A1:AS133"/>
  <sheetViews>
    <sheetView showGridLines="0" topLeftCell="A89" zoomScale="90" zoomScaleNormal="90" zoomScaleSheetLayoutView="90" zoomScalePageLayoutView="90" workbookViewId="0">
      <selection activeCell="AX102" sqref="AX102"/>
    </sheetView>
  </sheetViews>
  <sheetFormatPr defaultColWidth="8.85546875" defaultRowHeight="16.5"/>
  <cols>
    <col min="1" max="1" width="4.85546875" style="487" customWidth="1"/>
    <col min="2" max="2" width="48.28515625" style="250" customWidth="1"/>
    <col min="3" max="3" width="10.7109375" style="250" customWidth="1"/>
    <col min="4" max="4" width="22.7109375" style="250" hidden="1" customWidth="1"/>
    <col min="5" max="6" width="22.7109375" style="250" customWidth="1"/>
    <col min="7" max="7" width="20.42578125" style="250" customWidth="1"/>
    <col min="8" max="8" width="6" style="495" hidden="1" customWidth="1"/>
    <col min="9" max="9" width="0" style="250" hidden="1" customWidth="1"/>
    <col min="10" max="10" width="13.7109375" style="487" hidden="1" customWidth="1"/>
    <col min="11" max="11" width="15.42578125" style="487" hidden="1" customWidth="1"/>
    <col min="12" max="12" width="19.85546875" style="487" hidden="1" customWidth="1"/>
    <col min="13" max="13" width="3.85546875" style="487" customWidth="1"/>
    <col min="14" max="14" width="2.7109375" style="487" hidden="1" customWidth="1"/>
    <col min="15" max="38" width="9.140625" style="487" hidden="1" customWidth="1"/>
    <col min="39" max="41" width="0" style="487" hidden="1" customWidth="1"/>
    <col min="42" max="42" width="5.42578125" style="487" customWidth="1"/>
    <col min="43" max="45" width="9.140625" style="487" hidden="1" customWidth="1"/>
    <col min="46" max="46" width="9.140625" style="487" customWidth="1"/>
    <col min="47" max="16384" width="8.85546875" style="487"/>
  </cols>
  <sheetData>
    <row r="1" spans="1:13">
      <c r="A1" s="826"/>
      <c r="B1" s="1325" t="s">
        <v>0</v>
      </c>
      <c r="C1" s="1325"/>
      <c r="D1" s="1325"/>
      <c r="E1" s="1325"/>
      <c r="F1" s="1325"/>
      <c r="G1" s="827"/>
    </row>
    <row r="2" spans="1:13">
      <c r="A2" s="638"/>
      <c r="B2" s="1334" t="s">
        <v>1052</v>
      </c>
      <c r="C2" s="1334"/>
      <c r="D2" s="1334"/>
      <c r="E2" s="1334"/>
      <c r="F2" s="1334"/>
      <c r="G2" s="828"/>
    </row>
    <row r="3" spans="1:13">
      <c r="A3" s="638"/>
      <c r="B3" s="714"/>
      <c r="C3" s="714"/>
      <c r="D3" s="714"/>
      <c r="E3" s="714"/>
      <c r="F3" s="714"/>
      <c r="G3" s="828"/>
    </row>
    <row r="4" spans="1:13">
      <c r="A4" s="236" t="s">
        <v>1428</v>
      </c>
      <c r="G4" s="487"/>
    </row>
    <row r="5" spans="1:13">
      <c r="A5" s="236"/>
      <c r="G5" s="487"/>
    </row>
    <row r="6" spans="1:13">
      <c r="A6" s="236" t="s">
        <v>1429</v>
      </c>
      <c r="B6" s="244" t="s">
        <v>1430</v>
      </c>
      <c r="G6" s="487"/>
    </row>
    <row r="7" spans="1:13">
      <c r="A7" s="236"/>
      <c r="B7" s="244"/>
      <c r="G7" s="829" t="s">
        <v>64</v>
      </c>
    </row>
    <row r="8" spans="1:13" ht="31.5">
      <c r="A8" s="1411" t="s">
        <v>21</v>
      </c>
      <c r="B8" s="1411"/>
      <c r="C8" s="645" t="s">
        <v>99</v>
      </c>
      <c r="D8" s="223" t="s">
        <v>1048</v>
      </c>
      <c r="E8" s="223" t="s">
        <v>1304</v>
      </c>
      <c r="F8" s="223" t="s">
        <v>107</v>
      </c>
      <c r="G8" s="223" t="s">
        <v>562</v>
      </c>
    </row>
    <row r="9" spans="1:13">
      <c r="A9" s="638"/>
      <c r="B9" s="646" t="s">
        <v>95</v>
      </c>
      <c r="C9" s="641"/>
      <c r="D9" s="507"/>
      <c r="E9" s="508"/>
      <c r="F9" s="508"/>
      <c r="G9" s="509"/>
      <c r="J9" s="487">
        <f>4+5+8+3+9</f>
        <v>29</v>
      </c>
    </row>
    <row r="10" spans="1:13">
      <c r="A10" s="638"/>
      <c r="B10" s="647" t="s">
        <v>452</v>
      </c>
      <c r="C10" s="641"/>
      <c r="D10" s="510"/>
      <c r="E10" s="511"/>
      <c r="F10" s="511"/>
      <c r="G10" s="512"/>
    </row>
    <row r="11" spans="1:13">
      <c r="A11" s="638"/>
      <c r="B11" s="648" t="s">
        <v>513</v>
      </c>
      <c r="C11" s="641" t="s">
        <v>1305</v>
      </c>
      <c r="D11" s="513">
        <v>3035956266.0529108</v>
      </c>
      <c r="E11" s="691">
        <f>SUM(F11:G11)</f>
        <v>3353676889.1871982</v>
      </c>
      <c r="F11" s="691">
        <f>-([4]AE!E133+[4]AE!E153-[4]AE!F157-[4]AE!F138)</f>
        <v>-369652985.5828017</v>
      </c>
      <c r="G11" s="362">
        <f>3723329874.37+0.4</f>
        <v>3723329874.77</v>
      </c>
      <c r="J11" s="487">
        <v>3353676889.9371982</v>
      </c>
    </row>
    <row r="12" spans="1:13">
      <c r="A12" s="638"/>
      <c r="B12" s="649" t="s">
        <v>221</v>
      </c>
      <c r="C12" s="641" t="s">
        <v>1306</v>
      </c>
      <c r="D12" s="513">
        <v>1129198308.3640366</v>
      </c>
      <c r="E12" s="691">
        <f t="shared" ref="E12:E18" si="0">SUM(F12:G12)</f>
        <v>1337580391.4133863</v>
      </c>
      <c r="F12" s="691">
        <f>[4]AE!E83-[4]AE!F85-[4]AE!F138-[4]AE!F157</f>
        <v>250073992.9333863</v>
      </c>
      <c r="G12" s="362">
        <v>1087506398.48</v>
      </c>
      <c r="J12" s="487">
        <v>1337580391.4133863</v>
      </c>
    </row>
    <row r="13" spans="1:13">
      <c r="A13" s="638"/>
      <c r="B13" s="649" t="s">
        <v>22</v>
      </c>
      <c r="C13" s="641"/>
      <c r="D13" s="513">
        <v>83416952.069999993</v>
      </c>
      <c r="E13" s="691">
        <f t="shared" si="0"/>
        <v>15077014.659999996</v>
      </c>
      <c r="F13" s="691">
        <v>0</v>
      </c>
      <c r="G13" s="362">
        <v>15077014.659999996</v>
      </c>
      <c r="J13" s="487">
        <v>15077014.659999996</v>
      </c>
    </row>
    <row r="14" spans="1:13">
      <c r="A14" s="638"/>
      <c r="B14" s="647" t="s">
        <v>1140</v>
      </c>
      <c r="C14" s="641"/>
      <c r="D14" s="513"/>
      <c r="E14" s="691"/>
      <c r="F14" s="691"/>
      <c r="G14" s="362"/>
    </row>
    <row r="15" spans="1:13">
      <c r="A15" s="638"/>
      <c r="B15" s="650" t="s">
        <v>1141</v>
      </c>
      <c r="C15" s="641"/>
      <c r="D15" s="513">
        <v>0</v>
      </c>
      <c r="E15" s="691">
        <f t="shared" si="0"/>
        <v>92308400</v>
      </c>
      <c r="F15" s="691">
        <v>0</v>
      </c>
      <c r="G15" s="362">
        <v>92308400</v>
      </c>
      <c r="J15" s="487">
        <v>92308400</v>
      </c>
      <c r="L15" s="487">
        <v>107008946.00000001</v>
      </c>
      <c r="M15" s="523">
        <f>+L15-E22</f>
        <v>-0.12999998033046722</v>
      </c>
    </row>
    <row r="16" spans="1:13">
      <c r="A16" s="638"/>
      <c r="B16" s="650" t="s">
        <v>1142</v>
      </c>
      <c r="C16" s="641"/>
      <c r="D16" s="513">
        <v>189682582.52000001</v>
      </c>
      <c r="E16" s="691">
        <f t="shared" si="0"/>
        <v>124734293</v>
      </c>
      <c r="F16" s="691">
        <v>0</v>
      </c>
      <c r="G16" s="362">
        <v>124734293</v>
      </c>
      <c r="J16" s="487">
        <v>124734293.09</v>
      </c>
      <c r="M16" s="523">
        <f t="shared" ref="M16:M20" si="1">+L16-E23</f>
        <v>0</v>
      </c>
    </row>
    <row r="17" spans="1:14">
      <c r="A17" s="638"/>
      <c r="B17" s="650" t="s">
        <v>512</v>
      </c>
      <c r="C17" s="641"/>
      <c r="D17" s="513">
        <v>9659868.5</v>
      </c>
      <c r="E17" s="691">
        <f t="shared" si="0"/>
        <v>9659868.5</v>
      </c>
      <c r="F17" s="691">
        <v>0</v>
      </c>
      <c r="G17" s="362">
        <v>9659868.5</v>
      </c>
      <c r="J17" s="487">
        <v>9659868.5</v>
      </c>
      <c r="L17" s="487">
        <v>127062333.34999998</v>
      </c>
      <c r="M17" s="523">
        <f t="shared" si="1"/>
        <v>-0.40000000596046448</v>
      </c>
    </row>
    <row r="18" spans="1:14">
      <c r="A18" s="638"/>
      <c r="B18" s="649" t="s">
        <v>222</v>
      </c>
      <c r="C18" s="641" t="s">
        <v>1307</v>
      </c>
      <c r="D18" s="513">
        <v>2282728.96</v>
      </c>
      <c r="E18" s="691">
        <f t="shared" si="0"/>
        <v>0</v>
      </c>
      <c r="F18" s="691">
        <f>-[4]AE!F77</f>
        <v>-12950000</v>
      </c>
      <c r="G18" s="362">
        <v>12950000</v>
      </c>
      <c r="J18" s="487">
        <v>0</v>
      </c>
      <c r="L18" s="487">
        <v>172043085.68000001</v>
      </c>
      <c r="M18" s="523">
        <f t="shared" si="1"/>
        <v>0</v>
      </c>
    </row>
    <row r="19" spans="1:14">
      <c r="A19" s="638"/>
      <c r="B19" s="651" t="s">
        <v>453</v>
      </c>
      <c r="C19" s="641"/>
      <c r="D19" s="514">
        <v>4450196706.4669476</v>
      </c>
      <c r="E19" s="692">
        <f>SUM(E11:E18)</f>
        <v>4933036856.7605839</v>
      </c>
      <c r="F19" s="692">
        <f>SUM(F11:F18)</f>
        <v>-132528992.6494154</v>
      </c>
      <c r="G19" s="830">
        <f>SUM(G11:G18)</f>
        <v>5065565849.4099998</v>
      </c>
      <c r="J19" s="487">
        <v>4933036857.7005844</v>
      </c>
      <c r="L19" s="487">
        <v>2860642</v>
      </c>
      <c r="M19" s="523">
        <f t="shared" si="1"/>
        <v>0.14000000013038516</v>
      </c>
    </row>
    <row r="20" spans="1:14">
      <c r="A20" s="638"/>
      <c r="B20" s="652"/>
      <c r="C20" s="641"/>
      <c r="D20" s="515"/>
      <c r="E20" s="689"/>
      <c r="F20" s="689"/>
      <c r="G20" s="831"/>
      <c r="L20" s="487">
        <v>4115127.4100000006</v>
      </c>
      <c r="M20" s="523">
        <f t="shared" si="1"/>
        <v>0.49999999860301614</v>
      </c>
    </row>
    <row r="21" spans="1:14">
      <c r="A21" s="638"/>
      <c r="B21" s="653" t="s">
        <v>454</v>
      </c>
      <c r="C21" s="641"/>
      <c r="D21" s="513"/>
      <c r="E21" s="691"/>
      <c r="F21" s="691"/>
      <c r="G21" s="333"/>
      <c r="J21" s="487">
        <f>9+1+5+3+9</f>
        <v>27</v>
      </c>
    </row>
    <row r="22" spans="1:14">
      <c r="A22" s="638"/>
      <c r="B22" s="650" t="s">
        <v>23</v>
      </c>
      <c r="C22" s="641"/>
      <c r="D22" s="513">
        <v>98877104.174999982</v>
      </c>
      <c r="E22" s="691">
        <f t="shared" ref="E22:E28" si="2">SUM(F22:G22)</f>
        <v>107008946.13</v>
      </c>
      <c r="F22" s="691">
        <v>0</v>
      </c>
      <c r="G22" s="362">
        <v>107008946.13</v>
      </c>
    </row>
    <row r="23" spans="1:14">
      <c r="A23" s="638"/>
      <c r="B23" s="647" t="s">
        <v>1140</v>
      </c>
      <c r="C23" s="641"/>
      <c r="D23" s="513"/>
      <c r="E23" s="691"/>
      <c r="F23" s="691"/>
      <c r="G23" s="362"/>
    </row>
    <row r="24" spans="1:14">
      <c r="A24" s="638"/>
      <c r="B24" s="650" t="s">
        <v>1308</v>
      </c>
      <c r="C24" s="641" t="s">
        <v>1309</v>
      </c>
      <c r="D24" s="513">
        <v>108911295.59889999</v>
      </c>
      <c r="E24" s="691">
        <f t="shared" si="2"/>
        <v>127062333.74999999</v>
      </c>
      <c r="F24" s="691">
        <f>-[4]Regrouping!F45+0.4</f>
        <v>-4215469.09</v>
      </c>
      <c r="G24" s="362">
        <v>131277802.83999999</v>
      </c>
      <c r="I24" s="250">
        <f>13-9</f>
        <v>4</v>
      </c>
      <c r="J24" s="487">
        <f>131277803-4215469</f>
        <v>127062334</v>
      </c>
      <c r="L24" s="549">
        <f>-4215469.49+0.14</f>
        <v>-4215469.3500000006</v>
      </c>
    </row>
    <row r="25" spans="1:14">
      <c r="A25" s="638"/>
      <c r="B25" s="650" t="s">
        <v>1310</v>
      </c>
      <c r="C25" s="641"/>
      <c r="D25" s="513">
        <v>633519823.8499999</v>
      </c>
      <c r="E25" s="691">
        <f t="shared" si="2"/>
        <v>172043085.68000001</v>
      </c>
      <c r="F25" s="691">
        <v>0</v>
      </c>
      <c r="G25" s="362">
        <v>172043085.68000001</v>
      </c>
    </row>
    <row r="26" spans="1:14">
      <c r="A26" s="638"/>
      <c r="B26" s="650" t="s">
        <v>1311</v>
      </c>
      <c r="C26" s="641" t="s">
        <v>1312</v>
      </c>
      <c r="D26" s="513">
        <v>1278270</v>
      </c>
      <c r="E26" s="691">
        <f t="shared" si="2"/>
        <v>2860641.86</v>
      </c>
      <c r="F26" s="691">
        <f>2007812+0.3</f>
        <v>2007812.3</v>
      </c>
      <c r="G26" s="362">
        <v>852829.55999999994</v>
      </c>
      <c r="K26" s="549">
        <f>131277802.84+0.4</f>
        <v>131277803.24000001</v>
      </c>
    </row>
    <row r="27" spans="1:14">
      <c r="A27" s="638"/>
      <c r="B27" s="650" t="s">
        <v>211</v>
      </c>
      <c r="C27" s="641" t="s">
        <v>1307</v>
      </c>
      <c r="D27" s="516">
        <v>227083405.02999997</v>
      </c>
      <c r="E27" s="691">
        <f t="shared" si="2"/>
        <v>4115126.910000002</v>
      </c>
      <c r="F27" s="363">
        <f>-[4]AE!F78-2007812.9-0.5</f>
        <v>-14957813.4</v>
      </c>
      <c r="G27" s="333">
        <v>19072940.310000002</v>
      </c>
      <c r="I27" s="250">
        <f>6+3+6</f>
        <v>15</v>
      </c>
    </row>
    <row r="28" spans="1:14">
      <c r="A28" s="638"/>
      <c r="B28" s="650" t="s">
        <v>1137</v>
      </c>
      <c r="C28" s="641"/>
      <c r="D28" s="516">
        <v>99285178.310000002</v>
      </c>
      <c r="E28" s="691">
        <f t="shared" si="2"/>
        <v>0</v>
      </c>
      <c r="F28" s="363">
        <v>0</v>
      </c>
      <c r="G28" s="362">
        <v>0</v>
      </c>
    </row>
    <row r="29" spans="1:14">
      <c r="A29" s="638"/>
      <c r="B29" s="651" t="s">
        <v>455</v>
      </c>
      <c r="C29" s="642"/>
      <c r="D29" s="517">
        <v>1168955076.9638999</v>
      </c>
      <c r="E29" s="373">
        <f>SUM(E22:E28)</f>
        <v>413090134.33000004</v>
      </c>
      <c r="F29" s="373">
        <f>SUM(F22:F28)</f>
        <v>-17165470.190000001</v>
      </c>
      <c r="G29" s="334">
        <f>SUM(G22:G28)</f>
        <v>430255604.51999998</v>
      </c>
      <c r="J29" s="487">
        <f>6+3+6+2+7</f>
        <v>24</v>
      </c>
      <c r="L29" s="549">
        <v>413090134.28000003</v>
      </c>
      <c r="M29" s="549">
        <v>-17165470.240000002</v>
      </c>
      <c r="N29" s="549">
        <v>430255604.51999998</v>
      </c>
    </row>
    <row r="30" spans="1:14">
      <c r="A30" s="638"/>
      <c r="B30" s="585"/>
      <c r="C30" s="642"/>
      <c r="D30" s="519"/>
      <c r="E30" s="372"/>
      <c r="F30" s="372"/>
      <c r="G30" s="357"/>
    </row>
    <row r="31" spans="1:14">
      <c r="A31" s="638"/>
      <c r="B31" s="654" t="s">
        <v>456</v>
      </c>
      <c r="C31" s="642"/>
      <c r="D31" s="517">
        <v>5619151783.4308472</v>
      </c>
      <c r="E31" s="373">
        <f>E29+E19</f>
        <v>5346126991.0905838</v>
      </c>
      <c r="F31" s="373">
        <f>F29+F19</f>
        <v>-149694462.8394154</v>
      </c>
      <c r="G31" s="334">
        <f>G29+G19</f>
        <v>5495821453.9300003</v>
      </c>
    </row>
    <row r="32" spans="1:14">
      <c r="A32" s="638"/>
      <c r="B32" s="642"/>
      <c r="C32" s="642"/>
      <c r="D32" s="516"/>
      <c r="E32" s="363"/>
      <c r="F32" s="363"/>
      <c r="G32" s="333"/>
    </row>
    <row r="33" spans="1:10">
      <c r="A33" s="638"/>
      <c r="B33" s="567" t="s">
        <v>96</v>
      </c>
      <c r="C33" s="642"/>
      <c r="D33" s="516"/>
      <c r="E33" s="363"/>
      <c r="F33" s="363"/>
      <c r="G33" s="333"/>
    </row>
    <row r="34" spans="1:10">
      <c r="A34" s="638"/>
      <c r="B34" s="647" t="s">
        <v>105</v>
      </c>
      <c r="C34" s="642"/>
      <c r="D34" s="516"/>
      <c r="E34" s="363"/>
      <c r="F34" s="363"/>
      <c r="G34" s="832"/>
    </row>
    <row r="35" spans="1:10">
      <c r="A35" s="638"/>
      <c r="B35" s="655" t="s">
        <v>225</v>
      </c>
      <c r="C35" s="643"/>
      <c r="D35" s="521">
        <v>854082000</v>
      </c>
      <c r="E35" s="693">
        <f>SUM(F35:G35)</f>
        <v>854082000</v>
      </c>
      <c r="F35" s="693">
        <v>0</v>
      </c>
      <c r="G35" s="833">
        <v>854082000</v>
      </c>
    </row>
    <row r="36" spans="1:10">
      <c r="A36" s="638"/>
      <c r="B36" s="650" t="s">
        <v>228</v>
      </c>
      <c r="C36" s="641"/>
      <c r="D36" s="513">
        <v>2885519399.0819049</v>
      </c>
      <c r="E36" s="693">
        <f>+'2SFP'!E32</f>
        <v>2949153947.2900004</v>
      </c>
      <c r="F36" s="691">
        <f>G36-E36</f>
        <v>421109399.14999962</v>
      </c>
      <c r="G36" s="362">
        <v>3370263346.4400001</v>
      </c>
    </row>
    <row r="37" spans="1:10">
      <c r="A37" s="638"/>
      <c r="B37" s="651" t="s">
        <v>457</v>
      </c>
      <c r="C37" s="585"/>
      <c r="D37" s="517">
        <v>3739601399.0819049</v>
      </c>
      <c r="E37" s="373">
        <f>SUM(E35:E36)</f>
        <v>3803235947.2900004</v>
      </c>
      <c r="F37" s="373">
        <f>SUM(F35:F36)</f>
        <v>421109399.14999962</v>
      </c>
      <c r="G37" s="334">
        <f>SUM(G35:G36)</f>
        <v>4224345346.4400001</v>
      </c>
    </row>
    <row r="38" spans="1:10">
      <c r="A38" s="638"/>
      <c r="B38" s="656"/>
      <c r="C38" s="585"/>
      <c r="D38" s="519"/>
      <c r="E38" s="372"/>
      <c r="F38" s="372"/>
      <c r="G38" s="333"/>
    </row>
    <row r="39" spans="1:10">
      <c r="A39" s="638"/>
      <c r="B39" s="650" t="s">
        <v>1313</v>
      </c>
      <c r="C39" s="641" t="s">
        <v>1364</v>
      </c>
      <c r="D39" s="519"/>
      <c r="E39" s="363">
        <f>+'2SFP'!E35</f>
        <v>87633713.719999999</v>
      </c>
      <c r="F39" s="363">
        <f>E39-G39</f>
        <v>-532443.01999999583</v>
      </c>
      <c r="G39" s="333">
        <v>88166156.739999995</v>
      </c>
      <c r="I39" s="250">
        <f>8+7</f>
        <v>15</v>
      </c>
    </row>
    <row r="40" spans="1:10">
      <c r="A40" s="638"/>
      <c r="B40" s="653" t="s">
        <v>1314</v>
      </c>
      <c r="C40" s="642"/>
      <c r="D40" s="516"/>
      <c r="E40" s="363"/>
      <c r="F40" s="363"/>
      <c r="G40" s="832"/>
    </row>
    <row r="41" spans="1:10">
      <c r="A41" s="638"/>
      <c r="B41" s="647" t="s">
        <v>343</v>
      </c>
      <c r="C41" s="642"/>
      <c r="D41" s="516"/>
      <c r="E41" s="363"/>
      <c r="F41" s="363"/>
      <c r="G41" s="832"/>
    </row>
    <row r="42" spans="1:10">
      <c r="A42" s="638"/>
      <c r="B42" s="650" t="s">
        <v>1315</v>
      </c>
      <c r="C42" s="641"/>
      <c r="D42" s="516">
        <v>602627143.24000001</v>
      </c>
      <c r="E42" s="363">
        <f>+'2SFP'!E40</f>
        <v>602627143.24000001</v>
      </c>
      <c r="F42" s="363">
        <v>0</v>
      </c>
      <c r="G42" s="333">
        <v>648615398.00999999</v>
      </c>
      <c r="J42" s="487">
        <f>8+5+6</f>
        <v>19</v>
      </c>
    </row>
    <row r="43" spans="1:10">
      <c r="A43" s="638"/>
      <c r="B43" s="650" t="s">
        <v>1316</v>
      </c>
      <c r="C43" s="641"/>
      <c r="D43" s="516">
        <v>0</v>
      </c>
      <c r="E43" s="363">
        <f>+'2SFP'!E41</f>
        <v>155400000</v>
      </c>
      <c r="F43" s="363">
        <v>0</v>
      </c>
      <c r="G43" s="333">
        <v>0</v>
      </c>
    </row>
    <row r="44" spans="1:10">
      <c r="A44" s="638"/>
      <c r="B44" s="650" t="s">
        <v>1317</v>
      </c>
      <c r="C44" s="641" t="s">
        <v>1307</v>
      </c>
      <c r="D44" s="516">
        <v>194250000</v>
      </c>
      <c r="E44" s="363">
        <f>+'2SFP'!E42</f>
        <v>0</v>
      </c>
      <c r="F44" s="363">
        <f>194250000</f>
        <v>194250000</v>
      </c>
      <c r="G44" s="832">
        <v>0</v>
      </c>
    </row>
    <row r="45" spans="1:10">
      <c r="A45" s="638"/>
      <c r="B45" s="650" t="s">
        <v>229</v>
      </c>
      <c r="C45" s="641"/>
      <c r="D45" s="516">
        <v>40829210.400000006</v>
      </c>
      <c r="E45" s="363">
        <f>+'2SFP'!E43</f>
        <v>57164638.400000006</v>
      </c>
      <c r="F45" s="363">
        <v>0</v>
      </c>
      <c r="G45" s="333">
        <v>67340966.400000006</v>
      </c>
    </row>
    <row r="46" spans="1:10">
      <c r="A46" s="638"/>
      <c r="B46" s="651" t="s">
        <v>458</v>
      </c>
      <c r="C46" s="585"/>
      <c r="D46" s="522">
        <v>904483723.03999996</v>
      </c>
      <c r="E46" s="582">
        <f>SUM(E42:E45)</f>
        <v>815191781.63999999</v>
      </c>
      <c r="F46" s="582">
        <f>SUM(F42:F45)</f>
        <v>194250000</v>
      </c>
      <c r="G46" s="334">
        <f>SUM(G42:G45)</f>
        <v>715956364.40999997</v>
      </c>
    </row>
    <row r="47" spans="1:10">
      <c r="A47" s="638"/>
      <c r="B47" s="652"/>
      <c r="C47" s="585"/>
      <c r="D47" s="522"/>
      <c r="E47" s="582"/>
      <c r="F47" s="582"/>
      <c r="G47" s="834"/>
    </row>
    <row r="48" spans="1:10">
      <c r="A48" s="638"/>
      <c r="B48" s="653" t="s">
        <v>1318</v>
      </c>
      <c r="C48" s="642"/>
      <c r="D48" s="516"/>
      <c r="E48" s="363"/>
      <c r="F48" s="363"/>
      <c r="G48" s="832"/>
    </row>
    <row r="49" spans="1:10">
      <c r="A49" s="638"/>
      <c r="B49" s="650" t="s">
        <v>1319</v>
      </c>
      <c r="C49" s="641" t="s">
        <v>1376</v>
      </c>
      <c r="D49" s="513">
        <v>163359081.71000001</v>
      </c>
      <c r="E49" s="363">
        <f>+'2SFP'!E48</f>
        <v>171166001.31999999</v>
      </c>
      <c r="F49" s="691">
        <f>E49-G49</f>
        <v>76156264.609999999</v>
      </c>
      <c r="G49" s="362">
        <v>95009736.709999993</v>
      </c>
    </row>
    <row r="50" spans="1:10">
      <c r="A50" s="638"/>
      <c r="B50" s="650" t="s">
        <v>243</v>
      </c>
      <c r="C50" s="641" t="s">
        <v>1377</v>
      </c>
      <c r="D50" s="513">
        <v>241749546.42909047</v>
      </c>
      <c r="E50" s="363">
        <f>+'2SFP'!E49</f>
        <v>96526009.099999994</v>
      </c>
      <c r="F50" s="691">
        <f>E50-G50</f>
        <v>23375684.059999987</v>
      </c>
      <c r="G50" s="362">
        <v>73150325.040000007</v>
      </c>
    </row>
    <row r="51" spans="1:10">
      <c r="A51" s="638"/>
      <c r="B51" s="650" t="s">
        <v>231</v>
      </c>
      <c r="C51" s="641" t="s">
        <v>1364</v>
      </c>
      <c r="D51" s="513">
        <v>475758700.34485161</v>
      </c>
      <c r="E51" s="363">
        <f>+'2SFP'!E50</f>
        <v>236623130.08000001</v>
      </c>
      <c r="F51" s="691">
        <f t="shared" ref="F51" si="3">E51-G51</f>
        <v>17066078.790000021</v>
      </c>
      <c r="G51" s="362">
        <v>219557051.28999999</v>
      </c>
    </row>
    <row r="52" spans="1:10">
      <c r="A52" s="638"/>
      <c r="B52" s="650" t="s">
        <v>230</v>
      </c>
      <c r="C52" s="641" t="s">
        <v>1365</v>
      </c>
      <c r="D52" s="516"/>
      <c r="E52" s="363">
        <f>+'2SFP'!E51</f>
        <v>270177894.37</v>
      </c>
      <c r="F52" s="363">
        <f>E52-G52</f>
        <v>190541421.38</v>
      </c>
      <c r="G52" s="832">
        <v>79636472.989999995</v>
      </c>
    </row>
    <row r="53" spans="1:10">
      <c r="A53" s="638"/>
      <c r="B53" s="651" t="s">
        <v>459</v>
      </c>
      <c r="C53" s="642"/>
      <c r="D53" s="522">
        <v>975066660.93394208</v>
      </c>
      <c r="E53" s="582">
        <f>SUM(E49:E52)</f>
        <v>774493034.87</v>
      </c>
      <c r="F53" s="582">
        <f>SUM(F49:F52)</f>
        <v>307139448.84000003</v>
      </c>
      <c r="G53" s="355">
        <f>SUM(G49:G52)</f>
        <v>467353586.02999997</v>
      </c>
      <c r="I53" s="250">
        <f>7+5+1+3</f>
        <v>16</v>
      </c>
      <c r="J53" s="487">
        <f>9+6-7-3</f>
        <v>5</v>
      </c>
    </row>
    <row r="54" spans="1:10">
      <c r="A54" s="638"/>
      <c r="B54" s="657"/>
      <c r="C54" s="642"/>
      <c r="D54" s="522"/>
      <c r="E54" s="582"/>
      <c r="F54" s="582"/>
      <c r="G54" s="355"/>
    </row>
    <row r="55" spans="1:10">
      <c r="A55" s="638"/>
      <c r="B55" s="651" t="s">
        <v>1320</v>
      </c>
      <c r="C55" s="585"/>
      <c r="D55" s="522">
        <v>1879550383.973942</v>
      </c>
      <c r="E55" s="582">
        <f>SUM(E53+E46)+E39</f>
        <v>1677318530.23</v>
      </c>
      <c r="F55" s="582">
        <f>SUM(F53+F46)+F39</f>
        <v>500857005.82000005</v>
      </c>
      <c r="G55" s="334">
        <f>G46+G53+G39</f>
        <v>1271476107.1800001</v>
      </c>
    </row>
    <row r="56" spans="1:10">
      <c r="A56" s="638"/>
      <c r="B56" s="572"/>
      <c r="C56" s="585"/>
      <c r="D56" s="522"/>
      <c r="E56" s="582"/>
      <c r="F56" s="582"/>
      <c r="G56" s="355"/>
    </row>
    <row r="57" spans="1:10">
      <c r="A57" s="639"/>
      <c r="B57" s="658" t="s">
        <v>460</v>
      </c>
      <c r="C57" s="644"/>
      <c r="D57" s="517">
        <v>5619151783.0558472</v>
      </c>
      <c r="E57" s="373">
        <f>E55+E37</f>
        <v>5480554477.5200005</v>
      </c>
      <c r="F57" s="373">
        <f>F55-F37</f>
        <v>79747606.670000434</v>
      </c>
      <c r="G57" s="334">
        <f>G55+G37</f>
        <v>5495821453.6199999</v>
      </c>
    </row>
    <row r="58" spans="1:10">
      <c r="A58" s="639"/>
      <c r="B58" s="835"/>
      <c r="C58" s="835"/>
      <c r="D58" s="835"/>
      <c r="E58" s="836"/>
      <c r="F58" s="836"/>
      <c r="G58" s="837"/>
    </row>
    <row r="59" spans="1:10">
      <c r="A59" s="826"/>
      <c r="B59" s="838"/>
      <c r="C59" s="838"/>
      <c r="D59" s="838"/>
      <c r="E59" s="839"/>
      <c r="F59" s="839"/>
      <c r="G59" s="840"/>
    </row>
    <row r="60" spans="1:10">
      <c r="A60" s="236" t="s">
        <v>1429</v>
      </c>
      <c r="B60" s="244" t="s">
        <v>1431</v>
      </c>
      <c r="C60" s="487"/>
      <c r="D60" s="487"/>
      <c r="E60" s="376"/>
      <c r="F60" s="376"/>
      <c r="G60" s="781"/>
    </row>
    <row r="61" spans="1:10">
      <c r="A61" s="236"/>
      <c r="B61" s="244"/>
      <c r="C61" s="487"/>
      <c r="D61" s="487"/>
      <c r="E61" s="376"/>
      <c r="F61" s="376"/>
      <c r="G61" s="829" t="s">
        <v>64</v>
      </c>
    </row>
    <row r="62" spans="1:10">
      <c r="A62" s="1498" t="s">
        <v>21</v>
      </c>
      <c r="B62" s="1498"/>
      <c r="C62" s="1493" t="s">
        <v>1321</v>
      </c>
      <c r="D62" s="1495" t="s">
        <v>1322</v>
      </c>
      <c r="E62" s="1497" t="s">
        <v>1323</v>
      </c>
      <c r="F62" s="1497"/>
      <c r="G62" s="1497"/>
      <c r="H62" s="497"/>
    </row>
    <row r="63" spans="1:10" ht="33">
      <c r="A63" s="1498"/>
      <c r="B63" s="1498"/>
      <c r="C63" s="1494"/>
      <c r="D63" s="1496"/>
      <c r="E63" s="223" t="s">
        <v>1324</v>
      </c>
      <c r="F63" s="223" t="s">
        <v>1325</v>
      </c>
      <c r="G63" s="223" t="s">
        <v>1326</v>
      </c>
      <c r="H63" s="498" t="s">
        <v>1327</v>
      </c>
    </row>
    <row r="64" spans="1:10">
      <c r="A64" s="638"/>
      <c r="B64" s="571" t="s">
        <v>1094</v>
      </c>
      <c r="C64" s="525"/>
      <c r="D64" s="506"/>
      <c r="E64" s="243"/>
      <c r="F64" s="694"/>
      <c r="G64" s="841"/>
      <c r="H64" s="499"/>
    </row>
    <row r="65" spans="1:9">
      <c r="A65" s="638"/>
      <c r="B65" s="581" t="s">
        <v>1096</v>
      </c>
      <c r="C65" s="525" t="s">
        <v>1366</v>
      </c>
      <c r="D65" s="526">
        <v>3456823404.3795891</v>
      </c>
      <c r="E65" s="695">
        <f>SUM(F65:G65)</f>
        <v>3039804838.4999995</v>
      </c>
      <c r="F65" s="695">
        <v>15557378</v>
      </c>
      <c r="G65" s="842">
        <v>3024247460.4999995</v>
      </c>
      <c r="H65" s="500" t="e">
        <f>'[5]10N_22-33'!E42+'[5]10N_22-33'!E54</f>
        <v>#REF!</v>
      </c>
      <c r="I65" s="496"/>
    </row>
    <row r="66" spans="1:9">
      <c r="A66" s="638"/>
      <c r="B66" s="581" t="s">
        <v>1457</v>
      </c>
      <c r="C66" s="525" t="s">
        <v>1367</v>
      </c>
      <c r="D66" s="526">
        <v>116914504.89636236</v>
      </c>
      <c r="E66" s="695">
        <v>135248243</v>
      </c>
      <c r="F66" s="695">
        <v>-14771020</v>
      </c>
      <c r="G66" s="842">
        <v>150019263.11000001</v>
      </c>
      <c r="H66" s="500" t="s">
        <v>1328</v>
      </c>
      <c r="I66" s="496"/>
    </row>
    <row r="67" spans="1:9">
      <c r="A67" s="638"/>
      <c r="B67" s="630" t="s">
        <v>1329</v>
      </c>
      <c r="C67" s="627" t="s">
        <v>1367</v>
      </c>
      <c r="D67" s="527"/>
      <c r="E67" s="695">
        <v>0</v>
      </c>
      <c r="F67" s="695">
        <f>-19819798</f>
        <v>-19819798</v>
      </c>
      <c r="G67" s="842">
        <v>19819798.859999999</v>
      </c>
      <c r="H67" s="500" t="s">
        <v>1328</v>
      </c>
      <c r="I67" s="496"/>
    </row>
    <row r="68" spans="1:9">
      <c r="A68" s="638"/>
      <c r="B68" s="631"/>
      <c r="C68" s="525"/>
      <c r="D68" s="528">
        <v>3573737909.2759514</v>
      </c>
      <c r="E68" s="696">
        <f>SUM(E65:E67)</f>
        <v>3175053081.4999995</v>
      </c>
      <c r="F68" s="696">
        <f>SUM(F65:F67)</f>
        <v>-19033440</v>
      </c>
      <c r="G68" s="843">
        <f>SUM(G65:G67)</f>
        <v>3194086522.4699998</v>
      </c>
      <c r="H68" s="501" t="e">
        <f>SUM(H65:H67)</f>
        <v>#REF!</v>
      </c>
      <c r="I68" s="496"/>
    </row>
    <row r="69" spans="1:9">
      <c r="A69" s="638"/>
      <c r="B69" s="570"/>
      <c r="C69" s="525"/>
      <c r="D69" s="529"/>
      <c r="E69" s="697"/>
      <c r="F69" s="697"/>
      <c r="G69" s="844"/>
      <c r="H69" s="502"/>
      <c r="I69" s="496"/>
    </row>
    <row r="70" spans="1:9">
      <c r="A70" s="638"/>
      <c r="B70" s="571" t="s">
        <v>1456</v>
      </c>
      <c r="C70" s="525"/>
      <c r="D70" s="526"/>
      <c r="E70" s="695"/>
      <c r="F70" s="695"/>
      <c r="G70" s="842"/>
      <c r="H70" s="503"/>
      <c r="I70" s="496"/>
    </row>
    <row r="71" spans="1:9">
      <c r="A71" s="638"/>
      <c r="B71" s="581" t="s">
        <v>1101</v>
      </c>
      <c r="C71" s="525" t="s">
        <v>1368</v>
      </c>
      <c r="D71" s="526">
        <v>563149712.08999979</v>
      </c>
      <c r="E71" s="695">
        <f t="shared" ref="E71:E76" si="4">SUM(F71:G71)</f>
        <v>495438293</v>
      </c>
      <c r="F71" s="695">
        <f>119906010+8024683+193866488+173641112</f>
        <v>495438293</v>
      </c>
      <c r="G71" s="842">
        <v>0</v>
      </c>
      <c r="H71" s="500" t="s">
        <v>1330</v>
      </c>
      <c r="I71" s="496"/>
    </row>
    <row r="72" spans="1:9">
      <c r="A72" s="638"/>
      <c r="B72" s="581" t="s">
        <v>1105</v>
      </c>
      <c r="C72" s="525" t="s">
        <v>1337</v>
      </c>
      <c r="D72" s="526">
        <v>13476389.920000285</v>
      </c>
      <c r="E72" s="695">
        <f t="shared" si="4"/>
        <v>44969988.469999999</v>
      </c>
      <c r="F72" s="695">
        <f>44969988.47</f>
        <v>44969988.469999999</v>
      </c>
      <c r="G72" s="842">
        <v>0</v>
      </c>
      <c r="H72" s="500" t="s">
        <v>1331</v>
      </c>
      <c r="I72" s="496"/>
    </row>
    <row r="73" spans="1:9">
      <c r="A73" s="638"/>
      <c r="B73" s="581" t="s">
        <v>1102</v>
      </c>
      <c r="C73" s="525" t="s">
        <v>1332</v>
      </c>
      <c r="D73" s="526">
        <v>325889675.2697795</v>
      </c>
      <c r="E73" s="695">
        <f t="shared" si="4"/>
        <v>316625054.13</v>
      </c>
      <c r="F73" s="695">
        <f>-[4]Regrouping!F10-[4]Regrouping!F13-[4]AE!F54+[4]AE!E41-[4]AE!E38</f>
        <v>-11803020.549999982</v>
      </c>
      <c r="G73" s="842">
        <v>328428074.68000001</v>
      </c>
      <c r="H73" s="500" t="s">
        <v>1333</v>
      </c>
      <c r="I73" s="496"/>
    </row>
    <row r="74" spans="1:9">
      <c r="A74" s="638"/>
      <c r="B74" s="581" t="s">
        <v>1103</v>
      </c>
      <c r="C74" s="525" t="s">
        <v>1335</v>
      </c>
      <c r="D74" s="526">
        <v>182487416.28</v>
      </c>
      <c r="E74" s="695">
        <f t="shared" si="4"/>
        <v>166818458.46000001</v>
      </c>
      <c r="F74" s="695">
        <v>166818458.46000001</v>
      </c>
      <c r="G74" s="842">
        <v>0</v>
      </c>
      <c r="I74" s="496"/>
    </row>
    <row r="75" spans="1:9">
      <c r="A75" s="638"/>
      <c r="B75" s="581" t="s">
        <v>1334</v>
      </c>
      <c r="C75" s="525" t="s">
        <v>1335</v>
      </c>
      <c r="D75" s="526"/>
      <c r="E75" s="695">
        <f t="shared" si="4"/>
        <v>0</v>
      </c>
      <c r="F75" s="695">
        <f>-166818458.46-140194233-37324189-[4]AE!F113-119906010-[4]Regrouping!F39-27.18</f>
        <v>-516284420.59000003</v>
      </c>
      <c r="G75" s="842">
        <v>516284420.58999991</v>
      </c>
      <c r="H75" s="500"/>
      <c r="I75" s="496"/>
    </row>
    <row r="76" spans="1:9">
      <c r="A76" s="638"/>
      <c r="B76" s="581" t="s">
        <v>1336</v>
      </c>
      <c r="C76" s="525" t="s">
        <v>1337</v>
      </c>
      <c r="D76" s="526" t="s">
        <v>93</v>
      </c>
      <c r="E76" s="695">
        <f t="shared" si="4"/>
        <v>0</v>
      </c>
      <c r="F76" s="695">
        <f>-44969988.47-8024683-6909943.91</f>
        <v>-59904615.379999995</v>
      </c>
      <c r="G76" s="842">
        <v>59904615.380000003</v>
      </c>
      <c r="H76" s="500" t="s">
        <v>1338</v>
      </c>
      <c r="I76" s="496"/>
    </row>
    <row r="77" spans="1:9">
      <c r="A77" s="638"/>
      <c r="B77" s="581" t="s">
        <v>1339</v>
      </c>
      <c r="C77" s="525" t="s">
        <v>1340</v>
      </c>
      <c r="D77" s="526"/>
      <c r="E77" s="695">
        <v>0</v>
      </c>
      <c r="F77" s="695">
        <f>-173641112-19541150</f>
        <v>-193182262</v>
      </c>
      <c r="G77" s="842">
        <v>193182263.19000003</v>
      </c>
      <c r="H77" s="500" t="s">
        <v>1341</v>
      </c>
      <c r="I77" s="496"/>
    </row>
    <row r="78" spans="1:9">
      <c r="A78" s="638"/>
      <c r="B78" s="581" t="s">
        <v>1342</v>
      </c>
      <c r="C78" s="525" t="s">
        <v>1343</v>
      </c>
      <c r="D78" s="526"/>
      <c r="E78" s="695">
        <f>SUM(F78:G78)</f>
        <v>0</v>
      </c>
      <c r="F78" s="695">
        <f>-193866488.52</f>
        <v>-193866488.52000001</v>
      </c>
      <c r="G78" s="842">
        <v>193866488.51999998</v>
      </c>
      <c r="H78" s="500" t="s">
        <v>1344</v>
      </c>
      <c r="I78" s="496"/>
    </row>
    <row r="79" spans="1:9">
      <c r="A79" s="638"/>
      <c r="B79" s="581" t="s">
        <v>1106</v>
      </c>
      <c r="C79" s="525"/>
      <c r="D79" s="526">
        <v>54242697.980000004</v>
      </c>
      <c r="E79" s="695">
        <f>SUM(F79:G79)</f>
        <v>38604314</v>
      </c>
      <c r="F79" s="695">
        <f>37324189+[4]Regrouping!E9+[4]Regrouping!E12</f>
        <v>38604314</v>
      </c>
      <c r="G79" s="842">
        <v>0</v>
      </c>
      <c r="H79" s="500" t="s">
        <v>1345</v>
      </c>
      <c r="I79" s="496"/>
    </row>
    <row r="80" spans="1:9">
      <c r="A80" s="638"/>
      <c r="B80" s="632" t="s">
        <v>1346</v>
      </c>
      <c r="C80" s="525" t="s">
        <v>1367</v>
      </c>
      <c r="D80" s="526"/>
      <c r="E80" s="695">
        <v>0</v>
      </c>
      <c r="F80" s="695">
        <v>-18138661</v>
      </c>
      <c r="G80" s="842">
        <v>18138661.109999999</v>
      </c>
      <c r="H80" s="500" t="s">
        <v>1347</v>
      </c>
      <c r="I80" s="496"/>
    </row>
    <row r="81" spans="1:9">
      <c r="A81" s="638"/>
      <c r="B81" s="581" t="s">
        <v>1104</v>
      </c>
      <c r="C81" s="525" t="s">
        <v>1369</v>
      </c>
      <c r="D81" s="526">
        <v>116230118.52000001</v>
      </c>
      <c r="E81" s="695">
        <v>165750573.25</v>
      </c>
      <c r="F81" s="695">
        <f>E81</f>
        <v>165750573.25</v>
      </c>
      <c r="G81" s="842">
        <v>0</v>
      </c>
      <c r="H81" s="500" t="s">
        <v>1348</v>
      </c>
      <c r="I81" s="496"/>
    </row>
    <row r="82" spans="1:9">
      <c r="A82" s="638"/>
      <c r="B82" s="581" t="s">
        <v>1107</v>
      </c>
      <c r="C82" s="525"/>
      <c r="D82" s="526">
        <v>952836073.99000001</v>
      </c>
      <c r="E82" s="698">
        <f>SUM(F82:G82)</f>
        <v>719666260</v>
      </c>
      <c r="F82" s="695">
        <f>[4]Regrouping!F39</f>
        <v>51800000</v>
      </c>
      <c r="G82" s="842">
        <v>667866260</v>
      </c>
      <c r="H82" s="500"/>
      <c r="I82" s="496"/>
    </row>
    <row r="83" spans="1:9">
      <c r="A83" s="638"/>
      <c r="B83" s="594"/>
      <c r="C83" s="524"/>
      <c r="D83" s="528">
        <v>1255476010.0597796</v>
      </c>
      <c r="E83" s="699">
        <f>SUM(E71:E82)</f>
        <v>1947872941.3099999</v>
      </c>
      <c r="F83" s="696">
        <f>SUM(F71:F81)</f>
        <v>-81597840.859999925</v>
      </c>
      <c r="G83" s="843">
        <f>SUM(G71:G81)</f>
        <v>1309804523.4699998</v>
      </c>
      <c r="H83" s="501">
        <f>SUM(H71:H81)</f>
        <v>0</v>
      </c>
      <c r="I83" s="496"/>
    </row>
    <row r="84" spans="1:9">
      <c r="A84" s="638"/>
      <c r="B84" s="594"/>
      <c r="C84" s="525"/>
      <c r="D84" s="529"/>
      <c r="E84" s="700"/>
      <c r="F84" s="697"/>
      <c r="G84" s="844"/>
      <c r="H84" s="503"/>
      <c r="I84" s="496"/>
    </row>
    <row r="85" spans="1:9">
      <c r="A85" s="638"/>
      <c r="B85" s="633" t="s">
        <v>463</v>
      </c>
      <c r="C85" s="524"/>
      <c r="D85" s="528" t="e">
        <f>#REF!-#REF!</f>
        <v>#REF!</v>
      </c>
      <c r="E85" s="699">
        <f>E83</f>
        <v>1947872941.3099999</v>
      </c>
      <c r="F85" s="696">
        <f>F83</f>
        <v>-81597840.859999925</v>
      </c>
      <c r="G85" s="843">
        <f>G83</f>
        <v>1309804523.4699998</v>
      </c>
      <c r="H85" s="501" t="e">
        <f>#REF!-#REF!</f>
        <v>#REF!</v>
      </c>
      <c r="I85" s="496"/>
    </row>
    <row r="86" spans="1:9">
      <c r="A86" s="638"/>
      <c r="B86" s="633" t="s">
        <v>522</v>
      </c>
      <c r="C86" s="525"/>
      <c r="D86" s="526"/>
      <c r="E86" s="695"/>
      <c r="F86" s="695"/>
      <c r="G86" s="842"/>
      <c r="H86" s="500"/>
      <c r="I86" s="496"/>
    </row>
    <row r="87" spans="1:9">
      <c r="A87" s="638"/>
      <c r="B87" s="581" t="s">
        <v>1109</v>
      </c>
      <c r="C87" s="525"/>
      <c r="D87" s="526">
        <v>10737614.48</v>
      </c>
      <c r="E87" s="695">
        <f>SUM(F87:G87)</f>
        <v>0</v>
      </c>
      <c r="F87" s="695"/>
      <c r="G87" s="842">
        <v>0</v>
      </c>
      <c r="H87" s="500"/>
      <c r="I87" s="496"/>
    </row>
    <row r="88" spans="1:9">
      <c r="A88" s="638"/>
      <c r="B88" s="581" t="s">
        <v>524</v>
      </c>
      <c r="C88" s="628" t="s">
        <v>93</v>
      </c>
      <c r="D88" s="526">
        <v>444274878.84485161</v>
      </c>
      <c r="E88" s="695">
        <f>SUM(F88:G88)</f>
        <v>403952707.54000002</v>
      </c>
      <c r="F88" s="695">
        <v>0</v>
      </c>
      <c r="G88" s="842">
        <v>403952707.54000002</v>
      </c>
      <c r="H88" s="500"/>
      <c r="I88" s="496"/>
    </row>
    <row r="89" spans="1:9">
      <c r="A89" s="638"/>
      <c r="B89" s="581" t="s">
        <v>523</v>
      </c>
      <c r="C89" s="525"/>
      <c r="D89" s="530"/>
      <c r="E89" s="695">
        <f>SUM(F89:G89)</f>
        <v>-16443370.33</v>
      </c>
      <c r="F89" s="701">
        <v>0</v>
      </c>
      <c r="G89" s="845">
        <v>-16443370.33</v>
      </c>
      <c r="H89" s="504"/>
      <c r="I89" s="496"/>
    </row>
    <row r="90" spans="1:9">
      <c r="A90" s="638"/>
      <c r="B90" s="571" t="s">
        <v>468</v>
      </c>
      <c r="C90" s="525"/>
      <c r="D90" s="531">
        <v>455012493.32485163</v>
      </c>
      <c r="E90" s="702">
        <f>SUM(E88:E89)</f>
        <v>387509337.21000004</v>
      </c>
      <c r="F90" s="702">
        <f>SUM(F88:F89)</f>
        <v>0</v>
      </c>
      <c r="G90" s="354">
        <f>SUM(G88:G89)</f>
        <v>387509337.21000004</v>
      </c>
      <c r="H90" s="501">
        <f>SUM(H87:H89)</f>
        <v>0</v>
      </c>
      <c r="I90" s="496"/>
    </row>
    <row r="91" spans="1:9">
      <c r="A91" s="638"/>
      <c r="B91" s="634"/>
      <c r="C91" s="525"/>
      <c r="D91" s="532"/>
      <c r="E91" s="323"/>
      <c r="F91" s="323"/>
      <c r="G91" s="303"/>
      <c r="H91" s="500"/>
      <c r="I91" s="496"/>
    </row>
    <row r="92" spans="1:9">
      <c r="A92" s="638"/>
      <c r="B92" s="633" t="s">
        <v>464</v>
      </c>
      <c r="C92" s="594"/>
      <c r="D92" s="531">
        <v>910413331.9013201</v>
      </c>
      <c r="E92" s="702">
        <f>E85-E90</f>
        <v>1560363604.0999999</v>
      </c>
      <c r="F92" s="702">
        <f>F85-F90</f>
        <v>-81597840.859999925</v>
      </c>
      <c r="G92" s="354">
        <f>G85-G90</f>
        <v>922295186.25999975</v>
      </c>
      <c r="H92" s="501" t="e">
        <f>H85-H90</f>
        <v>#REF!</v>
      </c>
      <c r="I92" s="496"/>
    </row>
    <row r="93" spans="1:9">
      <c r="A93" s="638"/>
      <c r="B93" s="635"/>
      <c r="C93" s="594"/>
      <c r="D93" s="532"/>
      <c r="E93" s="323"/>
      <c r="F93" s="323"/>
      <c r="G93" s="303"/>
      <c r="H93" s="500"/>
      <c r="I93" s="496"/>
    </row>
    <row r="94" spans="1:9">
      <c r="A94" s="638"/>
      <c r="B94" s="636" t="s">
        <v>465</v>
      </c>
      <c r="C94" s="525"/>
      <c r="D94" s="526"/>
      <c r="E94" s="695"/>
      <c r="F94" s="695"/>
      <c r="G94" s="842"/>
      <c r="H94" s="500"/>
      <c r="I94" s="496"/>
    </row>
    <row r="95" spans="1:9">
      <c r="A95" s="638"/>
      <c r="B95" s="637" t="s">
        <v>77</v>
      </c>
      <c r="C95" s="525"/>
      <c r="D95" s="526">
        <v>20624316</v>
      </c>
      <c r="E95" s="695">
        <f>SUM(F95:G95)</f>
        <v>46380</v>
      </c>
      <c r="F95" s="695">
        <v>0</v>
      </c>
      <c r="G95" s="842">
        <v>46380</v>
      </c>
      <c r="H95" s="500" t="e">
        <f>'[5]10N_22-33'!E257</f>
        <v>#REF!</v>
      </c>
      <c r="I95" s="496"/>
    </row>
    <row r="96" spans="1:9" ht="30">
      <c r="A96" s="638"/>
      <c r="B96" s="637" t="s">
        <v>569</v>
      </c>
      <c r="C96" s="525"/>
      <c r="D96" s="526"/>
      <c r="E96" s="695">
        <f>SUM(F96:G96)</f>
        <v>0</v>
      </c>
      <c r="F96" s="695">
        <v>0</v>
      </c>
      <c r="G96" s="842"/>
      <c r="H96" s="500"/>
      <c r="I96" s="496"/>
    </row>
    <row r="97" spans="1:9">
      <c r="A97" s="638"/>
      <c r="B97" s="637" t="s">
        <v>525</v>
      </c>
      <c r="C97" s="525"/>
      <c r="D97" s="532">
        <v>20624316</v>
      </c>
      <c r="E97" s="695">
        <f>SUM(F97:G97)</f>
        <v>46380</v>
      </c>
      <c r="F97" s="323">
        <v>0</v>
      </c>
      <c r="G97" s="303">
        <v>46380</v>
      </c>
      <c r="H97" s="500" t="e">
        <f>H95-H96</f>
        <v>#REF!</v>
      </c>
      <c r="I97" s="496"/>
    </row>
    <row r="98" spans="1:9">
      <c r="A98" s="639"/>
      <c r="B98" s="640" t="s">
        <v>466</v>
      </c>
      <c r="C98" s="629"/>
      <c r="D98" s="528">
        <v>889789015.9013201</v>
      </c>
      <c r="E98" s="699">
        <f>E92-E97</f>
        <v>1560317224.0999999</v>
      </c>
      <c r="F98" s="696">
        <f>F92-F97</f>
        <v>-81597840.859999925</v>
      </c>
      <c r="G98" s="843">
        <f>G92-G97</f>
        <v>922248806.25999975</v>
      </c>
      <c r="H98" s="501" t="e">
        <f>H92-H97</f>
        <v>#REF!</v>
      </c>
      <c r="I98" s="496"/>
    </row>
    <row r="99" spans="1:9">
      <c r="A99" s="638"/>
      <c r="B99" s="487"/>
      <c r="C99" s="487"/>
      <c r="D99" s="487"/>
      <c r="E99" s="487"/>
      <c r="F99" s="487"/>
      <c r="G99" s="846"/>
    </row>
    <row r="100" spans="1:9">
      <c r="A100" s="847" t="s">
        <v>1321</v>
      </c>
      <c r="B100" s="626"/>
      <c r="C100" s="376"/>
      <c r="D100" s="376"/>
      <c r="E100" s="376"/>
      <c r="F100" s="376"/>
      <c r="G100" s="781"/>
      <c r="H100" s="250"/>
    </row>
    <row r="101" spans="1:9" s="494" customFormat="1" ht="42" customHeight="1">
      <c r="A101" s="848" t="s">
        <v>1349</v>
      </c>
      <c r="B101" s="1490" t="s">
        <v>1350</v>
      </c>
      <c r="C101" s="1490"/>
      <c r="D101" s="1490"/>
      <c r="E101" s="1490"/>
      <c r="F101" s="1490"/>
      <c r="G101" s="1491"/>
      <c r="H101" s="505"/>
      <c r="I101" s="505"/>
    </row>
    <row r="102" spans="1:9" ht="75" customHeight="1">
      <c r="A102" s="849" t="s">
        <v>1351</v>
      </c>
      <c r="B102" s="1490" t="s">
        <v>1458</v>
      </c>
      <c r="C102" s="1490"/>
      <c r="D102" s="1490"/>
      <c r="E102" s="1490"/>
      <c r="F102" s="1490"/>
      <c r="G102" s="1491"/>
      <c r="H102" s="250"/>
    </row>
    <row r="103" spans="1:9" ht="45.75" customHeight="1">
      <c r="A103" s="849" t="s">
        <v>1352</v>
      </c>
      <c r="B103" s="1488" t="s">
        <v>1353</v>
      </c>
      <c r="C103" s="1488"/>
      <c r="D103" s="1488"/>
      <c r="E103" s="1488"/>
      <c r="F103" s="1488"/>
      <c r="G103" s="1489"/>
      <c r="H103" s="250"/>
    </row>
    <row r="104" spans="1:9" ht="48" customHeight="1">
      <c r="A104" s="849" t="s">
        <v>1354</v>
      </c>
      <c r="B104" s="1488" t="s">
        <v>1355</v>
      </c>
      <c r="C104" s="1488"/>
      <c r="D104" s="1488"/>
      <c r="E104" s="1488"/>
      <c r="F104" s="1488"/>
      <c r="G104" s="1489"/>
      <c r="H104" s="250"/>
    </row>
    <row r="105" spans="1:9" ht="44.25" customHeight="1">
      <c r="A105" s="849" t="s">
        <v>1356</v>
      </c>
      <c r="B105" s="1492" t="s">
        <v>1459</v>
      </c>
      <c r="C105" s="1492"/>
      <c r="D105" s="1492"/>
      <c r="E105" s="1492"/>
      <c r="F105" s="1492"/>
      <c r="G105" s="1492"/>
      <c r="H105" s="250"/>
    </row>
    <row r="106" spans="1:9" ht="41.25" customHeight="1">
      <c r="A106" s="849" t="s">
        <v>1357</v>
      </c>
      <c r="B106" s="1488" t="s">
        <v>1358</v>
      </c>
      <c r="C106" s="1488"/>
      <c r="D106" s="1488"/>
      <c r="E106" s="1488"/>
      <c r="F106" s="1488"/>
      <c r="G106" s="1489"/>
      <c r="H106" s="250"/>
    </row>
    <row r="107" spans="1:9" ht="45.75" customHeight="1">
      <c r="A107" s="849" t="s">
        <v>1359</v>
      </c>
      <c r="B107" s="1488" t="s">
        <v>1460</v>
      </c>
      <c r="C107" s="1488"/>
      <c r="D107" s="1488"/>
      <c r="E107" s="1488"/>
      <c r="F107" s="1488"/>
      <c r="G107" s="1489"/>
      <c r="H107" s="250"/>
    </row>
    <row r="108" spans="1:9" ht="33.75" customHeight="1">
      <c r="A108" s="849" t="s">
        <v>1360</v>
      </c>
      <c r="B108" s="1488" t="s">
        <v>1361</v>
      </c>
      <c r="C108" s="1488"/>
      <c r="D108" s="1488"/>
      <c r="E108" s="1488"/>
      <c r="F108" s="1488"/>
      <c r="G108" s="1489"/>
      <c r="H108" s="250"/>
    </row>
    <row r="109" spans="1:9" ht="32.25" customHeight="1">
      <c r="A109" s="849" t="s">
        <v>1362</v>
      </c>
      <c r="B109" s="1488" t="s">
        <v>1363</v>
      </c>
      <c r="C109" s="1488"/>
      <c r="D109" s="1488"/>
      <c r="E109" s="1488"/>
      <c r="F109" s="1488"/>
      <c r="G109" s="1489"/>
      <c r="H109" s="250"/>
    </row>
    <row r="110" spans="1:9">
      <c r="A110" s="849" t="s">
        <v>1370</v>
      </c>
      <c r="B110" s="1492" t="s">
        <v>1461</v>
      </c>
      <c r="C110" s="1492"/>
      <c r="D110" s="1492"/>
      <c r="E110" s="1492"/>
      <c r="F110" s="1492"/>
      <c r="G110" s="1492"/>
    </row>
    <row r="111" spans="1:9">
      <c r="A111" s="849" t="s">
        <v>1371</v>
      </c>
      <c r="B111" s="1488" t="s">
        <v>1462</v>
      </c>
      <c r="C111" s="1488"/>
      <c r="D111" s="1488"/>
      <c r="E111" s="1488"/>
      <c r="F111" s="1488"/>
      <c r="G111" s="1489"/>
    </row>
    <row r="112" spans="1:9">
      <c r="A112" s="638" t="s">
        <v>1372</v>
      </c>
      <c r="B112" s="1488" t="s">
        <v>1463</v>
      </c>
      <c r="C112" s="1488"/>
      <c r="D112" s="1488"/>
      <c r="E112" s="1488"/>
      <c r="F112" s="1488"/>
      <c r="G112" s="1489"/>
    </row>
    <row r="113" spans="1:7">
      <c r="A113" s="638" t="s">
        <v>1373</v>
      </c>
      <c r="B113" s="1488" t="s">
        <v>1374</v>
      </c>
      <c r="C113" s="1488"/>
      <c r="D113" s="1488"/>
      <c r="E113" s="1488"/>
      <c r="F113" s="1488"/>
      <c r="G113" s="1489"/>
    </row>
    <row r="114" spans="1:7">
      <c r="A114" s="639" t="s">
        <v>1375</v>
      </c>
      <c r="B114" s="1499" t="s">
        <v>1464</v>
      </c>
      <c r="C114" s="1499"/>
      <c r="D114" s="1499"/>
      <c r="E114" s="1499"/>
      <c r="F114" s="1499"/>
      <c r="G114" s="1500"/>
    </row>
    <row r="115" spans="1:7">
      <c r="B115" s="1501"/>
      <c r="C115" s="1501"/>
      <c r="D115" s="1501"/>
      <c r="E115" s="1501"/>
      <c r="F115" s="1501"/>
      <c r="G115" s="1501"/>
    </row>
    <row r="116" spans="1:7">
      <c r="B116" s="1488"/>
      <c r="C116" s="1488"/>
      <c r="D116" s="1488"/>
      <c r="E116" s="1488"/>
      <c r="F116" s="1488"/>
      <c r="G116" s="1488"/>
    </row>
    <row r="117" spans="1:7">
      <c r="B117" s="1488"/>
      <c r="C117" s="1488"/>
      <c r="D117" s="1488"/>
      <c r="E117" s="1488"/>
      <c r="F117" s="1488"/>
      <c r="G117" s="1488"/>
    </row>
    <row r="118" spans="1:7">
      <c r="B118" s="1488"/>
      <c r="C118" s="1488"/>
      <c r="D118" s="1488"/>
      <c r="E118" s="1488"/>
      <c r="F118" s="1488"/>
      <c r="G118" s="1488"/>
    </row>
    <row r="119" spans="1:7">
      <c r="B119" s="1488"/>
      <c r="C119" s="1488"/>
      <c r="D119" s="1488"/>
      <c r="E119" s="1488"/>
      <c r="F119" s="1488"/>
      <c r="G119" s="1488"/>
    </row>
    <row r="120" spans="1:7">
      <c r="B120" s="1492"/>
      <c r="C120" s="1492"/>
      <c r="D120" s="1492"/>
      <c r="E120" s="1492"/>
      <c r="F120" s="1492"/>
      <c r="G120" s="1492"/>
    </row>
    <row r="121" spans="1:7">
      <c r="B121" s="1488"/>
      <c r="C121" s="1488"/>
      <c r="D121" s="1488"/>
      <c r="E121" s="1488"/>
      <c r="F121" s="1488"/>
      <c r="G121" s="1488"/>
    </row>
    <row r="122" spans="1:7">
      <c r="B122" s="1488"/>
      <c r="C122" s="1488"/>
      <c r="D122" s="1488"/>
      <c r="E122" s="1488"/>
      <c r="F122" s="1488"/>
      <c r="G122" s="1488"/>
    </row>
    <row r="123" spans="1:7">
      <c r="B123" s="1488"/>
      <c r="C123" s="1488"/>
      <c r="D123" s="1488"/>
      <c r="E123" s="1488"/>
      <c r="F123" s="1488"/>
      <c r="G123" s="1488"/>
    </row>
    <row r="124" spans="1:7">
      <c r="B124" s="1502"/>
      <c r="C124" s="1502"/>
      <c r="D124" s="1502"/>
      <c r="E124" s="1502"/>
      <c r="F124" s="1502"/>
      <c r="G124" s="1502"/>
    </row>
    <row r="125" spans="1:7">
      <c r="B125" s="1503"/>
      <c r="C125" s="1503"/>
      <c r="D125" s="1503"/>
      <c r="E125" s="1503"/>
      <c r="F125" s="1503"/>
      <c r="G125" s="1503"/>
    </row>
    <row r="126" spans="1:7">
      <c r="B126" s="1502"/>
      <c r="C126" s="1502"/>
      <c r="D126" s="1502"/>
      <c r="E126" s="1502"/>
      <c r="F126" s="1502"/>
      <c r="G126" s="1502"/>
    </row>
    <row r="127" spans="1:7">
      <c r="B127" s="1502"/>
      <c r="C127" s="1502"/>
      <c r="D127" s="1502"/>
      <c r="E127" s="1502"/>
      <c r="F127" s="1502"/>
      <c r="G127" s="1502"/>
    </row>
    <row r="128" spans="1:7">
      <c r="B128" s="1502"/>
      <c r="C128" s="1502"/>
      <c r="D128" s="1502"/>
      <c r="E128" s="1502"/>
      <c r="F128" s="1502"/>
      <c r="G128" s="1502"/>
    </row>
    <row r="129" spans="2:7">
      <c r="B129" s="1502"/>
      <c r="C129" s="1502"/>
      <c r="D129" s="1502"/>
      <c r="E129" s="1502"/>
      <c r="F129" s="1502"/>
      <c r="G129" s="1502"/>
    </row>
    <row r="130" spans="2:7">
      <c r="B130" s="1503"/>
      <c r="C130" s="1503"/>
      <c r="D130" s="1503"/>
      <c r="E130" s="1503"/>
      <c r="F130" s="1503"/>
      <c r="G130" s="1503"/>
    </row>
    <row r="131" spans="2:7">
      <c r="B131" s="1502"/>
      <c r="C131" s="1502"/>
      <c r="D131" s="1502"/>
      <c r="E131" s="1502"/>
      <c r="F131" s="1502"/>
      <c r="G131" s="1502"/>
    </row>
    <row r="132" spans="2:7">
      <c r="B132" s="1502"/>
      <c r="C132" s="1502"/>
      <c r="D132" s="1502"/>
      <c r="E132" s="1502"/>
      <c r="F132" s="1502"/>
      <c r="G132" s="1502"/>
    </row>
    <row r="133" spans="2:7">
      <c r="B133" s="1502"/>
      <c r="C133" s="1502"/>
      <c r="D133" s="1502"/>
      <c r="E133" s="1502"/>
      <c r="F133" s="1502"/>
      <c r="G133" s="1502"/>
    </row>
  </sheetData>
  <mergeCells count="40">
    <mergeCell ref="B130:G130"/>
    <mergeCell ref="B131:G131"/>
    <mergeCell ref="B132:G132"/>
    <mergeCell ref="B133:G133"/>
    <mergeCell ref="B125:G125"/>
    <mergeCell ref="B126:G126"/>
    <mergeCell ref="B127:G127"/>
    <mergeCell ref="B128:G128"/>
    <mergeCell ref="B129:G129"/>
    <mergeCell ref="B120:G120"/>
    <mergeCell ref="B121:G121"/>
    <mergeCell ref="B122:G122"/>
    <mergeCell ref="B123:G123"/>
    <mergeCell ref="B124:G124"/>
    <mergeCell ref="B115:G115"/>
    <mergeCell ref="B116:G116"/>
    <mergeCell ref="B117:G117"/>
    <mergeCell ref="B118:G118"/>
    <mergeCell ref="B119:G119"/>
    <mergeCell ref="B110:G110"/>
    <mergeCell ref="B111:G111"/>
    <mergeCell ref="B112:G112"/>
    <mergeCell ref="B113:G113"/>
    <mergeCell ref="B114:G114"/>
    <mergeCell ref="C62:C63"/>
    <mergeCell ref="D62:D63"/>
    <mergeCell ref="E62:G62"/>
    <mergeCell ref="B1:F1"/>
    <mergeCell ref="B2:F2"/>
    <mergeCell ref="A62:B63"/>
    <mergeCell ref="A8:B8"/>
    <mergeCell ref="B107:G107"/>
    <mergeCell ref="B108:G108"/>
    <mergeCell ref="B109:G109"/>
    <mergeCell ref="B101:G101"/>
    <mergeCell ref="B102:G102"/>
    <mergeCell ref="B103:G103"/>
    <mergeCell ref="B104:G104"/>
    <mergeCell ref="B105:G105"/>
    <mergeCell ref="B106:G106"/>
  </mergeCells>
  <pageMargins left="0.78740157480314965" right="0" top="7.874015748031496E-2" bottom="0.74803149606299213" header="0.31496062992125984" footer="0.31496062992125984"/>
  <pageSetup paperSize="9" scale="63" orientation="portrait" r:id="rId1"/>
  <rowBreaks count="1" manualBreakCount="1">
    <brk id="58" max="6" man="1"/>
  </rowBreaks>
</worksheet>
</file>

<file path=xl/worksheets/sheet17.xml><?xml version="1.0" encoding="utf-8"?>
<worksheet xmlns="http://schemas.openxmlformats.org/spreadsheetml/2006/main" xmlns:r="http://schemas.openxmlformats.org/officeDocument/2006/relationships">
  <sheetPr enableFormatConditionsCalculation="0">
    <tabColor rgb="FF00B050"/>
    <pageSetUpPr fitToPage="1"/>
  </sheetPr>
  <dimension ref="B1:P72"/>
  <sheetViews>
    <sheetView showGridLines="0" topLeftCell="A8" zoomScaleSheetLayoutView="80" workbookViewId="0">
      <selection activeCell="F38" sqref="F38:F49"/>
    </sheetView>
  </sheetViews>
  <sheetFormatPr defaultColWidth="9.140625" defaultRowHeight="16.5"/>
  <cols>
    <col min="1" max="5" width="2.85546875" style="1" customWidth="1"/>
    <col min="6" max="6" width="64" style="487" bestFit="1" customWidth="1"/>
    <col min="7" max="7" width="15.42578125" style="489" customWidth="1"/>
    <col min="8" max="9" width="16.42578125" style="489" customWidth="1"/>
    <col min="10" max="10" width="8.85546875" style="106" bestFit="1" customWidth="1"/>
    <col min="11" max="11" width="66.42578125" style="106" bestFit="1" customWidth="1"/>
    <col min="12" max="12" width="23.28515625" style="10" bestFit="1" customWidth="1"/>
    <col min="13" max="13" width="3" style="1" bestFit="1" customWidth="1"/>
    <col min="14" max="16384" width="9.140625" style="1"/>
  </cols>
  <sheetData>
    <row r="1" spans="2:16" ht="15.75">
      <c r="B1" s="913"/>
      <c r="C1" s="927"/>
      <c r="D1" s="927"/>
      <c r="E1" s="927"/>
      <c r="F1" s="1504" t="s">
        <v>0</v>
      </c>
      <c r="G1" s="1504"/>
      <c r="H1" s="1504"/>
      <c r="I1" s="850"/>
      <c r="J1" s="105"/>
      <c r="K1" s="105"/>
    </row>
    <row r="2" spans="2:16" ht="15.75" hidden="1">
      <c r="B2" s="914"/>
      <c r="F2" s="1367" t="s">
        <v>4</v>
      </c>
      <c r="G2" s="1367"/>
      <c r="H2" s="1367"/>
      <c r="I2" s="851"/>
      <c r="J2" s="105"/>
      <c r="K2" s="105"/>
      <c r="L2" s="43"/>
    </row>
    <row r="3" spans="2:16" ht="15.75">
      <c r="B3" s="914"/>
      <c r="F3" s="1334" t="s">
        <v>1060</v>
      </c>
      <c r="G3" s="1334"/>
      <c r="H3" s="1334"/>
      <c r="I3" s="852"/>
      <c r="J3" s="105"/>
    </row>
    <row r="4" spans="2:16" ht="15.75">
      <c r="B4" s="914"/>
      <c r="F4" s="542"/>
      <c r="G4" s="542"/>
      <c r="H4" s="542"/>
      <c r="I4" s="852"/>
      <c r="J4" s="105"/>
    </row>
    <row r="5" spans="2:16" ht="15.75">
      <c r="B5" s="914"/>
      <c r="F5" s="916" t="s">
        <v>21</v>
      </c>
      <c r="G5" s="539">
        <v>2018</v>
      </c>
      <c r="H5" s="539">
        <v>2017</v>
      </c>
      <c r="I5" s="853"/>
      <c r="J5" s="105"/>
    </row>
    <row r="6" spans="2:16">
      <c r="B6" s="914"/>
      <c r="F6" s="920" t="s">
        <v>5</v>
      </c>
      <c r="G6" s="703"/>
      <c r="H6" s="704"/>
      <c r="I6" s="643"/>
      <c r="K6" s="106" t="s">
        <v>185</v>
      </c>
      <c r="L6" s="76"/>
    </row>
    <row r="7" spans="2:16">
      <c r="B7" s="914"/>
      <c r="F7" s="779" t="s">
        <v>57</v>
      </c>
      <c r="G7" s="705" t="str">
        <f>J7 &amp;":"&amp;1</f>
        <v>1.99:1</v>
      </c>
      <c r="H7" s="239" t="s">
        <v>547</v>
      </c>
      <c r="I7" s="643"/>
      <c r="J7" s="197">
        <f>TRUNC(SUM('2SFP'!D25/'2SFP'!D52),2)</f>
        <v>1.99</v>
      </c>
      <c r="K7" s="107" t="s">
        <v>186</v>
      </c>
      <c r="L7" s="77"/>
      <c r="M7" s="4" t="s">
        <v>93</v>
      </c>
      <c r="N7" s="4" t="s">
        <v>93</v>
      </c>
      <c r="O7" s="4" t="s">
        <v>93</v>
      </c>
      <c r="P7" s="4"/>
    </row>
    <row r="8" spans="2:16">
      <c r="B8" s="914"/>
      <c r="F8" s="779" t="s">
        <v>47</v>
      </c>
      <c r="G8" s="705" t="str">
        <f>J8 &amp;":"&amp;1</f>
        <v>1.84:1</v>
      </c>
      <c r="H8" s="239" t="s">
        <v>548</v>
      </c>
      <c r="I8" s="643"/>
      <c r="J8" s="197">
        <f>TRUNC(SUM('2SFP'!D25-'2SFP'!D18)/'2SFP'!D52,2)</f>
        <v>1.84</v>
      </c>
      <c r="K8" s="107" t="s">
        <v>187</v>
      </c>
      <c r="L8" s="77"/>
      <c r="M8" s="4" t="s">
        <v>93</v>
      </c>
      <c r="N8" s="4" t="s">
        <v>93</v>
      </c>
      <c r="O8" s="4" t="s">
        <v>93</v>
      </c>
      <c r="P8" s="4"/>
    </row>
    <row r="9" spans="2:16" ht="16.5" customHeight="1">
      <c r="B9" s="914"/>
      <c r="F9" s="921" t="s">
        <v>6</v>
      </c>
      <c r="G9" s="705"/>
      <c r="H9" s="239"/>
      <c r="I9" s="643"/>
      <c r="J9" s="10"/>
      <c r="K9" s="10"/>
      <c r="M9" s="4"/>
      <c r="N9" s="4"/>
      <c r="O9" s="4"/>
      <c r="P9" s="4"/>
    </row>
    <row r="10" spans="2:16">
      <c r="B10" s="914"/>
      <c r="F10" s="922" t="s">
        <v>48</v>
      </c>
      <c r="G10" s="706" t="s">
        <v>1272</v>
      </c>
      <c r="H10" s="239" t="s">
        <v>530</v>
      </c>
      <c r="I10" s="643"/>
      <c r="J10" s="200">
        <f>TRUNC(365/(L10/(AVERAGE('7N_3-12'!C68+'7N_3-12'!C70,'7N_3-12'!D68+'7N_3-12'!D70))),3)</f>
        <v>39.74</v>
      </c>
      <c r="K10" s="107" t="s">
        <v>528</v>
      </c>
      <c r="L10" s="196">
        <v>1277412973.9000001</v>
      </c>
      <c r="M10" s="4" t="s">
        <v>93</v>
      </c>
      <c r="N10" s="4" t="s">
        <v>93</v>
      </c>
      <c r="O10" s="4" t="s">
        <v>93</v>
      </c>
      <c r="P10" s="4"/>
    </row>
    <row r="11" spans="2:16">
      <c r="B11" s="914"/>
      <c r="F11" s="923" t="s">
        <v>501</v>
      </c>
      <c r="G11" s="705"/>
      <c r="H11" s="239"/>
      <c r="I11" s="643"/>
      <c r="J11" s="10"/>
      <c r="K11" s="10"/>
      <c r="M11" s="4"/>
      <c r="N11" s="4"/>
      <c r="O11" s="4"/>
      <c r="P11" s="4"/>
    </row>
    <row r="12" spans="2:16">
      <c r="B12" s="914"/>
      <c r="F12" s="779" t="s">
        <v>49</v>
      </c>
      <c r="G12" s="707">
        <f>J12</f>
        <v>0.65353110997330344</v>
      </c>
      <c r="H12" s="708">
        <v>8.9043963437925276E-3</v>
      </c>
      <c r="I12" s="854"/>
      <c r="J12" s="198">
        <f>(AVERAGE('2SFP'!D25,'2SFP'!E25)-AVERAGE('2SFP'!D52,'2SFP'!E52))/('3SOCI'!D6)</f>
        <v>0.65353110997330344</v>
      </c>
      <c r="K12" s="10" t="s">
        <v>1268</v>
      </c>
      <c r="M12" s="78"/>
      <c r="N12" s="78"/>
      <c r="O12" s="78"/>
      <c r="P12" s="4"/>
    </row>
    <row r="13" spans="2:16">
      <c r="B13" s="914"/>
      <c r="F13" s="923" t="s">
        <v>529</v>
      </c>
      <c r="G13" s="705"/>
      <c r="H13" s="239"/>
      <c r="I13" s="643"/>
      <c r="J13" s="110"/>
      <c r="K13" s="10"/>
      <c r="M13" s="4"/>
      <c r="N13" s="4"/>
      <c r="O13" s="4"/>
      <c r="P13" s="4"/>
    </row>
    <row r="14" spans="2:16">
      <c r="B14" s="914"/>
      <c r="F14" s="240" t="s">
        <v>7</v>
      </c>
      <c r="G14" s="705"/>
      <c r="H14" s="239"/>
      <c r="I14" s="643"/>
      <c r="J14" s="10"/>
      <c r="K14" s="10"/>
      <c r="M14" s="4"/>
      <c r="N14" s="4"/>
      <c r="O14" s="4"/>
      <c r="P14" s="4"/>
    </row>
    <row r="15" spans="2:16">
      <c r="B15" s="914"/>
      <c r="F15" s="779" t="s">
        <v>50</v>
      </c>
      <c r="G15" s="709" t="str">
        <f>J15 &amp;"%"</f>
        <v>14.5%</v>
      </c>
      <c r="H15" s="708" t="s">
        <v>549</v>
      </c>
      <c r="I15" s="854"/>
      <c r="J15" s="197">
        <f>TRUNC('2SFP'!D40/SUM('2SFP'!D7:D9)*100,2)</f>
        <v>14.5</v>
      </c>
      <c r="K15" s="10" t="s">
        <v>188</v>
      </c>
      <c r="M15" s="4"/>
      <c r="N15" s="4"/>
      <c r="O15" s="4"/>
      <c r="P15" s="4"/>
    </row>
    <row r="16" spans="2:16">
      <c r="B16" s="914"/>
      <c r="F16" s="924" t="s">
        <v>8</v>
      </c>
      <c r="G16" s="705"/>
      <c r="H16" s="239"/>
      <c r="I16" s="643"/>
      <c r="J16" s="10"/>
      <c r="K16" s="10"/>
      <c r="M16" s="4"/>
      <c r="N16" s="4"/>
      <c r="O16" s="4"/>
      <c r="P16" s="4"/>
    </row>
    <row r="17" spans="2:16">
      <c r="B17" s="914"/>
      <c r="F17" s="779" t="s">
        <v>51</v>
      </c>
      <c r="G17" s="705" t="str">
        <f>J17&amp;":" &amp;1</f>
        <v>0.14:1</v>
      </c>
      <c r="H17" s="239" t="s">
        <v>550</v>
      </c>
      <c r="I17" s="643"/>
      <c r="J17" s="197">
        <f>TRUNC('2SFP'!D40/'2SFP'!D33,2)</f>
        <v>0.14000000000000001</v>
      </c>
      <c r="K17" s="108" t="s">
        <v>526</v>
      </c>
      <c r="M17" s="2" t="s">
        <v>93</v>
      </c>
      <c r="N17" s="2" t="s">
        <v>93</v>
      </c>
      <c r="O17" s="2" t="s">
        <v>93</v>
      </c>
      <c r="P17" s="4"/>
    </row>
    <row r="18" spans="2:16">
      <c r="B18" s="914"/>
      <c r="F18" s="924" t="s">
        <v>9</v>
      </c>
      <c r="G18" s="705"/>
      <c r="H18" s="239"/>
      <c r="I18" s="643"/>
      <c r="J18" s="10"/>
      <c r="K18" s="10"/>
      <c r="M18" s="4"/>
      <c r="N18" s="4"/>
      <c r="O18" s="4"/>
      <c r="P18" s="4"/>
    </row>
    <row r="19" spans="2:16">
      <c r="B19" s="914"/>
      <c r="F19" s="240" t="s">
        <v>10</v>
      </c>
      <c r="G19" s="705"/>
      <c r="H19" s="239"/>
      <c r="I19" s="643"/>
      <c r="J19" s="10"/>
      <c r="K19" s="10"/>
      <c r="M19" s="4"/>
      <c r="N19" s="4"/>
      <c r="O19" s="4"/>
      <c r="P19" s="4"/>
    </row>
    <row r="20" spans="2:16">
      <c r="B20" s="914"/>
      <c r="F20" s="779" t="s">
        <v>52</v>
      </c>
      <c r="G20" s="705"/>
      <c r="H20" s="239"/>
      <c r="I20" s="643"/>
      <c r="J20" s="10"/>
      <c r="K20" s="10"/>
      <c r="M20" s="4"/>
      <c r="N20" s="4"/>
      <c r="O20" s="4"/>
      <c r="P20" s="4"/>
    </row>
    <row r="21" spans="2:16">
      <c r="B21" s="914"/>
      <c r="F21" s="924" t="s">
        <v>11</v>
      </c>
      <c r="G21" s="707" t="str">
        <f>J21&amp;"%"</f>
        <v>6.97%</v>
      </c>
      <c r="H21" s="710" t="s">
        <v>551</v>
      </c>
      <c r="I21" s="855"/>
      <c r="J21" s="197">
        <f>TRUNC('3SOCI'!D23/('2SFP'!D33+'2SFP'!D40)*100,2)</f>
        <v>6.97</v>
      </c>
      <c r="K21" s="10" t="s">
        <v>189</v>
      </c>
      <c r="M21" s="4"/>
      <c r="N21" s="4"/>
      <c r="O21" s="4"/>
      <c r="P21" s="4"/>
    </row>
    <row r="22" spans="2:16">
      <c r="B22" s="914"/>
      <c r="F22" s="924" t="s">
        <v>12</v>
      </c>
      <c r="G22" s="707">
        <v>0.21160000000000001</v>
      </c>
      <c r="H22" s="710">
        <v>0.1701</v>
      </c>
      <c r="I22" s="855"/>
      <c r="J22" s="197">
        <f>TRUNC('3SOCI'!D30/SUM('2SFP'!D33+'2SFP'!D40)*100,3)</f>
        <v>4.8789999999999996</v>
      </c>
      <c r="K22" s="10" t="s">
        <v>190</v>
      </c>
      <c r="M22" s="4"/>
      <c r="N22" s="4"/>
      <c r="O22" s="4"/>
      <c r="P22" s="4"/>
    </row>
    <row r="23" spans="2:16">
      <c r="B23" s="914"/>
      <c r="F23" s="925" t="s">
        <v>13</v>
      </c>
      <c r="G23" s="705"/>
      <c r="H23" s="239"/>
      <c r="I23" s="643"/>
      <c r="J23" s="10"/>
      <c r="K23" s="10"/>
      <c r="M23" s="4"/>
      <c r="N23" s="4"/>
      <c r="O23" s="4"/>
      <c r="P23" s="4"/>
    </row>
    <row r="24" spans="2:16">
      <c r="B24" s="914"/>
      <c r="F24" s="779" t="s">
        <v>53</v>
      </c>
      <c r="G24" s="707" t="str">
        <f>J24&amp;"%"</f>
        <v>5.6%</v>
      </c>
      <c r="H24" s="710" t="s">
        <v>552</v>
      </c>
      <c r="I24" s="855"/>
      <c r="J24" s="197">
        <f>TRUNC('3SOCI'!D30/SUM('2SFP'!D33)*100,2)</f>
        <v>5.6</v>
      </c>
      <c r="K24" s="10" t="s">
        <v>191</v>
      </c>
      <c r="M24" s="4"/>
      <c r="N24" s="4"/>
      <c r="O24" s="4"/>
      <c r="P24" s="4"/>
    </row>
    <row r="25" spans="2:16">
      <c r="B25" s="914"/>
      <c r="F25" s="925" t="s">
        <v>14</v>
      </c>
      <c r="G25" s="705"/>
      <c r="H25" s="239"/>
      <c r="I25" s="643"/>
      <c r="J25" s="10"/>
      <c r="K25" s="10"/>
      <c r="M25" s="4"/>
      <c r="N25" s="4"/>
      <c r="O25" s="4"/>
      <c r="P25" s="4"/>
    </row>
    <row r="26" spans="2:16">
      <c r="B26" s="914"/>
      <c r="F26" s="924" t="s">
        <v>15</v>
      </c>
      <c r="G26" s="705"/>
      <c r="H26" s="239"/>
      <c r="I26" s="643"/>
      <c r="J26" s="10"/>
      <c r="K26" s="10"/>
      <c r="M26" s="4"/>
      <c r="N26" s="4"/>
      <c r="O26" s="4"/>
      <c r="P26" s="4"/>
    </row>
    <row r="27" spans="2:16">
      <c r="B27" s="914"/>
      <c r="F27" s="779" t="s">
        <v>54</v>
      </c>
      <c r="G27" s="707" t="str">
        <f>J27&amp;"%"</f>
        <v>52.54%</v>
      </c>
      <c r="H27" s="710" t="s">
        <v>553</v>
      </c>
      <c r="I27" s="855"/>
      <c r="J27" s="197">
        <f>TRUNC('3SOCI'!D23/SUM('3SOCI'!D6:D6)*100,2)</f>
        <v>52.54</v>
      </c>
      <c r="K27" s="109" t="s">
        <v>1270</v>
      </c>
      <c r="L27" s="79"/>
      <c r="M27" s="4"/>
      <c r="N27" s="4"/>
      <c r="O27" s="4"/>
      <c r="P27" s="4"/>
    </row>
    <row r="28" spans="2:16">
      <c r="B28" s="914"/>
      <c r="F28" s="924" t="s">
        <v>16</v>
      </c>
      <c r="G28" s="705"/>
      <c r="H28" s="239"/>
      <c r="I28" s="643"/>
      <c r="J28" s="10"/>
      <c r="K28" s="10"/>
      <c r="M28" s="4"/>
      <c r="N28" s="4"/>
      <c r="O28" s="4"/>
      <c r="P28" s="4"/>
    </row>
    <row r="29" spans="2:16">
      <c r="B29" s="914"/>
      <c r="F29" s="779" t="s">
        <v>55</v>
      </c>
      <c r="G29" s="707">
        <v>9.4299999999999995E-2</v>
      </c>
      <c r="H29" s="710">
        <v>0.1086</v>
      </c>
      <c r="I29" s="855"/>
      <c r="J29" s="197">
        <f>TRUNC('3SOCI'!D13/SUM('3SOCI'!D6:D6)*100,3)</f>
        <v>6.5679999999999996</v>
      </c>
      <c r="K29" s="10" t="s">
        <v>1269</v>
      </c>
      <c r="M29" s="4"/>
      <c r="N29" s="4"/>
      <c r="O29" s="4"/>
      <c r="P29" s="4"/>
    </row>
    <row r="30" spans="2:16">
      <c r="B30" s="914"/>
      <c r="F30" s="924" t="s">
        <v>17</v>
      </c>
      <c r="G30" s="705"/>
      <c r="H30" s="239"/>
      <c r="I30" s="643"/>
      <c r="J30" s="10"/>
      <c r="K30" s="10"/>
      <c r="M30" s="4"/>
      <c r="N30" s="4"/>
      <c r="O30" s="4"/>
      <c r="P30" s="4"/>
    </row>
    <row r="31" spans="2:16">
      <c r="B31" s="914"/>
      <c r="F31" s="779" t="s">
        <v>56</v>
      </c>
      <c r="G31" s="705" t="s">
        <v>1271</v>
      </c>
      <c r="H31" s="239" t="s">
        <v>527</v>
      </c>
      <c r="I31" s="643"/>
      <c r="J31" s="199">
        <f>TRUNC('3SOCI'!D30/'10N_22-33'!E279/1000000,3)</f>
        <v>0.34100000000000003</v>
      </c>
      <c r="K31" s="10" t="s">
        <v>197</v>
      </c>
      <c r="M31" s="4" t="s">
        <v>93</v>
      </c>
      <c r="N31" s="4" t="s">
        <v>93</v>
      </c>
      <c r="O31" s="4" t="s">
        <v>93</v>
      </c>
      <c r="P31" s="4"/>
    </row>
    <row r="32" spans="2:16">
      <c r="B32" s="914"/>
      <c r="F32" s="926" t="s">
        <v>18</v>
      </c>
      <c r="G32" s="711"/>
      <c r="H32" s="712"/>
      <c r="I32" s="643"/>
      <c r="J32" s="10"/>
      <c r="K32" s="10"/>
      <c r="M32" s="4" t="s">
        <v>93</v>
      </c>
      <c r="N32" s="4" t="s">
        <v>93</v>
      </c>
      <c r="O32" s="4" t="s">
        <v>93</v>
      </c>
      <c r="P32" s="4"/>
    </row>
    <row r="33" spans="2:16">
      <c r="B33" s="914"/>
      <c r="I33" s="856"/>
      <c r="M33" s="4"/>
      <c r="N33" s="4"/>
      <c r="O33" s="4"/>
      <c r="P33" s="4"/>
    </row>
    <row r="34" spans="2:16">
      <c r="B34" s="914"/>
      <c r="I34" s="856"/>
      <c r="M34" s="4"/>
      <c r="N34" s="4"/>
      <c r="O34" s="4"/>
      <c r="P34" s="4"/>
    </row>
    <row r="35" spans="2:16">
      <c r="B35" s="914"/>
      <c r="I35" s="856"/>
      <c r="M35" s="4"/>
      <c r="N35" s="4"/>
      <c r="O35" s="4"/>
      <c r="P35" s="4"/>
    </row>
    <row r="36" spans="2:16">
      <c r="B36" s="914"/>
      <c r="I36" s="856"/>
      <c r="M36" s="4"/>
      <c r="N36" s="4"/>
      <c r="O36" s="4"/>
      <c r="P36" s="4"/>
    </row>
    <row r="37" spans="2:16">
      <c r="B37" s="914"/>
      <c r="I37" s="856"/>
      <c r="M37" s="4"/>
      <c r="N37" s="4"/>
      <c r="O37" s="4"/>
      <c r="P37" s="4"/>
    </row>
    <row r="38" spans="2:16">
      <c r="B38" s="914"/>
      <c r="F38" s="493" t="str">
        <f>'2SFP'!B61</f>
        <v>For GSA &amp; Associates.</v>
      </c>
      <c r="G38" s="687" t="str">
        <f>'2SFP'!E61</f>
        <v>for and on behalf of board of directors</v>
      </c>
      <c r="H38" s="688"/>
      <c r="I38" s="856"/>
    </row>
    <row r="39" spans="2:16">
      <c r="B39" s="914"/>
      <c r="F39" s="250" t="str">
        <f>'2SFP'!B62</f>
        <v>Chartered accountants</v>
      </c>
      <c r="G39" s="688"/>
      <c r="H39" s="688"/>
      <c r="I39" s="856"/>
    </row>
    <row r="40" spans="2:16">
      <c r="B40" s="914"/>
      <c r="F40" s="250" t="str">
        <f>'2SFP'!B63</f>
        <v>(Firm Reg. No. 000257N)</v>
      </c>
      <c r="G40" s="688"/>
      <c r="H40" s="688"/>
      <c r="I40" s="856"/>
    </row>
    <row r="41" spans="2:16">
      <c r="B41" s="914"/>
      <c r="F41" s="250"/>
      <c r="G41" s="688"/>
      <c r="H41" s="688"/>
      <c r="I41" s="856"/>
    </row>
    <row r="42" spans="2:16">
      <c r="B42" s="914"/>
      <c r="F42" s="250"/>
      <c r="G42" s="688"/>
      <c r="H42" s="688"/>
      <c r="I42" s="856"/>
    </row>
    <row r="43" spans="2:16">
      <c r="B43" s="914"/>
      <c r="F43" s="250"/>
      <c r="G43" s="688"/>
      <c r="H43" s="688"/>
      <c r="I43" s="856"/>
    </row>
    <row r="44" spans="2:16">
      <c r="B44" s="914"/>
      <c r="F44" s="493" t="str">
        <f>'2SFP'!B67</f>
        <v>Tanuj Chugh</v>
      </c>
      <c r="G44" s="659" t="str">
        <f>'2SFP'!E65</f>
        <v>Chairman</v>
      </c>
      <c r="H44" s="688"/>
      <c r="I44" s="856"/>
    </row>
    <row r="45" spans="2:16">
      <c r="B45" s="914"/>
      <c r="F45" s="250" t="str">
        <f>'2SFP'!B68</f>
        <v>Partner</v>
      </c>
      <c r="G45" s="688"/>
      <c r="H45" s="688"/>
      <c r="I45" s="856"/>
    </row>
    <row r="46" spans="2:16">
      <c r="B46" s="914"/>
      <c r="F46" s="250" t="str">
        <f>'2SFP'!B69</f>
        <v>M. No. 529619</v>
      </c>
      <c r="G46" s="688"/>
      <c r="H46" s="688"/>
      <c r="I46" s="856"/>
    </row>
    <row r="47" spans="2:16">
      <c r="B47" s="914"/>
      <c r="F47" s="250"/>
      <c r="G47" s="688"/>
      <c r="H47" s="688"/>
      <c r="I47" s="856"/>
    </row>
    <row r="48" spans="2:16">
      <c r="B48" s="914"/>
      <c r="F48" s="250" t="str">
        <f>'2SFP'!B71</f>
        <v xml:space="preserve">Place: </v>
      </c>
      <c r="G48" s="688"/>
      <c r="H48" s="688"/>
      <c r="I48" s="856"/>
    </row>
    <row r="49" spans="2:9">
      <c r="B49" s="914"/>
      <c r="F49" s="250" t="str">
        <f>'2SFP'!B72</f>
        <v xml:space="preserve">Date: </v>
      </c>
      <c r="G49" s="929" t="str">
        <f>'2SFP'!E69</f>
        <v>Chief Executive Officer</v>
      </c>
      <c r="H49" s="930"/>
      <c r="I49" s="856"/>
    </row>
    <row r="50" spans="2:9">
      <c r="B50" s="915"/>
      <c r="C50" s="928"/>
      <c r="D50" s="928"/>
      <c r="E50" s="928"/>
      <c r="F50" s="835"/>
      <c r="G50" s="857"/>
      <c r="H50" s="857"/>
      <c r="I50" s="858"/>
    </row>
    <row r="51" spans="2:9">
      <c r="F51" s="638"/>
      <c r="I51" s="856"/>
    </row>
    <row r="52" spans="2:9">
      <c r="F52" s="638"/>
      <c r="I52" s="856"/>
    </row>
    <row r="53" spans="2:9">
      <c r="F53" s="638"/>
      <c r="I53" s="856"/>
    </row>
    <row r="54" spans="2:9">
      <c r="F54" s="638"/>
      <c r="I54" s="856"/>
    </row>
    <row r="55" spans="2:9">
      <c r="F55" s="638"/>
      <c r="I55" s="856"/>
    </row>
    <row r="56" spans="2:9">
      <c r="F56" s="638"/>
      <c r="I56" s="856"/>
    </row>
    <row r="57" spans="2:9">
      <c r="F57" s="638"/>
      <c r="I57" s="856"/>
    </row>
    <row r="58" spans="2:9">
      <c r="F58" s="638"/>
      <c r="I58" s="856"/>
    </row>
    <row r="59" spans="2:9">
      <c r="F59" s="638"/>
      <c r="I59" s="856"/>
    </row>
    <row r="60" spans="2:9">
      <c r="F60" s="638"/>
      <c r="I60" s="856"/>
    </row>
    <row r="61" spans="2:9">
      <c r="F61" s="638"/>
      <c r="I61" s="856"/>
    </row>
    <row r="62" spans="2:9">
      <c r="F62" s="638"/>
      <c r="I62" s="856"/>
    </row>
    <row r="63" spans="2:9">
      <c r="F63" s="638"/>
      <c r="I63" s="856"/>
    </row>
    <row r="64" spans="2:9">
      <c r="F64" s="638"/>
      <c r="I64" s="856"/>
    </row>
    <row r="65" spans="6:9">
      <c r="F65" s="638"/>
      <c r="I65" s="856"/>
    </row>
    <row r="66" spans="6:9">
      <c r="F66" s="638"/>
      <c r="I66" s="856"/>
    </row>
    <row r="67" spans="6:9">
      <c r="F67" s="638"/>
      <c r="I67" s="856"/>
    </row>
    <row r="68" spans="6:9">
      <c r="F68" s="638"/>
      <c r="I68" s="856"/>
    </row>
    <row r="69" spans="6:9">
      <c r="F69" s="638"/>
      <c r="I69" s="856"/>
    </row>
    <row r="70" spans="6:9">
      <c r="F70" s="638"/>
      <c r="I70" s="856"/>
    </row>
    <row r="71" spans="6:9">
      <c r="F71" s="638"/>
      <c r="I71" s="856"/>
    </row>
    <row r="72" spans="6:9">
      <c r="F72" s="639"/>
      <c r="G72" s="857"/>
      <c r="H72" s="857"/>
      <c r="I72" s="858"/>
    </row>
  </sheetData>
  <mergeCells count="3">
    <mergeCell ref="F1:H1"/>
    <mergeCell ref="F2:H2"/>
    <mergeCell ref="F3:H3"/>
  </mergeCells>
  <printOptions horizontalCentered="1"/>
  <pageMargins left="0.95" right="0.26" top="0.56000000000000005" bottom="0.2" header="0.05" footer="0.05"/>
  <pageSetup scale="75" fitToHeight="0" orientation="portrait" r:id="rId1"/>
  <ignoredErrors>
    <ignoredError sqref="H15:H32" numberStoredAsText="1"/>
  </ignoredErrors>
</worksheet>
</file>

<file path=xl/worksheets/sheet18.xml><?xml version="1.0" encoding="utf-8"?>
<worksheet xmlns="http://schemas.openxmlformats.org/spreadsheetml/2006/main" xmlns:r="http://schemas.openxmlformats.org/officeDocument/2006/relationships">
  <sheetPr enableFormatConditionsCalculation="0">
    <tabColor rgb="FF00B050"/>
    <pageSetUpPr fitToPage="1"/>
  </sheetPr>
  <dimension ref="A2:Q67"/>
  <sheetViews>
    <sheetView showGridLines="0" topLeftCell="A17" workbookViewId="0">
      <selection activeCell="D35" sqref="D35"/>
    </sheetView>
  </sheetViews>
  <sheetFormatPr defaultColWidth="9.140625" defaultRowHeight="15.75"/>
  <cols>
    <col min="1" max="1" width="3.42578125" style="1" customWidth="1"/>
    <col min="2" max="2" width="9.140625" style="1"/>
    <col min="3" max="3" width="45.42578125" style="1" bestFit="1" customWidth="1"/>
    <col min="4" max="5" width="18.7109375" style="5" bestFit="1" customWidth="1"/>
    <col min="6" max="6" width="20.42578125" style="1" bestFit="1" customWidth="1"/>
    <col min="7" max="7" width="16.42578125" style="1" bestFit="1" customWidth="1"/>
    <col min="8" max="8" width="15.28515625" style="1" bestFit="1" customWidth="1"/>
    <col min="9" max="9" width="15" style="1" bestFit="1" customWidth="1"/>
    <col min="10" max="10" width="14.28515625" style="1" bestFit="1" customWidth="1"/>
    <col min="11" max="11" width="9.140625" style="1"/>
    <col min="12" max="12" width="15" style="1" bestFit="1" customWidth="1"/>
    <col min="13" max="13" width="18.42578125" style="1" customWidth="1"/>
    <col min="14" max="16" width="9.140625" style="1"/>
    <col min="17" max="17" width="18.140625" style="1" customWidth="1"/>
    <col min="18" max="16384" width="9.140625" style="1"/>
  </cols>
  <sheetData>
    <row r="2" spans="1:15">
      <c r="B2" s="70"/>
      <c r="C2" s="1505" t="s">
        <v>140</v>
      </c>
      <c r="D2" s="1505"/>
      <c r="E2" s="1506"/>
      <c r="F2" s="25"/>
    </row>
    <row r="3" spans="1:15">
      <c r="B3" s="71"/>
      <c r="C3" s="24" t="s">
        <v>28</v>
      </c>
      <c r="D3" s="208"/>
      <c r="E3" s="212"/>
    </row>
    <row r="4" spans="1:15">
      <c r="B4" s="72"/>
      <c r="C4" s="69" t="s">
        <v>1058</v>
      </c>
      <c r="D4" s="213"/>
      <c r="E4" s="214"/>
    </row>
    <row r="5" spans="1:15">
      <c r="B5" s="42" t="s">
        <v>113</v>
      </c>
      <c r="C5" s="68" t="s">
        <v>19</v>
      </c>
      <c r="D5" s="215" t="s">
        <v>29</v>
      </c>
      <c r="E5" s="221">
        <v>2018</v>
      </c>
      <c r="F5" s="4"/>
      <c r="G5" s="4"/>
      <c r="H5" s="4"/>
      <c r="I5" s="4"/>
      <c r="J5" s="4"/>
      <c r="K5" s="4"/>
      <c r="L5" s="4"/>
      <c r="M5" s="4"/>
      <c r="N5" s="4"/>
      <c r="O5" s="4"/>
    </row>
    <row r="6" spans="1:15">
      <c r="B6" s="71"/>
      <c r="C6" s="71"/>
      <c r="D6" s="212"/>
      <c r="E6" s="212"/>
      <c r="F6" s="7"/>
      <c r="G6" s="4"/>
      <c r="H6" s="4"/>
      <c r="I6" s="4"/>
      <c r="J6" s="4"/>
      <c r="K6" s="4"/>
      <c r="L6" s="4"/>
      <c r="M6" s="4"/>
      <c r="N6" s="4"/>
      <c r="O6" s="4"/>
    </row>
    <row r="7" spans="1:15">
      <c r="B7" s="71"/>
      <c r="C7" s="60" t="s">
        <v>492</v>
      </c>
      <c r="D7" s="212">
        <f>'3SOCI'!D23-'3SOCI'!D33</f>
        <v>322935635.70000005</v>
      </c>
      <c r="E7" s="216"/>
      <c r="F7" s="7"/>
      <c r="G7" s="4"/>
      <c r="H7" s="2"/>
      <c r="I7" s="4"/>
      <c r="J7" s="4"/>
      <c r="K7" s="4"/>
      <c r="L7" s="4"/>
      <c r="M7" s="4"/>
      <c r="N7" s="4"/>
      <c r="O7" s="4"/>
    </row>
    <row r="8" spans="1:15">
      <c r="B8" s="71"/>
      <c r="C8" s="71"/>
      <c r="D8" s="212"/>
      <c r="E8" s="212"/>
      <c r="F8" s="7"/>
      <c r="G8" s="4"/>
      <c r="H8" s="6"/>
      <c r="I8" s="4"/>
      <c r="J8" s="4"/>
      <c r="K8" s="4"/>
      <c r="L8" s="4"/>
      <c r="M8" s="4"/>
      <c r="N8" s="4"/>
      <c r="O8" s="4"/>
    </row>
    <row r="9" spans="1:15">
      <c r="B9" s="71"/>
      <c r="C9" s="60" t="s">
        <v>30</v>
      </c>
      <c r="D9" s="212"/>
      <c r="E9" s="212"/>
      <c r="F9" s="4"/>
      <c r="G9" s="4"/>
      <c r="H9" s="4"/>
      <c r="I9" s="4"/>
      <c r="J9" s="4"/>
      <c r="K9" s="4"/>
      <c r="L9" s="4"/>
      <c r="M9" s="4"/>
      <c r="N9" s="4"/>
      <c r="O9" s="4"/>
    </row>
    <row r="10" spans="1:15">
      <c r="B10" s="71"/>
      <c r="C10" s="71"/>
      <c r="D10" s="212"/>
      <c r="E10" s="212"/>
      <c r="F10" s="4"/>
      <c r="G10" s="4"/>
      <c r="H10" s="4"/>
      <c r="I10" s="4"/>
      <c r="J10" s="4"/>
      <c r="K10" s="4"/>
      <c r="L10" s="4"/>
      <c r="M10" s="4"/>
      <c r="N10" s="4"/>
      <c r="O10" s="4"/>
    </row>
    <row r="11" spans="1:15">
      <c r="A11" s="3"/>
      <c r="B11" s="71">
        <v>1</v>
      </c>
      <c r="C11" s="59" t="s">
        <v>193</v>
      </c>
      <c r="D11" s="212"/>
      <c r="E11" s="212"/>
      <c r="F11" s="7"/>
      <c r="G11" s="4"/>
      <c r="H11" s="4"/>
      <c r="I11" s="4"/>
      <c r="J11" s="4"/>
      <c r="K11" s="4"/>
      <c r="L11" s="4"/>
      <c r="M11" s="4"/>
      <c r="N11" s="4"/>
      <c r="O11" s="4"/>
    </row>
    <row r="12" spans="1:15">
      <c r="B12" s="71"/>
      <c r="C12" s="59"/>
      <c r="D12" s="212"/>
      <c r="E12" s="212"/>
      <c r="F12" s="4"/>
      <c r="G12" s="4"/>
      <c r="H12" s="4"/>
      <c r="I12" s="4"/>
      <c r="J12" s="4"/>
      <c r="K12" s="4"/>
      <c r="L12" s="4"/>
      <c r="M12" s="4"/>
      <c r="N12" s="4"/>
      <c r="O12" s="4"/>
    </row>
    <row r="13" spans="1:15">
      <c r="B13" s="71">
        <v>2</v>
      </c>
      <c r="C13" s="59" t="s">
        <v>198</v>
      </c>
      <c r="D13" s="212"/>
      <c r="E13" s="212"/>
      <c r="F13" s="4"/>
      <c r="G13" s="4"/>
      <c r="H13" s="4"/>
      <c r="I13" s="4"/>
      <c r="J13" s="4"/>
      <c r="K13" s="4"/>
      <c r="L13" s="4"/>
      <c r="M13" s="4"/>
      <c r="N13" s="4"/>
      <c r="O13" s="4"/>
    </row>
    <row r="14" spans="1:15">
      <c r="B14" s="71"/>
      <c r="C14" s="71"/>
      <c r="D14" s="212"/>
      <c r="E14" s="212"/>
      <c r="F14" s="4"/>
      <c r="G14" s="4"/>
      <c r="H14" s="4"/>
      <c r="I14" s="4"/>
      <c r="J14" s="4"/>
      <c r="K14" s="4"/>
      <c r="L14" s="4"/>
      <c r="M14" s="4"/>
      <c r="N14" s="4"/>
      <c r="O14" s="4"/>
    </row>
    <row r="15" spans="1:15">
      <c r="B15" s="71">
        <v>3</v>
      </c>
      <c r="C15" s="71" t="s">
        <v>204</v>
      </c>
      <c r="D15" s="212">
        <f>'10N_22-33'!E215+'10N_22-33'!E214</f>
        <v>110000</v>
      </c>
      <c r="E15" s="212"/>
      <c r="F15" s="4"/>
      <c r="G15" s="4"/>
      <c r="H15" s="4"/>
      <c r="I15" s="4"/>
      <c r="J15" s="4"/>
      <c r="K15" s="4"/>
      <c r="L15" s="4"/>
      <c r="M15" s="4"/>
      <c r="N15" s="4"/>
      <c r="O15" s="4"/>
    </row>
    <row r="16" spans="1:15">
      <c r="B16" s="71"/>
      <c r="C16" s="59"/>
      <c r="D16" s="212"/>
      <c r="E16" s="212"/>
      <c r="F16" s="4"/>
      <c r="G16" s="4"/>
      <c r="H16" s="4"/>
      <c r="I16" s="4"/>
      <c r="J16" s="4"/>
      <c r="K16" s="4"/>
      <c r="L16" s="4"/>
      <c r="M16" s="4"/>
      <c r="N16" s="4"/>
      <c r="O16" s="4"/>
    </row>
    <row r="17" spans="2:15">
      <c r="B17" s="71">
        <v>4</v>
      </c>
      <c r="C17" s="59" t="s">
        <v>493</v>
      </c>
      <c r="D17" s="212">
        <f>'10N_22-33'!E140+'10N_22-33'!E141+'10N_22-33'!E142+'10N_22-33'!E143</f>
        <v>474211</v>
      </c>
      <c r="E17" s="212"/>
      <c r="F17" s="4"/>
      <c r="G17" s="4"/>
      <c r="H17" s="4"/>
      <c r="I17" s="4"/>
      <c r="J17" s="4"/>
      <c r="K17" s="4"/>
      <c r="L17" s="4"/>
      <c r="M17" s="4"/>
      <c r="N17" s="4"/>
      <c r="O17" s="4"/>
    </row>
    <row r="18" spans="2:15">
      <c r="B18" s="71"/>
      <c r="C18" s="59"/>
      <c r="D18" s="217"/>
      <c r="E18" s="212"/>
      <c r="F18" s="4"/>
      <c r="G18" s="4"/>
      <c r="H18" s="4"/>
      <c r="I18" s="4"/>
      <c r="J18" s="4"/>
      <c r="K18" s="4"/>
      <c r="L18" s="4"/>
      <c r="M18" s="4"/>
      <c r="N18" s="4"/>
      <c r="O18" s="4"/>
    </row>
    <row r="19" spans="2:15">
      <c r="B19" s="71">
        <v>5</v>
      </c>
      <c r="C19" s="59" t="s">
        <v>194</v>
      </c>
      <c r="D19" s="217">
        <f>'3SOCI'!D15</f>
        <v>155784327.74000001</v>
      </c>
      <c r="E19" s="212"/>
      <c r="F19" s="7"/>
      <c r="G19" s="4"/>
      <c r="H19" s="4"/>
      <c r="I19" s="4"/>
      <c r="J19" s="4"/>
      <c r="K19" s="4"/>
      <c r="L19" s="4"/>
      <c r="M19" s="4"/>
      <c r="N19" s="4"/>
      <c r="O19" s="4"/>
    </row>
    <row r="20" spans="2:15">
      <c r="B20" s="71"/>
      <c r="C20" s="59"/>
      <c r="D20" s="217"/>
      <c r="E20" s="212"/>
      <c r="F20" s="4"/>
      <c r="G20" s="4"/>
      <c r="H20" s="4"/>
      <c r="I20" s="4"/>
      <c r="J20" s="4"/>
      <c r="K20" s="4"/>
      <c r="L20" s="4"/>
      <c r="M20" s="4"/>
      <c r="N20" s="4"/>
      <c r="O20" s="4"/>
    </row>
    <row r="21" spans="2:15">
      <c r="B21" s="71">
        <v>6</v>
      </c>
      <c r="C21" s="59" t="s">
        <v>494</v>
      </c>
      <c r="D21" s="217">
        <f>'10N_22-33'!E191</f>
        <v>0</v>
      </c>
      <c r="E21" s="212"/>
      <c r="F21" s="4"/>
      <c r="G21" s="4"/>
      <c r="H21" s="4"/>
      <c r="I21" s="4"/>
      <c r="J21" s="4"/>
      <c r="K21" s="4"/>
      <c r="L21" s="4"/>
      <c r="M21" s="4"/>
      <c r="N21" s="4"/>
      <c r="O21" s="4"/>
    </row>
    <row r="22" spans="2:15">
      <c r="B22" s="71"/>
      <c r="C22" s="59"/>
      <c r="D22" s="217"/>
      <c r="E22" s="212"/>
      <c r="F22" s="4"/>
      <c r="G22" s="4"/>
      <c r="H22" s="4"/>
      <c r="I22" s="4"/>
      <c r="J22" s="4"/>
      <c r="K22" s="4"/>
      <c r="L22" s="4"/>
      <c r="M22" s="4"/>
      <c r="N22" s="4"/>
      <c r="O22" s="4"/>
    </row>
    <row r="23" spans="2:15">
      <c r="B23" s="71">
        <v>7</v>
      </c>
      <c r="C23" s="59" t="s">
        <v>491</v>
      </c>
      <c r="D23" s="217"/>
      <c r="E23" s="212"/>
      <c r="F23" s="4"/>
      <c r="G23" s="4"/>
      <c r="H23" s="4"/>
      <c r="I23" s="4"/>
      <c r="J23" s="4"/>
      <c r="K23" s="4"/>
      <c r="L23" s="4"/>
      <c r="M23" s="4"/>
      <c r="N23" s="4"/>
      <c r="O23" s="4"/>
    </row>
    <row r="24" spans="2:15">
      <c r="B24" s="71"/>
      <c r="C24" s="59"/>
      <c r="D24" s="217"/>
      <c r="E24" s="212"/>
      <c r="F24" s="4"/>
      <c r="G24" s="4"/>
      <c r="H24" s="4"/>
      <c r="I24" s="4"/>
      <c r="J24" s="4"/>
      <c r="K24" s="4"/>
      <c r="L24" s="4"/>
      <c r="M24" s="4"/>
      <c r="N24" s="4"/>
      <c r="O24" s="4"/>
    </row>
    <row r="25" spans="2:15">
      <c r="B25" s="71">
        <v>8</v>
      </c>
      <c r="C25" s="59" t="s">
        <v>1059</v>
      </c>
      <c r="D25" s="217">
        <v>0</v>
      </c>
      <c r="E25" s="212"/>
      <c r="F25" s="4"/>
      <c r="G25" s="4"/>
      <c r="H25" s="4"/>
      <c r="I25" s="4"/>
      <c r="J25" s="4"/>
      <c r="K25" s="4"/>
      <c r="L25" s="4"/>
      <c r="M25" s="4"/>
      <c r="N25" s="4"/>
      <c r="O25" s="4"/>
    </row>
    <row r="26" spans="2:15">
      <c r="B26" s="71"/>
      <c r="C26" s="59"/>
      <c r="D26" s="217"/>
      <c r="E26" s="212"/>
      <c r="F26" s="4"/>
      <c r="G26" s="4"/>
      <c r="H26" s="4"/>
      <c r="I26" s="4"/>
      <c r="J26" s="4"/>
      <c r="K26" s="4"/>
      <c r="L26" s="4"/>
      <c r="M26" s="4"/>
      <c r="N26" s="4"/>
      <c r="O26" s="4"/>
    </row>
    <row r="27" spans="2:15">
      <c r="B27" s="71"/>
      <c r="C27" s="60" t="s">
        <v>31</v>
      </c>
      <c r="D27" s="212"/>
      <c r="E27" s="216">
        <f>SUM(D11:D27)</f>
        <v>156368538.74000001</v>
      </c>
      <c r="F27" s="7"/>
      <c r="G27" s="4"/>
      <c r="H27" s="4"/>
      <c r="I27" s="4"/>
      <c r="J27" s="4"/>
      <c r="K27" s="4"/>
      <c r="L27" s="4"/>
      <c r="M27" s="4"/>
      <c r="N27" s="4"/>
      <c r="O27" s="4"/>
    </row>
    <row r="28" spans="2:15">
      <c r="B28" s="71"/>
      <c r="C28" s="60"/>
      <c r="D28" s="212"/>
      <c r="E28" s="216"/>
      <c r="F28" s="4"/>
      <c r="G28" s="7"/>
      <c r="H28" s="4"/>
      <c r="I28" s="4"/>
      <c r="J28" s="4"/>
      <c r="K28" s="4"/>
      <c r="L28" s="4"/>
      <c r="M28" s="4"/>
      <c r="N28" s="4"/>
      <c r="O28" s="4"/>
    </row>
    <row r="29" spans="2:15">
      <c r="B29" s="71"/>
      <c r="C29" s="60" t="s">
        <v>495</v>
      </c>
      <c r="D29" s="216"/>
      <c r="E29" s="216"/>
      <c r="F29" s="4"/>
      <c r="G29" s="7"/>
      <c r="H29" s="4"/>
      <c r="I29" s="4"/>
      <c r="J29" s="4"/>
      <c r="K29" s="4"/>
      <c r="L29" s="4"/>
      <c r="M29" s="4"/>
      <c r="N29" s="4"/>
      <c r="O29" s="4"/>
    </row>
    <row r="30" spans="2:15">
      <c r="B30" s="71"/>
      <c r="C30" s="59"/>
      <c r="D30" s="216"/>
      <c r="E30" s="216"/>
      <c r="F30" s="4"/>
      <c r="G30" s="4"/>
      <c r="H30" s="4"/>
      <c r="I30" s="4"/>
      <c r="J30" s="4"/>
      <c r="K30" s="4"/>
      <c r="L30" s="4"/>
      <c r="M30" s="4"/>
      <c r="N30" s="4"/>
      <c r="O30" s="4"/>
    </row>
    <row r="31" spans="2:15">
      <c r="B31" s="71">
        <v>1</v>
      </c>
      <c r="C31" s="1308" t="s">
        <v>496</v>
      </c>
      <c r="D31" s="1309">
        <v>143449587.25</v>
      </c>
      <c r="E31" s="216"/>
      <c r="F31" s="7"/>
      <c r="G31" s="7"/>
      <c r="H31" s="4"/>
      <c r="I31" s="4"/>
      <c r="J31" s="4"/>
      <c r="K31" s="4"/>
      <c r="L31" s="7"/>
      <c r="M31" s="4"/>
      <c r="N31" s="4"/>
      <c r="O31" s="4"/>
    </row>
    <row r="32" spans="2:15">
      <c r="B32" s="71"/>
      <c r="C32" s="59"/>
      <c r="D32" s="216"/>
      <c r="E32" s="216"/>
      <c r="F32" s="4"/>
      <c r="G32" s="4"/>
      <c r="H32" s="4"/>
      <c r="I32" s="4"/>
      <c r="J32" s="4"/>
      <c r="K32" s="4"/>
      <c r="L32" s="4"/>
      <c r="M32" s="4"/>
      <c r="N32" s="4"/>
      <c r="O32" s="4"/>
    </row>
    <row r="33" spans="2:17">
      <c r="B33" s="71">
        <v>2</v>
      </c>
      <c r="C33" s="59" t="s">
        <v>497</v>
      </c>
      <c r="D33" s="212"/>
      <c r="E33" s="212"/>
      <c r="F33" s="4"/>
      <c r="G33" s="4"/>
      <c r="H33" s="4"/>
      <c r="I33" s="4"/>
      <c r="J33" s="4"/>
      <c r="K33" s="4"/>
      <c r="L33" s="4"/>
      <c r="M33" s="4"/>
      <c r="N33" s="4"/>
      <c r="O33" s="4"/>
    </row>
    <row r="34" spans="2:17">
      <c r="B34" s="73" t="s">
        <v>199</v>
      </c>
      <c r="C34" s="59" t="s">
        <v>1493</v>
      </c>
      <c r="D34" s="1300">
        <f>D17*1/3</f>
        <v>158070.33333333334</v>
      </c>
      <c r="E34" s="212"/>
      <c r="F34" s="4"/>
      <c r="G34" s="4"/>
      <c r="H34" s="4"/>
      <c r="I34" s="4"/>
      <c r="J34" s="4"/>
      <c r="K34" s="4"/>
      <c r="L34" s="4"/>
      <c r="M34" s="4"/>
      <c r="N34" s="4"/>
      <c r="O34" s="4"/>
    </row>
    <row r="35" spans="2:17">
      <c r="B35" s="73"/>
      <c r="C35" s="59"/>
      <c r="D35" s="217"/>
      <c r="E35" s="212"/>
      <c r="F35" s="29"/>
      <c r="G35" s="28"/>
      <c r="H35" s="4"/>
      <c r="I35" s="4"/>
      <c r="J35" s="4"/>
      <c r="K35" s="4"/>
      <c r="L35" s="4"/>
      <c r="M35" s="4"/>
      <c r="N35" s="4"/>
      <c r="O35" s="4"/>
    </row>
    <row r="36" spans="2:17">
      <c r="B36" s="73" t="s">
        <v>200</v>
      </c>
      <c r="C36" s="59" t="s">
        <v>544</v>
      </c>
      <c r="D36" s="212">
        <v>0</v>
      </c>
      <c r="E36" s="212"/>
      <c r="F36" s="4"/>
      <c r="G36" s="7"/>
      <c r="H36" s="7"/>
      <c r="I36" s="4"/>
      <c r="J36" s="7"/>
      <c r="K36" s="4"/>
      <c r="L36" s="7"/>
      <c r="M36" s="7"/>
      <c r="N36" s="4"/>
      <c r="O36" s="4"/>
    </row>
    <row r="37" spans="2:17">
      <c r="B37" s="73"/>
      <c r="C37" s="59"/>
      <c r="D37" s="212"/>
      <c r="E37" s="217"/>
      <c r="F37" s="4"/>
      <c r="G37" s="4"/>
      <c r="H37" s="7"/>
      <c r="I37" s="4"/>
      <c r="J37" s="4"/>
      <c r="K37" s="4"/>
      <c r="L37" s="4"/>
      <c r="M37" s="4"/>
      <c r="N37" s="4"/>
      <c r="O37" s="4"/>
    </row>
    <row r="38" spans="2:17">
      <c r="B38" s="73" t="s">
        <v>201</v>
      </c>
      <c r="C38" s="59" t="s">
        <v>498</v>
      </c>
      <c r="D38" s="212">
        <v>12631132</v>
      </c>
      <c r="E38" s="218"/>
      <c r="F38" s="4"/>
      <c r="G38" s="4"/>
      <c r="H38" s="7"/>
      <c r="I38" s="4"/>
      <c r="K38" s="4"/>
      <c r="L38" s="4"/>
      <c r="M38" s="4"/>
      <c r="N38" s="4"/>
      <c r="O38" s="4"/>
      <c r="Q38" s="7">
        <f>D38*0.3</f>
        <v>3789339.5999999996</v>
      </c>
    </row>
    <row r="39" spans="2:17">
      <c r="B39" s="71"/>
      <c r="C39" s="59"/>
      <c r="D39" s="217"/>
      <c r="E39" s="216"/>
      <c r="F39" s="4"/>
      <c r="G39" s="4"/>
      <c r="H39" s="26"/>
      <c r="I39" s="4"/>
      <c r="J39" s="4"/>
      <c r="K39" s="4"/>
      <c r="L39" s="4"/>
      <c r="M39" s="4"/>
      <c r="N39" s="4"/>
      <c r="O39" s="4"/>
    </row>
    <row r="40" spans="2:17">
      <c r="B40" s="71"/>
      <c r="C40" s="60" t="s">
        <v>32</v>
      </c>
      <c r="D40" s="212"/>
      <c r="E40" s="216">
        <f>SUM(D29:D40)</f>
        <v>156238789.58333334</v>
      </c>
      <c r="F40" s="7"/>
      <c r="G40" s="7"/>
      <c r="H40" s="7"/>
      <c r="I40" s="7"/>
      <c r="J40" s="7"/>
      <c r="K40" s="4"/>
      <c r="L40" s="4"/>
      <c r="M40" s="4"/>
      <c r="N40" s="4"/>
      <c r="O40" s="4"/>
    </row>
    <row r="41" spans="2:17">
      <c r="B41" s="71"/>
      <c r="C41" s="71"/>
      <c r="D41" s="212"/>
      <c r="E41" s="212"/>
      <c r="F41" s="4"/>
      <c r="G41" s="4"/>
      <c r="H41" s="4"/>
      <c r="I41" s="4"/>
      <c r="J41" s="7"/>
      <c r="K41" s="4"/>
      <c r="L41" s="4"/>
      <c r="M41" s="4"/>
      <c r="N41" s="4"/>
      <c r="O41" s="4"/>
    </row>
    <row r="42" spans="2:17">
      <c r="B42" s="71"/>
      <c r="C42" s="60" t="s">
        <v>499</v>
      </c>
      <c r="D42" s="212"/>
      <c r="E42" s="212">
        <f>D7+E27-E40</f>
        <v>323065384.85666668</v>
      </c>
      <c r="F42" s="7"/>
      <c r="G42" s="4"/>
      <c r="H42" s="27"/>
      <c r="I42" s="4"/>
      <c r="J42" s="7"/>
      <c r="K42" s="4"/>
      <c r="L42" s="4"/>
      <c r="M42" s="4"/>
      <c r="N42" s="4"/>
      <c r="O42" s="4"/>
    </row>
    <row r="43" spans="2:17">
      <c r="B43" s="71"/>
      <c r="C43" s="71"/>
      <c r="D43" s="212"/>
      <c r="E43" s="216"/>
      <c r="F43" s="7"/>
      <c r="G43" s="4"/>
      <c r="H43" s="4"/>
      <c r="I43" s="4"/>
      <c r="J43" s="4"/>
      <c r="K43" s="4"/>
      <c r="L43" s="4"/>
      <c r="M43" s="4"/>
      <c r="N43" s="4"/>
      <c r="O43" s="4"/>
    </row>
    <row r="44" spans="2:17">
      <c r="B44" s="71"/>
      <c r="C44" s="71" t="s">
        <v>33</v>
      </c>
      <c r="D44" s="212"/>
      <c r="E44" s="937">
        <f>E46-E45</f>
        <v>96919615.457000002</v>
      </c>
      <c r="F44" s="7"/>
      <c r="G44" s="4"/>
      <c r="H44" s="4"/>
      <c r="I44" s="4"/>
      <c r="J44" s="4"/>
      <c r="K44" s="4"/>
      <c r="L44" s="4"/>
      <c r="M44" s="4"/>
      <c r="N44" s="4"/>
      <c r="O44" s="4"/>
    </row>
    <row r="45" spans="2:17">
      <c r="B45" s="71"/>
      <c r="C45" s="71" t="s">
        <v>94</v>
      </c>
      <c r="D45" s="212"/>
      <c r="E45" s="938">
        <f>'3SOCI'!D34</f>
        <v>0</v>
      </c>
      <c r="F45" s="7">
        <f>-E45</f>
        <v>0</v>
      </c>
      <c r="G45" s="4"/>
      <c r="H45" s="4"/>
      <c r="I45" s="4"/>
      <c r="J45" s="4"/>
      <c r="K45" s="4"/>
      <c r="L45" s="4"/>
      <c r="M45" s="4"/>
      <c r="N45" s="4"/>
      <c r="O45" s="4"/>
    </row>
    <row r="46" spans="2:17">
      <c r="B46" s="71"/>
      <c r="C46" s="68" t="s">
        <v>112</v>
      </c>
      <c r="D46" s="219"/>
      <c r="E46" s="939">
        <f>E42*30%</f>
        <v>96919615.457000002</v>
      </c>
      <c r="F46" s="4"/>
      <c r="G46" s="4"/>
      <c r="H46" s="4"/>
      <c r="I46" s="4"/>
      <c r="J46" s="4"/>
      <c r="K46" s="4"/>
      <c r="L46" s="4"/>
      <c r="M46" s="4"/>
      <c r="N46" s="4"/>
      <c r="O46" s="4"/>
    </row>
    <row r="47" spans="2:17">
      <c r="B47" s="71"/>
      <c r="C47" s="71" t="s">
        <v>34</v>
      </c>
      <c r="D47" s="212"/>
      <c r="E47" s="938"/>
      <c r="F47" s="4"/>
      <c r="G47" s="4"/>
      <c r="H47" s="4"/>
      <c r="I47" s="4"/>
      <c r="J47" s="4"/>
      <c r="K47" s="4"/>
      <c r="L47" s="4"/>
      <c r="M47" s="4"/>
      <c r="N47" s="4"/>
      <c r="O47" s="4"/>
    </row>
    <row r="48" spans="2:17">
      <c r="B48" s="71"/>
      <c r="C48" s="71" t="s">
        <v>500</v>
      </c>
      <c r="D48" s="212"/>
      <c r="E48" s="938"/>
      <c r="F48" s="4"/>
      <c r="G48" s="4"/>
      <c r="H48" s="4"/>
      <c r="I48" s="4"/>
      <c r="J48" s="4"/>
      <c r="K48" s="4"/>
      <c r="L48" s="4"/>
      <c r="M48" s="4"/>
      <c r="N48" s="4"/>
      <c r="O48" s="4"/>
    </row>
    <row r="49" spans="2:15">
      <c r="B49" s="71"/>
      <c r="C49" s="71" t="s">
        <v>1061</v>
      </c>
      <c r="D49" s="216"/>
      <c r="E49" s="938"/>
      <c r="F49" s="2"/>
      <c r="G49" s="7"/>
      <c r="H49" s="4"/>
      <c r="I49" s="4"/>
      <c r="J49" s="4"/>
      <c r="K49" s="4"/>
      <c r="L49" s="4"/>
      <c r="M49" s="4"/>
      <c r="N49" s="4"/>
      <c r="O49" s="4"/>
    </row>
    <row r="50" spans="2:15">
      <c r="B50" s="72"/>
      <c r="C50" s="74" t="s">
        <v>1</v>
      </c>
      <c r="D50" s="214"/>
      <c r="E50" s="940"/>
      <c r="F50" s="4"/>
      <c r="G50" s="4"/>
      <c r="H50" s="4"/>
      <c r="I50" s="4"/>
      <c r="J50" s="4"/>
      <c r="K50" s="4"/>
      <c r="L50" s="4"/>
      <c r="M50" s="4"/>
      <c r="N50" s="4"/>
      <c r="O50" s="4"/>
    </row>
    <row r="51" spans="2:15">
      <c r="B51" s="75"/>
      <c r="C51" s="68" t="s">
        <v>35</v>
      </c>
      <c r="D51" s="220"/>
      <c r="E51" s="941">
        <f>E46-E48-E49</f>
        <v>96919615.457000002</v>
      </c>
      <c r="F51" s="4"/>
      <c r="G51" s="4"/>
      <c r="H51" s="4"/>
      <c r="I51" s="4"/>
      <c r="J51" s="4"/>
      <c r="K51" s="4"/>
      <c r="L51" s="4"/>
      <c r="M51" s="4"/>
      <c r="N51" s="4"/>
      <c r="O51" s="4"/>
    </row>
    <row r="52" spans="2:15">
      <c r="F52" s="7"/>
      <c r="G52" s="4"/>
      <c r="H52" s="4"/>
      <c r="I52" s="4"/>
      <c r="J52" s="4"/>
      <c r="K52" s="4"/>
      <c r="L52" s="4"/>
      <c r="M52" s="4"/>
      <c r="N52" s="4"/>
      <c r="O52" s="4"/>
    </row>
    <row r="56" spans="2:15">
      <c r="C56" s="22"/>
    </row>
    <row r="57" spans="2:15">
      <c r="C57" s="3"/>
    </row>
    <row r="58" spans="2:15">
      <c r="C58" s="3"/>
    </row>
    <row r="59" spans="2:15">
      <c r="C59" s="3"/>
      <c r="D59" s="5" t="s">
        <v>1496</v>
      </c>
    </row>
    <row r="60" spans="2:15">
      <c r="C60" s="3"/>
    </row>
    <row r="61" spans="2:15">
      <c r="C61" s="3"/>
    </row>
    <row r="62" spans="2:15">
      <c r="C62" s="22"/>
    </row>
    <row r="63" spans="2:15">
      <c r="C63" s="3"/>
    </row>
    <row r="64" spans="2:15">
      <c r="C64" s="3"/>
    </row>
    <row r="65" spans="3:3">
      <c r="C65" s="3"/>
    </row>
    <row r="66" spans="3:3">
      <c r="C66" s="3"/>
    </row>
    <row r="67" spans="3:3">
      <c r="C67" s="3"/>
    </row>
  </sheetData>
  <mergeCells count="1">
    <mergeCell ref="C2:E2"/>
  </mergeCells>
  <pageMargins left="0.33" right="0.25" top="1" bottom="1" header="0.5" footer="0.5"/>
  <pageSetup scale="81" orientation="portrait" r:id="rId1"/>
</worksheet>
</file>

<file path=xl/worksheets/sheet19.xml><?xml version="1.0" encoding="utf-8"?>
<worksheet xmlns="http://schemas.openxmlformats.org/spreadsheetml/2006/main" xmlns:r="http://schemas.openxmlformats.org/officeDocument/2006/relationships">
  <sheetPr enableFormatConditionsCalculation="0">
    <tabColor rgb="FF00B050"/>
  </sheetPr>
  <dimension ref="A1:K24"/>
  <sheetViews>
    <sheetView showGridLines="0" workbookViewId="0">
      <selection activeCell="B1" sqref="B1"/>
    </sheetView>
  </sheetViews>
  <sheetFormatPr defaultColWidth="8.85546875" defaultRowHeight="15.75"/>
  <cols>
    <col min="1" max="1" width="5.42578125" style="80" customWidth="1"/>
    <col min="2" max="2" width="129" style="80" customWidth="1"/>
    <col min="3" max="20" width="8.85546875" style="80"/>
    <col min="21" max="21" width="13.85546875" style="80" bestFit="1" customWidth="1"/>
    <col min="22" max="16384" width="8.85546875" style="80"/>
  </cols>
  <sheetData>
    <row r="1" spans="1:11">
      <c r="B1" s="24" t="s">
        <v>0</v>
      </c>
    </row>
    <row r="2" spans="1:11">
      <c r="A2" s="81"/>
      <c r="B2" s="82" t="s">
        <v>1090</v>
      </c>
    </row>
    <row r="3" spans="1:11">
      <c r="B3" s="83" t="s">
        <v>1080</v>
      </c>
      <c r="C3" s="83"/>
      <c r="D3" s="83"/>
      <c r="E3" s="83"/>
      <c r="F3" s="83"/>
    </row>
    <row r="4" spans="1:11" ht="31.5">
      <c r="B4" s="84" t="s">
        <v>1079</v>
      </c>
      <c r="C4" s="84"/>
      <c r="D4" s="84"/>
      <c r="E4" s="85"/>
      <c r="F4" s="85"/>
    </row>
    <row r="5" spans="1:11">
      <c r="B5" s="82" t="s">
        <v>408</v>
      </c>
      <c r="C5" s="82"/>
      <c r="D5" s="82"/>
      <c r="E5" s="82"/>
      <c r="F5" s="82"/>
    </row>
    <row r="6" spans="1:11" ht="31.5">
      <c r="B6" s="86" t="s">
        <v>1081</v>
      </c>
      <c r="C6" s="84"/>
      <c r="D6" s="84"/>
      <c r="E6" s="84"/>
      <c r="F6" s="84"/>
    </row>
    <row r="7" spans="1:11">
      <c r="B7" s="87" t="s">
        <v>1082</v>
      </c>
      <c r="C7" s="88"/>
      <c r="D7" s="88"/>
      <c r="E7" s="88"/>
      <c r="F7" s="88"/>
      <c r="G7" s="88"/>
      <c r="H7" s="88"/>
      <c r="I7" s="88"/>
      <c r="J7" s="88"/>
      <c r="K7" s="88"/>
    </row>
    <row r="8" spans="1:11">
      <c r="B8" s="87" t="s">
        <v>409</v>
      </c>
      <c r="C8" s="88"/>
      <c r="D8" s="88"/>
      <c r="E8" s="88"/>
      <c r="F8" s="88"/>
      <c r="G8" s="88"/>
      <c r="H8" s="88"/>
      <c r="I8" s="88"/>
      <c r="J8" s="88"/>
      <c r="K8" s="88"/>
    </row>
    <row r="9" spans="1:11" ht="47.25">
      <c r="B9" s="89" t="s">
        <v>1083</v>
      </c>
      <c r="C9" s="90"/>
      <c r="D9" s="90"/>
      <c r="E9" s="90"/>
      <c r="F9" s="90"/>
      <c r="G9" s="90"/>
      <c r="H9" s="90"/>
      <c r="I9" s="90"/>
      <c r="J9" s="90"/>
      <c r="K9" s="90"/>
    </row>
    <row r="10" spans="1:11">
      <c r="B10" s="91" t="s">
        <v>1084</v>
      </c>
      <c r="C10" s="91"/>
      <c r="D10" s="91"/>
      <c r="E10" s="91"/>
      <c r="F10" s="91"/>
      <c r="G10" s="91"/>
      <c r="H10" s="91"/>
      <c r="I10" s="91"/>
      <c r="J10" s="91"/>
      <c r="K10" s="91"/>
    </row>
    <row r="11" spans="1:11">
      <c r="B11" s="92" t="s">
        <v>1085</v>
      </c>
    </row>
    <row r="12" spans="1:11">
      <c r="B12" s="92" t="s">
        <v>410</v>
      </c>
    </row>
    <row r="13" spans="1:11" ht="105" customHeight="1">
      <c r="B13" s="93" t="s">
        <v>1086</v>
      </c>
    </row>
    <row r="14" spans="1:11">
      <c r="B14" s="92" t="s">
        <v>411</v>
      </c>
    </row>
    <row r="15" spans="1:11" ht="78.75">
      <c r="B15" s="80" t="s">
        <v>1087</v>
      </c>
    </row>
    <row r="17" spans="2:2">
      <c r="B17" s="92" t="s">
        <v>412</v>
      </c>
    </row>
    <row r="18" spans="2:2" ht="63">
      <c r="B18" s="80" t="s">
        <v>1088</v>
      </c>
    </row>
    <row r="20" spans="2:2">
      <c r="B20" s="92" t="s">
        <v>413</v>
      </c>
    </row>
    <row r="21" spans="2:2" ht="141.75">
      <c r="B21" s="94" t="s">
        <v>1089</v>
      </c>
    </row>
    <row r="23" spans="2:2">
      <c r="B23" s="92" t="s">
        <v>414</v>
      </c>
    </row>
    <row r="24" spans="2:2" ht="47.25">
      <c r="B24" s="80" t="s">
        <v>415</v>
      </c>
    </row>
  </sheetData>
  <pageMargins left="0.95" right="0.26" top="0.56000000000000005" bottom="0.2" header="0.05" footer="0.05"/>
  <pageSetup paperSize="9" scale="90" fitToWidth="0" fitToHeight="0"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theme="4"/>
  </sheetPr>
  <dimension ref="A1:XEW657"/>
  <sheetViews>
    <sheetView showGridLines="0" topLeftCell="A627" workbookViewId="0">
      <selection activeCell="A357" sqref="A357"/>
    </sheetView>
  </sheetViews>
  <sheetFormatPr defaultColWidth="9.140625" defaultRowHeight="15.75"/>
  <cols>
    <col min="1" max="1" width="13.28515625" style="41" bestFit="1" customWidth="1"/>
    <col min="2" max="2" width="48.7109375" style="55" bestFit="1" customWidth="1"/>
    <col min="3" max="4" width="19.42578125" style="40" bestFit="1" customWidth="1"/>
    <col min="5" max="5" width="15.28515625" style="3" bestFit="1" customWidth="1"/>
    <col min="6" max="6" width="15.42578125" style="3" bestFit="1" customWidth="1"/>
    <col min="7" max="16384" width="9.140625" style="3"/>
  </cols>
  <sheetData>
    <row r="1" spans="1:6" s="64" customFormat="1" ht="31.5">
      <c r="A1" s="61" t="s">
        <v>141</v>
      </c>
      <c r="B1" s="62" t="s">
        <v>142</v>
      </c>
      <c r="C1" s="63">
        <v>2019</v>
      </c>
      <c r="D1" s="63">
        <v>2018</v>
      </c>
      <c r="E1" s="64" t="s">
        <v>1497</v>
      </c>
    </row>
    <row r="2" spans="1:6" s="125" customFormat="1">
      <c r="A2" s="1176">
        <v>1101101000</v>
      </c>
      <c r="B2" s="1177" t="s">
        <v>436</v>
      </c>
      <c r="C2" s="1312">
        <f>IFERROR(VLOOKUP(A2,'SAP '!$A$3:$C$14709,3,0),0)</f>
        <v>-182445</v>
      </c>
      <c r="D2" s="1151">
        <v>0</v>
      </c>
      <c r="E2" s="125">
        <f>IFERROR(VLOOKUP($A2,'SAP '!$A$3:$D$391,3,0),0)</f>
        <v>-182445</v>
      </c>
      <c r="F2" s="1310">
        <f>C2-E2</f>
        <v>0</v>
      </c>
    </row>
    <row r="3" spans="1:6" s="125" customFormat="1">
      <c r="A3" s="1178">
        <v>1101101001</v>
      </c>
      <c r="B3" s="1178" t="s">
        <v>277</v>
      </c>
      <c r="C3" s="1312">
        <f>IFERROR(VLOOKUP(A3,'SAP '!$A$3:$C$14709,3,0),0)</f>
        <v>0</v>
      </c>
      <c r="D3" s="1151">
        <v>1209913.31</v>
      </c>
      <c r="E3" s="125">
        <f>IFERROR(VLOOKUP($A3,'SAP '!$A$3:$D$391,3,0),0)</f>
        <v>0</v>
      </c>
      <c r="F3" s="1310">
        <f t="shared" ref="F3:F66" si="0">C3-E3</f>
        <v>0</v>
      </c>
    </row>
    <row r="4" spans="1:6" s="125" customFormat="1">
      <c r="A4" s="1178">
        <v>1101101002</v>
      </c>
      <c r="B4" s="1178" t="s">
        <v>437</v>
      </c>
      <c r="C4" s="1312">
        <f>IFERROR(VLOOKUP(A4,'SAP '!$A$3:$C$14709,3,0),0)</f>
        <v>0</v>
      </c>
      <c r="D4" s="1151">
        <v>0</v>
      </c>
      <c r="E4" s="125">
        <f>IFERROR(VLOOKUP($A4,'SAP '!$A$3:$D$391,3,0),0)</f>
        <v>0</v>
      </c>
      <c r="F4" s="1310">
        <f t="shared" si="0"/>
        <v>0</v>
      </c>
    </row>
    <row r="5" spans="1:6" s="125" customFormat="1">
      <c r="A5" s="1178">
        <v>1101202000</v>
      </c>
      <c r="B5" s="1178" t="s">
        <v>278</v>
      </c>
      <c r="C5" s="1312">
        <f>IFERROR(VLOOKUP(A5,'SAP '!$A$3:$C$14709,3,0),0)</f>
        <v>0</v>
      </c>
      <c r="D5" s="1151">
        <v>0</v>
      </c>
      <c r="E5" s="125">
        <f>IFERROR(VLOOKUP($A5,'SAP '!$A$3:$D$391,3,0),0)</f>
        <v>0</v>
      </c>
      <c r="F5" s="1310">
        <f t="shared" si="0"/>
        <v>0</v>
      </c>
    </row>
    <row r="6" spans="1:6" s="125" customFormat="1">
      <c r="A6" s="1178">
        <v>1101202002</v>
      </c>
      <c r="B6" s="1178" t="s">
        <v>279</v>
      </c>
      <c r="C6" s="1312">
        <f>IFERROR(VLOOKUP(A6,'SAP '!$A$3:$C$14709,3,0),0)</f>
        <v>0</v>
      </c>
      <c r="D6" s="1151">
        <v>0</v>
      </c>
      <c r="E6" s="125">
        <f>IFERROR(VLOOKUP($A6,'SAP '!$A$3:$D$391,3,0),0)</f>
        <v>0</v>
      </c>
      <c r="F6" s="1310">
        <f t="shared" si="0"/>
        <v>0</v>
      </c>
    </row>
    <row r="7" spans="1:6" s="125" customFormat="1">
      <c r="A7" s="1178">
        <v>1101202010</v>
      </c>
      <c r="B7" s="1178" t="s">
        <v>280</v>
      </c>
      <c r="C7" s="1312">
        <f>IFERROR(VLOOKUP(A7,'SAP '!$A$3:$C$14709,3,0),0)</f>
        <v>310542806.67000002</v>
      </c>
      <c r="D7" s="1151">
        <v>262775503.93000001</v>
      </c>
      <c r="E7" s="125">
        <f>IFERROR(VLOOKUP($A7,'SAP '!$A$3:$D$391,3,0),0)</f>
        <v>310542806.67000002</v>
      </c>
      <c r="F7" s="1310">
        <f t="shared" si="0"/>
        <v>0</v>
      </c>
    </row>
    <row r="8" spans="1:6" s="125" customFormat="1">
      <c r="A8" s="1178">
        <v>1101202011</v>
      </c>
      <c r="B8" s="1178" t="s">
        <v>281</v>
      </c>
      <c r="C8" s="1312">
        <f>IFERROR(VLOOKUP(A8,'SAP '!$A$3:$C$14709,3,0),0)</f>
        <v>137622275.96000001</v>
      </c>
      <c r="D8" s="1151">
        <v>14338774.9</v>
      </c>
      <c r="E8" s="125">
        <f>IFERROR(VLOOKUP($A8,'SAP '!$A$3:$D$391,3,0),0)</f>
        <v>137622275.96000001</v>
      </c>
      <c r="F8" s="1310">
        <f t="shared" si="0"/>
        <v>0</v>
      </c>
    </row>
    <row r="9" spans="1:6" s="125" customFormat="1">
      <c r="A9" s="1178">
        <v>1101202012</v>
      </c>
      <c r="B9" s="1178" t="s">
        <v>282</v>
      </c>
      <c r="C9" s="1312">
        <f>IFERROR(VLOOKUP(A9,'SAP '!$A$3:$C$14709,3,0),0)</f>
        <v>-182453398.69999999</v>
      </c>
      <c r="D9" s="1151">
        <v>-32979256.289999999</v>
      </c>
      <c r="E9" s="125">
        <f>IFERROR(VLOOKUP($A9,'SAP '!$A$3:$D$391,3,0),0)</f>
        <v>-182453398.69999999</v>
      </c>
      <c r="F9" s="1310">
        <f t="shared" si="0"/>
        <v>0</v>
      </c>
    </row>
    <row r="10" spans="1:6" s="125" customFormat="1">
      <c r="A10" s="1178">
        <v>1101202020</v>
      </c>
      <c r="B10" s="1178" t="s">
        <v>283</v>
      </c>
      <c r="C10" s="1312">
        <f>IFERROR(VLOOKUP(A10,'SAP '!$A$3:$C$14709,3,0),0)</f>
        <v>15109390.890000001</v>
      </c>
      <c r="D10" s="1151">
        <v>20335290.899999999</v>
      </c>
      <c r="E10" s="125">
        <f>IFERROR(VLOOKUP($A10,'SAP '!$A$3:$D$391,3,0),0)</f>
        <v>15109390.890000001</v>
      </c>
      <c r="F10" s="1310">
        <f t="shared" si="0"/>
        <v>0</v>
      </c>
    </row>
    <row r="11" spans="1:6" s="125" customFormat="1">
      <c r="A11" s="1178">
        <v>1101202021</v>
      </c>
      <c r="B11" s="1178" t="s">
        <v>417</v>
      </c>
      <c r="C11" s="1312">
        <f>IFERROR(VLOOKUP(A11,'SAP '!$A$3:$C$14709,3,0),0)</f>
        <v>0</v>
      </c>
      <c r="D11" s="1151">
        <v>0</v>
      </c>
      <c r="E11" s="125">
        <f>IFERROR(VLOOKUP($A11,'SAP '!$A$3:$D$391,3,0),0)</f>
        <v>0</v>
      </c>
      <c r="F11" s="1310">
        <f t="shared" si="0"/>
        <v>0</v>
      </c>
    </row>
    <row r="12" spans="1:6" s="125" customFormat="1">
      <c r="A12" s="1178">
        <v>1101202022</v>
      </c>
      <c r="B12" s="1178" t="s">
        <v>284</v>
      </c>
      <c r="C12" s="1312">
        <f>IFERROR(VLOOKUP(A12,'SAP '!$A$3:$C$14709,3,0),0)</f>
        <v>-14096802.800000001</v>
      </c>
      <c r="D12" s="1151">
        <v>-19083464</v>
      </c>
      <c r="E12" s="125">
        <f>IFERROR(VLOOKUP($A12,'SAP '!$A$3:$D$391,3,0),0)</f>
        <v>-14096802.800000001</v>
      </c>
      <c r="F12" s="1310">
        <f t="shared" si="0"/>
        <v>0</v>
      </c>
    </row>
    <row r="13" spans="1:6" s="125" customFormat="1">
      <c r="A13" s="1178">
        <v>1101202030</v>
      </c>
      <c r="B13" s="1178" t="s">
        <v>285</v>
      </c>
      <c r="C13" s="1312">
        <f>IFERROR(VLOOKUP(A13,'SAP '!$A$3:$C$14709,3,0),0)</f>
        <v>5909500.1200000001</v>
      </c>
      <c r="D13" s="1151">
        <v>5023601.2300000004</v>
      </c>
      <c r="E13" s="125">
        <f>IFERROR(VLOOKUP($A13,'SAP '!$A$3:$D$391,3,0),0)</f>
        <v>5909500.1200000001</v>
      </c>
      <c r="F13" s="1310">
        <f t="shared" si="0"/>
        <v>0</v>
      </c>
    </row>
    <row r="14" spans="1:6" s="125" customFormat="1">
      <c r="A14" s="1178">
        <v>1101202031</v>
      </c>
      <c r="B14" s="1178" t="s">
        <v>438</v>
      </c>
      <c r="C14" s="1312">
        <f>IFERROR(VLOOKUP(A14,'SAP '!$A$3:$C$14709,3,0),0)</f>
        <v>0</v>
      </c>
      <c r="D14" s="1151">
        <v>0</v>
      </c>
      <c r="E14" s="125">
        <f>IFERROR(VLOOKUP($A14,'SAP '!$A$3:$D$391,3,0),0)</f>
        <v>0</v>
      </c>
      <c r="F14" s="1310">
        <f t="shared" si="0"/>
        <v>0</v>
      </c>
    </row>
    <row r="15" spans="1:6" s="125" customFormat="1">
      <c r="A15" s="1178">
        <v>1101202032</v>
      </c>
      <c r="B15" s="1178" t="s">
        <v>439</v>
      </c>
      <c r="C15" s="1312">
        <f>IFERROR(VLOOKUP(A15,'SAP '!$A$3:$C$14709,3,0),0)</f>
        <v>0</v>
      </c>
      <c r="D15" s="1151">
        <v>0</v>
      </c>
      <c r="E15" s="125">
        <f>IFERROR(VLOOKUP($A15,'SAP '!$A$3:$D$391,3,0),0)</f>
        <v>0</v>
      </c>
      <c r="F15" s="1310">
        <f t="shared" si="0"/>
        <v>0</v>
      </c>
    </row>
    <row r="16" spans="1:6" s="125" customFormat="1">
      <c r="A16" s="1178">
        <v>1101202040</v>
      </c>
      <c r="B16" s="1178" t="s">
        <v>286</v>
      </c>
      <c r="C16" s="1312">
        <f>IFERROR(VLOOKUP(A16,'SAP '!$A$3:$C$14709,3,0),0)</f>
        <v>15288800.060000001</v>
      </c>
      <c r="D16" s="1151">
        <v>15288800.060000001</v>
      </c>
      <c r="E16" s="125">
        <f>IFERROR(VLOOKUP($A16,'SAP '!$A$3:$D$391,3,0),0)</f>
        <v>15288800.060000001</v>
      </c>
      <c r="F16" s="1310">
        <f t="shared" si="0"/>
        <v>0</v>
      </c>
    </row>
    <row r="17" spans="1:6" s="125" customFormat="1">
      <c r="A17" s="1178">
        <v>1101202041</v>
      </c>
      <c r="B17" s="1178" t="s">
        <v>440</v>
      </c>
      <c r="C17" s="1312">
        <f>IFERROR(VLOOKUP(A17,'SAP '!$A$3:$C$14709,3,0),0)</f>
        <v>3271986.52</v>
      </c>
      <c r="D17" s="1151">
        <v>0</v>
      </c>
      <c r="E17" s="125">
        <f>IFERROR(VLOOKUP($A17,'SAP '!$A$3:$D$391,3,0),0)</f>
        <v>3271986.52</v>
      </c>
      <c r="F17" s="1310">
        <f t="shared" si="0"/>
        <v>0</v>
      </c>
    </row>
    <row r="18" spans="1:6" s="125" customFormat="1">
      <c r="A18" s="1178">
        <v>1101202042</v>
      </c>
      <c r="B18" s="1178" t="s">
        <v>441</v>
      </c>
      <c r="C18" s="1312">
        <f>IFERROR(VLOOKUP(A18,'SAP '!$A$3:$C$14709,3,0),0)</f>
        <v>0</v>
      </c>
      <c r="D18" s="1151">
        <v>0</v>
      </c>
      <c r="E18" s="125">
        <f>IFERROR(VLOOKUP($A18,'SAP '!$A$3:$D$391,3,0),0)</f>
        <v>0</v>
      </c>
      <c r="F18" s="1310">
        <f t="shared" si="0"/>
        <v>0</v>
      </c>
    </row>
    <row r="19" spans="1:6" s="125" customFormat="1">
      <c r="A19" s="1178">
        <v>1101202050</v>
      </c>
      <c r="B19" s="1178" t="s">
        <v>442</v>
      </c>
      <c r="C19" s="1312">
        <f>IFERROR(VLOOKUP(A19,'SAP '!$A$3:$C$14709,3,0),0)</f>
        <v>0</v>
      </c>
      <c r="D19" s="1151">
        <v>0</v>
      </c>
      <c r="E19" s="125">
        <f>IFERROR(VLOOKUP($A19,'SAP '!$A$3:$D$391,3,0),0)</f>
        <v>0</v>
      </c>
      <c r="F19" s="1310">
        <f t="shared" si="0"/>
        <v>0</v>
      </c>
    </row>
    <row r="20" spans="1:6" s="125" customFormat="1">
      <c r="A20" s="1178">
        <v>1101202051</v>
      </c>
      <c r="B20" s="1178" t="s">
        <v>443</v>
      </c>
      <c r="C20" s="1312">
        <f>IFERROR(VLOOKUP(A20,'SAP '!$A$3:$C$14709,3,0),0)</f>
        <v>0</v>
      </c>
      <c r="D20" s="1151">
        <v>0</v>
      </c>
      <c r="E20" s="125">
        <f>IFERROR(VLOOKUP($A20,'SAP '!$A$3:$D$391,3,0),0)</f>
        <v>0</v>
      </c>
      <c r="F20" s="1310">
        <f t="shared" si="0"/>
        <v>0</v>
      </c>
    </row>
    <row r="21" spans="1:6" s="125" customFormat="1">
      <c r="A21" s="1178">
        <v>1101202052</v>
      </c>
      <c r="B21" s="1178" t="s">
        <v>444</v>
      </c>
      <c r="C21" s="1312">
        <f>IFERROR(VLOOKUP(A21,'SAP '!$A$3:$C$14709,3,0),0)</f>
        <v>0</v>
      </c>
      <c r="D21" s="1151">
        <v>0</v>
      </c>
      <c r="E21" s="125">
        <f>IFERROR(VLOOKUP($A21,'SAP '!$A$3:$D$391,3,0),0)</f>
        <v>0</v>
      </c>
      <c r="F21" s="1310">
        <f t="shared" si="0"/>
        <v>0</v>
      </c>
    </row>
    <row r="22" spans="1:6" s="125" customFormat="1">
      <c r="A22" s="1178">
        <v>1101202060</v>
      </c>
      <c r="B22" s="1178" t="s">
        <v>287</v>
      </c>
      <c r="C22" s="1312">
        <f>IFERROR(VLOOKUP(A22,'SAP '!$A$3:$C$14709,3,0),0)</f>
        <v>76449.11</v>
      </c>
      <c r="D22" s="1151">
        <v>633637.36</v>
      </c>
      <c r="E22" s="125">
        <f>IFERROR(VLOOKUP($A22,'SAP '!$A$3:$D$391,3,0),0)</f>
        <v>76449.11</v>
      </c>
      <c r="F22" s="1310">
        <f t="shared" si="0"/>
        <v>0</v>
      </c>
    </row>
    <row r="23" spans="1:6" s="125" customFormat="1">
      <c r="A23" s="1178">
        <v>1101202061</v>
      </c>
      <c r="B23" s="1178" t="s">
        <v>445</v>
      </c>
      <c r="C23" s="1312">
        <f>IFERROR(VLOOKUP(A23,'SAP '!$A$3:$C$14709,3,0),0)</f>
        <v>0</v>
      </c>
      <c r="D23" s="1151">
        <v>0</v>
      </c>
      <c r="E23" s="125">
        <f>IFERROR(VLOOKUP($A23,'SAP '!$A$3:$D$391,3,0),0)</f>
        <v>0</v>
      </c>
      <c r="F23" s="1310">
        <f t="shared" si="0"/>
        <v>0</v>
      </c>
    </row>
    <row r="24" spans="1:6" s="125" customFormat="1">
      <c r="A24" s="1178">
        <v>1101202062</v>
      </c>
      <c r="B24" s="1178" t="s">
        <v>446</v>
      </c>
      <c r="C24" s="1312">
        <f>IFERROR(VLOOKUP(A24,'SAP '!$A$3:$C$14709,3,0),0)</f>
        <v>0</v>
      </c>
      <c r="D24" s="1151">
        <v>0</v>
      </c>
      <c r="E24" s="125">
        <f>IFERROR(VLOOKUP($A24,'SAP '!$A$3:$D$391,3,0),0)</f>
        <v>0</v>
      </c>
      <c r="F24" s="1310">
        <f t="shared" si="0"/>
        <v>0</v>
      </c>
    </row>
    <row r="25" spans="1:6" s="125" customFormat="1">
      <c r="A25" s="1178">
        <v>1101202070</v>
      </c>
      <c r="B25" s="1178" t="s">
        <v>288</v>
      </c>
      <c r="C25" s="1312">
        <f>IFERROR(VLOOKUP(A25,'SAP '!$A$3:$C$14709,3,0),0)</f>
        <v>27854528.120000001</v>
      </c>
      <c r="D25" s="1151">
        <v>27635654.760000002</v>
      </c>
      <c r="E25" s="125">
        <f>IFERROR(VLOOKUP($A25,'SAP '!$A$3:$D$391,3,0),0)</f>
        <v>27854528.120000001</v>
      </c>
      <c r="F25" s="1310">
        <f t="shared" si="0"/>
        <v>0</v>
      </c>
    </row>
    <row r="26" spans="1:6" s="125" customFormat="1">
      <c r="A26" s="1178">
        <v>1101202071</v>
      </c>
      <c r="B26" s="1178" t="s">
        <v>418</v>
      </c>
      <c r="C26" s="1312">
        <f>IFERROR(VLOOKUP(A26,'SAP '!$A$3:$C$14709,3,0),0)</f>
        <v>0</v>
      </c>
      <c r="D26" s="1151">
        <v>0</v>
      </c>
      <c r="E26" s="125">
        <f>IFERROR(VLOOKUP($A26,'SAP '!$A$3:$D$391,3,0),0)</f>
        <v>0</v>
      </c>
      <c r="F26" s="1310">
        <f t="shared" si="0"/>
        <v>0</v>
      </c>
    </row>
    <row r="27" spans="1:6" s="125" customFormat="1">
      <c r="A27" s="1178">
        <v>1101202072</v>
      </c>
      <c r="B27" s="1178" t="s">
        <v>447</v>
      </c>
      <c r="C27" s="1312">
        <f>IFERROR(VLOOKUP(A27,'SAP '!$A$3:$C$14709,3,0),0)</f>
        <v>0</v>
      </c>
      <c r="D27" s="1151">
        <v>0</v>
      </c>
      <c r="E27" s="125">
        <f>IFERROR(VLOOKUP($A27,'SAP '!$A$3:$D$391,3,0),0)</f>
        <v>0</v>
      </c>
      <c r="F27" s="1310">
        <f t="shared" si="0"/>
        <v>0</v>
      </c>
    </row>
    <row r="28" spans="1:6" s="125" customFormat="1">
      <c r="A28" s="1178">
        <v>1101202080</v>
      </c>
      <c r="B28" s="1178" t="s">
        <v>289</v>
      </c>
      <c r="C28" s="1312">
        <f>IFERROR(VLOOKUP(A28,'SAP '!$A$3:$C$14709,3,0),0)</f>
        <v>480329706.56</v>
      </c>
      <c r="D28" s="1151">
        <v>301580424.23000002</v>
      </c>
      <c r="E28" s="125">
        <f>IFERROR(VLOOKUP($A28,'SAP '!$A$3:$D$391,3,0),0)</f>
        <v>480329706.56</v>
      </c>
      <c r="F28" s="1310">
        <f t="shared" si="0"/>
        <v>0</v>
      </c>
    </row>
    <row r="29" spans="1:6" s="125" customFormat="1">
      <c r="A29" s="1178">
        <v>1101202081</v>
      </c>
      <c r="B29" s="1178" t="s">
        <v>702</v>
      </c>
      <c r="C29" s="1312">
        <f>IFERROR(VLOOKUP(A29,'SAP '!$A$3:$C$14709,3,0),0)</f>
        <v>25614.17</v>
      </c>
      <c r="D29" s="1151">
        <v>3603857.28</v>
      </c>
      <c r="E29" s="125">
        <f>IFERROR(VLOOKUP($A29,'SAP '!$A$3:$D$391,3,0),0)</f>
        <v>25614.17</v>
      </c>
      <c r="F29" s="1310">
        <f t="shared" si="0"/>
        <v>0</v>
      </c>
    </row>
    <row r="30" spans="1:6" s="125" customFormat="1">
      <c r="A30" s="1178">
        <v>1101202082</v>
      </c>
      <c r="B30" s="1178" t="s">
        <v>703</v>
      </c>
      <c r="C30" s="1312">
        <f>IFERROR(VLOOKUP(A30,'SAP '!$A$3:$C$14709,3,0),0)</f>
        <v>-19435359</v>
      </c>
      <c r="D30" s="1151">
        <v>-19893660.829999998</v>
      </c>
      <c r="E30" s="125">
        <f>IFERROR(VLOOKUP($A30,'SAP '!$A$3:$D$391,3,0),0)</f>
        <v>-19435359</v>
      </c>
      <c r="F30" s="1310">
        <f t="shared" si="0"/>
        <v>0</v>
      </c>
    </row>
    <row r="31" spans="1:6" s="125" customFormat="1">
      <c r="A31" s="1178">
        <v>1101202090</v>
      </c>
      <c r="B31" s="1178" t="s">
        <v>704</v>
      </c>
      <c r="C31" s="1312">
        <f>IFERROR(VLOOKUP(A31,'SAP '!$A$3:$C$14709,3,0),0)</f>
        <v>1000</v>
      </c>
      <c r="D31" s="1151">
        <v>1000</v>
      </c>
      <c r="E31" s="125">
        <f>IFERROR(VLOOKUP($A31,'SAP '!$A$3:$D$391,3,0),0)</f>
        <v>1000</v>
      </c>
      <c r="F31" s="1310">
        <f t="shared" si="0"/>
        <v>0</v>
      </c>
    </row>
    <row r="32" spans="1:6" s="125" customFormat="1">
      <c r="A32" s="1178">
        <v>1101202091</v>
      </c>
      <c r="B32" s="1178" t="s">
        <v>866</v>
      </c>
      <c r="C32" s="1312">
        <f>IFERROR(VLOOKUP(A32,'SAP '!$A$3:$C$14709,3,0),0)</f>
        <v>0</v>
      </c>
      <c r="D32" s="1151">
        <v>0</v>
      </c>
      <c r="E32" s="125">
        <f>IFERROR(VLOOKUP($A32,'SAP '!$A$3:$D$391,3,0),0)</f>
        <v>0</v>
      </c>
      <c r="F32" s="1310">
        <f t="shared" si="0"/>
        <v>0</v>
      </c>
    </row>
    <row r="33" spans="1:6" s="125" customFormat="1">
      <c r="A33" s="1178">
        <v>1101202092</v>
      </c>
      <c r="B33" s="1178" t="s">
        <v>871</v>
      </c>
      <c r="C33" s="1312">
        <f>IFERROR(VLOOKUP(A33,'SAP '!$A$3:$C$14709,3,0),0)</f>
        <v>0</v>
      </c>
      <c r="D33" s="1151">
        <v>0</v>
      </c>
      <c r="E33" s="125">
        <f>IFERROR(VLOOKUP($A33,'SAP '!$A$3:$D$391,3,0),0)</f>
        <v>0</v>
      </c>
      <c r="F33" s="1310">
        <f t="shared" si="0"/>
        <v>0</v>
      </c>
    </row>
    <row r="34" spans="1:6" s="125" customFormat="1">
      <c r="A34" s="1178">
        <v>1101202100</v>
      </c>
      <c r="B34" s="1178" t="s">
        <v>705</v>
      </c>
      <c r="C34" s="1312">
        <f>IFERROR(VLOOKUP(A34,'SAP '!$A$3:$C$14709,3,0),0)</f>
        <v>13447</v>
      </c>
      <c r="D34" s="1151">
        <v>13447</v>
      </c>
      <c r="E34" s="125">
        <f>IFERROR(VLOOKUP($A34,'SAP '!$A$3:$D$391,3,0),0)</f>
        <v>13447</v>
      </c>
      <c r="F34" s="1310">
        <f t="shared" si="0"/>
        <v>0</v>
      </c>
    </row>
    <row r="35" spans="1:6" s="125" customFormat="1">
      <c r="A35" s="1178">
        <v>1101202101</v>
      </c>
      <c r="B35" s="1178" t="s">
        <v>706</v>
      </c>
      <c r="C35" s="1312">
        <f>IFERROR(VLOOKUP(A35,'SAP '!$A$3:$C$14709,3,0),0)</f>
        <v>140688</v>
      </c>
      <c r="D35" s="1151">
        <v>73238</v>
      </c>
      <c r="E35" s="125">
        <f>IFERROR(VLOOKUP($A35,'SAP '!$A$3:$D$391,3,0),0)</f>
        <v>140688</v>
      </c>
      <c r="F35" s="1310">
        <f t="shared" si="0"/>
        <v>0</v>
      </c>
    </row>
    <row r="36" spans="1:6" s="125" customFormat="1">
      <c r="A36" s="1178">
        <v>1101202102</v>
      </c>
      <c r="B36" s="1178" t="s">
        <v>861</v>
      </c>
      <c r="C36" s="1312">
        <f>IFERROR(VLOOKUP(A36,'SAP '!$A$3:$C$14709,3,0),0)</f>
        <v>-108407</v>
      </c>
      <c r="D36" s="1151">
        <v>0</v>
      </c>
      <c r="E36" s="125">
        <f>IFERROR(VLOOKUP($A36,'SAP '!$A$3:$D$391,3,0),0)</f>
        <v>-108407</v>
      </c>
      <c r="F36" s="1310">
        <f t="shared" si="0"/>
        <v>0</v>
      </c>
    </row>
    <row r="37" spans="1:6" s="125" customFormat="1">
      <c r="A37" s="1178">
        <v>1101202110</v>
      </c>
      <c r="B37" s="1178" t="s">
        <v>707</v>
      </c>
      <c r="C37" s="1312">
        <f>IFERROR(VLOOKUP(A37,'SAP '!$A$3:$C$14709,3,0),0)</f>
        <v>1000</v>
      </c>
      <c r="D37" s="1151">
        <v>1000</v>
      </c>
      <c r="E37" s="125">
        <f>IFERROR(VLOOKUP($A37,'SAP '!$A$3:$D$391,3,0),0)</f>
        <v>1000</v>
      </c>
      <c r="F37" s="1310">
        <f t="shared" si="0"/>
        <v>0</v>
      </c>
    </row>
    <row r="38" spans="1:6" s="125" customFormat="1">
      <c r="A38" s="1178">
        <v>1101202111</v>
      </c>
      <c r="B38" s="1178" t="s">
        <v>708</v>
      </c>
      <c r="C38" s="1312">
        <f>IFERROR(VLOOKUP(A38,'SAP '!$A$3:$C$14709,3,0),0)</f>
        <v>0</v>
      </c>
      <c r="D38" s="1151">
        <v>0</v>
      </c>
      <c r="E38" s="125">
        <f>IFERROR(VLOOKUP($A38,'SAP '!$A$3:$D$391,3,0),0)</f>
        <v>0</v>
      </c>
      <c r="F38" s="1310">
        <f t="shared" si="0"/>
        <v>0</v>
      </c>
    </row>
    <row r="39" spans="1:6" s="125" customFormat="1">
      <c r="A39" s="1178">
        <v>1101202112</v>
      </c>
      <c r="B39" s="1178" t="s">
        <v>862</v>
      </c>
      <c r="C39" s="1312">
        <f>IFERROR(VLOOKUP(A39,'SAP '!$A$3:$C$14709,3,0),0)</f>
        <v>0</v>
      </c>
      <c r="D39" s="1151">
        <v>0</v>
      </c>
      <c r="E39" s="125">
        <f>IFERROR(VLOOKUP($A39,'SAP '!$A$3:$D$391,3,0),0)</f>
        <v>0</v>
      </c>
      <c r="F39" s="1310">
        <f t="shared" si="0"/>
        <v>0</v>
      </c>
    </row>
    <row r="40" spans="1:6" s="125" customFormat="1">
      <c r="A40" s="1178">
        <v>1101202120</v>
      </c>
      <c r="B40" s="1178" t="s">
        <v>709</v>
      </c>
      <c r="C40" s="1312">
        <f>IFERROR(VLOOKUP(A40,'SAP '!$A$3:$C$14709,3,0),0)</f>
        <v>1534863.87</v>
      </c>
      <c r="D40" s="1151">
        <v>819407.91</v>
      </c>
      <c r="E40" s="125">
        <f>IFERROR(VLOOKUP($A40,'SAP '!$A$3:$D$391,3,0),0)</f>
        <v>1534863.87</v>
      </c>
      <c r="F40" s="1310">
        <f t="shared" si="0"/>
        <v>0</v>
      </c>
    </row>
    <row r="41" spans="1:6" s="125" customFormat="1">
      <c r="A41" s="1178">
        <v>1101202121</v>
      </c>
      <c r="B41" s="1178" t="s">
        <v>710</v>
      </c>
      <c r="C41" s="1312">
        <f>IFERROR(VLOOKUP(A41,'SAP '!$A$3:$C$14709,3,0),0)</f>
        <v>8232735.2999999998</v>
      </c>
      <c r="D41" s="1151">
        <v>29405.85</v>
      </c>
      <c r="E41" s="125">
        <f>IFERROR(VLOOKUP($A41,'SAP '!$A$3:$D$391,3,0),0)</f>
        <v>8232735.2999999998</v>
      </c>
      <c r="F41" s="1310">
        <f t="shared" si="0"/>
        <v>0</v>
      </c>
    </row>
    <row r="42" spans="1:6" s="125" customFormat="1">
      <c r="A42" s="1178">
        <v>1101202122</v>
      </c>
      <c r="B42" s="1178" t="s">
        <v>883</v>
      </c>
      <c r="C42" s="1312">
        <f>IFERROR(VLOOKUP(A42,'SAP '!$A$3:$C$14709,3,0),0)</f>
        <v>-8382900.9699999997</v>
      </c>
      <c r="D42" s="1151">
        <v>0</v>
      </c>
      <c r="E42" s="125">
        <f>IFERROR(VLOOKUP($A42,'SAP '!$A$3:$D$391,3,0),0)</f>
        <v>-8382900.9699999997</v>
      </c>
      <c r="F42" s="1310">
        <f t="shared" si="0"/>
        <v>0</v>
      </c>
    </row>
    <row r="43" spans="1:6" s="125" customFormat="1">
      <c r="A43" s="1178">
        <v>1101202130</v>
      </c>
      <c r="B43" s="1178" t="s">
        <v>711</v>
      </c>
      <c r="C43" s="1312">
        <f>IFERROR(VLOOKUP(A43,'SAP '!$A$3:$C$14709,3,0),0)</f>
        <v>1000</v>
      </c>
      <c r="D43" s="1151">
        <v>22458.38</v>
      </c>
      <c r="E43" s="125">
        <f>IFERROR(VLOOKUP($A43,'SAP '!$A$3:$D$391,3,0),0)</f>
        <v>1000</v>
      </c>
      <c r="F43" s="1310">
        <f t="shared" si="0"/>
        <v>0</v>
      </c>
    </row>
    <row r="44" spans="1:6" s="125" customFormat="1">
      <c r="A44" s="1178">
        <v>1101202131</v>
      </c>
      <c r="B44" s="1178" t="s">
        <v>867</v>
      </c>
      <c r="C44" s="1312">
        <f>IFERROR(VLOOKUP(A44,'SAP '!$A$3:$C$14709,3,0),0)</f>
        <v>15858.63</v>
      </c>
      <c r="D44" s="1151">
        <v>1598.62</v>
      </c>
      <c r="E44" s="125">
        <f>IFERROR(VLOOKUP($A44,'SAP '!$A$3:$D$391,3,0),0)</f>
        <v>15858.63</v>
      </c>
      <c r="F44" s="1310">
        <f t="shared" si="0"/>
        <v>0</v>
      </c>
    </row>
    <row r="45" spans="1:6" s="125" customFormat="1">
      <c r="A45" s="1178">
        <v>1101202132</v>
      </c>
      <c r="B45" s="1178" t="s">
        <v>884</v>
      </c>
      <c r="C45" s="1312">
        <f>IFERROR(VLOOKUP(A45,'SAP '!$A$3:$C$14709,3,0),0)</f>
        <v>-390.6</v>
      </c>
      <c r="D45" s="1151">
        <v>0</v>
      </c>
      <c r="E45" s="125">
        <f>IFERROR(VLOOKUP($A45,'SAP '!$A$3:$D$391,3,0),0)</f>
        <v>-390.6</v>
      </c>
      <c r="F45" s="1310">
        <f t="shared" si="0"/>
        <v>0</v>
      </c>
    </row>
    <row r="46" spans="1:6" s="125" customFormat="1">
      <c r="A46" s="1179">
        <v>1101202140</v>
      </c>
      <c r="B46" s="1179" t="s">
        <v>1054</v>
      </c>
      <c r="C46" s="1312">
        <f>IFERROR(VLOOKUP(A46,'SAP '!$A$3:$C$14709,3,0),0)</f>
        <v>-13239.18</v>
      </c>
      <c r="D46" s="1151">
        <v>0</v>
      </c>
      <c r="E46" s="125">
        <f>IFERROR(VLOOKUP($A46,'SAP '!$A$3:$D$391,3,0),0)</f>
        <v>-13239.18</v>
      </c>
      <c r="F46" s="1310">
        <f t="shared" si="0"/>
        <v>0</v>
      </c>
    </row>
    <row r="47" spans="1:6" s="125" customFormat="1">
      <c r="A47" s="1180">
        <v>1101202141</v>
      </c>
      <c r="B47" s="1179" t="s">
        <v>1043</v>
      </c>
      <c r="C47" s="1312">
        <f>IFERROR(VLOOKUP(A47,'SAP '!$A$3:$C$14709,3,0),0)</f>
        <v>2152811</v>
      </c>
      <c r="D47" s="1151">
        <v>506387</v>
      </c>
      <c r="E47" s="125">
        <f>IFERROR(VLOOKUP($A47,'SAP '!$A$3:$D$391,3,0),0)</f>
        <v>2152811</v>
      </c>
      <c r="F47" s="1310">
        <f t="shared" si="0"/>
        <v>0</v>
      </c>
    </row>
    <row r="48" spans="1:6" s="125" customFormat="1">
      <c r="A48" s="1180">
        <v>1101202142</v>
      </c>
      <c r="B48" s="1179" t="s">
        <v>1055</v>
      </c>
      <c r="C48" s="1312">
        <f>IFERROR(VLOOKUP(A48,'SAP '!$A$3:$C$14709,3,0),0)</f>
        <v>-17696.2</v>
      </c>
      <c r="D48" s="1151">
        <v>0</v>
      </c>
      <c r="E48" s="125">
        <f>IFERROR(VLOOKUP($A48,'SAP '!$A$3:$D$391,3,0),0)</f>
        <v>-17696.2</v>
      </c>
      <c r="F48" s="1310">
        <f t="shared" si="0"/>
        <v>0</v>
      </c>
    </row>
    <row r="49" spans="1:6" s="125" customFormat="1">
      <c r="A49" s="1178">
        <v>1101203000</v>
      </c>
      <c r="B49" s="1178" t="s">
        <v>712</v>
      </c>
      <c r="C49" s="1312">
        <f>IFERROR(VLOOKUP(A49,'SAP '!$A$3:$C$14709,3,0),0)</f>
        <v>1802732.25</v>
      </c>
      <c r="D49" s="1151">
        <v>134885</v>
      </c>
      <c r="E49" s="125">
        <f>IFERROR(VLOOKUP($A49,'SAP '!$A$3:$D$391,3,0),0)</f>
        <v>1802732.25</v>
      </c>
      <c r="F49" s="1310">
        <f t="shared" si="0"/>
        <v>0</v>
      </c>
    </row>
    <row r="50" spans="1:6" s="125" customFormat="1">
      <c r="A50" s="1178">
        <v>1101203001</v>
      </c>
      <c r="B50" s="1178" t="s">
        <v>713</v>
      </c>
      <c r="C50" s="1312">
        <f>IFERROR(VLOOKUP(A50,'SAP '!$A$3:$C$14709,3,0),0)</f>
        <v>298204.83</v>
      </c>
      <c r="D50" s="1151">
        <v>604031</v>
      </c>
      <c r="E50" s="125">
        <f>IFERROR(VLOOKUP($A50,'SAP '!$A$3:$D$391,3,0),0)</f>
        <v>298204.83</v>
      </c>
      <c r="F50" s="1310">
        <f t="shared" si="0"/>
        <v>0</v>
      </c>
    </row>
    <row r="51" spans="1:6" s="125" customFormat="1">
      <c r="A51" s="1178">
        <v>1101203002</v>
      </c>
      <c r="B51" s="1178" t="s">
        <v>885</v>
      </c>
      <c r="C51" s="1312">
        <f>IFERROR(VLOOKUP(A51,'SAP '!$A$3:$C$14709,3,0),0)</f>
        <v>0</v>
      </c>
      <c r="D51" s="1151">
        <v>0</v>
      </c>
      <c r="E51" s="125">
        <f>IFERROR(VLOOKUP($A51,'SAP '!$A$3:$D$391,3,0),0)</f>
        <v>0</v>
      </c>
      <c r="F51" s="1310">
        <f t="shared" si="0"/>
        <v>0</v>
      </c>
    </row>
    <row r="52" spans="1:6" s="125" customFormat="1">
      <c r="A52" s="1178">
        <v>1101203010</v>
      </c>
      <c r="B52" s="1178" t="s">
        <v>714</v>
      </c>
      <c r="C52" s="1312">
        <f>IFERROR(VLOOKUP(A52,'SAP '!$A$3:$C$14709,3,0),0)</f>
        <v>1688285.5</v>
      </c>
      <c r="D52" s="1151">
        <v>2148880.91</v>
      </c>
      <c r="E52" s="125">
        <f>IFERROR(VLOOKUP($A52,'SAP '!$A$3:$D$391,3,0),0)</f>
        <v>1688285.5</v>
      </c>
      <c r="F52" s="1310">
        <f t="shared" si="0"/>
        <v>0</v>
      </c>
    </row>
    <row r="53" spans="1:6" s="125" customFormat="1">
      <c r="A53" s="1178">
        <v>1101203011</v>
      </c>
      <c r="B53" s="1178" t="s">
        <v>715</v>
      </c>
      <c r="C53" s="1312">
        <f>IFERROR(VLOOKUP(A53,'SAP '!$A$3:$C$14709,3,0),0)</f>
        <v>105006.44</v>
      </c>
      <c r="D53" s="1151">
        <v>254948.79</v>
      </c>
      <c r="E53" s="125">
        <f>IFERROR(VLOOKUP($A53,'SAP '!$A$3:$D$391,3,0),0)</f>
        <v>105006.44</v>
      </c>
      <c r="F53" s="1310">
        <f t="shared" si="0"/>
        <v>0</v>
      </c>
    </row>
    <row r="54" spans="1:6" s="125" customFormat="1">
      <c r="A54" s="1178">
        <v>1101203012</v>
      </c>
      <c r="B54" s="1178" t="s">
        <v>886</v>
      </c>
      <c r="C54" s="1312">
        <f>IFERROR(VLOOKUP(A54,'SAP '!$A$3:$C$14709,3,0),0)</f>
        <v>0</v>
      </c>
      <c r="D54" s="1151">
        <v>0</v>
      </c>
      <c r="E54" s="125">
        <f>IFERROR(VLOOKUP($A54,'SAP '!$A$3:$D$391,3,0),0)</f>
        <v>0</v>
      </c>
      <c r="F54" s="1310">
        <f t="shared" si="0"/>
        <v>0</v>
      </c>
    </row>
    <row r="55" spans="1:6" s="125" customFormat="1">
      <c r="A55" s="1178">
        <v>1101203020</v>
      </c>
      <c r="B55" s="1178" t="s">
        <v>716</v>
      </c>
      <c r="C55" s="1312">
        <f>IFERROR(VLOOKUP(A55,'SAP '!$A$3:$C$14709,3,0),0)</f>
        <v>0</v>
      </c>
      <c r="D55" s="1151">
        <v>0</v>
      </c>
      <c r="E55" s="125">
        <f>IFERROR(VLOOKUP($A55,'SAP '!$A$3:$D$391,3,0),0)</f>
        <v>0</v>
      </c>
      <c r="F55" s="1310">
        <f t="shared" si="0"/>
        <v>0</v>
      </c>
    </row>
    <row r="56" spans="1:6" s="125" customFormat="1">
      <c r="A56" s="1178">
        <v>1101203021</v>
      </c>
      <c r="B56" s="1178" t="s">
        <v>717</v>
      </c>
      <c r="C56" s="1312">
        <f>IFERROR(VLOOKUP(A56,'SAP '!$A$3:$C$14709,3,0),0)</f>
        <v>0</v>
      </c>
      <c r="D56" s="1151">
        <v>0</v>
      </c>
      <c r="E56" s="125">
        <f>IFERROR(VLOOKUP($A56,'SAP '!$A$3:$D$391,3,0),0)</f>
        <v>0</v>
      </c>
      <c r="F56" s="1310">
        <f t="shared" si="0"/>
        <v>0</v>
      </c>
    </row>
    <row r="57" spans="1:6" s="125" customFormat="1">
      <c r="A57" s="1178">
        <v>1101203022</v>
      </c>
      <c r="B57" s="1178" t="s">
        <v>887</v>
      </c>
      <c r="C57" s="1312">
        <f>IFERROR(VLOOKUP(A57,'SAP '!$A$3:$C$14709,3,0),0)</f>
        <v>0</v>
      </c>
      <c r="D57" s="1151">
        <v>0</v>
      </c>
      <c r="E57" s="125">
        <f>IFERROR(VLOOKUP($A57,'SAP '!$A$3:$D$391,3,0),0)</f>
        <v>0</v>
      </c>
      <c r="F57" s="1310">
        <f t="shared" si="0"/>
        <v>0</v>
      </c>
    </row>
    <row r="58" spans="1:6" s="125" customFormat="1">
      <c r="A58" s="1178">
        <v>1101203030</v>
      </c>
      <c r="B58" s="1178" t="s">
        <v>718</v>
      </c>
      <c r="C58" s="1312">
        <f>IFERROR(VLOOKUP(A58,'SAP '!$A$3:$C$14709,3,0),0)</f>
        <v>1000</v>
      </c>
      <c r="D58" s="1151">
        <v>1000</v>
      </c>
      <c r="E58" s="125">
        <f>IFERROR(VLOOKUP($A58,'SAP '!$A$3:$D$391,3,0),0)</f>
        <v>1000</v>
      </c>
      <c r="F58" s="1310">
        <f t="shared" si="0"/>
        <v>0</v>
      </c>
    </row>
    <row r="59" spans="1:6" s="125" customFormat="1">
      <c r="A59" s="1178">
        <v>1101203031</v>
      </c>
      <c r="B59" s="1178" t="s">
        <v>872</v>
      </c>
      <c r="C59" s="1312">
        <f>IFERROR(VLOOKUP(A59,'SAP '!$A$3:$C$14709,3,0),0)</f>
        <v>81651</v>
      </c>
      <c r="D59" s="1151">
        <v>0</v>
      </c>
      <c r="E59" s="125">
        <f>IFERROR(VLOOKUP($A59,'SAP '!$A$3:$D$391,3,0),0)</f>
        <v>81651</v>
      </c>
      <c r="F59" s="1310">
        <f t="shared" si="0"/>
        <v>0</v>
      </c>
    </row>
    <row r="60" spans="1:6" s="125" customFormat="1">
      <c r="A60" s="1178">
        <v>1101203032</v>
      </c>
      <c r="B60" s="1178" t="s">
        <v>873</v>
      </c>
      <c r="C60" s="1312">
        <f>IFERROR(VLOOKUP(A60,'SAP '!$A$3:$C$14709,3,0),0)</f>
        <v>0</v>
      </c>
      <c r="D60" s="1151">
        <v>0</v>
      </c>
      <c r="E60" s="125">
        <f>IFERROR(VLOOKUP($A60,'SAP '!$A$3:$D$391,3,0),0)</f>
        <v>0</v>
      </c>
      <c r="F60" s="1310">
        <f t="shared" si="0"/>
        <v>0</v>
      </c>
    </row>
    <row r="61" spans="1:6" s="125" customFormat="1">
      <c r="A61" s="1178">
        <v>1101203040</v>
      </c>
      <c r="B61" s="1178" t="s">
        <v>719</v>
      </c>
      <c r="C61" s="1312">
        <f>IFERROR(VLOOKUP(A61,'SAP '!$A$3:$C$14709,3,0),0)</f>
        <v>1827893</v>
      </c>
      <c r="D61" s="1151">
        <v>43161.5</v>
      </c>
      <c r="E61" s="125">
        <f>IFERROR(VLOOKUP($A61,'SAP '!$A$3:$D$391,3,0),0)</f>
        <v>1827893</v>
      </c>
      <c r="F61" s="1310">
        <f t="shared" si="0"/>
        <v>0</v>
      </c>
    </row>
    <row r="62" spans="1:6" s="125" customFormat="1">
      <c r="A62" s="1178">
        <v>1101203041</v>
      </c>
      <c r="B62" s="1178" t="s">
        <v>720</v>
      </c>
      <c r="C62" s="1312">
        <f>IFERROR(VLOOKUP(A62,'SAP '!$A$3:$C$14709,3,0),0)</f>
        <v>22364</v>
      </c>
      <c r="D62" s="1151">
        <v>47310.5</v>
      </c>
      <c r="E62" s="125">
        <f>IFERROR(VLOOKUP($A62,'SAP '!$A$3:$D$391,3,0),0)</f>
        <v>22364</v>
      </c>
      <c r="F62" s="1310">
        <f t="shared" si="0"/>
        <v>0</v>
      </c>
    </row>
    <row r="63" spans="1:6" s="125" customFormat="1">
      <c r="A63" s="1178">
        <v>1101203042</v>
      </c>
      <c r="B63" s="1178" t="s">
        <v>888</v>
      </c>
      <c r="C63" s="1312">
        <f>IFERROR(VLOOKUP(A63,'SAP '!$A$3:$C$14709,3,0),0)</f>
        <v>0</v>
      </c>
      <c r="D63" s="1151">
        <v>0</v>
      </c>
      <c r="E63" s="125">
        <f>IFERROR(VLOOKUP($A63,'SAP '!$A$3:$D$391,3,0),0)</f>
        <v>0</v>
      </c>
      <c r="F63" s="1310">
        <f t="shared" si="0"/>
        <v>0</v>
      </c>
    </row>
    <row r="64" spans="1:6" s="125" customFormat="1">
      <c r="A64" s="1178">
        <v>1101203050</v>
      </c>
      <c r="B64" s="1181" t="s">
        <v>721</v>
      </c>
      <c r="C64" s="1312">
        <f>IFERROR(VLOOKUP(A64,'SAP '!$A$3:$C$14709,3,0),0)</f>
        <v>434148.3</v>
      </c>
      <c r="D64" s="1151">
        <v>50139</v>
      </c>
      <c r="E64" s="125">
        <f>IFERROR(VLOOKUP($A64,'SAP '!$A$3:$D$391,3,0),0)</f>
        <v>434148.3</v>
      </c>
      <c r="F64" s="1310">
        <f t="shared" si="0"/>
        <v>0</v>
      </c>
    </row>
    <row r="65" spans="1:6" s="125" customFormat="1">
      <c r="A65" s="1178">
        <v>1101203051</v>
      </c>
      <c r="B65" s="1178" t="s">
        <v>722</v>
      </c>
      <c r="C65" s="1312">
        <f>IFERROR(VLOOKUP(A65,'SAP '!$A$3:$C$14709,3,0),0)</f>
        <v>11907.66</v>
      </c>
      <c r="D65" s="1151">
        <v>1616.66</v>
      </c>
      <c r="E65" s="125">
        <f>IFERROR(VLOOKUP($A65,'SAP '!$A$3:$D$391,3,0),0)</f>
        <v>11907.66</v>
      </c>
      <c r="F65" s="1310">
        <f t="shared" si="0"/>
        <v>0</v>
      </c>
    </row>
    <row r="66" spans="1:6" s="125" customFormat="1">
      <c r="A66" s="1178">
        <v>1101203052</v>
      </c>
      <c r="B66" s="1178" t="s">
        <v>889</v>
      </c>
      <c r="C66" s="1312">
        <f>IFERROR(VLOOKUP(A66,'SAP '!$A$3:$C$14709,3,0),0)</f>
        <v>0</v>
      </c>
      <c r="D66" s="1151">
        <v>0</v>
      </c>
      <c r="E66" s="125">
        <f>IFERROR(VLOOKUP($A66,'SAP '!$A$3:$D$391,3,0),0)</f>
        <v>0</v>
      </c>
      <c r="F66" s="1310">
        <f t="shared" si="0"/>
        <v>0</v>
      </c>
    </row>
    <row r="67" spans="1:6" s="125" customFormat="1">
      <c r="A67" s="1178">
        <v>1101203060</v>
      </c>
      <c r="B67" s="1178" t="s">
        <v>723</v>
      </c>
      <c r="C67" s="1312">
        <f>IFERROR(VLOOKUP(A67,'SAP '!$A$3:$C$14709,3,0),0)</f>
        <v>703351.25</v>
      </c>
      <c r="D67" s="1151">
        <v>444797.75</v>
      </c>
      <c r="E67" s="125">
        <f>IFERROR(VLOOKUP($A67,'SAP '!$A$3:$D$391,3,0),0)</f>
        <v>703351.25</v>
      </c>
      <c r="F67" s="1310">
        <f t="shared" ref="F67:F130" si="1">C67-E67</f>
        <v>0</v>
      </c>
    </row>
    <row r="68" spans="1:6" s="125" customFormat="1">
      <c r="A68" s="1178">
        <v>1101203061</v>
      </c>
      <c r="B68" s="1178" t="s">
        <v>724</v>
      </c>
      <c r="C68" s="1312">
        <f>IFERROR(VLOOKUP(A68,'SAP '!$A$3:$C$14709,3,0),0)</f>
        <v>399348.75</v>
      </c>
      <c r="D68" s="1151">
        <v>4278</v>
      </c>
      <c r="E68" s="125">
        <f>IFERROR(VLOOKUP($A68,'SAP '!$A$3:$D$391,3,0),0)</f>
        <v>399348.75</v>
      </c>
      <c r="F68" s="1310">
        <f t="shared" si="1"/>
        <v>0</v>
      </c>
    </row>
    <row r="69" spans="1:6" s="125" customFormat="1">
      <c r="A69" s="1178">
        <v>1101203062</v>
      </c>
      <c r="B69" s="1178" t="s">
        <v>890</v>
      </c>
      <c r="C69" s="1312">
        <f>IFERROR(VLOOKUP(A69,'SAP '!$A$3:$C$14709,3,0),0)</f>
        <v>0</v>
      </c>
      <c r="D69" s="1151">
        <v>0</v>
      </c>
      <c r="E69" s="125">
        <f>IFERROR(VLOOKUP($A69,'SAP '!$A$3:$D$391,3,0),0)</f>
        <v>0</v>
      </c>
      <c r="F69" s="1310">
        <f t="shared" si="1"/>
        <v>0</v>
      </c>
    </row>
    <row r="70" spans="1:6" s="125" customFormat="1">
      <c r="A70" s="1178">
        <v>1101203070</v>
      </c>
      <c r="B70" s="1178" t="s">
        <v>725</v>
      </c>
      <c r="C70" s="1312">
        <f>IFERROR(VLOOKUP(A70,'SAP '!$A$3:$C$14709,3,0),0)</f>
        <v>320674.8</v>
      </c>
      <c r="D70" s="1151">
        <v>89585</v>
      </c>
      <c r="E70" s="125">
        <f>IFERROR(VLOOKUP($A70,'SAP '!$A$3:$D$391,3,0),0)</f>
        <v>320674.8</v>
      </c>
      <c r="F70" s="1310">
        <f t="shared" si="1"/>
        <v>0</v>
      </c>
    </row>
    <row r="71" spans="1:6" s="125" customFormat="1">
      <c r="A71" s="1178">
        <v>1101203071</v>
      </c>
      <c r="B71" s="1178" t="s">
        <v>726</v>
      </c>
      <c r="C71" s="1312">
        <f>IFERROR(VLOOKUP(A71,'SAP '!$A$3:$C$14709,3,0),0)</f>
        <v>31627</v>
      </c>
      <c r="D71" s="1151">
        <v>19685</v>
      </c>
      <c r="E71" s="125">
        <f>IFERROR(VLOOKUP($A71,'SAP '!$A$3:$D$391,3,0),0)</f>
        <v>31627</v>
      </c>
      <c r="F71" s="1310">
        <f t="shared" si="1"/>
        <v>0</v>
      </c>
    </row>
    <row r="72" spans="1:6" s="125" customFormat="1">
      <c r="A72" s="1178">
        <v>1101203072</v>
      </c>
      <c r="B72" s="1178" t="s">
        <v>874</v>
      </c>
      <c r="C72" s="1312">
        <f>IFERROR(VLOOKUP(A72,'SAP '!$A$3:$C$14709,3,0),0)</f>
        <v>0</v>
      </c>
      <c r="D72" s="1151">
        <v>0</v>
      </c>
      <c r="E72" s="125">
        <f>IFERROR(VLOOKUP($A72,'SAP '!$A$3:$D$391,3,0),0)</f>
        <v>0</v>
      </c>
      <c r="F72" s="1310">
        <f t="shared" si="1"/>
        <v>0</v>
      </c>
    </row>
    <row r="73" spans="1:6" s="125" customFormat="1">
      <c r="A73" s="1178">
        <v>1101203080</v>
      </c>
      <c r="B73" s="1178" t="s">
        <v>891</v>
      </c>
      <c r="C73" s="1312">
        <f>IFERROR(VLOOKUP(A73,'SAP '!$A$3:$C$14709,3,0),0)</f>
        <v>0</v>
      </c>
      <c r="D73" s="1151">
        <v>0</v>
      </c>
      <c r="E73" s="125">
        <f>IFERROR(VLOOKUP($A73,'SAP '!$A$3:$D$391,3,0),0)</f>
        <v>0</v>
      </c>
      <c r="F73" s="1310">
        <f t="shared" si="1"/>
        <v>0</v>
      </c>
    </row>
    <row r="74" spans="1:6" s="125" customFormat="1">
      <c r="A74" s="1178">
        <v>1101203081</v>
      </c>
      <c r="B74" s="1178" t="s">
        <v>892</v>
      </c>
      <c r="C74" s="1312">
        <f>IFERROR(VLOOKUP(A74,'SAP '!$A$3:$C$14709,3,0),0)</f>
        <v>0</v>
      </c>
      <c r="D74" s="1151">
        <v>0</v>
      </c>
      <c r="E74" s="125">
        <f>IFERROR(VLOOKUP($A74,'SAP '!$A$3:$D$391,3,0),0)</f>
        <v>0</v>
      </c>
      <c r="F74" s="1310">
        <f t="shared" si="1"/>
        <v>0</v>
      </c>
    </row>
    <row r="75" spans="1:6" s="125" customFormat="1">
      <c r="A75" s="1178">
        <v>1101203082</v>
      </c>
      <c r="B75" s="1178" t="s">
        <v>893</v>
      </c>
      <c r="C75" s="1312">
        <f>IFERROR(VLOOKUP(A75,'SAP '!$A$3:$C$14709,3,0),0)</f>
        <v>0</v>
      </c>
      <c r="D75" s="1151">
        <v>0</v>
      </c>
      <c r="E75" s="125">
        <f>IFERROR(VLOOKUP($A75,'SAP '!$A$3:$D$391,3,0),0)</f>
        <v>0</v>
      </c>
      <c r="F75" s="1310">
        <f t="shared" si="1"/>
        <v>0</v>
      </c>
    </row>
    <row r="76" spans="1:6" s="125" customFormat="1">
      <c r="A76" s="1178">
        <v>1101203090</v>
      </c>
      <c r="B76" s="1178" t="s">
        <v>894</v>
      </c>
      <c r="C76" s="1312">
        <f>IFERROR(VLOOKUP(A76,'SAP '!$A$3:$C$14709,3,0),0)</f>
        <v>0</v>
      </c>
      <c r="D76" s="1151">
        <v>0</v>
      </c>
      <c r="E76" s="125">
        <f>IFERROR(VLOOKUP($A76,'SAP '!$A$3:$D$391,3,0),0)</f>
        <v>0</v>
      </c>
      <c r="F76" s="1310">
        <f t="shared" si="1"/>
        <v>0</v>
      </c>
    </row>
    <row r="77" spans="1:6" s="125" customFormat="1">
      <c r="A77" s="1178">
        <v>1101203091</v>
      </c>
      <c r="B77" s="1178" t="s">
        <v>895</v>
      </c>
      <c r="C77" s="1312">
        <f>IFERROR(VLOOKUP(A77,'SAP '!$A$3:$C$14709,3,0),0)</f>
        <v>0</v>
      </c>
      <c r="D77" s="1151">
        <v>0</v>
      </c>
      <c r="E77" s="125">
        <f>IFERROR(VLOOKUP($A77,'SAP '!$A$3:$D$391,3,0),0)</f>
        <v>0</v>
      </c>
      <c r="F77" s="1310">
        <f t="shared" si="1"/>
        <v>0</v>
      </c>
    </row>
    <row r="78" spans="1:6" s="125" customFormat="1">
      <c r="A78" s="1178">
        <v>1101203092</v>
      </c>
      <c r="B78" s="1178" t="s">
        <v>896</v>
      </c>
      <c r="C78" s="1312">
        <f>IFERROR(VLOOKUP(A78,'SAP '!$A$3:$C$14709,3,0),0)</f>
        <v>0</v>
      </c>
      <c r="D78" s="1151">
        <v>0</v>
      </c>
      <c r="E78" s="125">
        <f>IFERROR(VLOOKUP($A78,'SAP '!$A$3:$D$391,3,0),0)</f>
        <v>0</v>
      </c>
      <c r="F78" s="1310">
        <f t="shared" si="1"/>
        <v>0</v>
      </c>
    </row>
    <row r="79" spans="1:6" s="125" customFormat="1">
      <c r="A79" s="1178">
        <v>1101203100</v>
      </c>
      <c r="B79" s="1178" t="s">
        <v>897</v>
      </c>
      <c r="C79" s="1312">
        <f>IFERROR(VLOOKUP(A79,'SAP '!$A$3:$C$14709,3,0),0)</f>
        <v>0</v>
      </c>
      <c r="D79" s="1151">
        <v>0</v>
      </c>
      <c r="E79" s="125">
        <f>IFERROR(VLOOKUP($A79,'SAP '!$A$3:$D$391,3,0),0)</f>
        <v>0</v>
      </c>
      <c r="F79" s="1310">
        <f t="shared" si="1"/>
        <v>0</v>
      </c>
    </row>
    <row r="80" spans="1:6" s="125" customFormat="1">
      <c r="A80" s="1178">
        <v>1101203101</v>
      </c>
      <c r="B80" s="1178" t="s">
        <v>898</v>
      </c>
      <c r="C80" s="1312">
        <f>IFERROR(VLOOKUP(A80,'SAP '!$A$3:$C$14709,3,0),0)</f>
        <v>0</v>
      </c>
      <c r="D80" s="1151">
        <v>0</v>
      </c>
      <c r="E80" s="125">
        <f>IFERROR(VLOOKUP($A80,'SAP '!$A$3:$D$391,3,0),0)</f>
        <v>0</v>
      </c>
      <c r="F80" s="1310">
        <f t="shared" si="1"/>
        <v>0</v>
      </c>
    </row>
    <row r="81" spans="1:6" s="125" customFormat="1">
      <c r="A81" s="1178">
        <v>1101203102</v>
      </c>
      <c r="B81" s="1178" t="s">
        <v>899</v>
      </c>
      <c r="C81" s="1312">
        <f>IFERROR(VLOOKUP(A81,'SAP '!$A$3:$C$14709,3,0),0)</f>
        <v>0</v>
      </c>
      <c r="D81" s="1151">
        <v>0</v>
      </c>
      <c r="E81" s="125">
        <f>IFERROR(VLOOKUP($A81,'SAP '!$A$3:$D$391,3,0),0)</f>
        <v>0</v>
      </c>
      <c r="F81" s="1310">
        <f t="shared" si="1"/>
        <v>0</v>
      </c>
    </row>
    <row r="82" spans="1:6" s="125" customFormat="1">
      <c r="A82" s="1178">
        <v>1101203110</v>
      </c>
      <c r="B82" s="1178" t="s">
        <v>900</v>
      </c>
      <c r="C82" s="1312">
        <f>IFERROR(VLOOKUP(A82,'SAP '!$A$3:$C$14709,3,0),0)</f>
        <v>0</v>
      </c>
      <c r="D82" s="1151">
        <v>0</v>
      </c>
      <c r="E82" s="125">
        <f>IFERROR(VLOOKUP($A82,'SAP '!$A$3:$D$391,3,0),0)</f>
        <v>0</v>
      </c>
      <c r="F82" s="1310">
        <f t="shared" si="1"/>
        <v>0</v>
      </c>
    </row>
    <row r="83" spans="1:6" s="125" customFormat="1">
      <c r="A83" s="1178">
        <v>1101203111</v>
      </c>
      <c r="B83" s="1178" t="s">
        <v>901</v>
      </c>
      <c r="C83" s="1312">
        <f>IFERROR(VLOOKUP(A83,'SAP '!$A$3:$C$14709,3,0),0)</f>
        <v>0</v>
      </c>
      <c r="D83" s="1151">
        <v>0</v>
      </c>
      <c r="E83" s="125">
        <f>IFERROR(VLOOKUP($A83,'SAP '!$A$3:$D$391,3,0),0)</f>
        <v>0</v>
      </c>
      <c r="F83" s="1310">
        <f t="shared" si="1"/>
        <v>0</v>
      </c>
    </row>
    <row r="84" spans="1:6" s="125" customFormat="1">
      <c r="A84" s="1178">
        <v>1101203112</v>
      </c>
      <c r="B84" s="1178" t="s">
        <v>902</v>
      </c>
      <c r="C84" s="1312">
        <f>IFERROR(VLOOKUP(A84,'SAP '!$A$3:$C$14709,3,0),0)</f>
        <v>0</v>
      </c>
      <c r="D84" s="1151">
        <v>0</v>
      </c>
      <c r="E84" s="125">
        <f>IFERROR(VLOOKUP($A84,'SAP '!$A$3:$D$391,3,0),0)</f>
        <v>0</v>
      </c>
      <c r="F84" s="1310">
        <f t="shared" si="1"/>
        <v>0</v>
      </c>
    </row>
    <row r="85" spans="1:6" s="125" customFormat="1">
      <c r="A85" s="1178">
        <v>1101203120</v>
      </c>
      <c r="B85" s="1178" t="s">
        <v>903</v>
      </c>
      <c r="C85" s="1312">
        <f>IFERROR(VLOOKUP(A85,'SAP '!$A$3:$C$14709,3,0),0)</f>
        <v>0</v>
      </c>
      <c r="D85" s="1151">
        <v>0</v>
      </c>
      <c r="E85" s="125">
        <f>IFERROR(VLOOKUP($A85,'SAP '!$A$3:$D$391,3,0),0)</f>
        <v>0</v>
      </c>
      <c r="F85" s="1310">
        <f t="shared" si="1"/>
        <v>0</v>
      </c>
    </row>
    <row r="86" spans="1:6" s="125" customFormat="1">
      <c r="A86" s="1178">
        <v>1101203121</v>
      </c>
      <c r="B86" s="1178" t="s">
        <v>904</v>
      </c>
      <c r="C86" s="1312">
        <f>IFERROR(VLOOKUP(A86,'SAP '!$A$3:$C$14709,3,0),0)</f>
        <v>0</v>
      </c>
      <c r="D86" s="1151">
        <v>0</v>
      </c>
      <c r="E86" s="125">
        <f>IFERROR(VLOOKUP($A86,'SAP '!$A$3:$D$391,3,0),0)</f>
        <v>0</v>
      </c>
      <c r="F86" s="1310">
        <f t="shared" si="1"/>
        <v>0</v>
      </c>
    </row>
    <row r="87" spans="1:6" s="125" customFormat="1">
      <c r="A87" s="1178">
        <v>1101203122</v>
      </c>
      <c r="B87" s="1178" t="s">
        <v>905</v>
      </c>
      <c r="C87" s="1312">
        <f>IFERROR(VLOOKUP(A87,'SAP '!$A$3:$C$14709,3,0),0)</f>
        <v>0</v>
      </c>
      <c r="D87" s="1151">
        <v>0</v>
      </c>
      <c r="E87" s="125">
        <f>IFERROR(VLOOKUP($A87,'SAP '!$A$3:$D$391,3,0),0)</f>
        <v>0</v>
      </c>
      <c r="F87" s="1310">
        <f t="shared" si="1"/>
        <v>0</v>
      </c>
    </row>
    <row r="88" spans="1:6" s="125" customFormat="1">
      <c r="A88" s="1178">
        <v>1101203130</v>
      </c>
      <c r="B88" s="1178" t="s">
        <v>728</v>
      </c>
      <c r="C88" s="1312">
        <f>IFERROR(VLOOKUP(A88,'SAP '!$A$3:$C$14709,3,0),0)</f>
        <v>0</v>
      </c>
      <c r="D88" s="1151">
        <v>0</v>
      </c>
      <c r="E88" s="125">
        <f>IFERROR(VLOOKUP($A88,'SAP '!$A$3:$D$391,3,0),0)</f>
        <v>0</v>
      </c>
      <c r="F88" s="1310">
        <f t="shared" si="1"/>
        <v>0</v>
      </c>
    </row>
    <row r="89" spans="1:6" s="125" customFormat="1">
      <c r="A89" s="1178">
        <v>1101203131</v>
      </c>
      <c r="B89" s="1178" t="s">
        <v>729</v>
      </c>
      <c r="C89" s="1312">
        <f>IFERROR(VLOOKUP(A89,'SAP '!$A$3:$C$14709,3,0),0)</f>
        <v>0</v>
      </c>
      <c r="D89" s="1151">
        <v>0</v>
      </c>
      <c r="E89" s="125">
        <f>IFERROR(VLOOKUP($A89,'SAP '!$A$3:$D$391,3,0),0)</f>
        <v>0</v>
      </c>
      <c r="F89" s="1310">
        <f t="shared" si="1"/>
        <v>0</v>
      </c>
    </row>
    <row r="90" spans="1:6" s="125" customFormat="1">
      <c r="A90" s="1178">
        <v>1101203132</v>
      </c>
      <c r="B90" s="1178" t="s">
        <v>906</v>
      </c>
      <c r="C90" s="1312">
        <f>IFERROR(VLOOKUP(A90,'SAP '!$A$3:$C$14709,3,0),0)</f>
        <v>0</v>
      </c>
      <c r="D90" s="1151">
        <v>0</v>
      </c>
      <c r="E90" s="125">
        <f>IFERROR(VLOOKUP($A90,'SAP '!$A$3:$D$391,3,0),0)</f>
        <v>0</v>
      </c>
      <c r="F90" s="1310">
        <f t="shared" si="1"/>
        <v>0</v>
      </c>
    </row>
    <row r="91" spans="1:6" s="125" customFormat="1">
      <c r="A91" s="1178">
        <v>1101203140</v>
      </c>
      <c r="B91" s="1178" t="s">
        <v>907</v>
      </c>
      <c r="C91" s="1312">
        <f>IFERROR(VLOOKUP(A91,'SAP '!$A$3:$C$14709,3,0),0)</f>
        <v>0</v>
      </c>
      <c r="D91" s="1151">
        <v>0</v>
      </c>
      <c r="E91" s="125">
        <f>IFERROR(VLOOKUP($A91,'SAP '!$A$3:$D$391,3,0),0)</f>
        <v>0</v>
      </c>
      <c r="F91" s="1310">
        <f t="shared" si="1"/>
        <v>0</v>
      </c>
    </row>
    <row r="92" spans="1:6" s="125" customFormat="1">
      <c r="A92" s="1178">
        <v>1101203141</v>
      </c>
      <c r="B92" s="1178" t="s">
        <v>908</v>
      </c>
      <c r="C92" s="1312">
        <f>IFERROR(VLOOKUP(A92,'SAP '!$A$3:$C$14709,3,0),0)</f>
        <v>0</v>
      </c>
      <c r="D92" s="1151">
        <v>0</v>
      </c>
      <c r="E92" s="125">
        <f>IFERROR(VLOOKUP($A92,'SAP '!$A$3:$D$391,3,0),0)</f>
        <v>0</v>
      </c>
      <c r="F92" s="1310">
        <f t="shared" si="1"/>
        <v>0</v>
      </c>
    </row>
    <row r="93" spans="1:6" s="125" customFormat="1">
      <c r="A93" s="1178">
        <v>1101203142</v>
      </c>
      <c r="B93" s="1178" t="s">
        <v>909</v>
      </c>
      <c r="C93" s="1312">
        <f>IFERROR(VLOOKUP(A93,'SAP '!$A$3:$C$14709,3,0),0)</f>
        <v>0</v>
      </c>
      <c r="D93" s="1151">
        <v>0</v>
      </c>
      <c r="E93" s="125">
        <f>IFERROR(VLOOKUP($A93,'SAP '!$A$3:$D$391,3,0),0)</f>
        <v>0</v>
      </c>
      <c r="F93" s="1310">
        <f t="shared" si="1"/>
        <v>0</v>
      </c>
    </row>
    <row r="94" spans="1:6" s="125" customFormat="1">
      <c r="A94" s="1178">
        <v>1101203150</v>
      </c>
      <c r="B94" s="1178" t="s">
        <v>728</v>
      </c>
      <c r="C94" s="1312">
        <f>IFERROR(VLOOKUP(A94,'SAP '!$A$3:$C$14709,3,0),0)</f>
        <v>0</v>
      </c>
      <c r="D94" s="1151">
        <v>0</v>
      </c>
      <c r="E94" s="125">
        <f>IFERROR(VLOOKUP($A94,'SAP '!$A$3:$D$391,3,0),0)</f>
        <v>0</v>
      </c>
      <c r="F94" s="1310">
        <f t="shared" si="1"/>
        <v>0</v>
      </c>
    </row>
    <row r="95" spans="1:6" s="125" customFormat="1">
      <c r="A95" s="1178">
        <v>1101203151</v>
      </c>
      <c r="B95" s="1178" t="s">
        <v>729</v>
      </c>
      <c r="C95" s="1312">
        <f>IFERROR(VLOOKUP(A95,'SAP '!$A$3:$C$14709,3,0),0)</f>
        <v>0</v>
      </c>
      <c r="D95" s="1151">
        <v>0</v>
      </c>
      <c r="E95" s="125">
        <f>IFERROR(VLOOKUP($A95,'SAP '!$A$3:$D$391,3,0),0)</f>
        <v>0</v>
      </c>
      <c r="F95" s="1310">
        <f t="shared" si="1"/>
        <v>0</v>
      </c>
    </row>
    <row r="96" spans="1:6" s="125" customFormat="1">
      <c r="A96" s="1178">
        <v>1101203152</v>
      </c>
      <c r="B96" s="1178" t="s">
        <v>906</v>
      </c>
      <c r="C96" s="1312">
        <f>IFERROR(VLOOKUP(A96,'SAP '!$A$3:$C$14709,3,0),0)</f>
        <v>0</v>
      </c>
      <c r="D96" s="1151">
        <v>0</v>
      </c>
      <c r="E96" s="125">
        <f>IFERROR(VLOOKUP($A96,'SAP '!$A$3:$D$391,3,0),0)</f>
        <v>0</v>
      </c>
      <c r="F96" s="1310">
        <f t="shared" si="1"/>
        <v>0</v>
      </c>
    </row>
    <row r="97" spans="1:6" s="125" customFormat="1">
      <c r="A97" s="1178">
        <v>1101203160</v>
      </c>
      <c r="B97" s="1178" t="s">
        <v>727</v>
      </c>
      <c r="C97" s="1312">
        <f>IFERROR(VLOOKUP(A97,'SAP '!$A$3:$C$14709,3,0),0)</f>
        <v>142466</v>
      </c>
      <c r="D97" s="1151">
        <v>1000</v>
      </c>
      <c r="E97" s="125">
        <f>IFERROR(VLOOKUP($A97,'SAP '!$A$3:$D$391,3,0),0)</f>
        <v>142466</v>
      </c>
      <c r="F97" s="1310">
        <f t="shared" si="1"/>
        <v>0</v>
      </c>
    </row>
    <row r="98" spans="1:6" s="125" customFormat="1">
      <c r="A98" s="1178">
        <v>1101203161</v>
      </c>
      <c r="B98" s="1178" t="s">
        <v>1040</v>
      </c>
      <c r="C98" s="1312">
        <f>IFERROR(VLOOKUP(A98,'SAP '!$A$3:$C$14709,3,0),0)</f>
        <v>0</v>
      </c>
      <c r="D98" s="1151">
        <v>0</v>
      </c>
      <c r="E98" s="125">
        <f>IFERROR(VLOOKUP($A98,'SAP '!$A$3:$D$391,3,0),0)</f>
        <v>0</v>
      </c>
      <c r="F98" s="1310">
        <f t="shared" si="1"/>
        <v>0</v>
      </c>
    </row>
    <row r="99" spans="1:6" s="125" customFormat="1">
      <c r="A99" s="1178">
        <v>1101203162</v>
      </c>
      <c r="B99" s="1178" t="s">
        <v>914</v>
      </c>
      <c r="C99" s="1312">
        <f>IFERROR(VLOOKUP(A99,'SAP '!$A$3:$C$14709,3,0),0)</f>
        <v>0</v>
      </c>
      <c r="D99" s="1151">
        <v>0</v>
      </c>
      <c r="E99" s="125">
        <f>IFERROR(VLOOKUP($A99,'SAP '!$A$3:$D$391,3,0),0)</f>
        <v>0</v>
      </c>
      <c r="F99" s="1310">
        <f t="shared" si="1"/>
        <v>0</v>
      </c>
    </row>
    <row r="100" spans="1:6" s="125" customFormat="1">
      <c r="A100" s="1178">
        <v>1101203170</v>
      </c>
      <c r="B100" s="1178" t="s">
        <v>728</v>
      </c>
      <c r="C100" s="1312">
        <f>IFERROR(VLOOKUP(A100,'SAP '!$A$3:$C$14709,3,0),0)</f>
        <v>0</v>
      </c>
      <c r="D100" s="1151">
        <v>0</v>
      </c>
      <c r="E100" s="125">
        <f>IFERROR(VLOOKUP($A100,'SAP '!$A$3:$D$391,3,0),0)</f>
        <v>0</v>
      </c>
      <c r="F100" s="1310">
        <f t="shared" si="1"/>
        <v>0</v>
      </c>
    </row>
    <row r="101" spans="1:6" s="125" customFormat="1">
      <c r="A101" s="1178">
        <v>1101203171</v>
      </c>
      <c r="B101" s="1178" t="s">
        <v>729</v>
      </c>
      <c r="C101" s="1312">
        <f>IFERROR(VLOOKUP(A101,'SAP '!$A$3:$C$14709,3,0),0)</f>
        <v>0</v>
      </c>
      <c r="D101" s="1151">
        <v>0</v>
      </c>
      <c r="E101" s="125">
        <f>IFERROR(VLOOKUP($A101,'SAP '!$A$3:$D$391,3,0),0)</f>
        <v>0</v>
      </c>
      <c r="F101" s="1310">
        <f t="shared" si="1"/>
        <v>0</v>
      </c>
    </row>
    <row r="102" spans="1:6" s="125" customFormat="1">
      <c r="A102" s="1178">
        <v>1101203172</v>
      </c>
      <c r="B102" s="1178" t="s">
        <v>906</v>
      </c>
      <c r="C102" s="1312">
        <f>IFERROR(VLOOKUP(A102,'SAP '!$A$3:$C$14709,3,0),0)</f>
        <v>0</v>
      </c>
      <c r="D102" s="1151">
        <v>0</v>
      </c>
      <c r="E102" s="125">
        <f>IFERROR(VLOOKUP($A102,'SAP '!$A$3:$D$391,3,0),0)</f>
        <v>0</v>
      </c>
      <c r="F102" s="1310">
        <f t="shared" si="1"/>
        <v>0</v>
      </c>
    </row>
    <row r="103" spans="1:6" s="125" customFormat="1">
      <c r="A103" s="1178">
        <v>1101203180</v>
      </c>
      <c r="B103" s="1178" t="s">
        <v>730</v>
      </c>
      <c r="C103" s="1312">
        <f>IFERROR(VLOOKUP(A103,'SAP '!$A$3:$C$14709,3,0),0)</f>
        <v>1000</v>
      </c>
      <c r="D103" s="1151">
        <v>15013</v>
      </c>
      <c r="E103" s="125">
        <f>IFERROR(VLOOKUP($A103,'SAP '!$A$3:$D$391,3,0),0)</f>
        <v>1000</v>
      </c>
      <c r="F103" s="1310">
        <f t="shared" si="1"/>
        <v>0</v>
      </c>
    </row>
    <row r="104" spans="1:6" s="125" customFormat="1">
      <c r="A104" s="1178">
        <v>1101203181</v>
      </c>
      <c r="B104" s="1178" t="s">
        <v>731</v>
      </c>
      <c r="C104" s="1312">
        <f>IFERROR(VLOOKUP(A104,'SAP '!$A$3:$C$14709,3,0),0)</f>
        <v>114119</v>
      </c>
      <c r="D104" s="1151">
        <v>0</v>
      </c>
      <c r="E104" s="125">
        <f>IFERROR(VLOOKUP($A104,'SAP '!$A$3:$D$391,3,0),0)</f>
        <v>114119</v>
      </c>
      <c r="F104" s="1310">
        <f t="shared" si="1"/>
        <v>0</v>
      </c>
    </row>
    <row r="105" spans="1:6" s="125" customFormat="1">
      <c r="A105" s="1178">
        <v>1101203182</v>
      </c>
      <c r="B105" s="1178" t="s">
        <v>910</v>
      </c>
      <c r="C105" s="1312">
        <f>IFERROR(VLOOKUP(A105,'SAP '!$A$3:$C$14709,3,0),0)</f>
        <v>0</v>
      </c>
      <c r="D105" s="1151">
        <v>0</v>
      </c>
      <c r="E105" s="125">
        <f>IFERROR(VLOOKUP($A105,'SAP '!$A$3:$D$391,3,0),0)</f>
        <v>0</v>
      </c>
      <c r="F105" s="1310">
        <f t="shared" si="1"/>
        <v>0</v>
      </c>
    </row>
    <row r="106" spans="1:6" s="125" customFormat="1">
      <c r="A106" s="1182">
        <v>1101203190</v>
      </c>
      <c r="B106" s="1178" t="s">
        <v>732</v>
      </c>
      <c r="C106" s="1312">
        <f>IFERROR(VLOOKUP(A106,'SAP '!$A$3:$C$14709,3,0),0)</f>
        <v>665836.25</v>
      </c>
      <c r="D106" s="1151">
        <v>242339</v>
      </c>
      <c r="E106" s="125">
        <f>IFERROR(VLOOKUP($A106,'SAP '!$A$3:$D$391,3,0),0)</f>
        <v>665836.25</v>
      </c>
      <c r="F106" s="1310">
        <f t="shared" si="1"/>
        <v>0</v>
      </c>
    </row>
    <row r="107" spans="1:6" s="125" customFormat="1">
      <c r="A107" s="1182">
        <v>1101203191</v>
      </c>
      <c r="B107" s="1178" t="s">
        <v>868</v>
      </c>
      <c r="C107" s="1312">
        <f>IFERROR(VLOOKUP(A107,'SAP '!$A$3:$C$14709,3,0),0)</f>
        <v>349</v>
      </c>
      <c r="D107" s="1151">
        <v>0</v>
      </c>
      <c r="E107" s="125">
        <f>IFERROR(VLOOKUP($A107,'SAP '!$A$3:$D$391,3,0),0)</f>
        <v>349</v>
      </c>
      <c r="F107" s="1310">
        <f t="shared" si="1"/>
        <v>0</v>
      </c>
    </row>
    <row r="108" spans="1:6" s="125" customFormat="1">
      <c r="A108" s="1182">
        <v>1101203192</v>
      </c>
      <c r="B108" s="1178" t="s">
        <v>911</v>
      </c>
      <c r="C108" s="1312">
        <f>IFERROR(VLOOKUP(A108,'SAP '!$A$3:$C$14709,3,0),0)</f>
        <v>0</v>
      </c>
      <c r="D108" s="1151">
        <v>0</v>
      </c>
      <c r="E108" s="125">
        <f>IFERROR(VLOOKUP($A108,'SAP '!$A$3:$D$391,3,0),0)</f>
        <v>0</v>
      </c>
      <c r="F108" s="1310">
        <f t="shared" si="1"/>
        <v>0</v>
      </c>
    </row>
    <row r="109" spans="1:6" s="125" customFormat="1">
      <c r="A109" s="1182">
        <v>1101203210</v>
      </c>
      <c r="B109" s="1178" t="s">
        <v>733</v>
      </c>
      <c r="C109" s="1312">
        <f>IFERROR(VLOOKUP(A109,'SAP '!$A$3:$C$14709,3,0),0)</f>
        <v>172735</v>
      </c>
      <c r="D109" s="1151">
        <v>1000</v>
      </c>
      <c r="E109" s="125">
        <f>IFERROR(VLOOKUP($A109,'SAP '!$A$3:$D$391,3,0),0)</f>
        <v>172735</v>
      </c>
      <c r="F109" s="1310">
        <f t="shared" si="1"/>
        <v>0</v>
      </c>
    </row>
    <row r="110" spans="1:6" s="125" customFormat="1">
      <c r="A110" s="1182">
        <v>1101203211</v>
      </c>
      <c r="B110" s="1178" t="s">
        <v>734</v>
      </c>
      <c r="C110" s="1312">
        <f>IFERROR(VLOOKUP(A110,'SAP '!$A$3:$C$14709,3,0),0)</f>
        <v>7758</v>
      </c>
      <c r="D110" s="1151">
        <v>40233</v>
      </c>
      <c r="E110" s="125">
        <f>IFERROR(VLOOKUP($A110,'SAP '!$A$3:$D$391,3,0),0)</f>
        <v>7758</v>
      </c>
      <c r="F110" s="1310">
        <f t="shared" si="1"/>
        <v>0</v>
      </c>
    </row>
    <row r="111" spans="1:6" s="125" customFormat="1">
      <c r="A111" s="1182">
        <v>1101203220</v>
      </c>
      <c r="B111" s="1178" t="s">
        <v>735</v>
      </c>
      <c r="C111" s="1312">
        <f>IFERROR(VLOOKUP(A111,'SAP '!$A$3:$C$14709,3,0),0)</f>
        <v>139910</v>
      </c>
      <c r="D111" s="1151">
        <v>68646</v>
      </c>
      <c r="E111" s="125">
        <f>IFERROR(VLOOKUP($A111,'SAP '!$A$3:$D$391,3,0),0)</f>
        <v>139910</v>
      </c>
      <c r="F111" s="1310">
        <f t="shared" si="1"/>
        <v>0</v>
      </c>
    </row>
    <row r="112" spans="1:6" s="125" customFormat="1">
      <c r="A112" s="1182">
        <v>1101203221</v>
      </c>
      <c r="B112" s="1178" t="s">
        <v>736</v>
      </c>
      <c r="C112" s="1312">
        <f>IFERROR(VLOOKUP(A112,'SAP '!$A$3:$C$14709,3,0),0)</f>
        <v>271725</v>
      </c>
      <c r="D112" s="1151">
        <v>17145</v>
      </c>
      <c r="E112" s="125">
        <f>IFERROR(VLOOKUP($A112,'SAP '!$A$3:$D$391,3,0),0)</f>
        <v>271725</v>
      </c>
      <c r="F112" s="1310">
        <f t="shared" si="1"/>
        <v>0</v>
      </c>
    </row>
    <row r="113" spans="1:6" s="125" customFormat="1">
      <c r="A113" s="1182">
        <v>1101203222</v>
      </c>
      <c r="B113" s="1178" t="s">
        <v>875</v>
      </c>
      <c r="C113" s="1312">
        <f>IFERROR(VLOOKUP(A113,'SAP '!$A$3:$C$14709,3,0),0)</f>
        <v>0</v>
      </c>
      <c r="D113" s="1151">
        <v>0</v>
      </c>
      <c r="E113" s="125">
        <f>IFERROR(VLOOKUP($A113,'SAP '!$A$3:$D$391,3,0),0)</f>
        <v>0</v>
      </c>
      <c r="F113" s="1310">
        <f t="shared" si="1"/>
        <v>0</v>
      </c>
    </row>
    <row r="114" spans="1:6" s="125" customFormat="1">
      <c r="A114" s="1178">
        <v>1101203230</v>
      </c>
      <c r="B114" s="1178" t="s">
        <v>564</v>
      </c>
      <c r="C114" s="1312">
        <f>IFERROR(VLOOKUP(A114,'SAP '!$A$3:$C$14709,3,0),0)</f>
        <v>1227094</v>
      </c>
      <c r="D114" s="1151">
        <v>35656</v>
      </c>
      <c r="E114" s="125">
        <f>IFERROR(VLOOKUP($A114,'SAP '!$A$3:$D$391,3,0),0)</f>
        <v>1227094</v>
      </c>
      <c r="F114" s="1310">
        <f t="shared" si="1"/>
        <v>0</v>
      </c>
    </row>
    <row r="115" spans="1:6" s="125" customFormat="1">
      <c r="A115" s="1178">
        <v>1101203231</v>
      </c>
      <c r="B115" s="1178" t="s">
        <v>565</v>
      </c>
      <c r="C115" s="1312">
        <f>IFERROR(VLOOKUP(A115,'SAP '!$A$3:$C$14709,3,0),0)</f>
        <v>127462</v>
      </c>
      <c r="D115" s="1151">
        <v>26226</v>
      </c>
      <c r="E115" s="125">
        <f>IFERROR(VLOOKUP($A115,'SAP '!$A$3:$D$391,3,0),0)</f>
        <v>127462</v>
      </c>
      <c r="F115" s="1310">
        <f t="shared" si="1"/>
        <v>0</v>
      </c>
    </row>
    <row r="116" spans="1:6" s="125" customFormat="1">
      <c r="A116" s="1178">
        <v>1101203232</v>
      </c>
      <c r="B116" s="1178" t="s">
        <v>566</v>
      </c>
      <c r="C116" s="1312">
        <f>IFERROR(VLOOKUP(A116,'SAP '!$A$3:$C$14709,3,0),0)</f>
        <v>0</v>
      </c>
      <c r="D116" s="1151">
        <v>0</v>
      </c>
      <c r="E116" s="125">
        <f>IFERROR(VLOOKUP($A116,'SAP '!$A$3:$D$391,3,0),0)</f>
        <v>0</v>
      </c>
      <c r="F116" s="1310">
        <f t="shared" si="1"/>
        <v>0</v>
      </c>
    </row>
    <row r="117" spans="1:6" s="125" customFormat="1">
      <c r="A117" s="1178">
        <v>1101203240</v>
      </c>
      <c r="B117" s="1178" t="s">
        <v>737</v>
      </c>
      <c r="C117" s="1312">
        <f>IFERROR(VLOOKUP(A117,'SAP '!$A$3:$C$14709,3,0),0)</f>
        <v>1287410.57</v>
      </c>
      <c r="D117" s="1151">
        <v>894284.75</v>
      </c>
      <c r="E117" s="125">
        <f>IFERROR(VLOOKUP($A117,'SAP '!$A$3:$D$391,3,0),0)</f>
        <v>1287410.57</v>
      </c>
      <c r="F117" s="1310">
        <f t="shared" si="1"/>
        <v>0</v>
      </c>
    </row>
    <row r="118" spans="1:6" s="125" customFormat="1">
      <c r="A118" s="1178">
        <v>1101203241</v>
      </c>
      <c r="B118" s="1178" t="s">
        <v>738</v>
      </c>
      <c r="C118" s="1312">
        <f>IFERROR(VLOOKUP(A118,'SAP '!$A$3:$C$14709,3,0),0)</f>
        <v>827419.75</v>
      </c>
      <c r="D118" s="1151">
        <v>43945</v>
      </c>
      <c r="E118" s="125">
        <f>IFERROR(VLOOKUP($A118,'SAP '!$A$3:$D$391,3,0),0)</f>
        <v>827419.75</v>
      </c>
      <c r="F118" s="1310">
        <f t="shared" si="1"/>
        <v>0</v>
      </c>
    </row>
    <row r="119" spans="1:6" s="125" customFormat="1">
      <c r="A119" s="1178">
        <v>1101203242</v>
      </c>
      <c r="B119" s="1178" t="s">
        <v>864</v>
      </c>
      <c r="C119" s="1312">
        <f>IFERROR(VLOOKUP(A119,'SAP '!$A$3:$C$14709,3,0),0)</f>
        <v>0</v>
      </c>
      <c r="D119" s="1151">
        <v>0</v>
      </c>
      <c r="E119" s="125">
        <f>IFERROR(VLOOKUP($A119,'SAP '!$A$3:$D$391,3,0),0)</f>
        <v>0</v>
      </c>
      <c r="F119" s="1310">
        <f t="shared" si="1"/>
        <v>0</v>
      </c>
    </row>
    <row r="120" spans="1:6" s="125" customFormat="1">
      <c r="A120" s="1178">
        <v>1101203250</v>
      </c>
      <c r="B120" s="1178" t="s">
        <v>739</v>
      </c>
      <c r="C120" s="1312">
        <f>IFERROR(VLOOKUP(A120,'SAP '!$A$3:$C$14709,3,0),0)</f>
        <v>144014.22</v>
      </c>
      <c r="D120" s="1151">
        <v>144014.22</v>
      </c>
      <c r="E120" s="125">
        <f>IFERROR(VLOOKUP($A120,'SAP '!$A$3:$D$391,3,0),0)</f>
        <v>144014.22</v>
      </c>
      <c r="F120" s="1310">
        <f t="shared" si="1"/>
        <v>0</v>
      </c>
    </row>
    <row r="121" spans="1:6" s="125" customFormat="1">
      <c r="A121" s="1178">
        <v>1101203251</v>
      </c>
      <c r="B121" s="1178" t="s">
        <v>863</v>
      </c>
      <c r="C121" s="1312">
        <f>IFERROR(VLOOKUP(A121,'SAP '!$A$3:$C$14709,3,0),0)</f>
        <v>3251804.28</v>
      </c>
      <c r="D121" s="1151">
        <v>2500000</v>
      </c>
      <c r="E121" s="125">
        <f>IFERROR(VLOOKUP($A121,'SAP '!$A$3:$D$391,3,0),0)</f>
        <v>3251804.28</v>
      </c>
      <c r="F121" s="1310">
        <f t="shared" si="1"/>
        <v>0</v>
      </c>
    </row>
    <row r="122" spans="1:6" s="125" customFormat="1">
      <c r="A122" s="1178">
        <v>1101203252</v>
      </c>
      <c r="B122" s="1178" t="s">
        <v>740</v>
      </c>
      <c r="C122" s="1312">
        <f>IFERROR(VLOOKUP(A122,'SAP '!$A$3:$C$14709,3,0),0)</f>
        <v>-4690054.99</v>
      </c>
      <c r="D122" s="1151">
        <v>-2759863.76</v>
      </c>
      <c r="E122" s="125">
        <f>IFERROR(VLOOKUP($A122,'SAP '!$A$3:$D$391,3,0),0)</f>
        <v>-4690054.99</v>
      </c>
      <c r="F122" s="1310">
        <f t="shared" si="1"/>
        <v>0</v>
      </c>
    </row>
    <row r="123" spans="1:6" s="125" customFormat="1">
      <c r="A123" s="1178">
        <v>1101204000</v>
      </c>
      <c r="B123" s="1178" t="s">
        <v>741</v>
      </c>
      <c r="C123" s="1312">
        <f>IFERROR(VLOOKUP(A123,'SAP '!$A$3:$C$14709,3,0),0)</f>
        <v>6198505.5</v>
      </c>
      <c r="D123" s="1151">
        <v>15968290.59</v>
      </c>
      <c r="E123" s="125">
        <f>IFERROR(VLOOKUP($A123,'SAP '!$A$3:$D$391,3,0),0)</f>
        <v>6198505.5</v>
      </c>
      <c r="F123" s="1310">
        <f t="shared" si="1"/>
        <v>0</v>
      </c>
    </row>
    <row r="124" spans="1:6" s="125" customFormat="1">
      <c r="A124" s="1178">
        <v>1101204001</v>
      </c>
      <c r="B124" s="1178" t="s">
        <v>742</v>
      </c>
      <c r="C124" s="1312">
        <f>IFERROR(VLOOKUP(A124,'SAP '!$A$3:$C$14709,3,0),0)</f>
        <v>651063</v>
      </c>
      <c r="D124" s="1151">
        <v>1046088</v>
      </c>
      <c r="E124" s="125">
        <f>IFERROR(VLOOKUP($A124,'SAP '!$A$3:$D$391,3,0),0)</f>
        <v>651063</v>
      </c>
      <c r="F124" s="1310">
        <f t="shared" si="1"/>
        <v>0</v>
      </c>
    </row>
    <row r="125" spans="1:6" s="125" customFormat="1">
      <c r="A125" s="1178">
        <v>1101204002</v>
      </c>
      <c r="B125" s="1178" t="s">
        <v>915</v>
      </c>
      <c r="C125" s="1312">
        <f>IFERROR(VLOOKUP(A125,'SAP '!$A$3:$C$14709,3,0),0)</f>
        <v>0</v>
      </c>
      <c r="D125" s="1151">
        <v>0</v>
      </c>
      <c r="E125" s="125">
        <f>IFERROR(VLOOKUP($A125,'SAP '!$A$3:$D$391,3,0),0)</f>
        <v>0</v>
      </c>
      <c r="F125" s="1310">
        <f t="shared" si="1"/>
        <v>0</v>
      </c>
    </row>
    <row r="126" spans="1:6" s="125" customFormat="1">
      <c r="A126" s="1178">
        <v>1101204010</v>
      </c>
      <c r="B126" s="1178" t="s">
        <v>743</v>
      </c>
      <c r="C126" s="1312">
        <f>IFERROR(VLOOKUP(A126,'SAP '!$A$3:$C$14709,3,0),0)</f>
        <v>1288131.05</v>
      </c>
      <c r="D126" s="1151">
        <v>241716.05</v>
      </c>
      <c r="E126" s="125">
        <f>IFERROR(VLOOKUP($A126,'SAP '!$A$3:$D$391,3,0),0)</f>
        <v>1288131.05</v>
      </c>
      <c r="F126" s="1310">
        <f t="shared" si="1"/>
        <v>0</v>
      </c>
    </row>
    <row r="127" spans="1:6" s="125" customFormat="1">
      <c r="A127" s="1178">
        <v>1101204011</v>
      </c>
      <c r="B127" s="1178" t="s">
        <v>744</v>
      </c>
      <c r="C127" s="1312">
        <f>IFERROR(VLOOKUP(A127,'SAP '!$A$3:$C$14709,3,0),0)</f>
        <v>6657</v>
      </c>
      <c r="D127" s="1151">
        <v>33257</v>
      </c>
      <c r="E127" s="125">
        <f>IFERROR(VLOOKUP($A127,'SAP '!$A$3:$D$391,3,0),0)</f>
        <v>6657</v>
      </c>
      <c r="F127" s="1310">
        <f t="shared" si="1"/>
        <v>0</v>
      </c>
    </row>
    <row r="128" spans="1:6" s="125" customFormat="1">
      <c r="A128" s="1178">
        <v>1101204012</v>
      </c>
      <c r="B128" s="1178" t="s">
        <v>916</v>
      </c>
      <c r="C128" s="1312">
        <f>IFERROR(VLOOKUP(A128,'SAP '!$A$3:$C$14709,3,0),0)</f>
        <v>0</v>
      </c>
      <c r="D128" s="1151">
        <v>0</v>
      </c>
      <c r="E128" s="125">
        <f>IFERROR(VLOOKUP($A128,'SAP '!$A$3:$D$391,3,0),0)</f>
        <v>0</v>
      </c>
      <c r="F128" s="1310">
        <f t="shared" si="1"/>
        <v>0</v>
      </c>
    </row>
    <row r="129" spans="1:6" s="125" customFormat="1">
      <c r="A129" s="1178">
        <v>1101204020</v>
      </c>
      <c r="B129" s="1178" t="s">
        <v>745</v>
      </c>
      <c r="C129" s="1312">
        <f>IFERROR(VLOOKUP(A129,'SAP '!$A$3:$C$14709,3,0),0)</f>
        <v>0</v>
      </c>
      <c r="D129" s="1151">
        <v>0</v>
      </c>
      <c r="E129" s="125">
        <f>IFERROR(VLOOKUP($A129,'SAP '!$A$3:$D$391,3,0),0)</f>
        <v>0</v>
      </c>
      <c r="F129" s="1310">
        <f t="shared" si="1"/>
        <v>0</v>
      </c>
    </row>
    <row r="130" spans="1:6" s="125" customFormat="1">
      <c r="A130" s="1178">
        <v>1101204021</v>
      </c>
      <c r="B130" s="1178" t="s">
        <v>917</v>
      </c>
      <c r="C130" s="1312">
        <f>IFERROR(VLOOKUP(A130,'SAP '!$A$3:$C$14709,3,0),0)</f>
        <v>0</v>
      </c>
      <c r="D130" s="1151">
        <v>0</v>
      </c>
      <c r="E130" s="125">
        <f>IFERROR(VLOOKUP($A130,'SAP '!$A$3:$D$391,3,0),0)</f>
        <v>0</v>
      </c>
      <c r="F130" s="1310">
        <f t="shared" si="1"/>
        <v>0</v>
      </c>
    </row>
    <row r="131" spans="1:6" s="125" customFormat="1">
      <c r="A131" s="1178">
        <v>1101204022</v>
      </c>
      <c r="B131" s="1178" t="s">
        <v>918</v>
      </c>
      <c r="C131" s="1312">
        <f>IFERROR(VLOOKUP(A131,'SAP '!$A$3:$C$14709,3,0),0)</f>
        <v>0</v>
      </c>
      <c r="D131" s="1151">
        <v>0</v>
      </c>
      <c r="E131" s="125">
        <f>IFERROR(VLOOKUP($A131,'SAP '!$A$3:$D$391,3,0),0)</f>
        <v>0</v>
      </c>
      <c r="F131" s="1310">
        <f t="shared" ref="F131:F194" si="2">C131-E131</f>
        <v>0</v>
      </c>
    </row>
    <row r="132" spans="1:6" s="125" customFormat="1">
      <c r="A132" s="1178">
        <v>1101204030</v>
      </c>
      <c r="B132" s="1178" t="s">
        <v>746</v>
      </c>
      <c r="C132" s="1312">
        <f>IFERROR(VLOOKUP(A132,'SAP '!$A$3:$C$14709,3,0),0)</f>
        <v>1000</v>
      </c>
      <c r="D132" s="1151">
        <v>1000</v>
      </c>
      <c r="E132" s="125">
        <f>IFERROR(VLOOKUP($A132,'SAP '!$A$3:$D$391,3,0),0)</f>
        <v>1000</v>
      </c>
      <c r="F132" s="1310">
        <f t="shared" si="2"/>
        <v>0</v>
      </c>
    </row>
    <row r="133" spans="1:6" s="125" customFormat="1">
      <c r="A133" s="1178">
        <v>1101204031</v>
      </c>
      <c r="B133" s="1178" t="s">
        <v>747</v>
      </c>
      <c r="C133" s="1312">
        <f>IFERROR(VLOOKUP(A133,'SAP '!$A$3:$C$14709,3,0),0)</f>
        <v>5548</v>
      </c>
      <c r="D133" s="1151">
        <v>10871</v>
      </c>
      <c r="E133" s="125">
        <f>IFERROR(VLOOKUP($A133,'SAP '!$A$3:$D$391,3,0),0)</f>
        <v>5548</v>
      </c>
      <c r="F133" s="1310">
        <f t="shared" si="2"/>
        <v>0</v>
      </c>
    </row>
    <row r="134" spans="1:6" s="125" customFormat="1">
      <c r="A134" s="1178">
        <v>1101204032</v>
      </c>
      <c r="B134" s="1178" t="s">
        <v>919</v>
      </c>
      <c r="C134" s="1312">
        <f>IFERROR(VLOOKUP(A134,'SAP '!$A$3:$C$14709,3,0),0)</f>
        <v>0</v>
      </c>
      <c r="D134" s="1151">
        <v>0</v>
      </c>
      <c r="E134" s="125">
        <f>IFERROR(VLOOKUP($A134,'SAP '!$A$3:$D$391,3,0),0)</f>
        <v>0</v>
      </c>
      <c r="F134" s="1310">
        <f t="shared" si="2"/>
        <v>0</v>
      </c>
    </row>
    <row r="135" spans="1:6" s="125" customFormat="1">
      <c r="A135" s="1178">
        <v>1101204040</v>
      </c>
      <c r="B135" s="1178" t="s">
        <v>748</v>
      </c>
      <c r="C135" s="1312">
        <f>IFERROR(VLOOKUP(A135,'SAP '!$A$3:$C$14709,3,0),0)</f>
        <v>384289.5</v>
      </c>
      <c r="D135" s="1151">
        <v>59331</v>
      </c>
      <c r="E135" s="125">
        <f>IFERROR(VLOOKUP($A135,'SAP '!$A$3:$D$391,3,0),0)</f>
        <v>384289.5</v>
      </c>
      <c r="F135" s="1310">
        <f t="shared" si="2"/>
        <v>0</v>
      </c>
    </row>
    <row r="136" spans="1:6" s="125" customFormat="1">
      <c r="A136" s="1178">
        <v>1101204041</v>
      </c>
      <c r="B136" s="1178" t="s">
        <v>749</v>
      </c>
      <c r="C136" s="1312">
        <f>IFERROR(VLOOKUP(A136,'SAP '!$A$3:$C$14709,3,0),0)</f>
        <v>38332</v>
      </c>
      <c r="D136" s="1151">
        <v>15874</v>
      </c>
      <c r="E136" s="125">
        <f>IFERROR(VLOOKUP($A136,'SAP '!$A$3:$D$391,3,0),0)</f>
        <v>38332</v>
      </c>
      <c r="F136" s="1310">
        <f t="shared" si="2"/>
        <v>0</v>
      </c>
    </row>
    <row r="137" spans="1:6" s="125" customFormat="1">
      <c r="A137" s="1178">
        <v>1101204042</v>
      </c>
      <c r="B137" s="1178" t="s">
        <v>920</v>
      </c>
      <c r="C137" s="1312">
        <f>IFERROR(VLOOKUP(A137,'SAP '!$A$3:$C$14709,3,0),0)</f>
        <v>0</v>
      </c>
      <c r="D137" s="1151">
        <v>0</v>
      </c>
      <c r="E137" s="125">
        <f>IFERROR(VLOOKUP($A137,'SAP '!$A$3:$D$391,3,0),0)</f>
        <v>0</v>
      </c>
      <c r="F137" s="1310">
        <f t="shared" si="2"/>
        <v>0</v>
      </c>
    </row>
    <row r="138" spans="1:6" s="125" customFormat="1">
      <c r="A138" s="1178">
        <v>1101204050</v>
      </c>
      <c r="B138" s="1178" t="s">
        <v>750</v>
      </c>
      <c r="C138" s="1312">
        <f>IFERROR(VLOOKUP(A138,'SAP '!$A$3:$C$14709,3,0),0)</f>
        <v>1116715.25</v>
      </c>
      <c r="D138" s="1151">
        <v>315103.75</v>
      </c>
      <c r="E138" s="125">
        <f>IFERROR(VLOOKUP($A138,'SAP '!$A$3:$D$391,3,0),0)</f>
        <v>1116715.25</v>
      </c>
      <c r="F138" s="1310">
        <f t="shared" si="2"/>
        <v>0</v>
      </c>
    </row>
    <row r="139" spans="1:6" s="125" customFormat="1">
      <c r="A139" s="1178">
        <v>1101204051</v>
      </c>
      <c r="B139" s="1178" t="s">
        <v>751</v>
      </c>
      <c r="C139" s="1312">
        <f>IFERROR(VLOOKUP(A139,'SAP '!$A$3:$C$14709,3,0),0)</f>
        <v>49370</v>
      </c>
      <c r="D139" s="1151">
        <v>79596</v>
      </c>
      <c r="E139" s="125">
        <f>IFERROR(VLOOKUP($A139,'SAP '!$A$3:$D$391,3,0),0)</f>
        <v>49370</v>
      </c>
      <c r="F139" s="1310">
        <f t="shared" si="2"/>
        <v>0</v>
      </c>
    </row>
    <row r="140" spans="1:6" s="125" customFormat="1">
      <c r="A140" s="1178">
        <v>1101204052</v>
      </c>
      <c r="B140" s="1178" t="s">
        <v>921</v>
      </c>
      <c r="C140" s="1312">
        <f>IFERROR(VLOOKUP(A140,'SAP '!$A$3:$C$14709,3,0),0)</f>
        <v>0</v>
      </c>
      <c r="D140" s="1151">
        <v>0</v>
      </c>
      <c r="E140" s="125">
        <f>IFERROR(VLOOKUP($A140,'SAP '!$A$3:$D$391,3,0),0)</f>
        <v>0</v>
      </c>
      <c r="F140" s="1310">
        <f t="shared" si="2"/>
        <v>0</v>
      </c>
    </row>
    <row r="141" spans="1:6" s="125" customFormat="1">
      <c r="A141" s="1178">
        <v>1101204060</v>
      </c>
      <c r="B141" s="1178" t="s">
        <v>752</v>
      </c>
      <c r="C141" s="1312">
        <f>IFERROR(VLOOKUP(A141,'SAP '!$A$3:$C$14709,3,0),0)</f>
        <v>35018</v>
      </c>
      <c r="D141" s="1151">
        <v>1000</v>
      </c>
      <c r="E141" s="125">
        <f>IFERROR(VLOOKUP($A141,'SAP '!$A$3:$D$391,3,0),0)</f>
        <v>35018</v>
      </c>
      <c r="F141" s="1310">
        <f t="shared" si="2"/>
        <v>0</v>
      </c>
    </row>
    <row r="142" spans="1:6" s="125" customFormat="1">
      <c r="A142" s="1178">
        <v>1101204061</v>
      </c>
      <c r="B142" s="1178" t="s">
        <v>753</v>
      </c>
      <c r="C142" s="1312">
        <f>IFERROR(VLOOKUP(A142,'SAP '!$A$3:$C$14709,3,0),0)</f>
        <v>31769</v>
      </c>
      <c r="D142" s="1151">
        <v>3220</v>
      </c>
      <c r="E142" s="125">
        <f>IFERROR(VLOOKUP($A142,'SAP '!$A$3:$D$391,3,0),0)</f>
        <v>31769</v>
      </c>
      <c r="F142" s="1310">
        <f t="shared" si="2"/>
        <v>0</v>
      </c>
    </row>
    <row r="143" spans="1:6" s="125" customFormat="1">
      <c r="A143" s="1178">
        <v>1101204062</v>
      </c>
      <c r="B143" s="1178" t="s">
        <v>922</v>
      </c>
      <c r="C143" s="1312">
        <f>IFERROR(VLOOKUP(A143,'SAP '!$A$3:$C$14709,3,0),0)</f>
        <v>0</v>
      </c>
      <c r="D143" s="1151">
        <v>0</v>
      </c>
      <c r="E143" s="125">
        <f>IFERROR(VLOOKUP($A143,'SAP '!$A$3:$D$391,3,0),0)</f>
        <v>0</v>
      </c>
      <c r="F143" s="1310">
        <f t="shared" si="2"/>
        <v>0</v>
      </c>
    </row>
    <row r="144" spans="1:6" s="125" customFormat="1">
      <c r="A144" s="1178">
        <v>1101204070</v>
      </c>
      <c r="B144" s="1178" t="s">
        <v>754</v>
      </c>
      <c r="C144" s="1312">
        <f>IFERROR(VLOOKUP(A144,'SAP '!$A$3:$C$14709,3,0),0)</f>
        <v>632065</v>
      </c>
      <c r="D144" s="1151">
        <v>2227</v>
      </c>
      <c r="E144" s="125">
        <f>IFERROR(VLOOKUP($A144,'SAP '!$A$3:$D$391,3,0),0)</f>
        <v>632065</v>
      </c>
      <c r="F144" s="1310">
        <f t="shared" si="2"/>
        <v>0</v>
      </c>
    </row>
    <row r="145" spans="1:6" s="125" customFormat="1">
      <c r="A145" s="1178">
        <v>1101204071</v>
      </c>
      <c r="B145" s="1178" t="s">
        <v>755</v>
      </c>
      <c r="C145" s="1312">
        <f>IFERROR(VLOOKUP(A145,'SAP '!$A$3:$C$14709,3,0),0)</f>
        <v>153427.49</v>
      </c>
      <c r="D145" s="1151">
        <v>29353.49</v>
      </c>
      <c r="E145" s="125">
        <f>IFERROR(VLOOKUP($A145,'SAP '!$A$3:$D$391,3,0),0)</f>
        <v>153427.49</v>
      </c>
      <c r="F145" s="1310">
        <f t="shared" si="2"/>
        <v>0</v>
      </c>
    </row>
    <row r="146" spans="1:6" s="125" customFormat="1">
      <c r="A146" s="1178">
        <v>1101204072</v>
      </c>
      <c r="B146" s="1178" t="s">
        <v>923</v>
      </c>
      <c r="C146" s="1312">
        <f>IFERROR(VLOOKUP(A146,'SAP '!$A$3:$C$14709,3,0),0)</f>
        <v>0</v>
      </c>
      <c r="D146" s="1151">
        <v>0</v>
      </c>
      <c r="E146" s="125">
        <f>IFERROR(VLOOKUP($A146,'SAP '!$A$3:$D$391,3,0),0)</f>
        <v>0</v>
      </c>
      <c r="F146" s="1310">
        <f t="shared" si="2"/>
        <v>0</v>
      </c>
    </row>
    <row r="147" spans="1:6" s="125" customFormat="1">
      <c r="A147" s="1178">
        <v>1101204080</v>
      </c>
      <c r="B147" s="1178" t="s">
        <v>756</v>
      </c>
      <c r="C147" s="1312">
        <f>IFERROR(VLOOKUP(A147,'SAP '!$A$3:$C$14709,3,0),0)</f>
        <v>2013880.91</v>
      </c>
      <c r="D147" s="1151">
        <v>2013880.91</v>
      </c>
      <c r="E147" s="125">
        <f>IFERROR(VLOOKUP($A147,'SAP '!$A$3:$D$391,3,0),0)</f>
        <v>2013880.91</v>
      </c>
      <c r="F147" s="1310">
        <f t="shared" si="2"/>
        <v>0</v>
      </c>
    </row>
    <row r="148" spans="1:6" s="125" customFormat="1">
      <c r="A148" s="1178">
        <v>1101204081</v>
      </c>
      <c r="B148" s="1178" t="s">
        <v>757</v>
      </c>
      <c r="C148" s="1312">
        <f>IFERROR(VLOOKUP(A148,'SAP '!$A$3:$C$14709,3,0),0)</f>
        <v>2651474.36</v>
      </c>
      <c r="D148" s="1151">
        <v>1490775.21</v>
      </c>
      <c r="E148" s="125">
        <f>IFERROR(VLOOKUP($A148,'SAP '!$A$3:$D$391,3,0),0)</f>
        <v>2651474.36</v>
      </c>
      <c r="F148" s="1310">
        <f t="shared" si="2"/>
        <v>0</v>
      </c>
    </row>
    <row r="149" spans="1:6" s="125" customFormat="1">
      <c r="A149" s="1178">
        <v>1101204082</v>
      </c>
      <c r="B149" s="1178" t="s">
        <v>758</v>
      </c>
      <c r="C149" s="1312">
        <f>IFERROR(VLOOKUP(A149,'SAP '!$A$3:$C$14709,3,0),0)</f>
        <v>-4969853.88</v>
      </c>
      <c r="D149" s="1151">
        <v>-2722728.3</v>
      </c>
      <c r="E149" s="125">
        <f>IFERROR(VLOOKUP($A149,'SAP '!$A$3:$D$391,3,0),0)</f>
        <v>-4969853.88</v>
      </c>
      <c r="F149" s="1310">
        <f t="shared" si="2"/>
        <v>0</v>
      </c>
    </row>
    <row r="150" spans="1:6" s="125" customFormat="1">
      <c r="A150" s="1178">
        <v>1101204090</v>
      </c>
      <c r="B150" s="1178" t="s">
        <v>924</v>
      </c>
      <c r="C150" s="1312">
        <f>IFERROR(VLOOKUP(A150,'SAP '!$A$3:$C$14709,3,0),0)</f>
        <v>0</v>
      </c>
      <c r="D150" s="1151">
        <v>0</v>
      </c>
      <c r="E150" s="125">
        <f>IFERROR(VLOOKUP($A150,'SAP '!$A$3:$D$391,3,0),0)</f>
        <v>0</v>
      </c>
      <c r="F150" s="1310">
        <f t="shared" si="2"/>
        <v>0</v>
      </c>
    </row>
    <row r="151" spans="1:6" s="125" customFormat="1">
      <c r="A151" s="1178">
        <v>1101204091</v>
      </c>
      <c r="B151" s="1178" t="s">
        <v>925</v>
      </c>
      <c r="C151" s="1312">
        <f>IFERROR(VLOOKUP(A151,'SAP '!$A$3:$C$14709,3,0),0)</f>
        <v>0</v>
      </c>
      <c r="D151" s="1151">
        <v>0</v>
      </c>
      <c r="E151" s="125">
        <f>IFERROR(VLOOKUP($A151,'SAP '!$A$3:$D$391,3,0),0)</f>
        <v>0</v>
      </c>
      <c r="F151" s="1310">
        <f t="shared" si="2"/>
        <v>0</v>
      </c>
    </row>
    <row r="152" spans="1:6" s="125" customFormat="1">
      <c r="A152" s="1178">
        <v>1101204092</v>
      </c>
      <c r="B152" s="1178" t="s">
        <v>926</v>
      </c>
      <c r="C152" s="1312">
        <f>IFERROR(VLOOKUP(A152,'SAP '!$A$3:$C$14709,3,0),0)</f>
        <v>0</v>
      </c>
      <c r="D152" s="1151">
        <v>0</v>
      </c>
      <c r="E152" s="125">
        <f>IFERROR(VLOOKUP($A152,'SAP '!$A$3:$D$391,3,0),0)</f>
        <v>0</v>
      </c>
      <c r="F152" s="1310">
        <f t="shared" si="2"/>
        <v>0</v>
      </c>
    </row>
    <row r="153" spans="1:6" s="125" customFormat="1">
      <c r="A153" s="1178">
        <v>1101204100</v>
      </c>
      <c r="B153" s="1178" t="s">
        <v>927</v>
      </c>
      <c r="C153" s="1312">
        <f>IFERROR(VLOOKUP(A153,'SAP '!$A$3:$C$14709,3,0),0)</f>
        <v>0</v>
      </c>
      <c r="D153" s="1151">
        <v>0</v>
      </c>
      <c r="E153" s="125">
        <f>IFERROR(VLOOKUP($A153,'SAP '!$A$3:$D$391,3,0),0)</f>
        <v>0</v>
      </c>
      <c r="F153" s="1310">
        <f t="shared" si="2"/>
        <v>0</v>
      </c>
    </row>
    <row r="154" spans="1:6" s="125" customFormat="1">
      <c r="A154" s="1178">
        <v>1101204101</v>
      </c>
      <c r="B154" s="1178" t="s">
        <v>928</v>
      </c>
      <c r="C154" s="1312">
        <f>IFERROR(VLOOKUP(A154,'SAP '!$A$3:$C$14709,3,0),0)</f>
        <v>0</v>
      </c>
      <c r="D154" s="1151">
        <v>0</v>
      </c>
      <c r="E154" s="125">
        <f>IFERROR(VLOOKUP($A154,'SAP '!$A$3:$D$391,3,0),0)</f>
        <v>0</v>
      </c>
      <c r="F154" s="1310">
        <f t="shared" si="2"/>
        <v>0</v>
      </c>
    </row>
    <row r="155" spans="1:6" s="125" customFormat="1">
      <c r="A155" s="1178">
        <v>1101204102</v>
      </c>
      <c r="B155" s="1178" t="s">
        <v>929</v>
      </c>
      <c r="C155" s="1312">
        <f>IFERROR(VLOOKUP(A155,'SAP '!$A$3:$C$14709,3,0),0)</f>
        <v>0</v>
      </c>
      <c r="D155" s="1151">
        <v>0</v>
      </c>
      <c r="E155" s="125">
        <f>IFERROR(VLOOKUP($A155,'SAP '!$A$3:$D$391,3,0),0)</f>
        <v>0</v>
      </c>
      <c r="F155" s="1310">
        <f t="shared" si="2"/>
        <v>0</v>
      </c>
    </row>
    <row r="156" spans="1:6" s="125" customFormat="1">
      <c r="A156" s="1178">
        <v>1101204110</v>
      </c>
      <c r="B156" s="1178" t="s">
        <v>930</v>
      </c>
      <c r="C156" s="1312">
        <f>IFERROR(VLOOKUP(A156,'SAP '!$A$3:$C$14709,3,0),0)</f>
        <v>0</v>
      </c>
      <c r="D156" s="1151">
        <v>0</v>
      </c>
      <c r="E156" s="125">
        <f>IFERROR(VLOOKUP($A156,'SAP '!$A$3:$D$391,3,0),0)</f>
        <v>0</v>
      </c>
      <c r="F156" s="1310">
        <f t="shared" si="2"/>
        <v>0</v>
      </c>
    </row>
    <row r="157" spans="1:6" s="125" customFormat="1">
      <c r="A157" s="1178">
        <v>1101204111</v>
      </c>
      <c r="B157" s="1178" t="s">
        <v>931</v>
      </c>
      <c r="C157" s="1312">
        <f>IFERROR(VLOOKUP(A157,'SAP '!$A$3:$C$14709,3,0),0)</f>
        <v>0</v>
      </c>
      <c r="D157" s="1151">
        <v>0</v>
      </c>
      <c r="E157" s="125">
        <f>IFERROR(VLOOKUP($A157,'SAP '!$A$3:$D$391,3,0),0)</f>
        <v>0</v>
      </c>
      <c r="F157" s="1310">
        <f t="shared" si="2"/>
        <v>0</v>
      </c>
    </row>
    <row r="158" spans="1:6" s="125" customFormat="1">
      <c r="A158" s="1178">
        <v>1101204112</v>
      </c>
      <c r="B158" s="1178" t="s">
        <v>932</v>
      </c>
      <c r="C158" s="1312">
        <f>IFERROR(VLOOKUP(A158,'SAP '!$A$3:$C$14709,3,0),0)</f>
        <v>0</v>
      </c>
      <c r="D158" s="1151">
        <v>0</v>
      </c>
      <c r="E158" s="125">
        <f>IFERROR(VLOOKUP($A158,'SAP '!$A$3:$D$391,3,0),0)</f>
        <v>0</v>
      </c>
      <c r="F158" s="1310">
        <f t="shared" si="2"/>
        <v>0</v>
      </c>
    </row>
    <row r="159" spans="1:6" s="125" customFormat="1">
      <c r="A159" s="1178">
        <v>1101204120</v>
      </c>
      <c r="B159" s="1178" t="s">
        <v>933</v>
      </c>
      <c r="C159" s="1312">
        <f>IFERROR(VLOOKUP(A159,'SAP '!$A$3:$C$14709,3,0),0)</f>
        <v>0</v>
      </c>
      <c r="D159" s="1151">
        <v>0</v>
      </c>
      <c r="E159" s="125">
        <f>IFERROR(VLOOKUP($A159,'SAP '!$A$3:$D$391,3,0),0)</f>
        <v>0</v>
      </c>
      <c r="F159" s="1310">
        <f t="shared" si="2"/>
        <v>0</v>
      </c>
    </row>
    <row r="160" spans="1:6" s="125" customFormat="1">
      <c r="A160" s="1178">
        <v>1101204121</v>
      </c>
      <c r="B160" s="1178" t="s">
        <v>934</v>
      </c>
      <c r="C160" s="1312">
        <f>IFERROR(VLOOKUP(A160,'SAP '!$A$3:$C$14709,3,0),0)</f>
        <v>0</v>
      </c>
      <c r="D160" s="1151">
        <v>0</v>
      </c>
      <c r="E160" s="125">
        <f>IFERROR(VLOOKUP($A160,'SAP '!$A$3:$D$391,3,0),0)</f>
        <v>0</v>
      </c>
      <c r="F160" s="1310">
        <f t="shared" si="2"/>
        <v>0</v>
      </c>
    </row>
    <row r="161" spans="1:6" s="125" customFormat="1">
      <c r="A161" s="1178">
        <v>1101204122</v>
      </c>
      <c r="B161" s="1178" t="s">
        <v>935</v>
      </c>
      <c r="C161" s="1312">
        <f>IFERROR(VLOOKUP(A161,'SAP '!$A$3:$C$14709,3,0),0)</f>
        <v>0</v>
      </c>
      <c r="D161" s="1151">
        <v>0</v>
      </c>
      <c r="E161" s="125">
        <f>IFERROR(VLOOKUP($A161,'SAP '!$A$3:$D$391,3,0),0)</f>
        <v>0</v>
      </c>
      <c r="F161" s="1310">
        <f t="shared" si="2"/>
        <v>0</v>
      </c>
    </row>
    <row r="162" spans="1:6" s="125" customFormat="1">
      <c r="A162" s="1178">
        <v>1101204130</v>
      </c>
      <c r="B162" s="1178" t="s">
        <v>936</v>
      </c>
      <c r="C162" s="1312">
        <f>IFERROR(VLOOKUP(A162,'SAP '!$A$3:$C$14709,3,0),0)</f>
        <v>0</v>
      </c>
      <c r="D162" s="1151">
        <v>0</v>
      </c>
      <c r="E162" s="125">
        <f>IFERROR(VLOOKUP($A162,'SAP '!$A$3:$D$391,3,0),0)</f>
        <v>0</v>
      </c>
      <c r="F162" s="1310">
        <f t="shared" si="2"/>
        <v>0</v>
      </c>
    </row>
    <row r="163" spans="1:6" s="125" customFormat="1">
      <c r="A163" s="1178">
        <v>1101204131</v>
      </c>
      <c r="B163" s="1178" t="s">
        <v>937</v>
      </c>
      <c r="C163" s="1312">
        <f>IFERROR(VLOOKUP(A163,'SAP '!$A$3:$C$14709,3,0),0)</f>
        <v>0</v>
      </c>
      <c r="D163" s="1151">
        <v>0</v>
      </c>
      <c r="E163" s="125">
        <f>IFERROR(VLOOKUP($A163,'SAP '!$A$3:$D$391,3,0),0)</f>
        <v>0</v>
      </c>
      <c r="F163" s="1310">
        <f t="shared" si="2"/>
        <v>0</v>
      </c>
    </row>
    <row r="164" spans="1:6" s="125" customFormat="1">
      <c r="A164" s="1178">
        <v>1101204132</v>
      </c>
      <c r="B164" s="1178" t="s">
        <v>938</v>
      </c>
      <c r="C164" s="1312">
        <f>IFERROR(VLOOKUP(A164,'SAP '!$A$3:$C$14709,3,0),0)</f>
        <v>0</v>
      </c>
      <c r="D164" s="1151">
        <v>0</v>
      </c>
      <c r="E164" s="125">
        <f>IFERROR(VLOOKUP($A164,'SAP '!$A$3:$D$391,3,0),0)</f>
        <v>0</v>
      </c>
      <c r="F164" s="1310">
        <f t="shared" si="2"/>
        <v>0</v>
      </c>
    </row>
    <row r="165" spans="1:6" s="125" customFormat="1">
      <c r="A165" s="1178">
        <v>1101204140</v>
      </c>
      <c r="B165" s="1178" t="s">
        <v>939</v>
      </c>
      <c r="C165" s="1312">
        <f>IFERROR(VLOOKUP(A165,'SAP '!$A$3:$C$14709,3,0),0)</f>
        <v>0</v>
      </c>
      <c r="D165" s="1151">
        <v>0</v>
      </c>
      <c r="E165" s="125">
        <f>IFERROR(VLOOKUP($A165,'SAP '!$A$3:$D$391,3,0),0)</f>
        <v>0</v>
      </c>
      <c r="F165" s="1310">
        <f t="shared" si="2"/>
        <v>0</v>
      </c>
    </row>
    <row r="166" spans="1:6" s="125" customFormat="1">
      <c r="A166" s="1178">
        <v>1101204141</v>
      </c>
      <c r="B166" s="1178" t="s">
        <v>940</v>
      </c>
      <c r="C166" s="1312">
        <f>IFERROR(VLOOKUP(A166,'SAP '!$A$3:$C$14709,3,0),0)</f>
        <v>0</v>
      </c>
      <c r="D166" s="1151">
        <v>0</v>
      </c>
      <c r="E166" s="125">
        <f>IFERROR(VLOOKUP($A166,'SAP '!$A$3:$D$391,3,0),0)</f>
        <v>0</v>
      </c>
      <c r="F166" s="1310">
        <f t="shared" si="2"/>
        <v>0</v>
      </c>
    </row>
    <row r="167" spans="1:6" s="125" customFormat="1">
      <c r="A167" s="1178">
        <v>1101204142</v>
      </c>
      <c r="B167" s="1178" t="s">
        <v>941</v>
      </c>
      <c r="C167" s="1312">
        <f>IFERROR(VLOOKUP(A167,'SAP '!$A$3:$C$14709,3,0),0)</f>
        <v>0</v>
      </c>
      <c r="D167" s="1151">
        <v>0</v>
      </c>
      <c r="E167" s="125">
        <f>IFERROR(VLOOKUP($A167,'SAP '!$A$3:$D$391,3,0),0)</f>
        <v>0</v>
      </c>
      <c r="F167" s="1310">
        <f t="shared" si="2"/>
        <v>0</v>
      </c>
    </row>
    <row r="168" spans="1:6" s="125" customFormat="1">
      <c r="A168" s="1178">
        <v>1101204150</v>
      </c>
      <c r="B168" s="1178" t="s">
        <v>759</v>
      </c>
      <c r="C168" s="1312">
        <f>IFERROR(VLOOKUP(A168,'SAP '!$A$3:$C$14709,3,0),0)</f>
        <v>1000</v>
      </c>
      <c r="D168" s="1151">
        <v>1000</v>
      </c>
      <c r="E168" s="125">
        <f>IFERROR(VLOOKUP($A168,'SAP '!$A$3:$D$391,3,0),0)</f>
        <v>1000</v>
      </c>
      <c r="F168" s="1310">
        <f t="shared" si="2"/>
        <v>0</v>
      </c>
    </row>
    <row r="169" spans="1:6" s="125" customFormat="1">
      <c r="A169" s="1178">
        <v>1101204151</v>
      </c>
      <c r="B169" s="1178" t="s">
        <v>760</v>
      </c>
      <c r="C169" s="1312">
        <f>IFERROR(VLOOKUP(A169,'SAP '!$A$3:$C$14709,3,0),0)</f>
        <v>0</v>
      </c>
      <c r="D169" s="1151">
        <v>0</v>
      </c>
      <c r="E169" s="125">
        <f>IFERROR(VLOOKUP($A169,'SAP '!$A$3:$D$391,3,0),0)</f>
        <v>0</v>
      </c>
      <c r="F169" s="1310">
        <f t="shared" si="2"/>
        <v>0</v>
      </c>
    </row>
    <row r="170" spans="1:6" s="125" customFormat="1">
      <c r="A170" s="1178">
        <v>1101204152</v>
      </c>
      <c r="B170" s="1178" t="s">
        <v>942</v>
      </c>
      <c r="C170" s="1312">
        <f>IFERROR(VLOOKUP(A170,'SAP '!$A$3:$C$14709,3,0),0)</f>
        <v>0</v>
      </c>
      <c r="D170" s="1151">
        <v>0</v>
      </c>
      <c r="E170" s="125">
        <f>IFERROR(VLOOKUP($A170,'SAP '!$A$3:$D$391,3,0),0)</f>
        <v>0</v>
      </c>
      <c r="F170" s="1310">
        <f t="shared" si="2"/>
        <v>0</v>
      </c>
    </row>
    <row r="171" spans="1:6" s="125" customFormat="1">
      <c r="A171" s="1176">
        <v>1101204160</v>
      </c>
      <c r="B171" s="1177" t="s">
        <v>761</v>
      </c>
      <c r="C171" s="1312">
        <f>IFERROR(VLOOKUP(A171,'SAP '!$A$3:$C$14709,3,0),0)</f>
        <v>336572.75</v>
      </c>
      <c r="D171" s="1151">
        <v>15713</v>
      </c>
      <c r="E171" s="125">
        <f>IFERROR(VLOOKUP($A171,'SAP '!$A$3:$D$391,3,0),0)</f>
        <v>336572.75</v>
      </c>
      <c r="F171" s="1310">
        <f t="shared" si="2"/>
        <v>0</v>
      </c>
    </row>
    <row r="172" spans="1:6" s="125" customFormat="1">
      <c r="A172" s="1176">
        <v>1101204161</v>
      </c>
      <c r="B172" s="1177" t="s">
        <v>762</v>
      </c>
      <c r="C172" s="1312">
        <f>IFERROR(VLOOKUP(A172,'SAP '!$A$3:$C$14709,3,0),0)</f>
        <v>6800</v>
      </c>
      <c r="D172" s="1151">
        <v>34672</v>
      </c>
      <c r="E172" s="125">
        <f>IFERROR(VLOOKUP($A172,'SAP '!$A$3:$D$391,3,0),0)</f>
        <v>6800</v>
      </c>
      <c r="F172" s="1310">
        <f t="shared" si="2"/>
        <v>0</v>
      </c>
    </row>
    <row r="173" spans="1:6" s="125" customFormat="1">
      <c r="A173" s="1176">
        <v>1101204162</v>
      </c>
      <c r="B173" s="1177" t="s">
        <v>943</v>
      </c>
      <c r="C173" s="1312">
        <f>IFERROR(VLOOKUP(A173,'SAP '!$A$3:$C$14709,3,0),0)</f>
        <v>0</v>
      </c>
      <c r="D173" s="1151">
        <v>0</v>
      </c>
      <c r="E173" s="125">
        <f>IFERROR(VLOOKUP($A173,'SAP '!$A$3:$D$391,3,0),0)</f>
        <v>0</v>
      </c>
      <c r="F173" s="1310">
        <f t="shared" si="2"/>
        <v>0</v>
      </c>
    </row>
    <row r="174" spans="1:6" s="125" customFormat="1">
      <c r="A174" s="1178">
        <v>1101204170</v>
      </c>
      <c r="B174" s="1178" t="s">
        <v>944</v>
      </c>
      <c r="C174" s="1312">
        <f>IFERROR(VLOOKUP(A174,'SAP '!$A$3:$C$14709,3,0),0)</f>
        <v>0</v>
      </c>
      <c r="D174" s="1151">
        <v>0</v>
      </c>
      <c r="E174" s="125">
        <f>IFERROR(VLOOKUP($A174,'SAP '!$A$3:$D$391,3,0),0)</f>
        <v>0</v>
      </c>
      <c r="F174" s="1310">
        <f t="shared" si="2"/>
        <v>0</v>
      </c>
    </row>
    <row r="175" spans="1:6" s="125" customFormat="1">
      <c r="A175" s="1178">
        <v>1101204171</v>
      </c>
      <c r="B175" s="1178" t="s">
        <v>945</v>
      </c>
      <c r="C175" s="1312">
        <f>IFERROR(VLOOKUP(A175,'SAP '!$A$3:$C$14709,3,0),0)</f>
        <v>0</v>
      </c>
      <c r="D175" s="1151">
        <v>0</v>
      </c>
      <c r="E175" s="125">
        <f>IFERROR(VLOOKUP($A175,'SAP '!$A$3:$D$391,3,0),0)</f>
        <v>0</v>
      </c>
      <c r="F175" s="1310">
        <f t="shared" si="2"/>
        <v>0</v>
      </c>
    </row>
    <row r="176" spans="1:6" s="125" customFormat="1">
      <c r="A176" s="1178">
        <v>1101204172</v>
      </c>
      <c r="B176" s="1178" t="s">
        <v>946</v>
      </c>
      <c r="C176" s="1312">
        <f>IFERROR(VLOOKUP(A176,'SAP '!$A$3:$C$14709,3,0),0)</f>
        <v>0</v>
      </c>
      <c r="D176" s="1151">
        <v>0</v>
      </c>
      <c r="E176" s="125">
        <f>IFERROR(VLOOKUP($A176,'SAP '!$A$3:$D$391,3,0),0)</f>
        <v>0</v>
      </c>
      <c r="F176" s="1310">
        <f t="shared" si="2"/>
        <v>0</v>
      </c>
    </row>
    <row r="177" spans="1:6" s="125" customFormat="1">
      <c r="A177" s="1178">
        <v>1101204180</v>
      </c>
      <c r="B177" s="1178" t="s">
        <v>532</v>
      </c>
      <c r="C177" s="1312">
        <f>IFERROR(VLOOKUP(A177,'SAP '!$A$3:$C$14709,3,0),0)</f>
        <v>556307</v>
      </c>
      <c r="D177" s="1151">
        <v>1000</v>
      </c>
      <c r="E177" s="125">
        <f>IFERROR(VLOOKUP($A177,'SAP '!$A$3:$D$391,3,0),0)</f>
        <v>556307</v>
      </c>
      <c r="F177" s="1310">
        <f t="shared" si="2"/>
        <v>0</v>
      </c>
    </row>
    <row r="178" spans="1:6" s="125" customFormat="1">
      <c r="A178" s="1178">
        <v>1101204181</v>
      </c>
      <c r="B178" s="1178" t="s">
        <v>542</v>
      </c>
      <c r="C178" s="1312">
        <f>IFERROR(VLOOKUP(A178,'SAP '!$A$3:$C$14709,3,0),0)</f>
        <v>0</v>
      </c>
      <c r="D178" s="1151">
        <v>0</v>
      </c>
      <c r="E178" s="125">
        <f>IFERROR(VLOOKUP($A178,'SAP '!$A$3:$D$391,3,0),0)</f>
        <v>0</v>
      </c>
      <c r="F178" s="1310">
        <f t="shared" si="2"/>
        <v>0</v>
      </c>
    </row>
    <row r="179" spans="1:6" s="125" customFormat="1">
      <c r="A179" s="1178">
        <v>1101204182</v>
      </c>
      <c r="B179" s="1178" t="s">
        <v>543</v>
      </c>
      <c r="C179" s="1312">
        <f>IFERROR(VLOOKUP(A179,'SAP '!$A$3:$C$14709,3,0),0)</f>
        <v>0</v>
      </c>
      <c r="D179" s="1151">
        <v>0</v>
      </c>
      <c r="E179" s="125">
        <f>IFERROR(VLOOKUP($A179,'SAP '!$A$3:$D$391,3,0),0)</f>
        <v>0</v>
      </c>
      <c r="F179" s="1310">
        <f t="shared" si="2"/>
        <v>0</v>
      </c>
    </row>
    <row r="180" spans="1:6" s="125" customFormat="1">
      <c r="A180" s="1178">
        <v>1101205000</v>
      </c>
      <c r="B180" s="1178" t="s">
        <v>763</v>
      </c>
      <c r="C180" s="1312">
        <f>IFERROR(VLOOKUP(A180,'SAP '!$A$3:$C$14709,3,0),0)</f>
        <v>603055</v>
      </c>
      <c r="D180" s="1151">
        <v>603055</v>
      </c>
      <c r="E180" s="125">
        <f>IFERROR(VLOOKUP($A180,'SAP '!$A$3:$D$391,3,0),0)</f>
        <v>603055</v>
      </c>
      <c r="F180" s="1310">
        <f t="shared" si="2"/>
        <v>0</v>
      </c>
    </row>
    <row r="181" spans="1:6" s="125" customFormat="1">
      <c r="A181" s="1178">
        <v>1101205001</v>
      </c>
      <c r="B181" s="1178" t="s">
        <v>764</v>
      </c>
      <c r="C181" s="1312">
        <f>IFERROR(VLOOKUP(A181,'SAP '!$A$3:$C$14709,3,0),0)</f>
        <v>24954603.93</v>
      </c>
      <c r="D181" s="1151">
        <v>742023.34</v>
      </c>
      <c r="E181" s="125">
        <f>IFERROR(VLOOKUP($A181,'SAP '!$A$3:$D$391,3,0),0)</f>
        <v>24954603.93</v>
      </c>
      <c r="F181" s="1310">
        <f t="shared" si="2"/>
        <v>0</v>
      </c>
    </row>
    <row r="182" spans="1:6" s="125" customFormat="1">
      <c r="A182" s="1178">
        <v>1101205002</v>
      </c>
      <c r="B182" s="1178" t="s">
        <v>947</v>
      </c>
      <c r="C182" s="1312">
        <f>IFERROR(VLOOKUP(A182,'SAP '!$A$3:$C$14709,3,0),0)</f>
        <v>-21633348.879999999</v>
      </c>
      <c r="D182" s="1151">
        <v>0</v>
      </c>
      <c r="E182" s="125">
        <f>IFERROR(VLOOKUP($A182,'SAP '!$A$3:$D$391,3,0),0)</f>
        <v>-21633348.879999999</v>
      </c>
      <c r="F182" s="1310">
        <f t="shared" si="2"/>
        <v>0</v>
      </c>
    </row>
    <row r="183" spans="1:6" s="125" customFormat="1">
      <c r="A183" s="1178">
        <v>1101205010</v>
      </c>
      <c r="B183" s="1178" t="s">
        <v>765</v>
      </c>
      <c r="C183" s="1312">
        <f>IFERROR(VLOOKUP(A183,'SAP '!$A$3:$C$14709,3,0),0)</f>
        <v>887303.1</v>
      </c>
      <c r="D183" s="1151">
        <v>996913.9</v>
      </c>
      <c r="E183" s="125">
        <f>IFERROR(VLOOKUP($A183,'SAP '!$A$3:$D$391,3,0),0)</f>
        <v>887303.1</v>
      </c>
      <c r="F183" s="1310">
        <f t="shared" si="2"/>
        <v>0</v>
      </c>
    </row>
    <row r="184" spans="1:6" s="125" customFormat="1">
      <c r="A184" s="1178">
        <v>1101205011</v>
      </c>
      <c r="B184" s="1178" t="s">
        <v>766</v>
      </c>
      <c r="C184" s="1312">
        <f>IFERROR(VLOOKUP(A184,'SAP '!$A$3:$C$14709,3,0),0)</f>
        <v>5779712.3399999999</v>
      </c>
      <c r="D184" s="1151">
        <v>15262</v>
      </c>
      <c r="E184" s="125">
        <f>IFERROR(VLOOKUP($A184,'SAP '!$A$3:$D$391,3,0),0)</f>
        <v>5779712.3399999999</v>
      </c>
      <c r="F184" s="1310">
        <f t="shared" si="2"/>
        <v>0</v>
      </c>
    </row>
    <row r="185" spans="1:6" s="125" customFormat="1">
      <c r="A185" s="1178">
        <v>1101205012</v>
      </c>
      <c r="B185" s="1178" t="s">
        <v>869</v>
      </c>
      <c r="C185" s="1312">
        <f>IFERROR(VLOOKUP(A185,'SAP '!$A$3:$C$14709,3,0),0)</f>
        <v>-4647432.99</v>
      </c>
      <c r="D185" s="1151">
        <v>0</v>
      </c>
      <c r="E185" s="125">
        <f>IFERROR(VLOOKUP($A185,'SAP '!$A$3:$D$391,3,0),0)</f>
        <v>-4647432.99</v>
      </c>
      <c r="F185" s="1310">
        <f t="shared" si="2"/>
        <v>0</v>
      </c>
    </row>
    <row r="186" spans="1:6" s="125" customFormat="1">
      <c r="A186" s="1178">
        <v>1101205020</v>
      </c>
      <c r="B186" s="1178" t="s">
        <v>767</v>
      </c>
      <c r="C186" s="1312">
        <f>IFERROR(VLOOKUP(A186,'SAP '!$A$3:$C$14709,3,0),0)</f>
        <v>39830</v>
      </c>
      <c r="D186" s="1151">
        <v>39830</v>
      </c>
      <c r="E186" s="125">
        <f>IFERROR(VLOOKUP($A186,'SAP '!$A$3:$D$391,3,0),0)</f>
        <v>39830</v>
      </c>
      <c r="F186" s="1310">
        <f t="shared" si="2"/>
        <v>0</v>
      </c>
    </row>
    <row r="187" spans="1:6" s="125" customFormat="1">
      <c r="A187" s="1178">
        <v>1101205021</v>
      </c>
      <c r="B187" s="1178" t="s">
        <v>768</v>
      </c>
      <c r="C187" s="1312">
        <f>IFERROR(VLOOKUP(A187,'SAP '!$A$3:$C$14709,3,0),0)</f>
        <v>1154501.05</v>
      </c>
      <c r="D187" s="1151">
        <v>33125.5</v>
      </c>
      <c r="E187" s="125">
        <f>IFERROR(VLOOKUP($A187,'SAP '!$A$3:$D$391,3,0),0)</f>
        <v>1154501.05</v>
      </c>
      <c r="F187" s="1310">
        <f t="shared" si="2"/>
        <v>0</v>
      </c>
    </row>
    <row r="188" spans="1:6" s="125" customFormat="1">
      <c r="A188" s="1178">
        <v>1101205022</v>
      </c>
      <c r="B188" s="1178" t="s">
        <v>948</v>
      </c>
      <c r="C188" s="1312">
        <f>IFERROR(VLOOKUP(A188,'SAP '!$A$3:$C$14709,3,0),0)</f>
        <v>-1040836.05</v>
      </c>
      <c r="D188" s="1151">
        <v>0</v>
      </c>
      <c r="E188" s="125">
        <f>IFERROR(VLOOKUP($A188,'SAP '!$A$3:$D$391,3,0),0)</f>
        <v>-1040836.05</v>
      </c>
      <c r="F188" s="1310">
        <f t="shared" si="2"/>
        <v>0</v>
      </c>
    </row>
    <row r="189" spans="1:6" s="125" customFormat="1">
      <c r="A189" s="1178">
        <v>1101205030</v>
      </c>
      <c r="B189" s="1178" t="s">
        <v>769</v>
      </c>
      <c r="C189" s="1312">
        <f>IFERROR(VLOOKUP(A189,'SAP '!$A$3:$C$14709,3,0),0)</f>
        <v>208112.5</v>
      </c>
      <c r="D189" s="1151">
        <v>5496</v>
      </c>
      <c r="E189" s="125">
        <f>IFERROR(VLOOKUP($A189,'SAP '!$A$3:$D$391,3,0),0)</f>
        <v>208112.5</v>
      </c>
      <c r="F189" s="1310">
        <f t="shared" si="2"/>
        <v>0</v>
      </c>
    </row>
    <row r="190" spans="1:6" s="125" customFormat="1">
      <c r="A190" s="1178">
        <v>1101205031</v>
      </c>
      <c r="B190" s="1178" t="s">
        <v>770</v>
      </c>
      <c r="C190" s="1312">
        <f>IFERROR(VLOOKUP(A190,'SAP '!$A$3:$C$14709,3,0),0)</f>
        <v>1642830</v>
      </c>
      <c r="D190" s="1151">
        <v>212755.25</v>
      </c>
      <c r="E190" s="125">
        <f>IFERROR(VLOOKUP($A190,'SAP '!$A$3:$D$391,3,0),0)</f>
        <v>1642830</v>
      </c>
      <c r="F190" s="1310">
        <f t="shared" si="2"/>
        <v>0</v>
      </c>
    </row>
    <row r="191" spans="1:6" s="125" customFormat="1">
      <c r="A191" s="1178">
        <v>1101205032</v>
      </c>
      <c r="B191" s="1178" t="s">
        <v>949</v>
      </c>
      <c r="C191" s="1312">
        <f>IFERROR(VLOOKUP(A191,'SAP '!$A$3:$C$14709,3,0),0)</f>
        <v>-1508491</v>
      </c>
      <c r="D191" s="1151">
        <v>0</v>
      </c>
      <c r="E191" s="125">
        <f>IFERROR(VLOOKUP($A191,'SAP '!$A$3:$D$391,3,0),0)</f>
        <v>-1508491</v>
      </c>
      <c r="F191" s="1310">
        <f t="shared" si="2"/>
        <v>0</v>
      </c>
    </row>
    <row r="192" spans="1:6" s="125" customFormat="1">
      <c r="A192" s="1178">
        <v>1101205040</v>
      </c>
      <c r="B192" s="1178" t="s">
        <v>771</v>
      </c>
      <c r="C192" s="1312">
        <f>IFERROR(VLOOKUP(A192,'SAP '!$A$3:$C$14709,3,0),0)</f>
        <v>188326</v>
      </c>
      <c r="D192" s="1151">
        <v>188326</v>
      </c>
      <c r="E192" s="125">
        <f>IFERROR(VLOOKUP($A192,'SAP '!$A$3:$D$391,3,0),0)</f>
        <v>188326</v>
      </c>
      <c r="F192" s="1310">
        <f t="shared" si="2"/>
        <v>0</v>
      </c>
    </row>
    <row r="193" spans="1:6" s="125" customFormat="1">
      <c r="A193" s="1178">
        <v>1101205041</v>
      </c>
      <c r="B193" s="1178" t="s">
        <v>772</v>
      </c>
      <c r="C193" s="1312">
        <f>IFERROR(VLOOKUP(A193,'SAP '!$A$3:$C$14709,3,0),0)</f>
        <v>2175036</v>
      </c>
      <c r="D193" s="1151">
        <v>1203</v>
      </c>
      <c r="E193" s="125">
        <f>IFERROR(VLOOKUP($A193,'SAP '!$A$3:$D$391,3,0),0)</f>
        <v>2175036</v>
      </c>
      <c r="F193" s="1310">
        <f t="shared" si="2"/>
        <v>0</v>
      </c>
    </row>
    <row r="194" spans="1:6" s="125" customFormat="1">
      <c r="A194" s="1178">
        <v>1101205042</v>
      </c>
      <c r="B194" s="1178" t="s">
        <v>950</v>
      </c>
      <c r="C194" s="1312">
        <f>IFERROR(VLOOKUP(A194,'SAP '!$A$3:$C$14709,3,0),0)</f>
        <v>-1461816.75</v>
      </c>
      <c r="D194" s="1151">
        <v>0</v>
      </c>
      <c r="E194" s="125">
        <f>IFERROR(VLOOKUP($A194,'SAP '!$A$3:$D$391,3,0),0)</f>
        <v>-1461816.75</v>
      </c>
      <c r="F194" s="1310">
        <f t="shared" si="2"/>
        <v>0</v>
      </c>
    </row>
    <row r="195" spans="1:6" s="125" customFormat="1">
      <c r="A195" s="1178">
        <v>1101205050</v>
      </c>
      <c r="B195" s="1178" t="s">
        <v>773</v>
      </c>
      <c r="C195" s="1312">
        <f>IFERROR(VLOOKUP(A195,'SAP '!$A$3:$C$14709,3,0),0)</f>
        <v>547588</v>
      </c>
      <c r="D195" s="1151">
        <v>547588</v>
      </c>
      <c r="E195" s="125">
        <f>IFERROR(VLOOKUP($A195,'SAP '!$A$3:$D$391,3,0),0)</f>
        <v>547588</v>
      </c>
      <c r="F195" s="1310">
        <f t="shared" ref="F195:F258" si="3">C195-E195</f>
        <v>0</v>
      </c>
    </row>
    <row r="196" spans="1:6" s="125" customFormat="1">
      <c r="A196" s="1178">
        <v>1101205051</v>
      </c>
      <c r="B196" s="1178" t="s">
        <v>774</v>
      </c>
      <c r="C196" s="1312">
        <f>IFERROR(VLOOKUP(A196,'SAP '!$A$3:$C$14709,3,0),0)</f>
        <v>6034332</v>
      </c>
      <c r="D196" s="1151">
        <v>0</v>
      </c>
      <c r="E196" s="125">
        <f>IFERROR(VLOOKUP($A196,'SAP '!$A$3:$D$391,3,0),0)</f>
        <v>6034332</v>
      </c>
      <c r="F196" s="1310">
        <f t="shared" si="3"/>
        <v>0</v>
      </c>
    </row>
    <row r="197" spans="1:6" s="125" customFormat="1">
      <c r="A197" s="1178">
        <v>1101205052</v>
      </c>
      <c r="B197" s="1178" t="s">
        <v>951</v>
      </c>
      <c r="C197" s="1312">
        <f>IFERROR(VLOOKUP(A197,'SAP '!$A$3:$C$14709,3,0),0)</f>
        <v>-5599028</v>
      </c>
      <c r="D197" s="1151">
        <v>0</v>
      </c>
      <c r="E197" s="125">
        <f>IFERROR(VLOOKUP($A197,'SAP '!$A$3:$D$391,3,0),0)</f>
        <v>-5599028</v>
      </c>
      <c r="F197" s="1310">
        <f t="shared" si="3"/>
        <v>0</v>
      </c>
    </row>
    <row r="198" spans="1:6" s="125" customFormat="1">
      <c r="A198" s="1178">
        <v>1101205060</v>
      </c>
      <c r="B198" s="1178" t="s">
        <v>775</v>
      </c>
      <c r="C198" s="1312">
        <f>IFERROR(VLOOKUP(A198,'SAP '!$A$3:$C$14709,3,0),0)</f>
        <v>2749</v>
      </c>
      <c r="D198" s="1151">
        <v>2749</v>
      </c>
      <c r="E198" s="125">
        <f>IFERROR(VLOOKUP($A198,'SAP '!$A$3:$D$391,3,0),0)</f>
        <v>2749</v>
      </c>
      <c r="F198" s="1310">
        <f t="shared" si="3"/>
        <v>0</v>
      </c>
    </row>
    <row r="199" spans="1:6" s="125" customFormat="1">
      <c r="A199" s="1178">
        <v>1101205061</v>
      </c>
      <c r="B199" s="1178" t="s">
        <v>776</v>
      </c>
      <c r="C199" s="1312">
        <f>IFERROR(VLOOKUP(A199,'SAP '!$A$3:$C$14709,3,0),0)</f>
        <v>322917</v>
      </c>
      <c r="D199" s="1151">
        <v>27316</v>
      </c>
      <c r="E199" s="125">
        <f>IFERROR(VLOOKUP($A199,'SAP '!$A$3:$D$391,3,0),0)</f>
        <v>322917</v>
      </c>
      <c r="F199" s="1310">
        <f t="shared" si="3"/>
        <v>0</v>
      </c>
    </row>
    <row r="200" spans="1:6" s="125" customFormat="1">
      <c r="A200" s="1178">
        <v>1101205062</v>
      </c>
      <c r="B200" s="1178" t="s">
        <v>952</v>
      </c>
      <c r="C200" s="1312">
        <f>IFERROR(VLOOKUP(A200,'SAP '!$A$3:$C$14709,3,0),0)</f>
        <v>-129801</v>
      </c>
      <c r="D200" s="1151">
        <v>0</v>
      </c>
      <c r="E200" s="125">
        <f>IFERROR(VLOOKUP($A200,'SAP '!$A$3:$D$391,3,0),0)</f>
        <v>-129801</v>
      </c>
      <c r="F200" s="1310">
        <f t="shared" si="3"/>
        <v>0</v>
      </c>
    </row>
    <row r="201" spans="1:6" s="125" customFormat="1">
      <c r="A201" s="1178">
        <v>1101205070</v>
      </c>
      <c r="B201" s="1178" t="s">
        <v>777</v>
      </c>
      <c r="C201" s="1312">
        <f>IFERROR(VLOOKUP(A201,'SAP '!$A$3:$C$14709,3,0),0)</f>
        <v>992427.75</v>
      </c>
      <c r="D201" s="1151">
        <v>384091.25</v>
      </c>
      <c r="E201" s="125">
        <f>IFERROR(VLOOKUP($A201,'SAP '!$A$3:$D$391,3,0),0)</f>
        <v>992427.75</v>
      </c>
      <c r="F201" s="1310">
        <f t="shared" si="3"/>
        <v>0</v>
      </c>
    </row>
    <row r="202" spans="1:6" s="125" customFormat="1">
      <c r="A202" s="1178">
        <v>1101205071</v>
      </c>
      <c r="B202" s="1178" t="s">
        <v>778</v>
      </c>
      <c r="C202" s="1312">
        <f>IFERROR(VLOOKUP(A202,'SAP '!$A$3:$C$14709,3,0),0)</f>
        <v>4317722</v>
      </c>
      <c r="D202" s="1151">
        <v>430176.75</v>
      </c>
      <c r="E202" s="125">
        <f>IFERROR(VLOOKUP($A202,'SAP '!$A$3:$D$391,3,0),0)</f>
        <v>4317722</v>
      </c>
      <c r="F202" s="1310">
        <f t="shared" si="3"/>
        <v>0</v>
      </c>
    </row>
    <row r="203" spans="1:6" s="125" customFormat="1">
      <c r="A203" s="1178">
        <v>1101205072</v>
      </c>
      <c r="B203" s="1178" t="s">
        <v>953</v>
      </c>
      <c r="C203" s="1312">
        <f>IFERROR(VLOOKUP(A203,'SAP '!$A$3:$C$14709,3,0),0)</f>
        <v>-3164742.5</v>
      </c>
      <c r="D203" s="1151">
        <v>0</v>
      </c>
      <c r="E203" s="125">
        <f>IFERROR(VLOOKUP($A203,'SAP '!$A$3:$D$391,3,0),0)</f>
        <v>-3164742.5</v>
      </c>
      <c r="F203" s="1310">
        <f t="shared" si="3"/>
        <v>0</v>
      </c>
    </row>
    <row r="204" spans="1:6" s="125" customFormat="1">
      <c r="A204" s="1178">
        <v>1101205080</v>
      </c>
      <c r="B204" s="1178" t="s">
        <v>779</v>
      </c>
      <c r="C204" s="1312">
        <f>IFERROR(VLOOKUP(A204,'SAP '!$A$3:$C$14709,3,0),0)</f>
        <v>188263</v>
      </c>
      <c r="D204" s="1151">
        <v>188263</v>
      </c>
      <c r="E204" s="125">
        <f>IFERROR(VLOOKUP($A204,'SAP '!$A$3:$D$391,3,0),0)</f>
        <v>188263</v>
      </c>
      <c r="F204" s="1310">
        <f t="shared" si="3"/>
        <v>0</v>
      </c>
    </row>
    <row r="205" spans="1:6" s="125" customFormat="1">
      <c r="A205" s="1178">
        <v>1101205081</v>
      </c>
      <c r="B205" s="1178" t="s">
        <v>780</v>
      </c>
      <c r="C205" s="1312">
        <f>IFERROR(VLOOKUP(A205,'SAP '!$A$3:$C$14709,3,0),0)</f>
        <v>1193819.46</v>
      </c>
      <c r="D205" s="1151">
        <v>5424.46</v>
      </c>
      <c r="E205" s="125">
        <f>IFERROR(VLOOKUP($A205,'SAP '!$A$3:$D$391,3,0),0)</f>
        <v>1193819.46</v>
      </c>
      <c r="F205" s="1310">
        <f t="shared" si="3"/>
        <v>0</v>
      </c>
    </row>
    <row r="206" spans="1:6" s="125" customFormat="1">
      <c r="A206" s="1178">
        <v>1101205082</v>
      </c>
      <c r="B206" s="1178" t="s">
        <v>954</v>
      </c>
      <c r="C206" s="1312">
        <f>IFERROR(VLOOKUP(A206,'SAP '!$A$3:$C$14709,3,0),0)</f>
        <v>-1065152</v>
      </c>
      <c r="D206" s="1151">
        <v>0</v>
      </c>
      <c r="E206" s="125">
        <f>IFERROR(VLOOKUP($A206,'SAP '!$A$3:$D$391,3,0),0)</f>
        <v>-1065152</v>
      </c>
      <c r="F206" s="1310">
        <f t="shared" si="3"/>
        <v>0</v>
      </c>
    </row>
    <row r="207" spans="1:6" s="125" customFormat="1">
      <c r="A207" s="1178">
        <v>1101205090</v>
      </c>
      <c r="B207" s="1178" t="s">
        <v>781</v>
      </c>
      <c r="C207" s="1312">
        <f>IFERROR(VLOOKUP(A207,'SAP '!$A$3:$C$14709,3,0),0)</f>
        <v>1634990.82</v>
      </c>
      <c r="D207" s="1151">
        <v>933387.58</v>
      </c>
      <c r="E207" s="125">
        <f>IFERROR(VLOOKUP($A207,'SAP '!$A$3:$D$391,3,0),0)</f>
        <v>1634990.82</v>
      </c>
      <c r="F207" s="1310">
        <f t="shared" si="3"/>
        <v>0</v>
      </c>
    </row>
    <row r="208" spans="1:6" s="125" customFormat="1">
      <c r="A208" s="1178">
        <v>1101205091</v>
      </c>
      <c r="B208" s="1178" t="s">
        <v>782</v>
      </c>
      <c r="C208" s="1312">
        <f>IFERROR(VLOOKUP(A208,'SAP '!$A$3:$C$14709,3,0),0)</f>
        <v>-832500</v>
      </c>
      <c r="D208" s="1151">
        <v>830814.88</v>
      </c>
      <c r="E208" s="125">
        <f>IFERROR(VLOOKUP($A208,'SAP '!$A$3:$D$391,3,0),0)</f>
        <v>-832500</v>
      </c>
      <c r="F208" s="1310">
        <f t="shared" si="3"/>
        <v>0</v>
      </c>
    </row>
    <row r="209" spans="1:6" s="125" customFormat="1">
      <c r="A209" s="1178">
        <v>1101205092</v>
      </c>
      <c r="B209" s="1178" t="s">
        <v>783</v>
      </c>
      <c r="C209" s="1312">
        <f>IFERROR(VLOOKUP(A209,'SAP '!$A$3:$C$14709,3,0),0)</f>
        <v>-775640.06</v>
      </c>
      <c r="D209" s="1151">
        <v>-718528</v>
      </c>
      <c r="E209" s="125">
        <f>IFERROR(VLOOKUP($A209,'SAP '!$A$3:$D$391,3,0),0)</f>
        <v>-775640.06</v>
      </c>
      <c r="F209" s="1310">
        <f t="shared" si="3"/>
        <v>0</v>
      </c>
    </row>
    <row r="210" spans="1:6" s="125" customFormat="1">
      <c r="A210" s="1178">
        <v>1101205100</v>
      </c>
      <c r="B210" s="1178" t="s">
        <v>955</v>
      </c>
      <c r="C210" s="1312">
        <f>IFERROR(VLOOKUP(A210,'SAP '!$A$3:$C$14709,3,0),0)</f>
        <v>0</v>
      </c>
      <c r="D210" s="1151">
        <v>0</v>
      </c>
      <c r="E210" s="125">
        <f>IFERROR(VLOOKUP($A210,'SAP '!$A$3:$D$391,3,0),0)</f>
        <v>0</v>
      </c>
      <c r="F210" s="1310">
        <f t="shared" si="3"/>
        <v>0</v>
      </c>
    </row>
    <row r="211" spans="1:6" s="125" customFormat="1">
      <c r="A211" s="1178">
        <v>1101205101</v>
      </c>
      <c r="B211" s="1178" t="s">
        <v>956</v>
      </c>
      <c r="C211" s="1312">
        <f>IFERROR(VLOOKUP(A211,'SAP '!$A$3:$C$14709,3,0),0)</f>
        <v>0</v>
      </c>
      <c r="D211" s="1151">
        <v>0</v>
      </c>
      <c r="E211" s="125">
        <f>IFERROR(VLOOKUP($A211,'SAP '!$A$3:$D$391,3,0),0)</f>
        <v>0</v>
      </c>
      <c r="F211" s="1310">
        <f t="shared" si="3"/>
        <v>0</v>
      </c>
    </row>
    <row r="212" spans="1:6" s="125" customFormat="1">
      <c r="A212" s="1178">
        <v>1101205102</v>
      </c>
      <c r="B212" s="1178" t="s">
        <v>957</v>
      </c>
      <c r="C212" s="1312">
        <f>IFERROR(VLOOKUP(A212,'SAP '!$A$3:$C$14709,3,0),0)</f>
        <v>0</v>
      </c>
      <c r="D212" s="1151">
        <v>0</v>
      </c>
      <c r="E212" s="125">
        <f>IFERROR(VLOOKUP($A212,'SAP '!$A$3:$D$391,3,0),0)</f>
        <v>0</v>
      </c>
      <c r="F212" s="1310">
        <f t="shared" si="3"/>
        <v>0</v>
      </c>
    </row>
    <row r="213" spans="1:6" s="125" customFormat="1">
      <c r="A213" s="1178">
        <v>1101205110</v>
      </c>
      <c r="B213" s="1178" t="s">
        <v>958</v>
      </c>
      <c r="C213" s="1312">
        <f>IFERROR(VLOOKUP(A213,'SAP '!$A$3:$C$14709,3,0),0)</f>
        <v>0</v>
      </c>
      <c r="D213" s="1151">
        <v>0</v>
      </c>
      <c r="E213" s="125">
        <f>IFERROR(VLOOKUP($A213,'SAP '!$A$3:$D$391,3,0),0)</f>
        <v>0</v>
      </c>
      <c r="F213" s="1310">
        <f t="shared" si="3"/>
        <v>0</v>
      </c>
    </row>
    <row r="214" spans="1:6" s="125" customFormat="1">
      <c r="A214" s="1178">
        <v>1101205111</v>
      </c>
      <c r="B214" s="1178" t="s">
        <v>959</v>
      </c>
      <c r="C214" s="1312">
        <f>IFERROR(VLOOKUP(A214,'SAP '!$A$3:$C$14709,3,0),0)</f>
        <v>0</v>
      </c>
      <c r="D214" s="1151">
        <v>0</v>
      </c>
      <c r="E214" s="125">
        <f>IFERROR(VLOOKUP($A214,'SAP '!$A$3:$D$391,3,0),0)</f>
        <v>0</v>
      </c>
      <c r="F214" s="1310">
        <f t="shared" si="3"/>
        <v>0</v>
      </c>
    </row>
    <row r="215" spans="1:6" s="125" customFormat="1">
      <c r="A215" s="1178">
        <v>1101205112</v>
      </c>
      <c r="B215" s="1178" t="s">
        <v>960</v>
      </c>
      <c r="C215" s="1312">
        <f>IFERROR(VLOOKUP(A215,'SAP '!$A$3:$C$14709,3,0),0)</f>
        <v>0</v>
      </c>
      <c r="D215" s="1151">
        <v>0</v>
      </c>
      <c r="E215" s="125">
        <f>IFERROR(VLOOKUP($A215,'SAP '!$A$3:$D$391,3,0),0)</f>
        <v>0</v>
      </c>
      <c r="F215" s="1310">
        <f t="shared" si="3"/>
        <v>0</v>
      </c>
    </row>
    <row r="216" spans="1:6" s="125" customFormat="1">
      <c r="A216" s="1178">
        <v>1101205120</v>
      </c>
      <c r="B216" s="1178" t="s">
        <v>961</v>
      </c>
      <c r="C216" s="1312">
        <f>IFERROR(VLOOKUP(A216,'SAP '!$A$3:$C$14709,3,0),0)</f>
        <v>0</v>
      </c>
      <c r="D216" s="1151">
        <v>0</v>
      </c>
      <c r="E216" s="125">
        <f>IFERROR(VLOOKUP($A216,'SAP '!$A$3:$D$391,3,0),0)</f>
        <v>0</v>
      </c>
      <c r="F216" s="1310">
        <f t="shared" si="3"/>
        <v>0</v>
      </c>
    </row>
    <row r="217" spans="1:6" s="125" customFormat="1">
      <c r="A217" s="1178">
        <v>1101205121</v>
      </c>
      <c r="B217" s="1178" t="s">
        <v>962</v>
      </c>
      <c r="C217" s="1312">
        <f>IFERROR(VLOOKUP(A217,'SAP '!$A$3:$C$14709,3,0),0)</f>
        <v>0</v>
      </c>
      <c r="D217" s="1151">
        <v>0</v>
      </c>
      <c r="E217" s="125">
        <f>IFERROR(VLOOKUP($A217,'SAP '!$A$3:$D$391,3,0),0)</f>
        <v>0</v>
      </c>
      <c r="F217" s="1310">
        <f t="shared" si="3"/>
        <v>0</v>
      </c>
    </row>
    <row r="218" spans="1:6" s="125" customFormat="1">
      <c r="A218" s="1178">
        <v>1101205122</v>
      </c>
      <c r="B218" s="1178" t="s">
        <v>963</v>
      </c>
      <c r="C218" s="1312">
        <f>IFERROR(VLOOKUP(A218,'SAP '!$A$3:$C$14709,3,0),0)</f>
        <v>0</v>
      </c>
      <c r="D218" s="1151">
        <v>0</v>
      </c>
      <c r="E218" s="125">
        <f>IFERROR(VLOOKUP($A218,'SAP '!$A$3:$D$391,3,0),0)</f>
        <v>0</v>
      </c>
      <c r="F218" s="1310">
        <f t="shared" si="3"/>
        <v>0</v>
      </c>
    </row>
    <row r="219" spans="1:6" s="125" customFormat="1">
      <c r="A219" s="1178">
        <v>1101205130</v>
      </c>
      <c r="B219" s="1178" t="s">
        <v>964</v>
      </c>
      <c r="C219" s="1312">
        <f>IFERROR(VLOOKUP(A219,'SAP '!$A$3:$C$14709,3,0),0)</f>
        <v>0</v>
      </c>
      <c r="D219" s="1151">
        <v>0</v>
      </c>
      <c r="E219" s="125">
        <f>IFERROR(VLOOKUP($A219,'SAP '!$A$3:$D$391,3,0),0)</f>
        <v>0</v>
      </c>
      <c r="F219" s="1310">
        <f t="shared" si="3"/>
        <v>0</v>
      </c>
    </row>
    <row r="220" spans="1:6" s="125" customFormat="1">
      <c r="A220" s="1178">
        <v>1101205131</v>
      </c>
      <c r="B220" s="1178" t="s">
        <v>965</v>
      </c>
      <c r="C220" s="1312">
        <f>IFERROR(VLOOKUP(A220,'SAP '!$A$3:$C$14709,3,0),0)</f>
        <v>0</v>
      </c>
      <c r="D220" s="1151">
        <v>0</v>
      </c>
      <c r="E220" s="125">
        <f>IFERROR(VLOOKUP($A220,'SAP '!$A$3:$D$391,3,0),0)</f>
        <v>0</v>
      </c>
      <c r="F220" s="1310">
        <f t="shared" si="3"/>
        <v>0</v>
      </c>
    </row>
    <row r="221" spans="1:6" s="125" customFormat="1">
      <c r="A221" s="1178">
        <v>1101205132</v>
      </c>
      <c r="B221" s="1178" t="s">
        <v>966</v>
      </c>
      <c r="C221" s="1312">
        <f>IFERROR(VLOOKUP(A221,'SAP '!$A$3:$C$14709,3,0),0)</f>
        <v>0</v>
      </c>
      <c r="D221" s="1151">
        <v>0</v>
      </c>
      <c r="E221" s="125">
        <f>IFERROR(VLOOKUP($A221,'SAP '!$A$3:$D$391,3,0),0)</f>
        <v>0</v>
      </c>
      <c r="F221" s="1310">
        <f t="shared" si="3"/>
        <v>0</v>
      </c>
    </row>
    <row r="222" spans="1:6" s="125" customFormat="1">
      <c r="A222" s="1178">
        <v>1101205140</v>
      </c>
      <c r="B222" s="1178" t="s">
        <v>967</v>
      </c>
      <c r="C222" s="1312">
        <f>IFERROR(VLOOKUP(A222,'SAP '!$A$3:$C$14709,3,0),0)</f>
        <v>0</v>
      </c>
      <c r="D222" s="1151">
        <v>0</v>
      </c>
      <c r="E222" s="125">
        <f>IFERROR(VLOOKUP($A222,'SAP '!$A$3:$D$391,3,0),0)</f>
        <v>0</v>
      </c>
      <c r="F222" s="1310">
        <f t="shared" si="3"/>
        <v>0</v>
      </c>
    </row>
    <row r="223" spans="1:6" s="125" customFormat="1">
      <c r="A223" s="1178">
        <v>1101205141</v>
      </c>
      <c r="B223" s="1178" t="s">
        <v>968</v>
      </c>
      <c r="C223" s="1312">
        <f>IFERROR(VLOOKUP(A223,'SAP '!$A$3:$C$14709,3,0),0)</f>
        <v>0</v>
      </c>
      <c r="D223" s="1151">
        <v>0</v>
      </c>
      <c r="E223" s="125">
        <f>IFERROR(VLOOKUP($A223,'SAP '!$A$3:$D$391,3,0),0)</f>
        <v>0</v>
      </c>
      <c r="F223" s="1310">
        <f t="shared" si="3"/>
        <v>0</v>
      </c>
    </row>
    <row r="224" spans="1:6" s="125" customFormat="1">
      <c r="A224" s="1178">
        <v>1101205142</v>
      </c>
      <c r="B224" s="1178" t="s">
        <v>969</v>
      </c>
      <c r="C224" s="1312">
        <f>IFERROR(VLOOKUP(A224,'SAP '!$A$3:$C$14709,3,0),0)</f>
        <v>0</v>
      </c>
      <c r="D224" s="1151">
        <v>0</v>
      </c>
      <c r="E224" s="125">
        <f>IFERROR(VLOOKUP($A224,'SAP '!$A$3:$D$391,3,0),0)</f>
        <v>0</v>
      </c>
      <c r="F224" s="1310">
        <f t="shared" si="3"/>
        <v>0</v>
      </c>
    </row>
    <row r="225" spans="1:6" s="125" customFormat="1">
      <c r="A225" s="1178">
        <v>1101206000</v>
      </c>
      <c r="B225" s="1178" t="s">
        <v>784</v>
      </c>
      <c r="C225" s="1312">
        <f>IFERROR(VLOOKUP(A225,'SAP '!$A$3:$C$14709,3,0),0)</f>
        <v>10154781.91</v>
      </c>
      <c r="D225" s="1151">
        <v>3368773.75</v>
      </c>
      <c r="E225" s="125">
        <f>IFERROR(VLOOKUP($A225,'SAP '!$A$3:$D$391,3,0),0)</f>
        <v>10154781.91</v>
      </c>
      <c r="F225" s="1310">
        <f t="shared" si="3"/>
        <v>0</v>
      </c>
    </row>
    <row r="226" spans="1:6" s="125" customFormat="1">
      <c r="A226" s="1178">
        <v>1101206001</v>
      </c>
      <c r="B226" s="1178" t="s">
        <v>785</v>
      </c>
      <c r="C226" s="1312">
        <f>IFERROR(VLOOKUP(A226,'SAP '!$A$3:$C$14709,3,0),0)</f>
        <v>8830024.3200000003</v>
      </c>
      <c r="D226" s="1151">
        <v>5129897.17</v>
      </c>
      <c r="E226" s="125">
        <f>IFERROR(VLOOKUP($A226,'SAP '!$A$3:$D$391,3,0),0)</f>
        <v>8830024.3200000003</v>
      </c>
      <c r="F226" s="1310">
        <f t="shared" si="3"/>
        <v>0</v>
      </c>
    </row>
    <row r="227" spans="1:6" s="125" customFormat="1">
      <c r="A227" s="1178">
        <v>1101206002</v>
      </c>
      <c r="B227" s="1178" t="s">
        <v>876</v>
      </c>
      <c r="C227" s="1312">
        <f>IFERROR(VLOOKUP(A227,'SAP '!$A$3:$C$14709,3,0),0)</f>
        <v>0</v>
      </c>
      <c r="D227" s="1151">
        <v>0</v>
      </c>
      <c r="E227" s="125">
        <f>IFERROR(VLOOKUP($A227,'SAP '!$A$3:$D$391,3,0),0)</f>
        <v>0</v>
      </c>
      <c r="F227" s="1310">
        <f t="shared" si="3"/>
        <v>0</v>
      </c>
    </row>
    <row r="228" spans="1:6" s="125" customFormat="1">
      <c r="A228" s="1178">
        <v>1101206010</v>
      </c>
      <c r="B228" s="1178" t="s">
        <v>786</v>
      </c>
      <c r="C228" s="1312">
        <f>IFERROR(VLOOKUP(A228,'SAP '!$A$3:$C$14709,3,0),0)</f>
        <v>273827.71999999997</v>
      </c>
      <c r="D228" s="1151">
        <v>171128.05</v>
      </c>
      <c r="E228" s="125">
        <f>IFERROR(VLOOKUP($A228,'SAP '!$A$3:$D$391,3,0),0)</f>
        <v>273827.71999999997</v>
      </c>
      <c r="F228" s="1310">
        <f t="shared" si="3"/>
        <v>0</v>
      </c>
    </row>
    <row r="229" spans="1:6" s="125" customFormat="1">
      <c r="A229" s="1178">
        <v>1101206011</v>
      </c>
      <c r="B229" s="1178" t="s">
        <v>787</v>
      </c>
      <c r="C229" s="1312">
        <f>IFERROR(VLOOKUP(A229,'SAP '!$A$3:$C$14709,3,0),0)</f>
        <v>-192934.06</v>
      </c>
      <c r="D229" s="1151">
        <v>-67557.06</v>
      </c>
      <c r="E229" s="125">
        <f>IFERROR(VLOOKUP($A229,'SAP '!$A$3:$D$391,3,0),0)</f>
        <v>-192934.06</v>
      </c>
      <c r="F229" s="1310">
        <f t="shared" si="3"/>
        <v>0</v>
      </c>
    </row>
    <row r="230" spans="1:6" s="125" customFormat="1">
      <c r="A230" s="1178">
        <v>1101206012</v>
      </c>
      <c r="B230" s="1178" t="s">
        <v>970</v>
      </c>
      <c r="C230" s="1312">
        <f>IFERROR(VLOOKUP(A230,'SAP '!$A$3:$C$14709,3,0),0)</f>
        <v>0</v>
      </c>
      <c r="D230" s="1151">
        <v>0</v>
      </c>
      <c r="E230" s="125">
        <f>IFERROR(VLOOKUP($A230,'SAP '!$A$3:$D$391,3,0),0)</f>
        <v>0</v>
      </c>
      <c r="F230" s="1310">
        <f t="shared" si="3"/>
        <v>0</v>
      </c>
    </row>
    <row r="231" spans="1:6" s="125" customFormat="1">
      <c r="A231" s="1176">
        <v>1101206020</v>
      </c>
      <c r="B231" s="1177" t="s">
        <v>788</v>
      </c>
      <c r="C231" s="1312">
        <f>IFERROR(VLOOKUP(A231,'SAP '!$A$3:$C$14709,3,0),0)</f>
        <v>2012893.79</v>
      </c>
      <c r="D231" s="1151">
        <v>1509245.11</v>
      </c>
      <c r="E231" s="125">
        <f>IFERROR(VLOOKUP($A231,'SAP '!$A$3:$D$391,3,0),0)</f>
        <v>2012893.79</v>
      </c>
      <c r="F231" s="1310">
        <f t="shared" si="3"/>
        <v>0</v>
      </c>
    </row>
    <row r="232" spans="1:6" s="125" customFormat="1">
      <c r="A232" s="1176">
        <v>1101206021</v>
      </c>
      <c r="B232" s="1177" t="s">
        <v>789</v>
      </c>
      <c r="C232" s="1312">
        <f>IFERROR(VLOOKUP(A232,'SAP '!$A$3:$C$14709,3,0),0)</f>
        <v>122531.97</v>
      </c>
      <c r="D232" s="1151">
        <v>62273.5</v>
      </c>
      <c r="E232" s="125">
        <f>IFERROR(VLOOKUP($A232,'SAP '!$A$3:$D$391,3,0),0)</f>
        <v>122531.97</v>
      </c>
      <c r="F232" s="1310">
        <f t="shared" si="3"/>
        <v>0</v>
      </c>
    </row>
    <row r="233" spans="1:6" s="125" customFormat="1">
      <c r="A233" s="1176">
        <v>1101206022</v>
      </c>
      <c r="B233" s="1177" t="s">
        <v>790</v>
      </c>
      <c r="C233" s="1312">
        <f>IFERROR(VLOOKUP(A233,'SAP '!$A$3:$C$14709,3,0),0)</f>
        <v>-639252.56999999995</v>
      </c>
      <c r="D233" s="1151">
        <v>-639252.56999999995</v>
      </c>
      <c r="E233" s="125">
        <f>IFERROR(VLOOKUP($A233,'SAP '!$A$3:$D$391,3,0),0)</f>
        <v>-639252.56999999995</v>
      </c>
      <c r="F233" s="1310">
        <f t="shared" si="3"/>
        <v>0</v>
      </c>
    </row>
    <row r="234" spans="1:6" s="125" customFormat="1">
      <c r="A234" s="1178">
        <v>1101206030</v>
      </c>
      <c r="B234" s="1178" t="s">
        <v>791</v>
      </c>
      <c r="C234" s="1312">
        <f>IFERROR(VLOOKUP(A234,'SAP '!$A$3:$C$14709,3,0),0)</f>
        <v>1000</v>
      </c>
      <c r="D234" s="1151">
        <v>1000</v>
      </c>
      <c r="E234" s="125">
        <f>IFERROR(VLOOKUP($A234,'SAP '!$A$3:$D$391,3,0),0)</f>
        <v>1000</v>
      </c>
      <c r="F234" s="1310">
        <f t="shared" si="3"/>
        <v>0</v>
      </c>
    </row>
    <row r="235" spans="1:6" s="125" customFormat="1">
      <c r="A235" s="1178">
        <v>1101206031</v>
      </c>
      <c r="B235" s="1178" t="s">
        <v>792</v>
      </c>
      <c r="C235" s="1312">
        <f>IFERROR(VLOOKUP(A235,'SAP '!$A$3:$C$14709,3,0),0)</f>
        <v>0</v>
      </c>
      <c r="D235" s="1151">
        <v>0</v>
      </c>
      <c r="E235" s="125">
        <f>IFERROR(VLOOKUP($A235,'SAP '!$A$3:$D$391,3,0),0)</f>
        <v>0</v>
      </c>
      <c r="F235" s="1310">
        <f t="shared" si="3"/>
        <v>0</v>
      </c>
    </row>
    <row r="236" spans="1:6" s="125" customFormat="1">
      <c r="A236" s="1178">
        <v>1101206032</v>
      </c>
      <c r="B236" s="1178" t="s">
        <v>971</v>
      </c>
      <c r="C236" s="1312">
        <f>IFERROR(VLOOKUP(A236,'SAP '!$A$3:$C$14709,3,0),0)</f>
        <v>0</v>
      </c>
      <c r="D236" s="1151">
        <v>0</v>
      </c>
      <c r="E236" s="125">
        <f>IFERROR(VLOOKUP($A236,'SAP '!$A$3:$D$391,3,0),0)</f>
        <v>0</v>
      </c>
      <c r="F236" s="1310">
        <f t="shared" si="3"/>
        <v>0</v>
      </c>
    </row>
    <row r="237" spans="1:6" s="125" customFormat="1">
      <c r="A237" s="1178">
        <v>1101206040</v>
      </c>
      <c r="B237" s="1178" t="s">
        <v>793</v>
      </c>
      <c r="C237" s="1312">
        <f>IFERROR(VLOOKUP(A237,'SAP '!$A$3:$C$14709,3,0),0)</f>
        <v>463167</v>
      </c>
      <c r="D237" s="1151">
        <v>138510.25</v>
      </c>
      <c r="E237" s="125">
        <f>IFERROR(VLOOKUP($A237,'SAP '!$A$3:$D$391,3,0),0)</f>
        <v>463167</v>
      </c>
      <c r="F237" s="1310">
        <f t="shared" si="3"/>
        <v>0</v>
      </c>
    </row>
    <row r="238" spans="1:6" s="125" customFormat="1">
      <c r="A238" s="1178">
        <v>1101206041</v>
      </c>
      <c r="B238" s="1178" t="s">
        <v>794</v>
      </c>
      <c r="C238" s="1312">
        <f>IFERROR(VLOOKUP(A238,'SAP '!$A$3:$C$14709,3,0),0)</f>
        <v>2491984.91</v>
      </c>
      <c r="D238" s="1151">
        <v>-12462.27</v>
      </c>
      <c r="E238" s="125">
        <f>IFERROR(VLOOKUP($A238,'SAP '!$A$3:$D$391,3,0),0)</f>
        <v>2491984.91</v>
      </c>
      <c r="F238" s="1310">
        <f t="shared" si="3"/>
        <v>0</v>
      </c>
    </row>
    <row r="239" spans="1:6" s="125" customFormat="1">
      <c r="A239" s="1178">
        <v>1101206042</v>
      </c>
      <c r="B239" s="1178" t="s">
        <v>795</v>
      </c>
      <c r="C239" s="1312">
        <f>IFERROR(VLOOKUP(A239,'SAP '!$A$3:$C$14709,3,0),0)</f>
        <v>-2163574.9300000002</v>
      </c>
      <c r="D239" s="1151">
        <v>0</v>
      </c>
      <c r="E239" s="125">
        <f>IFERROR(VLOOKUP($A239,'SAP '!$A$3:$D$391,3,0),0)</f>
        <v>-2163574.9300000002</v>
      </c>
      <c r="F239" s="1310">
        <f t="shared" si="3"/>
        <v>0</v>
      </c>
    </row>
    <row r="240" spans="1:6" s="125" customFormat="1">
      <c r="A240" s="1178">
        <v>1101206050</v>
      </c>
      <c r="B240" s="1178" t="s">
        <v>972</v>
      </c>
      <c r="C240" s="1312">
        <f>IFERROR(VLOOKUP(A240,'SAP '!$A$3:$C$14709,3,0),0)</f>
        <v>0</v>
      </c>
      <c r="D240" s="1151">
        <v>0</v>
      </c>
      <c r="E240" s="125">
        <f>IFERROR(VLOOKUP($A240,'SAP '!$A$3:$D$391,3,0),0)</f>
        <v>0</v>
      </c>
      <c r="F240" s="1310">
        <f t="shared" si="3"/>
        <v>0</v>
      </c>
    </row>
    <row r="241" spans="1:6" s="125" customFormat="1">
      <c r="A241" s="1178">
        <v>1101206051</v>
      </c>
      <c r="B241" s="1178" t="s">
        <v>973</v>
      </c>
      <c r="C241" s="1312">
        <f>IFERROR(VLOOKUP(A241,'SAP '!$A$3:$C$14709,3,0),0)</f>
        <v>0</v>
      </c>
      <c r="D241" s="1151">
        <v>0</v>
      </c>
      <c r="E241" s="125">
        <f>IFERROR(VLOOKUP($A241,'SAP '!$A$3:$D$391,3,0),0)</f>
        <v>0</v>
      </c>
      <c r="F241" s="1310">
        <f t="shared" si="3"/>
        <v>0</v>
      </c>
    </row>
    <row r="242" spans="1:6" s="125" customFormat="1">
      <c r="A242" s="1178">
        <v>1101206052</v>
      </c>
      <c r="B242" s="1178" t="s">
        <v>974</v>
      </c>
      <c r="C242" s="1312">
        <f>IFERROR(VLOOKUP(A242,'SAP '!$A$3:$C$14709,3,0),0)</f>
        <v>0</v>
      </c>
      <c r="D242" s="1151">
        <v>0</v>
      </c>
      <c r="E242" s="125">
        <f>IFERROR(VLOOKUP($A242,'SAP '!$A$3:$D$391,3,0),0)</f>
        <v>0</v>
      </c>
      <c r="F242" s="1310">
        <f t="shared" si="3"/>
        <v>0</v>
      </c>
    </row>
    <row r="243" spans="1:6" s="125" customFormat="1">
      <c r="A243" s="1178">
        <v>1101206060</v>
      </c>
      <c r="B243" s="1178" t="s">
        <v>796</v>
      </c>
      <c r="C243" s="1312">
        <f>IFERROR(VLOOKUP(A243,'SAP '!$A$3:$C$14709,3,0),0)</f>
        <v>1663101.05</v>
      </c>
      <c r="D243" s="1151">
        <v>374948.1</v>
      </c>
      <c r="E243" s="125">
        <f>IFERROR(VLOOKUP($A243,'SAP '!$A$3:$D$391,3,0),0)</f>
        <v>1663101.05</v>
      </c>
      <c r="F243" s="1310">
        <f t="shared" si="3"/>
        <v>0</v>
      </c>
    </row>
    <row r="244" spans="1:6" s="125" customFormat="1">
      <c r="A244" s="1178">
        <v>1101206061</v>
      </c>
      <c r="B244" s="1178" t="s">
        <v>797</v>
      </c>
      <c r="C244" s="1312">
        <f>IFERROR(VLOOKUP(A244,'SAP '!$A$3:$C$14709,3,0),0)</f>
        <v>3769236.2</v>
      </c>
      <c r="D244" s="1151">
        <v>1883642.25</v>
      </c>
      <c r="E244" s="125">
        <f>IFERROR(VLOOKUP($A244,'SAP '!$A$3:$D$391,3,0),0)</f>
        <v>3769236.2</v>
      </c>
      <c r="F244" s="1310">
        <f t="shared" si="3"/>
        <v>0</v>
      </c>
    </row>
    <row r="245" spans="1:6" s="125" customFormat="1">
      <c r="A245" s="1178">
        <v>1101206062</v>
      </c>
      <c r="B245" s="1178" t="s">
        <v>877</v>
      </c>
      <c r="C245" s="1312">
        <f>IFERROR(VLOOKUP(A245,'SAP '!$A$3:$C$14709,3,0),0)</f>
        <v>0</v>
      </c>
      <c r="D245" s="1151">
        <v>0</v>
      </c>
      <c r="E245" s="125">
        <f>IFERROR(VLOOKUP($A245,'SAP '!$A$3:$D$391,3,0),0)</f>
        <v>0</v>
      </c>
      <c r="F245" s="1310">
        <f t="shared" si="3"/>
        <v>0</v>
      </c>
    </row>
    <row r="246" spans="1:6" s="125" customFormat="1">
      <c r="A246" s="1178">
        <v>1101206070</v>
      </c>
      <c r="B246" s="1178" t="s">
        <v>798</v>
      </c>
      <c r="C246" s="1312">
        <f>IFERROR(VLOOKUP(A246,'SAP '!$A$3:$C$14709,3,0),0)</f>
        <v>1409108.43</v>
      </c>
      <c r="D246" s="1151">
        <v>946176.03</v>
      </c>
      <c r="E246" s="125">
        <f>IFERROR(VLOOKUP($A246,'SAP '!$A$3:$D$391,3,0),0)</f>
        <v>1409108.43</v>
      </c>
      <c r="F246" s="1310">
        <f t="shared" si="3"/>
        <v>0</v>
      </c>
    </row>
    <row r="247" spans="1:6" s="125" customFormat="1">
      <c r="A247" s="1178">
        <v>1101206071</v>
      </c>
      <c r="B247" s="1178" t="s">
        <v>799</v>
      </c>
      <c r="C247" s="1312">
        <f>IFERROR(VLOOKUP(A247,'SAP '!$A$3:$C$14709,3,0),0)</f>
        <v>343348.6</v>
      </c>
      <c r="D247" s="1151">
        <v>300.8</v>
      </c>
      <c r="E247" s="125">
        <f>IFERROR(VLOOKUP($A247,'SAP '!$A$3:$D$391,3,0),0)</f>
        <v>343348.6</v>
      </c>
      <c r="F247" s="1310">
        <f t="shared" si="3"/>
        <v>0</v>
      </c>
    </row>
    <row r="248" spans="1:6" s="125" customFormat="1">
      <c r="A248" s="1178">
        <v>1101206072</v>
      </c>
      <c r="B248" s="1178" t="s">
        <v>878</v>
      </c>
      <c r="C248" s="1312">
        <f>IFERROR(VLOOKUP(A248,'SAP '!$A$3:$C$14709,3,0),0)</f>
        <v>0</v>
      </c>
      <c r="D248" s="1151">
        <v>0</v>
      </c>
      <c r="E248" s="125">
        <f>IFERROR(VLOOKUP($A248,'SAP '!$A$3:$D$391,3,0),0)</f>
        <v>0</v>
      </c>
      <c r="F248" s="1310">
        <f t="shared" si="3"/>
        <v>0</v>
      </c>
    </row>
    <row r="249" spans="1:6" s="125" customFormat="1">
      <c r="A249" s="1178">
        <v>1101206080</v>
      </c>
      <c r="B249" s="1178" t="s">
        <v>800</v>
      </c>
      <c r="C249" s="1312">
        <f>IFERROR(VLOOKUP(A249,'SAP '!$A$3:$C$14709,3,0),0)</f>
        <v>4014040.59</v>
      </c>
      <c r="D249" s="1151">
        <v>418085.25</v>
      </c>
      <c r="E249" s="125">
        <f>IFERROR(VLOOKUP($A249,'SAP '!$A$3:$D$391,3,0),0)</f>
        <v>4014040.59</v>
      </c>
      <c r="F249" s="1310">
        <f t="shared" si="3"/>
        <v>0</v>
      </c>
    </row>
    <row r="250" spans="1:6" s="125" customFormat="1">
      <c r="A250" s="1178">
        <v>1101206081</v>
      </c>
      <c r="B250" s="1178" t="s">
        <v>801</v>
      </c>
      <c r="C250" s="1312">
        <f>IFERROR(VLOOKUP(A250,'SAP '!$A$3:$C$14709,3,0),0)</f>
        <v>1411248.23</v>
      </c>
      <c r="D250" s="1151">
        <v>843099</v>
      </c>
      <c r="E250" s="125">
        <f>IFERROR(VLOOKUP($A250,'SAP '!$A$3:$D$391,3,0),0)</f>
        <v>1411248.23</v>
      </c>
      <c r="F250" s="1310">
        <f t="shared" si="3"/>
        <v>0</v>
      </c>
    </row>
    <row r="251" spans="1:6" s="125" customFormat="1">
      <c r="A251" s="1178">
        <v>1101206082</v>
      </c>
      <c r="B251" s="1178" t="s">
        <v>879</v>
      </c>
      <c r="C251" s="1312">
        <f>IFERROR(VLOOKUP(A251,'SAP '!$A$3:$C$14709,3,0),0)</f>
        <v>0</v>
      </c>
      <c r="D251" s="1151">
        <v>0</v>
      </c>
      <c r="E251" s="125">
        <f>IFERROR(VLOOKUP($A251,'SAP '!$A$3:$D$391,3,0),0)</f>
        <v>0</v>
      </c>
      <c r="F251" s="1310">
        <f t="shared" si="3"/>
        <v>0</v>
      </c>
    </row>
    <row r="252" spans="1:6" s="125" customFormat="1">
      <c r="A252" s="1178">
        <v>1101206090</v>
      </c>
      <c r="B252" s="1178" t="s">
        <v>802</v>
      </c>
      <c r="C252" s="1312">
        <f>IFERROR(VLOOKUP(A252,'SAP '!$A$3:$C$14709,3,0),0)</f>
        <v>1126369.5</v>
      </c>
      <c r="D252" s="1151">
        <v>307256.75</v>
      </c>
      <c r="E252" s="125">
        <f>IFERROR(VLOOKUP($A252,'SAP '!$A$3:$D$391,3,0),0)</f>
        <v>1126369.5</v>
      </c>
      <c r="F252" s="1310">
        <f t="shared" si="3"/>
        <v>0</v>
      </c>
    </row>
    <row r="253" spans="1:6" s="125" customFormat="1">
      <c r="A253" s="1178">
        <v>1101206091</v>
      </c>
      <c r="B253" s="1178" t="s">
        <v>803</v>
      </c>
      <c r="C253" s="1312">
        <f>IFERROR(VLOOKUP(A253,'SAP '!$A$3:$C$14709,3,0),0)</f>
        <v>7605</v>
      </c>
      <c r="D253" s="1151">
        <v>347119.75</v>
      </c>
      <c r="E253" s="125">
        <f>IFERROR(VLOOKUP($A253,'SAP '!$A$3:$D$391,3,0),0)</f>
        <v>7605</v>
      </c>
      <c r="F253" s="1310">
        <f t="shared" si="3"/>
        <v>0</v>
      </c>
    </row>
    <row r="254" spans="1:6" s="125" customFormat="1">
      <c r="A254" s="1178">
        <v>1101206092</v>
      </c>
      <c r="B254" s="1178" t="s">
        <v>880</v>
      </c>
      <c r="C254" s="1312">
        <f>IFERROR(VLOOKUP(A254,'SAP '!$A$3:$C$14709,3,0),0)</f>
        <v>0</v>
      </c>
      <c r="D254" s="1151">
        <v>0</v>
      </c>
      <c r="E254" s="125">
        <f>IFERROR(VLOOKUP($A254,'SAP '!$A$3:$D$391,3,0),0)</f>
        <v>0</v>
      </c>
      <c r="F254" s="1310">
        <f t="shared" si="3"/>
        <v>0</v>
      </c>
    </row>
    <row r="255" spans="1:6" s="125" customFormat="1">
      <c r="A255" s="1178">
        <v>1101206100</v>
      </c>
      <c r="B255" s="1178" t="s">
        <v>804</v>
      </c>
      <c r="C255" s="1312">
        <f>IFERROR(VLOOKUP(A255,'SAP '!$A$3:$C$14709,3,0),0)</f>
        <v>214035.66</v>
      </c>
      <c r="D255" s="1151">
        <v>1000</v>
      </c>
      <c r="E255" s="125">
        <f>IFERROR(VLOOKUP($A255,'SAP '!$A$3:$D$391,3,0),0)</f>
        <v>214035.66</v>
      </c>
      <c r="F255" s="1310">
        <f t="shared" si="3"/>
        <v>0</v>
      </c>
    </row>
    <row r="256" spans="1:6" s="125" customFormat="1">
      <c r="A256" s="1178">
        <v>1101206101</v>
      </c>
      <c r="B256" s="1178" t="s">
        <v>805</v>
      </c>
      <c r="C256" s="1312">
        <f>IFERROR(VLOOKUP(A256,'SAP '!$A$3:$C$14709,3,0),0)</f>
        <v>4890.09</v>
      </c>
      <c r="D256" s="1151">
        <v>5634.91</v>
      </c>
      <c r="E256" s="125">
        <f>IFERROR(VLOOKUP($A256,'SAP '!$A$3:$D$391,3,0),0)</f>
        <v>4890.09</v>
      </c>
      <c r="F256" s="1310">
        <f t="shared" si="3"/>
        <v>0</v>
      </c>
    </row>
    <row r="257" spans="1:6" s="125" customFormat="1">
      <c r="A257" s="1176">
        <v>1101206102</v>
      </c>
      <c r="B257" s="1177" t="s">
        <v>881</v>
      </c>
      <c r="C257" s="1312">
        <f>IFERROR(VLOOKUP(A257,'SAP '!$A$3:$C$14709,3,0),0)</f>
        <v>0</v>
      </c>
      <c r="D257" s="1151">
        <v>0</v>
      </c>
      <c r="E257" s="125">
        <f>IFERROR(VLOOKUP($A257,'SAP '!$A$3:$D$391,3,0),0)</f>
        <v>0</v>
      </c>
      <c r="F257" s="1310">
        <f t="shared" si="3"/>
        <v>0</v>
      </c>
    </row>
    <row r="258" spans="1:6" s="125" customFormat="1">
      <c r="A258" s="1176">
        <v>1101206110</v>
      </c>
      <c r="B258" s="1177" t="s">
        <v>806</v>
      </c>
      <c r="C258" s="1312">
        <f>IFERROR(VLOOKUP(A258,'SAP '!$A$3:$C$14709,3,0),0)</f>
        <v>1011757.62</v>
      </c>
      <c r="D258" s="1151">
        <v>1011757.62</v>
      </c>
      <c r="E258" s="125">
        <f>IFERROR(VLOOKUP($A258,'SAP '!$A$3:$D$391,3,0),0)</f>
        <v>1011757.62</v>
      </c>
      <c r="F258" s="1310">
        <f t="shared" si="3"/>
        <v>0</v>
      </c>
    </row>
    <row r="259" spans="1:6" s="125" customFormat="1">
      <c r="A259" s="1176">
        <v>1101206111</v>
      </c>
      <c r="B259" s="1177" t="s">
        <v>807</v>
      </c>
      <c r="C259" s="1312">
        <f>IFERROR(VLOOKUP(A259,'SAP '!$A$3:$C$14709,3,0),0)</f>
        <v>5764014.6600000001</v>
      </c>
      <c r="D259" s="1151">
        <v>3000000</v>
      </c>
      <c r="E259" s="125">
        <f>IFERROR(VLOOKUP($A259,'SAP '!$A$3:$D$391,3,0),0)</f>
        <v>5764014.6600000001</v>
      </c>
      <c r="F259" s="1310">
        <f t="shared" ref="F259:F322" si="4">C259-E259</f>
        <v>0</v>
      </c>
    </row>
    <row r="260" spans="1:6" s="125" customFormat="1">
      <c r="A260" s="1176">
        <v>1101206112</v>
      </c>
      <c r="B260" s="1177" t="s">
        <v>808</v>
      </c>
      <c r="C260" s="1312">
        <f>IFERROR(VLOOKUP(A260,'SAP '!$A$3:$C$14709,3,0),0)</f>
        <v>-5428853.6399999997</v>
      </c>
      <c r="D260" s="1151">
        <v>-2580088.06</v>
      </c>
      <c r="E260" s="125">
        <f>IFERROR(VLOOKUP($A260,'SAP '!$A$3:$D$391,3,0),0)</f>
        <v>-5428853.6399999997</v>
      </c>
      <c r="F260" s="1310">
        <f t="shared" si="4"/>
        <v>0</v>
      </c>
    </row>
    <row r="261" spans="1:6" s="125" customFormat="1">
      <c r="A261" s="1178">
        <v>1101206120</v>
      </c>
      <c r="B261" s="1178" t="s">
        <v>975</v>
      </c>
      <c r="C261" s="1312">
        <f>IFERROR(VLOOKUP(A261,'SAP '!$A$3:$C$14709,3,0),0)</f>
        <v>0</v>
      </c>
      <c r="D261" s="1151">
        <v>0</v>
      </c>
      <c r="E261" s="125">
        <f>IFERROR(VLOOKUP($A261,'SAP '!$A$3:$D$391,3,0),0)</f>
        <v>0</v>
      </c>
      <c r="F261" s="1310">
        <f t="shared" si="4"/>
        <v>0</v>
      </c>
    </row>
    <row r="262" spans="1:6" s="125" customFormat="1">
      <c r="A262" s="1178">
        <v>1101206121</v>
      </c>
      <c r="B262" s="1178" t="s">
        <v>976</v>
      </c>
      <c r="C262" s="1312">
        <f>IFERROR(VLOOKUP(A262,'SAP '!$A$3:$C$14709,3,0),0)</f>
        <v>0</v>
      </c>
      <c r="D262" s="1151">
        <v>0</v>
      </c>
      <c r="E262" s="125">
        <f>IFERROR(VLOOKUP($A262,'SAP '!$A$3:$D$391,3,0),0)</f>
        <v>0</v>
      </c>
      <c r="F262" s="1310">
        <f t="shared" si="4"/>
        <v>0</v>
      </c>
    </row>
    <row r="263" spans="1:6" s="125" customFormat="1">
      <c r="A263" s="1178">
        <v>1101206122</v>
      </c>
      <c r="B263" s="1178" t="s">
        <v>977</v>
      </c>
      <c r="C263" s="1312">
        <f>IFERROR(VLOOKUP(A263,'SAP '!$A$3:$C$14709,3,0),0)</f>
        <v>0</v>
      </c>
      <c r="D263" s="1151">
        <v>0</v>
      </c>
      <c r="E263" s="125">
        <f>IFERROR(VLOOKUP($A263,'SAP '!$A$3:$D$391,3,0),0)</f>
        <v>0</v>
      </c>
      <c r="F263" s="1310">
        <f t="shared" si="4"/>
        <v>0</v>
      </c>
    </row>
    <row r="264" spans="1:6" s="125" customFormat="1">
      <c r="A264" s="1178">
        <v>1101206130</v>
      </c>
      <c r="B264" s="1178" t="s">
        <v>978</v>
      </c>
      <c r="C264" s="1312">
        <f>IFERROR(VLOOKUP(A264,'SAP '!$A$3:$C$14709,3,0),0)</f>
        <v>0</v>
      </c>
      <c r="D264" s="1151">
        <v>0</v>
      </c>
      <c r="E264" s="125">
        <f>IFERROR(VLOOKUP($A264,'SAP '!$A$3:$D$391,3,0),0)</f>
        <v>0</v>
      </c>
      <c r="F264" s="1310">
        <f t="shared" si="4"/>
        <v>0</v>
      </c>
    </row>
    <row r="265" spans="1:6" s="125" customFormat="1">
      <c r="A265" s="1178">
        <v>1101206131</v>
      </c>
      <c r="B265" s="1178" t="s">
        <v>979</v>
      </c>
      <c r="C265" s="1312">
        <f>IFERROR(VLOOKUP(A265,'SAP '!$A$3:$C$14709,3,0),0)</f>
        <v>0</v>
      </c>
      <c r="D265" s="1151">
        <v>0</v>
      </c>
      <c r="E265" s="125">
        <f>IFERROR(VLOOKUP($A265,'SAP '!$A$3:$D$391,3,0),0)</f>
        <v>0</v>
      </c>
      <c r="F265" s="1310">
        <f t="shared" si="4"/>
        <v>0</v>
      </c>
    </row>
    <row r="266" spans="1:6" s="125" customFormat="1">
      <c r="A266" s="1178">
        <v>1101206132</v>
      </c>
      <c r="B266" s="1178" t="s">
        <v>980</v>
      </c>
      <c r="C266" s="1312">
        <f>IFERROR(VLOOKUP(A266,'SAP '!$A$3:$C$14709,3,0),0)</f>
        <v>0</v>
      </c>
      <c r="D266" s="1151">
        <v>0</v>
      </c>
      <c r="E266" s="125">
        <f>IFERROR(VLOOKUP($A266,'SAP '!$A$3:$D$391,3,0),0)</f>
        <v>0</v>
      </c>
      <c r="F266" s="1310">
        <f t="shared" si="4"/>
        <v>0</v>
      </c>
    </row>
    <row r="267" spans="1:6" s="125" customFormat="1">
      <c r="A267" s="1178">
        <v>1101206140</v>
      </c>
      <c r="B267" s="1178" t="s">
        <v>981</v>
      </c>
      <c r="C267" s="1312">
        <f>IFERROR(VLOOKUP(A267,'SAP '!$A$3:$C$14709,3,0),0)</f>
        <v>0</v>
      </c>
      <c r="D267" s="1151">
        <v>0</v>
      </c>
      <c r="E267" s="125">
        <f>IFERROR(VLOOKUP($A267,'SAP '!$A$3:$D$391,3,0),0)</f>
        <v>0</v>
      </c>
      <c r="F267" s="1310">
        <f t="shared" si="4"/>
        <v>0</v>
      </c>
    </row>
    <row r="268" spans="1:6" s="125" customFormat="1">
      <c r="A268" s="1178">
        <v>1101206141</v>
      </c>
      <c r="B268" s="1178" t="s">
        <v>982</v>
      </c>
      <c r="C268" s="1312">
        <f>IFERROR(VLOOKUP(A268,'SAP '!$A$3:$C$14709,3,0),0)</f>
        <v>0</v>
      </c>
      <c r="D268" s="1151">
        <v>0</v>
      </c>
      <c r="E268" s="125">
        <f>IFERROR(VLOOKUP($A268,'SAP '!$A$3:$D$391,3,0),0)</f>
        <v>0</v>
      </c>
      <c r="F268" s="1310">
        <f t="shared" si="4"/>
        <v>0</v>
      </c>
    </row>
    <row r="269" spans="1:6" s="125" customFormat="1">
      <c r="A269" s="1178">
        <v>1101206142</v>
      </c>
      <c r="B269" s="1178" t="s">
        <v>983</v>
      </c>
      <c r="C269" s="1312">
        <f>IFERROR(VLOOKUP(A269,'SAP '!$A$3:$C$14709,3,0),0)</f>
        <v>0</v>
      </c>
      <c r="D269" s="1151">
        <v>0</v>
      </c>
      <c r="E269" s="125">
        <f>IFERROR(VLOOKUP($A269,'SAP '!$A$3:$D$391,3,0),0)</f>
        <v>0</v>
      </c>
      <c r="F269" s="1310">
        <f t="shared" si="4"/>
        <v>0</v>
      </c>
    </row>
    <row r="270" spans="1:6" s="125" customFormat="1">
      <c r="A270" s="1178">
        <v>1101206150</v>
      </c>
      <c r="B270" s="1178" t="s">
        <v>984</v>
      </c>
      <c r="C270" s="1312">
        <f>IFERROR(VLOOKUP(A270,'SAP '!$A$3:$C$14709,3,0),0)</f>
        <v>0</v>
      </c>
      <c r="D270" s="1151">
        <v>0</v>
      </c>
      <c r="E270" s="125">
        <f>IFERROR(VLOOKUP($A270,'SAP '!$A$3:$D$391,3,0),0)</f>
        <v>0</v>
      </c>
      <c r="F270" s="1310">
        <f t="shared" si="4"/>
        <v>0</v>
      </c>
    </row>
    <row r="271" spans="1:6" s="125" customFormat="1">
      <c r="A271" s="1178">
        <v>1101206151</v>
      </c>
      <c r="B271" s="1178" t="s">
        <v>985</v>
      </c>
      <c r="C271" s="1312">
        <f>IFERROR(VLOOKUP(A271,'SAP '!$A$3:$C$14709,3,0),0)</f>
        <v>0</v>
      </c>
      <c r="D271" s="1151">
        <v>0</v>
      </c>
      <c r="E271" s="125">
        <f>IFERROR(VLOOKUP($A271,'SAP '!$A$3:$D$391,3,0),0)</f>
        <v>0</v>
      </c>
      <c r="F271" s="1310">
        <f t="shared" si="4"/>
        <v>0</v>
      </c>
    </row>
    <row r="272" spans="1:6" s="125" customFormat="1">
      <c r="A272" s="1178">
        <v>1101206152</v>
      </c>
      <c r="B272" s="1178" t="s">
        <v>986</v>
      </c>
      <c r="C272" s="1312">
        <f>IFERROR(VLOOKUP(A272,'SAP '!$A$3:$C$14709,3,0),0)</f>
        <v>0</v>
      </c>
      <c r="D272" s="1151">
        <v>0</v>
      </c>
      <c r="E272" s="125">
        <f>IFERROR(VLOOKUP($A272,'SAP '!$A$3:$D$391,3,0),0)</f>
        <v>0</v>
      </c>
      <c r="F272" s="1310">
        <f t="shared" si="4"/>
        <v>0</v>
      </c>
    </row>
    <row r="273" spans="1:6" s="125" customFormat="1">
      <c r="A273" s="1178">
        <v>1101206160</v>
      </c>
      <c r="B273" s="1178" t="s">
        <v>809</v>
      </c>
      <c r="C273" s="1312">
        <f>IFERROR(VLOOKUP(A273,'SAP '!$A$3:$C$14709,3,0),0)</f>
        <v>10805.28</v>
      </c>
      <c r="D273" s="1151">
        <v>10805.28</v>
      </c>
      <c r="E273" s="125">
        <f>IFERROR(VLOOKUP($A273,'SAP '!$A$3:$D$391,3,0),0)</f>
        <v>10805.28</v>
      </c>
      <c r="F273" s="1310">
        <f t="shared" si="4"/>
        <v>0</v>
      </c>
    </row>
    <row r="274" spans="1:6" s="125" customFormat="1">
      <c r="A274" s="1178">
        <v>1101206161</v>
      </c>
      <c r="B274" s="1178" t="s">
        <v>810</v>
      </c>
      <c r="C274" s="1312">
        <f>IFERROR(VLOOKUP(A274,'SAP '!$A$3:$C$14709,3,0),0)</f>
        <v>2342</v>
      </c>
      <c r="D274" s="1151">
        <v>2342</v>
      </c>
      <c r="E274" s="125">
        <f>IFERROR(VLOOKUP($A274,'SAP '!$A$3:$D$391,3,0),0)</f>
        <v>2342</v>
      </c>
      <c r="F274" s="1310">
        <f t="shared" si="4"/>
        <v>0</v>
      </c>
    </row>
    <row r="275" spans="1:6" s="125" customFormat="1">
      <c r="A275" s="1178">
        <v>1101206162</v>
      </c>
      <c r="B275" s="1178" t="s">
        <v>811</v>
      </c>
      <c r="C275" s="1312">
        <f>IFERROR(VLOOKUP(A275,'SAP '!$A$3:$C$14709,3,0),0)</f>
        <v>37756.39</v>
      </c>
      <c r="D275" s="1151">
        <v>37756.39</v>
      </c>
      <c r="E275" s="125">
        <f>IFERROR(VLOOKUP($A275,'SAP '!$A$3:$D$391,3,0),0)</f>
        <v>37756.39</v>
      </c>
      <c r="F275" s="1310">
        <f t="shared" si="4"/>
        <v>0</v>
      </c>
    </row>
    <row r="276" spans="1:6" s="125" customFormat="1">
      <c r="A276" s="1178">
        <v>1101206170</v>
      </c>
      <c r="B276" s="1178" t="s">
        <v>812</v>
      </c>
      <c r="C276" s="1312">
        <f>IFERROR(VLOOKUP(A276,'SAP '!$A$3:$C$14709,3,0),0)</f>
        <v>28060</v>
      </c>
      <c r="D276" s="1151">
        <v>1000</v>
      </c>
      <c r="E276" s="125">
        <f>IFERROR(VLOOKUP($A276,'SAP '!$A$3:$D$391,3,0),0)</f>
        <v>28060</v>
      </c>
      <c r="F276" s="1310">
        <f t="shared" si="4"/>
        <v>0</v>
      </c>
    </row>
    <row r="277" spans="1:6" s="125" customFormat="1">
      <c r="A277" s="1178">
        <v>1101206171</v>
      </c>
      <c r="B277" s="1178" t="s">
        <v>813</v>
      </c>
      <c r="C277" s="1312">
        <f>IFERROR(VLOOKUP(A277,'SAP '!$A$3:$C$14709,3,0),0)</f>
        <v>1118924.6000000001</v>
      </c>
      <c r="D277" s="1151">
        <v>2549</v>
      </c>
      <c r="E277" s="125">
        <f>IFERROR(VLOOKUP($A277,'SAP '!$A$3:$D$391,3,0),0)</f>
        <v>1118924.6000000001</v>
      </c>
      <c r="F277" s="1310">
        <f t="shared" si="4"/>
        <v>0</v>
      </c>
    </row>
    <row r="278" spans="1:6" s="125" customFormat="1">
      <c r="A278" s="1178">
        <v>1101206172</v>
      </c>
      <c r="B278" s="1178" t="s">
        <v>987</v>
      </c>
      <c r="C278" s="1312">
        <f>IFERROR(VLOOKUP(A278,'SAP '!$A$3:$C$14709,3,0),0)</f>
        <v>-664999</v>
      </c>
      <c r="D278" s="1151">
        <v>0</v>
      </c>
      <c r="E278" s="125">
        <f>IFERROR(VLOOKUP($A278,'SAP '!$A$3:$D$391,3,0),0)</f>
        <v>-664999</v>
      </c>
      <c r="F278" s="1310">
        <f t="shared" si="4"/>
        <v>0</v>
      </c>
    </row>
    <row r="279" spans="1:6" s="125" customFormat="1">
      <c r="A279" s="1178">
        <v>1101206180</v>
      </c>
      <c r="B279" s="1178" t="s">
        <v>988</v>
      </c>
      <c r="C279" s="1312">
        <f>IFERROR(VLOOKUP(A279,'SAP '!$A$3:$C$14709,3,0),0)</f>
        <v>0</v>
      </c>
      <c r="D279" s="1151">
        <v>0</v>
      </c>
      <c r="E279" s="125">
        <f>IFERROR(VLOOKUP($A279,'SAP '!$A$3:$D$391,3,0),0)</f>
        <v>0</v>
      </c>
      <c r="F279" s="1310">
        <f t="shared" si="4"/>
        <v>0</v>
      </c>
    </row>
    <row r="280" spans="1:6" s="125" customFormat="1">
      <c r="A280" s="1178">
        <v>1101206181</v>
      </c>
      <c r="B280" s="1178" t="s">
        <v>989</v>
      </c>
      <c r="C280" s="1312">
        <f>IFERROR(VLOOKUP(A280,'SAP '!$A$3:$C$14709,3,0),0)</f>
        <v>0</v>
      </c>
      <c r="D280" s="1151">
        <v>0</v>
      </c>
      <c r="E280" s="125">
        <f>IFERROR(VLOOKUP($A280,'SAP '!$A$3:$D$391,3,0),0)</f>
        <v>0</v>
      </c>
      <c r="F280" s="1310">
        <f t="shared" si="4"/>
        <v>0</v>
      </c>
    </row>
    <row r="281" spans="1:6" s="125" customFormat="1">
      <c r="A281" s="1178">
        <v>1101206182</v>
      </c>
      <c r="B281" s="1178" t="s">
        <v>990</v>
      </c>
      <c r="C281" s="1312">
        <f>IFERROR(VLOOKUP(A281,'SAP '!$A$3:$C$14709,3,0),0)</f>
        <v>0</v>
      </c>
      <c r="D281" s="1151">
        <v>0</v>
      </c>
      <c r="E281" s="125">
        <f>IFERROR(VLOOKUP($A281,'SAP '!$A$3:$D$391,3,0),0)</f>
        <v>0</v>
      </c>
      <c r="F281" s="1310">
        <f t="shared" si="4"/>
        <v>0</v>
      </c>
    </row>
    <row r="282" spans="1:6" s="125" customFormat="1">
      <c r="A282" s="1178">
        <v>1101206190</v>
      </c>
      <c r="B282" s="1178" t="s">
        <v>814</v>
      </c>
      <c r="C282" s="1312">
        <f>IFERROR(VLOOKUP(A282,'SAP '!$A$3:$C$14709,3,0),0)</f>
        <v>17756480.5</v>
      </c>
      <c r="D282" s="1151">
        <v>6430924.3099999996</v>
      </c>
      <c r="E282" s="125">
        <f>IFERROR(VLOOKUP($A282,'SAP '!$A$3:$D$391,3,0),0)</f>
        <v>17756480.5</v>
      </c>
      <c r="F282" s="1310">
        <f t="shared" si="4"/>
        <v>0</v>
      </c>
    </row>
    <row r="283" spans="1:6" s="125" customFormat="1">
      <c r="A283" s="1178">
        <v>1101206191</v>
      </c>
      <c r="B283" s="1178" t="s">
        <v>815</v>
      </c>
      <c r="C283" s="1312">
        <f>IFERROR(VLOOKUP(A283,'SAP '!$A$3:$C$14709,3,0),0)</f>
        <v>66509795.799999997</v>
      </c>
      <c r="D283" s="1151">
        <v>-2221562.86</v>
      </c>
      <c r="E283" s="125">
        <f>IFERROR(VLOOKUP($A283,'SAP '!$A$3:$D$391,3,0),0)</f>
        <v>66509795.799999997</v>
      </c>
      <c r="F283" s="1310">
        <f t="shared" si="4"/>
        <v>0</v>
      </c>
    </row>
    <row r="284" spans="1:6" s="125" customFormat="1">
      <c r="A284" s="1178">
        <v>1101206192</v>
      </c>
      <c r="B284" s="1178" t="s">
        <v>1044</v>
      </c>
      <c r="C284" s="1312">
        <f>IFERROR(VLOOKUP(A284,'SAP '!$A$3:$C$14709,3,0),0)</f>
        <v>-77954189.390000001</v>
      </c>
      <c r="D284" s="1151">
        <v>0</v>
      </c>
      <c r="E284" s="125">
        <f>IFERROR(VLOOKUP($A284,'SAP '!$A$3:$D$391,3,0),0)</f>
        <v>-77954189.390000001</v>
      </c>
      <c r="F284" s="1310">
        <f t="shared" si="4"/>
        <v>0</v>
      </c>
    </row>
    <row r="285" spans="1:6" s="125" customFormat="1">
      <c r="A285" s="1178">
        <v>1101206200</v>
      </c>
      <c r="B285" s="1178" t="s">
        <v>290</v>
      </c>
      <c r="C285" s="1312">
        <f>IFERROR(VLOOKUP(A285,'SAP '!$A$3:$C$14709,3,0),0)</f>
        <v>90886.89</v>
      </c>
      <c r="D285" s="1151">
        <v>51666.87</v>
      </c>
      <c r="E285" s="125">
        <f>IFERROR(VLOOKUP($A285,'SAP '!$A$3:$D$391,3,0),0)</f>
        <v>90886.89</v>
      </c>
      <c r="F285" s="1310">
        <f t="shared" si="4"/>
        <v>0</v>
      </c>
    </row>
    <row r="286" spans="1:6" s="125" customFormat="1">
      <c r="A286" s="1178">
        <v>1101206201</v>
      </c>
      <c r="B286" s="1178" t="s">
        <v>291</v>
      </c>
      <c r="C286" s="1312">
        <f>IFERROR(VLOOKUP(A286,'SAP '!$A$3:$C$14709,3,0),0)</f>
        <v>453223.91</v>
      </c>
      <c r="D286" s="1151">
        <v>-18450.59</v>
      </c>
      <c r="E286" s="125">
        <f>IFERROR(VLOOKUP($A286,'SAP '!$A$3:$D$391,3,0),0)</f>
        <v>453223.91</v>
      </c>
      <c r="F286" s="1310">
        <f t="shared" si="4"/>
        <v>0</v>
      </c>
    </row>
    <row r="287" spans="1:6" s="125" customFormat="1">
      <c r="A287" s="1178">
        <v>1101206202</v>
      </c>
      <c r="B287" s="1178" t="s">
        <v>419</v>
      </c>
      <c r="C287" s="1312">
        <f>IFERROR(VLOOKUP(A287,'SAP '!$A$3:$C$14709,3,0),0)</f>
        <v>-424769.56</v>
      </c>
      <c r="D287" s="1151">
        <v>0</v>
      </c>
      <c r="E287" s="125">
        <f>IFERROR(VLOOKUP($A287,'SAP '!$A$3:$D$391,3,0),0)</f>
        <v>-424769.56</v>
      </c>
      <c r="F287" s="1310">
        <f t="shared" si="4"/>
        <v>0</v>
      </c>
    </row>
    <row r="288" spans="1:6" s="125" customFormat="1">
      <c r="A288" s="1178">
        <v>1101206210</v>
      </c>
      <c r="B288" s="1178" t="s">
        <v>816</v>
      </c>
      <c r="C288" s="1312">
        <f>IFERROR(VLOOKUP(A288,'SAP '!$A$3:$C$14709,3,0),0)</f>
        <v>3871973.45</v>
      </c>
      <c r="D288" s="1151">
        <v>1247330</v>
      </c>
      <c r="E288" s="125">
        <f>IFERROR(VLOOKUP($A288,'SAP '!$A$3:$D$391,3,0),0)</f>
        <v>3871973.45</v>
      </c>
      <c r="F288" s="1310">
        <f t="shared" si="4"/>
        <v>0</v>
      </c>
    </row>
    <row r="289" spans="1:6" s="125" customFormat="1">
      <c r="A289" s="1178">
        <v>1101206211</v>
      </c>
      <c r="B289" s="1178" t="s">
        <v>817</v>
      </c>
      <c r="C289" s="1312">
        <f>IFERROR(VLOOKUP(A289,'SAP '!$A$3:$C$14709,3,0),0)</f>
        <v>517673</v>
      </c>
      <c r="D289" s="1151">
        <v>295009.34000000003</v>
      </c>
      <c r="E289" s="125">
        <f>IFERROR(VLOOKUP($A289,'SAP '!$A$3:$D$391,3,0),0)</f>
        <v>517673</v>
      </c>
      <c r="F289" s="1310">
        <f t="shared" si="4"/>
        <v>0</v>
      </c>
    </row>
    <row r="290" spans="1:6" s="125" customFormat="1">
      <c r="A290" s="1178">
        <v>1101206212</v>
      </c>
      <c r="B290" s="1178" t="s">
        <v>991</v>
      </c>
      <c r="C290" s="1312">
        <f>IFERROR(VLOOKUP(A290,'SAP '!$A$3:$C$14709,3,0),0)</f>
        <v>0</v>
      </c>
      <c r="D290" s="1151">
        <v>0</v>
      </c>
      <c r="E290" s="125">
        <f>IFERROR(VLOOKUP($A290,'SAP '!$A$3:$D$391,3,0),0)</f>
        <v>0</v>
      </c>
      <c r="F290" s="1310">
        <f t="shared" si="4"/>
        <v>0</v>
      </c>
    </row>
    <row r="291" spans="1:6" s="125" customFormat="1">
      <c r="A291" s="1178">
        <v>1101206220</v>
      </c>
      <c r="B291" s="1178" t="s">
        <v>818</v>
      </c>
      <c r="C291" s="1312">
        <f>IFERROR(VLOOKUP(A291,'SAP '!$A$3:$C$14709,3,0),0)</f>
        <v>435020</v>
      </c>
      <c r="D291" s="1151">
        <v>270510</v>
      </c>
      <c r="E291" s="125">
        <f>IFERROR(VLOOKUP($A291,'SAP '!$A$3:$D$391,3,0),0)</f>
        <v>435020</v>
      </c>
      <c r="F291" s="1310">
        <f t="shared" si="4"/>
        <v>0</v>
      </c>
    </row>
    <row r="292" spans="1:6" s="125" customFormat="1">
      <c r="A292" s="1178">
        <v>1101206221</v>
      </c>
      <c r="B292" s="1178" t="s">
        <v>819</v>
      </c>
      <c r="C292" s="1312">
        <f>IFERROR(VLOOKUP(A292,'SAP '!$A$3:$C$14709,3,0),0)</f>
        <v>1639.25</v>
      </c>
      <c r="D292" s="1151">
        <v>27965.25</v>
      </c>
      <c r="E292" s="125">
        <f>IFERROR(VLOOKUP($A292,'SAP '!$A$3:$D$391,3,0),0)</f>
        <v>1639.25</v>
      </c>
      <c r="F292" s="1310">
        <f t="shared" si="4"/>
        <v>0</v>
      </c>
    </row>
    <row r="293" spans="1:6" s="125" customFormat="1">
      <c r="A293" s="1178">
        <v>1101206222</v>
      </c>
      <c r="B293" s="1178" t="s">
        <v>882</v>
      </c>
      <c r="C293" s="1312">
        <f>IFERROR(VLOOKUP(A293,'SAP '!$A$3:$C$14709,3,0),0)</f>
        <v>0</v>
      </c>
      <c r="D293" s="1151">
        <v>0</v>
      </c>
      <c r="E293" s="125">
        <f>IFERROR(VLOOKUP($A293,'SAP '!$A$3:$D$391,3,0),0)</f>
        <v>0</v>
      </c>
      <c r="F293" s="1310">
        <f t="shared" si="4"/>
        <v>0</v>
      </c>
    </row>
    <row r="294" spans="1:6" s="125" customFormat="1">
      <c r="A294" s="1178">
        <v>1101207010</v>
      </c>
      <c r="B294" s="1178" t="s">
        <v>912</v>
      </c>
      <c r="C294" s="1312">
        <f>IFERROR(VLOOKUP(A294,'SAP '!$A$3:$C$14709,3,0),0)</f>
        <v>0</v>
      </c>
      <c r="D294" s="1151">
        <v>0</v>
      </c>
      <c r="E294" s="125">
        <f>IFERROR(VLOOKUP($A294,'SAP '!$A$3:$D$391,3,0),0)</f>
        <v>0</v>
      </c>
      <c r="F294" s="1310">
        <f t="shared" si="4"/>
        <v>0</v>
      </c>
    </row>
    <row r="295" spans="1:6" s="125" customFormat="1">
      <c r="A295" s="1178">
        <v>1101207011</v>
      </c>
      <c r="B295" s="1178" t="s">
        <v>913</v>
      </c>
      <c r="C295" s="1312">
        <f>IFERROR(VLOOKUP(A295,'SAP '!$A$3:$C$14709,3,0),0)</f>
        <v>0</v>
      </c>
      <c r="D295" s="1151">
        <v>0</v>
      </c>
      <c r="E295" s="125">
        <f>IFERROR(VLOOKUP($A295,'SAP '!$A$3:$D$391,3,0),0)</f>
        <v>0</v>
      </c>
      <c r="F295" s="1310">
        <f t="shared" si="4"/>
        <v>0</v>
      </c>
    </row>
    <row r="296" spans="1:6" s="125" customFormat="1">
      <c r="A296" s="1178">
        <v>1101207012</v>
      </c>
      <c r="B296" s="1178" t="s">
        <v>914</v>
      </c>
      <c r="C296" s="1312">
        <f>IFERROR(VLOOKUP(A296,'SAP '!$A$3:$C$14709,3,0),0)</f>
        <v>0</v>
      </c>
      <c r="D296" s="1151">
        <v>0</v>
      </c>
      <c r="E296" s="125">
        <f>IFERROR(VLOOKUP($A296,'SAP '!$A$3:$D$391,3,0),0)</f>
        <v>0</v>
      </c>
      <c r="F296" s="1310">
        <f t="shared" si="4"/>
        <v>0</v>
      </c>
    </row>
    <row r="297" spans="1:6" s="125" customFormat="1">
      <c r="A297" s="1178">
        <v>1101301000</v>
      </c>
      <c r="B297" s="1178" t="s">
        <v>992</v>
      </c>
      <c r="C297" s="1312">
        <f>IFERROR(VLOOKUP(A297,'SAP '!$A$3:$C$14709,3,0),0)</f>
        <v>0</v>
      </c>
      <c r="D297" s="1151">
        <v>0</v>
      </c>
      <c r="E297" s="125">
        <f>IFERROR(VLOOKUP($A297,'SAP '!$A$3:$D$391,3,0),0)</f>
        <v>0</v>
      </c>
      <c r="F297" s="1310">
        <f t="shared" si="4"/>
        <v>0</v>
      </c>
    </row>
    <row r="298" spans="1:6" s="125" customFormat="1">
      <c r="A298" s="1176">
        <v>1107101000</v>
      </c>
      <c r="B298" s="1177" t="s">
        <v>292</v>
      </c>
      <c r="C298" s="1312">
        <f>IFERROR(VLOOKUP(A298,'SAP '!$A$3:$C$14709,3,0),0)</f>
        <v>124321725.93000001</v>
      </c>
      <c r="D298" s="1151">
        <v>124694678.72</v>
      </c>
      <c r="E298" s="125">
        <f>IFERROR(VLOOKUP($A298,'SAP '!$A$3:$D$391,3,0),0)</f>
        <v>124321725.93000001</v>
      </c>
      <c r="F298" s="1310">
        <f t="shared" si="4"/>
        <v>0</v>
      </c>
    </row>
    <row r="299" spans="1:6" s="125" customFormat="1">
      <c r="A299" s="1176">
        <v>1107102000</v>
      </c>
      <c r="B299" s="1177" t="s">
        <v>435</v>
      </c>
      <c r="C299" s="1312">
        <f>IFERROR(VLOOKUP(A299,'SAP '!$A$3:$C$14709,3,0),0)</f>
        <v>0</v>
      </c>
      <c r="D299" s="1151">
        <v>0</v>
      </c>
      <c r="E299" s="125">
        <f>IFERROR(VLOOKUP($A299,'SAP '!$A$3:$D$391,3,0),0)</f>
        <v>0</v>
      </c>
      <c r="F299" s="1310">
        <f t="shared" si="4"/>
        <v>0</v>
      </c>
    </row>
    <row r="300" spans="1:6" s="125" customFormat="1">
      <c r="A300" s="1176">
        <v>1107103000</v>
      </c>
      <c r="B300" s="1179" t="s">
        <v>510</v>
      </c>
      <c r="C300" s="1312">
        <f>IFERROR(VLOOKUP(A300,'SAP '!$A$3:$C$14709,3,0),0)</f>
        <v>-30678330.510000002</v>
      </c>
      <c r="D300" s="1151">
        <v>-30678330.510000002</v>
      </c>
      <c r="E300" s="125">
        <f>IFERROR(VLOOKUP($A300,'SAP '!$A$3:$D$391,3,0),0)</f>
        <v>-30678330.510000002</v>
      </c>
      <c r="F300" s="1310">
        <f t="shared" si="4"/>
        <v>0</v>
      </c>
    </row>
    <row r="301" spans="1:6" s="125" customFormat="1">
      <c r="A301" s="1176">
        <v>1107104000</v>
      </c>
      <c r="B301" s="1177" t="s">
        <v>293</v>
      </c>
      <c r="C301" s="1312">
        <f>IFERROR(VLOOKUP(A301,'SAP '!$A$3:$C$14709,3,0),0)</f>
        <v>14253913.109999999</v>
      </c>
      <c r="D301" s="1151">
        <v>14894947.390000001</v>
      </c>
      <c r="E301" s="125">
        <f>IFERROR(VLOOKUP($A301,'SAP '!$A$3:$D$391,3,0),0)</f>
        <v>14253913.109999999</v>
      </c>
      <c r="F301" s="1310">
        <f t="shared" si="4"/>
        <v>0</v>
      </c>
    </row>
    <row r="302" spans="1:6" s="125" customFormat="1">
      <c r="A302" s="1183">
        <v>1107203000</v>
      </c>
      <c r="B302" s="1177" t="s">
        <v>820</v>
      </c>
      <c r="C302" s="1312">
        <f>IFERROR(VLOOKUP(A302,'SAP '!$A$3:$C$14709,3,0),0)</f>
        <v>1265005.6499999999</v>
      </c>
      <c r="D302" s="1151">
        <v>1265005.6499999999</v>
      </c>
      <c r="E302" s="125">
        <f>IFERROR(VLOOKUP($A302,'SAP '!$A$3:$D$391,3,0),0)</f>
        <v>1265005.6499999999</v>
      </c>
      <c r="F302" s="1310">
        <f t="shared" si="4"/>
        <v>0</v>
      </c>
    </row>
    <row r="303" spans="1:6" s="125" customFormat="1">
      <c r="A303" s="1176">
        <v>1107210000</v>
      </c>
      <c r="B303" s="1177" t="s">
        <v>993</v>
      </c>
      <c r="C303" s="1312">
        <f>IFERROR(VLOOKUP(A303,'SAP '!$A$3:$C$14709,3,0),0)</f>
        <v>0</v>
      </c>
      <c r="D303" s="1151">
        <v>0</v>
      </c>
      <c r="E303" s="125">
        <f>IFERROR(VLOOKUP($A303,'SAP '!$A$3:$D$391,3,0),0)</f>
        <v>0</v>
      </c>
      <c r="F303" s="1310">
        <f t="shared" si="4"/>
        <v>0</v>
      </c>
    </row>
    <row r="304" spans="1:6" s="125" customFormat="1">
      <c r="A304" s="1178">
        <v>1107212000</v>
      </c>
      <c r="B304" s="1178" t="s">
        <v>144</v>
      </c>
      <c r="C304" s="1312">
        <f>IFERROR(VLOOKUP(A304,'SAP '!$A$3:$C$14709,3,0),0)</f>
        <v>0</v>
      </c>
      <c r="D304" s="1151">
        <v>0</v>
      </c>
      <c r="E304" s="125">
        <f>IFERROR(VLOOKUP($A304,'SAP '!$A$3:$D$391,3,0),0)</f>
        <v>0</v>
      </c>
      <c r="F304" s="1310">
        <f t="shared" si="4"/>
        <v>0</v>
      </c>
    </row>
    <row r="305" spans="1:6" s="125" customFormat="1">
      <c r="A305" s="1183">
        <v>1107214000</v>
      </c>
      <c r="B305" s="1177" t="s">
        <v>821</v>
      </c>
      <c r="C305" s="1312">
        <f>IFERROR(VLOOKUP(A305,'SAP '!$A$3:$C$14709,3,0),0)</f>
        <v>40153405.390000001</v>
      </c>
      <c r="D305" s="1151">
        <v>21171721.940000001</v>
      </c>
      <c r="E305" s="125">
        <f>IFERROR(VLOOKUP($A305,'SAP '!$A$3:$D$391,3,0),0)</f>
        <v>40153405.390000001</v>
      </c>
      <c r="F305" s="1310">
        <f t="shared" si="4"/>
        <v>0</v>
      </c>
    </row>
    <row r="306" spans="1:6" s="125" customFormat="1">
      <c r="A306" s="1183">
        <v>1107214001</v>
      </c>
      <c r="B306" s="1177" t="s">
        <v>822</v>
      </c>
      <c r="C306" s="1312">
        <f>IFERROR(VLOOKUP(A306,'SAP '!$A$3:$C$14709,3,0),0)</f>
        <v>767113.19</v>
      </c>
      <c r="D306" s="1151">
        <v>767113.19</v>
      </c>
      <c r="E306" s="125">
        <f>IFERROR(VLOOKUP($A306,'SAP '!$A$3:$D$391,3,0),0)</f>
        <v>767113.19</v>
      </c>
      <c r="F306" s="1310">
        <f t="shared" si="4"/>
        <v>0</v>
      </c>
    </row>
    <row r="307" spans="1:6" s="125" customFormat="1">
      <c r="A307" s="1176">
        <v>1107215000</v>
      </c>
      <c r="B307" s="1177" t="s">
        <v>823</v>
      </c>
      <c r="C307" s="1312">
        <f>IFERROR(VLOOKUP(A307,'SAP '!$A$3:$C$14709,3,0),0)</f>
        <v>2007812.9</v>
      </c>
      <c r="D307" s="1151">
        <v>2007812.9</v>
      </c>
      <c r="E307" s="125">
        <f>IFERROR(VLOOKUP($A307,'SAP '!$A$3:$D$391,3,0),0)</f>
        <v>2007812.9</v>
      </c>
      <c r="F307" s="1310">
        <f t="shared" si="4"/>
        <v>0</v>
      </c>
    </row>
    <row r="308" spans="1:6" s="125" customFormat="1">
      <c r="A308" s="1178">
        <v>1107215001</v>
      </c>
      <c r="B308" s="1178" t="s">
        <v>145</v>
      </c>
      <c r="C308" s="1312">
        <f>IFERROR(VLOOKUP(A308,'SAP '!$A$3:$C$14709,3,0),0)</f>
        <v>0</v>
      </c>
      <c r="D308" s="1151">
        <v>0</v>
      </c>
      <c r="E308" s="125">
        <f>IFERROR(VLOOKUP($A308,'SAP '!$A$3:$D$391,3,0),0)</f>
        <v>0</v>
      </c>
      <c r="F308" s="1310">
        <f t="shared" si="4"/>
        <v>0</v>
      </c>
    </row>
    <row r="309" spans="1:6" s="125" customFormat="1">
      <c r="A309" s="1176">
        <v>1109101000</v>
      </c>
      <c r="B309" s="1177" t="s">
        <v>824</v>
      </c>
      <c r="C309" s="1312">
        <f>IFERROR(VLOOKUP(A309,'SAP '!$A$3:$C$14709,3,0),0)</f>
        <v>64264.35</v>
      </c>
      <c r="D309" s="1151">
        <v>64264.35</v>
      </c>
      <c r="E309" s="125">
        <f>IFERROR(VLOOKUP($A309,'SAP '!$A$3:$D$391,3,0),0)</f>
        <v>64264.35</v>
      </c>
      <c r="F309" s="1310">
        <f t="shared" si="4"/>
        <v>0</v>
      </c>
    </row>
    <row r="310" spans="1:6" s="125" customFormat="1">
      <c r="A310" s="1183">
        <v>1109104000</v>
      </c>
      <c r="B310" s="1177" t="s">
        <v>825</v>
      </c>
      <c r="C310" s="1312">
        <f>IFERROR(VLOOKUP(A310,'SAP '!$A$3:$C$14709,3,0),0)</f>
        <v>72609.09</v>
      </c>
      <c r="D310" s="1151">
        <v>0</v>
      </c>
      <c r="E310" s="125">
        <f>IFERROR(VLOOKUP($A310,'SAP '!$A$3:$D$391,3,0),0)</f>
        <v>72609.09</v>
      </c>
      <c r="F310" s="1310">
        <f t="shared" si="4"/>
        <v>0</v>
      </c>
    </row>
    <row r="311" spans="1:6" s="125" customFormat="1">
      <c r="A311" s="1183">
        <v>1109104001</v>
      </c>
      <c r="B311" s="1177" t="s">
        <v>826</v>
      </c>
      <c r="C311" s="1312">
        <f>IFERROR(VLOOKUP(A311,'SAP '!$A$3:$C$14709,3,0),0)</f>
        <v>198590.91</v>
      </c>
      <c r="D311" s="1151">
        <v>0</v>
      </c>
      <c r="E311" s="125">
        <f>IFERROR(VLOOKUP($A311,'SAP '!$A$3:$D$391,3,0),0)</f>
        <v>198590.91</v>
      </c>
      <c r="F311" s="1310">
        <f t="shared" si="4"/>
        <v>0</v>
      </c>
    </row>
    <row r="312" spans="1:6" s="125" customFormat="1">
      <c r="A312" s="1183">
        <v>1109104002</v>
      </c>
      <c r="B312" s="1177" t="s">
        <v>827</v>
      </c>
      <c r="C312" s="1312">
        <f>IFERROR(VLOOKUP(A312,'SAP '!$A$3:$C$14709,3,0),0)</f>
        <v>966960.77</v>
      </c>
      <c r="D312" s="1151">
        <v>37976.620000000003</v>
      </c>
      <c r="E312" s="125">
        <f>IFERROR(VLOOKUP($A312,'SAP '!$A$3:$D$391,3,0),0)</f>
        <v>966960.77</v>
      </c>
      <c r="F312" s="1310">
        <f t="shared" si="4"/>
        <v>0</v>
      </c>
    </row>
    <row r="313" spans="1:6" s="125" customFormat="1">
      <c r="A313" s="1183">
        <v>1109104003</v>
      </c>
      <c r="B313" s="1177" t="s">
        <v>828</v>
      </c>
      <c r="C313" s="1312">
        <f>IFERROR(VLOOKUP(A313,'SAP '!$A$3:$C$14709,3,0),0)</f>
        <v>10770676</v>
      </c>
      <c r="D313" s="1151">
        <v>0</v>
      </c>
      <c r="E313" s="125">
        <f>IFERROR(VLOOKUP($A313,'SAP '!$A$3:$D$391,3,0),0)</f>
        <v>10770676</v>
      </c>
      <c r="F313" s="1310">
        <f t="shared" si="4"/>
        <v>0</v>
      </c>
    </row>
    <row r="314" spans="1:6" s="125" customFormat="1">
      <c r="A314" s="1176">
        <v>1109105000</v>
      </c>
      <c r="B314" s="1177" t="s">
        <v>829</v>
      </c>
      <c r="C314" s="1312">
        <f>IFERROR(VLOOKUP(A314,'SAP '!$A$3:$C$14709,3,0),0)</f>
        <v>100847</v>
      </c>
      <c r="D314" s="1151">
        <v>99486</v>
      </c>
      <c r="E314" s="125">
        <f>IFERROR(VLOOKUP($A314,'SAP '!$A$3:$D$391,3,0),0)</f>
        <v>100847</v>
      </c>
      <c r="F314" s="1310">
        <f t="shared" si="4"/>
        <v>0</v>
      </c>
    </row>
    <row r="315" spans="1:6" s="125" customFormat="1">
      <c r="A315" s="1176">
        <v>1109108001</v>
      </c>
      <c r="B315" s="1177" t="s">
        <v>1128</v>
      </c>
      <c r="C315" s="1312">
        <f>IFERROR(VLOOKUP(A315,'SAP '!$A$3:$C$14709,3,0),0)</f>
        <v>427576.32000000001</v>
      </c>
      <c r="D315" s="1151">
        <v>427576.32000000001</v>
      </c>
      <c r="E315" s="125">
        <f>IFERROR(VLOOKUP($A315,'SAP '!$A$3:$D$391,3,0),0)</f>
        <v>427576.32000000001</v>
      </c>
      <c r="F315" s="1310">
        <f t="shared" si="4"/>
        <v>0</v>
      </c>
    </row>
    <row r="316" spans="1:6" s="125" customFormat="1">
      <c r="A316" s="1176">
        <v>1109109001</v>
      </c>
      <c r="B316" s="1177" t="s">
        <v>1137</v>
      </c>
      <c r="C316" s="1312">
        <f>IFERROR(VLOOKUP(A316,'SAP '!$A$3:$C$14709,3,0),0)</f>
        <v>99285178.310000002</v>
      </c>
      <c r="D316" s="1151">
        <v>99285178.310000002</v>
      </c>
      <c r="E316" s="125">
        <f>IFERROR(VLOOKUP($A316,'SAP '!$A$3:$D$391,3,0),0)</f>
        <v>99285178.310000002</v>
      </c>
      <c r="F316" s="1310">
        <f t="shared" si="4"/>
        <v>0</v>
      </c>
    </row>
    <row r="317" spans="1:6" s="125" customFormat="1">
      <c r="A317" s="1178">
        <v>1109201000</v>
      </c>
      <c r="B317" s="1178" t="s">
        <v>146</v>
      </c>
      <c r="C317" s="1312">
        <f>IFERROR(VLOOKUP(A317,'SAP '!$A$3:$C$14709,3,0),0)</f>
        <v>0</v>
      </c>
      <c r="D317" s="1151">
        <v>0</v>
      </c>
      <c r="E317" s="125">
        <f>IFERROR(VLOOKUP($A317,'SAP '!$A$3:$D$391,3,0),0)</f>
        <v>0</v>
      </c>
      <c r="F317" s="1310">
        <f t="shared" si="4"/>
        <v>0</v>
      </c>
    </row>
    <row r="318" spans="1:6" s="125" customFormat="1">
      <c r="A318" s="1176">
        <v>1109203000</v>
      </c>
      <c r="B318" s="1177" t="s">
        <v>830</v>
      </c>
      <c r="C318" s="1312">
        <f>IFERROR(VLOOKUP(A318,'SAP '!$A$3:$C$14709,3,0),0)</f>
        <v>466198.29</v>
      </c>
      <c r="D318" s="1151">
        <v>288864.40999999997</v>
      </c>
      <c r="E318" s="125">
        <f>IFERROR(VLOOKUP($A318,'SAP '!$A$3:$D$391,3,0),0)</f>
        <v>466198.29</v>
      </c>
      <c r="F318" s="1310">
        <f t="shared" si="4"/>
        <v>0</v>
      </c>
    </row>
    <row r="319" spans="1:6" s="125" customFormat="1">
      <c r="A319" s="1176">
        <v>1111301000</v>
      </c>
      <c r="B319" s="1177" t="s">
        <v>294</v>
      </c>
      <c r="C319" s="1312">
        <f>IFERROR(VLOOKUP(A319,'SAP '!$A$3:$C$14709,3,0),0)</f>
        <v>761499.76</v>
      </c>
      <c r="D319" s="1151">
        <v>862363.71</v>
      </c>
      <c r="E319" s="125">
        <f>IFERROR(VLOOKUP($A319,'SAP '!$A$3:$D$391,3,0),0)</f>
        <v>761499.76</v>
      </c>
      <c r="F319" s="1310">
        <f t="shared" si="4"/>
        <v>0</v>
      </c>
    </row>
    <row r="320" spans="1:6" s="125" customFormat="1">
      <c r="A320" s="1176">
        <v>1111301001</v>
      </c>
      <c r="B320" s="1177" t="s">
        <v>295</v>
      </c>
      <c r="C320" s="1312">
        <f>IFERROR(VLOOKUP(A320,'SAP '!$A$3:$C$14709,3,0),0)</f>
        <v>2939743.82</v>
      </c>
      <c r="D320" s="1151">
        <v>3340300.56</v>
      </c>
      <c r="E320" s="125">
        <f>IFERROR(VLOOKUP($A320,'SAP '!$A$3:$D$391,3,0),0)</f>
        <v>2939743.82</v>
      </c>
      <c r="F320" s="1310">
        <f t="shared" si="4"/>
        <v>0</v>
      </c>
    </row>
    <row r="321" spans="1:6" s="125" customFormat="1">
      <c r="A321" s="1176">
        <v>1111301002</v>
      </c>
      <c r="B321" s="1177" t="s">
        <v>296</v>
      </c>
      <c r="C321" s="1312">
        <f>IFERROR(VLOOKUP(A321,'SAP '!$A$3:$C$14709,3,0),0)</f>
        <v>22592702.550000001</v>
      </c>
      <c r="D321" s="1151">
        <v>22829188.75</v>
      </c>
      <c r="E321" s="125">
        <f>IFERROR(VLOOKUP($A321,'SAP '!$A$3:$D$391,3,0),0)</f>
        <v>22592702.550000001</v>
      </c>
      <c r="F321" s="1310">
        <f t="shared" si="4"/>
        <v>0</v>
      </c>
    </row>
    <row r="322" spans="1:6" s="125" customFormat="1">
      <c r="A322" s="1176">
        <v>1111301003</v>
      </c>
      <c r="B322" s="1177" t="s">
        <v>297</v>
      </c>
      <c r="C322" s="1312">
        <f>IFERROR(VLOOKUP(A322,'SAP '!$A$3:$C$14709,3,0),0)</f>
        <v>5950</v>
      </c>
      <c r="D322" s="1151">
        <v>28540</v>
      </c>
      <c r="E322" s="125">
        <f>IFERROR(VLOOKUP($A322,'SAP '!$A$3:$D$391,3,0),0)</f>
        <v>5950</v>
      </c>
      <c r="F322" s="1310">
        <f t="shared" si="4"/>
        <v>0</v>
      </c>
    </row>
    <row r="323" spans="1:6" s="125" customFormat="1">
      <c r="A323" s="1176">
        <v>1111301004</v>
      </c>
      <c r="B323" s="1177" t="s">
        <v>298</v>
      </c>
      <c r="C323" s="1312">
        <f>IFERROR(VLOOKUP(A323,'SAP '!$A$3:$C$14709,3,0),0)</f>
        <v>1359187.14</v>
      </c>
      <c r="D323" s="1151">
        <v>2030088.63</v>
      </c>
      <c r="E323" s="125">
        <f>IFERROR(VLOOKUP($A323,'SAP '!$A$3:$D$391,3,0),0)</f>
        <v>1359187.14</v>
      </c>
      <c r="F323" s="1310">
        <f t="shared" ref="F323:F386" si="5">C323-E323</f>
        <v>0</v>
      </c>
    </row>
    <row r="324" spans="1:6" s="125" customFormat="1">
      <c r="A324" s="1176">
        <v>1111301005</v>
      </c>
      <c r="B324" s="1177" t="s">
        <v>299</v>
      </c>
      <c r="C324" s="1312">
        <f>IFERROR(VLOOKUP(A324,'SAP '!$A$3:$C$14709,3,0),0)</f>
        <v>1041971.24</v>
      </c>
      <c r="D324" s="1151">
        <v>1093718.04</v>
      </c>
      <c r="E324" s="125">
        <f>IFERROR(VLOOKUP($A324,'SAP '!$A$3:$D$391,3,0),0)</f>
        <v>1041971.24</v>
      </c>
      <c r="F324" s="1310">
        <f t="shared" si="5"/>
        <v>0</v>
      </c>
    </row>
    <row r="325" spans="1:6" s="125" customFormat="1">
      <c r="A325" s="1178">
        <v>1111301006</v>
      </c>
      <c r="B325" s="1178" t="s">
        <v>433</v>
      </c>
      <c r="C325" s="1312">
        <f>IFERROR(VLOOKUP(A325,'SAP '!$A$3:$C$14709,3,0),0)</f>
        <v>0</v>
      </c>
      <c r="D325" s="1151">
        <v>0</v>
      </c>
      <c r="E325" s="125">
        <f>IFERROR(VLOOKUP($A325,'SAP '!$A$3:$D$391,3,0),0)</f>
        <v>0</v>
      </c>
      <c r="F325" s="1310">
        <f t="shared" si="5"/>
        <v>0</v>
      </c>
    </row>
    <row r="326" spans="1:6" s="125" customFormat="1">
      <c r="A326" s="1176">
        <v>1111301007</v>
      </c>
      <c r="B326" s="1177" t="s">
        <v>300</v>
      </c>
      <c r="C326" s="1312">
        <f>IFERROR(VLOOKUP(A326,'SAP '!$A$3:$C$14709,3,0),0)</f>
        <v>19068262.190000001</v>
      </c>
      <c r="D326" s="1151">
        <v>17848508.09</v>
      </c>
      <c r="E326" s="125">
        <f>IFERROR(VLOOKUP($A326,'SAP '!$A$3:$D$391,3,0),0)</f>
        <v>19068262.190000001</v>
      </c>
      <c r="F326" s="1310">
        <f t="shared" si="5"/>
        <v>0</v>
      </c>
    </row>
    <row r="327" spans="1:6" s="125" customFormat="1">
      <c r="A327" s="1176">
        <v>1111301008</v>
      </c>
      <c r="B327" s="1177" t="s">
        <v>301</v>
      </c>
      <c r="C327" s="1312">
        <f>IFERROR(VLOOKUP(A327,'SAP '!$A$3:$C$14709,3,0),0)</f>
        <v>53401514.18</v>
      </c>
      <c r="D327" s="1151">
        <v>59553250.07</v>
      </c>
      <c r="E327" s="125">
        <f>IFERROR(VLOOKUP($A327,'SAP '!$A$3:$D$391,3,0),0)</f>
        <v>53401514.18</v>
      </c>
      <c r="F327" s="1310">
        <f t="shared" si="5"/>
        <v>0</v>
      </c>
    </row>
    <row r="328" spans="1:6" s="125" customFormat="1">
      <c r="A328" s="1178">
        <v>1111301009</v>
      </c>
      <c r="B328" s="1178" t="s">
        <v>434</v>
      </c>
      <c r="C328" s="1312">
        <f>IFERROR(VLOOKUP(A328,'SAP '!$A$3:$C$14709,3,0),0)</f>
        <v>0</v>
      </c>
      <c r="D328" s="1151">
        <v>0</v>
      </c>
      <c r="E328" s="125">
        <f>IFERROR(VLOOKUP($A328,'SAP '!$A$3:$D$391,3,0),0)</f>
        <v>0</v>
      </c>
      <c r="F328" s="1310">
        <f t="shared" si="5"/>
        <v>0</v>
      </c>
    </row>
    <row r="329" spans="1:6" s="125" customFormat="1">
      <c r="A329" s="1176">
        <v>1111302001</v>
      </c>
      <c r="B329" s="1177" t="s">
        <v>1467</v>
      </c>
      <c r="C329" s="1312">
        <f>IFERROR(VLOOKUP(A329,'SAP '!$A$3:$C$14709,3,0),0)</f>
        <v>-8708854</v>
      </c>
      <c r="D329" s="1151">
        <v>-8708854</v>
      </c>
      <c r="E329" s="125">
        <f>IFERROR(VLOOKUP($A329,'SAP '!$A$3:$D$391,3,0),0)</f>
        <v>-8708854</v>
      </c>
      <c r="F329" s="1310">
        <f t="shared" si="5"/>
        <v>0</v>
      </c>
    </row>
    <row r="330" spans="1:6" s="125" customFormat="1">
      <c r="A330" s="1178">
        <v>1205101000</v>
      </c>
      <c r="B330" s="1178" t="s">
        <v>147</v>
      </c>
      <c r="C330" s="1312">
        <f>IFERROR(VLOOKUP(A330,'SAP '!$A$3:$C$14709,3,0),0)</f>
        <v>0</v>
      </c>
      <c r="D330" s="1151">
        <v>0</v>
      </c>
      <c r="E330" s="125">
        <f>IFERROR(VLOOKUP($A330,'SAP '!$A$3:$D$391,3,0),0)</f>
        <v>0</v>
      </c>
      <c r="F330" s="1310">
        <f t="shared" si="5"/>
        <v>0</v>
      </c>
    </row>
    <row r="331" spans="1:6" s="125" customFormat="1">
      <c r="A331" s="1178">
        <v>1205101001</v>
      </c>
      <c r="B331" s="1178" t="s">
        <v>148</v>
      </c>
      <c r="C331" s="1312">
        <f>IFERROR(VLOOKUP(A331,'SAP '!$A$3:$C$14709,3,0),0)</f>
        <v>0</v>
      </c>
      <c r="D331" s="1151">
        <v>0</v>
      </c>
      <c r="E331" s="125">
        <f>IFERROR(VLOOKUP($A331,'SAP '!$A$3:$D$391,3,0),0)</f>
        <v>0</v>
      </c>
      <c r="F331" s="1310">
        <f t="shared" si="5"/>
        <v>0</v>
      </c>
    </row>
    <row r="332" spans="1:6" s="125" customFormat="1">
      <c r="A332" s="1178">
        <v>1205201000</v>
      </c>
      <c r="B332" s="1178" t="s">
        <v>149</v>
      </c>
      <c r="C332" s="1312">
        <f>IFERROR(VLOOKUP(A332,'SAP '!$A$3:$C$14709,3,0),0)</f>
        <v>0</v>
      </c>
      <c r="D332" s="1151">
        <v>0</v>
      </c>
      <c r="E332" s="125">
        <f>IFERROR(VLOOKUP($A332,'SAP '!$A$3:$D$391,3,0),0)</f>
        <v>0</v>
      </c>
      <c r="F332" s="1310">
        <f t="shared" si="5"/>
        <v>0</v>
      </c>
    </row>
    <row r="333" spans="1:6" s="125" customFormat="1">
      <c r="A333" s="1178">
        <v>1205201001</v>
      </c>
      <c r="B333" s="1178" t="s">
        <v>831</v>
      </c>
      <c r="C333" s="1312">
        <f>IFERROR(VLOOKUP(A333,'SAP '!$A$3:$C$14709,3,0),0)</f>
        <v>1000000</v>
      </c>
      <c r="D333" s="1151">
        <v>1000000</v>
      </c>
      <c r="E333" s="125">
        <f>IFERROR(VLOOKUP($A333,'SAP '!$A$3:$D$391,3,0),0)</f>
        <v>1000000</v>
      </c>
      <c r="F333" s="1310">
        <f t="shared" si="5"/>
        <v>0</v>
      </c>
    </row>
    <row r="334" spans="1:6" s="125" customFormat="1">
      <c r="A334" s="1178">
        <v>1205210000</v>
      </c>
      <c r="B334" s="1178" t="s">
        <v>151</v>
      </c>
      <c r="C334" s="1312">
        <f>IFERROR(VLOOKUP(A334,'SAP '!$A$3:$C$14709,3,0),0)</f>
        <v>0</v>
      </c>
      <c r="D334" s="1151">
        <v>0</v>
      </c>
      <c r="E334" s="125">
        <f>IFERROR(VLOOKUP($A334,'SAP '!$A$3:$D$391,3,0),0)</f>
        <v>0</v>
      </c>
      <c r="F334" s="1310">
        <f t="shared" si="5"/>
        <v>0</v>
      </c>
    </row>
    <row r="335" spans="1:6" s="125" customFormat="1">
      <c r="A335" s="1178">
        <v>1205213001</v>
      </c>
      <c r="B335" s="1178" t="s">
        <v>275</v>
      </c>
      <c r="C335" s="1312">
        <f>IFERROR(VLOOKUP(A335,'SAP '!$A$3:$C$14709,3,0),0)</f>
        <v>9682582.5199999996</v>
      </c>
      <c r="D335" s="1151">
        <v>9682582.5199999996</v>
      </c>
      <c r="E335" s="125">
        <f>IFERROR(VLOOKUP($A335,'SAP '!$A$3:$D$391,3,0),0)</f>
        <v>9682582.5199999996</v>
      </c>
      <c r="F335" s="1310">
        <f t="shared" si="5"/>
        <v>0</v>
      </c>
    </row>
    <row r="336" spans="1:6" s="125" customFormat="1">
      <c r="A336" s="1176">
        <v>1205310000</v>
      </c>
      <c r="B336" s="1177" t="s">
        <v>302</v>
      </c>
      <c r="C336" s="1312">
        <f>IFERROR(VLOOKUP(A336,'SAP '!$A$3:$C$14709,3,0),0)</f>
        <v>0</v>
      </c>
      <c r="D336" s="1151">
        <v>0</v>
      </c>
      <c r="E336" s="125">
        <f>IFERROR(VLOOKUP($A336,'SAP '!$A$3:$D$391,3,0),0)</f>
        <v>0</v>
      </c>
      <c r="F336" s="1310">
        <f t="shared" si="5"/>
        <v>0</v>
      </c>
    </row>
    <row r="337" spans="1:6" s="125" customFormat="1">
      <c r="A337" s="1178">
        <v>1206101000</v>
      </c>
      <c r="B337" s="1178" t="s">
        <v>152</v>
      </c>
      <c r="C337" s="1312">
        <f>IFERROR(VLOOKUP(A337,'SAP '!$A$3:$C$14709,3,0),0)</f>
        <v>0</v>
      </c>
      <c r="D337" s="1151">
        <v>0</v>
      </c>
      <c r="E337" s="125">
        <f>IFERROR(VLOOKUP($A337,'SAP '!$A$3:$D$391,3,0),0)</f>
        <v>0</v>
      </c>
      <c r="F337" s="1310">
        <f t="shared" si="5"/>
        <v>0</v>
      </c>
    </row>
    <row r="338" spans="1:6" s="125" customFormat="1">
      <c r="A338" s="1178">
        <v>1206101001</v>
      </c>
      <c r="B338" s="1178" t="s">
        <v>153</v>
      </c>
      <c r="C338" s="1312">
        <f>IFERROR(VLOOKUP(A338,'SAP '!$A$3:$C$14709,3,0),0)</f>
        <v>0</v>
      </c>
      <c r="D338" s="1151">
        <v>0</v>
      </c>
      <c r="E338" s="125">
        <f>IFERROR(VLOOKUP($A338,'SAP '!$A$3:$D$391,3,0),0)</f>
        <v>0</v>
      </c>
      <c r="F338" s="1310">
        <f t="shared" si="5"/>
        <v>0</v>
      </c>
    </row>
    <row r="339" spans="1:6" s="125" customFormat="1">
      <c r="A339" s="1178">
        <v>1206102000</v>
      </c>
      <c r="B339" s="1178" t="s">
        <v>154</v>
      </c>
      <c r="C339" s="1312">
        <f>IFERROR(VLOOKUP(A339,'SAP '!$A$3:$C$14709,3,0),0)</f>
        <v>0</v>
      </c>
      <c r="D339" s="1151">
        <v>0</v>
      </c>
      <c r="E339" s="125">
        <f>IFERROR(VLOOKUP($A339,'SAP '!$A$3:$D$391,3,0),0)</f>
        <v>0</v>
      </c>
      <c r="F339" s="1310">
        <f t="shared" si="5"/>
        <v>0</v>
      </c>
    </row>
    <row r="340" spans="1:6" s="125" customFormat="1">
      <c r="A340" s="1182">
        <v>1206103000</v>
      </c>
      <c r="B340" s="1178" t="s">
        <v>303</v>
      </c>
      <c r="C340" s="1312">
        <f>IFERROR(VLOOKUP(A340,'SAP '!$A$3:$C$14709,3,0),0)</f>
        <v>180000000</v>
      </c>
      <c r="D340" s="1151">
        <v>180000000</v>
      </c>
      <c r="E340" s="125">
        <f>IFERROR(VLOOKUP($A340,'SAP '!$A$3:$D$391,3,0),0)</f>
        <v>180000000</v>
      </c>
      <c r="F340" s="1310">
        <f t="shared" si="5"/>
        <v>0</v>
      </c>
    </row>
    <row r="341" spans="1:6" s="125" customFormat="1">
      <c r="A341" s="1178">
        <v>1206104001</v>
      </c>
      <c r="B341" s="1178" t="s">
        <v>155</v>
      </c>
      <c r="C341" s="1312">
        <f>IFERROR(VLOOKUP(A341,'SAP '!$A$3:$C$14709,3,0),0)</f>
        <v>0</v>
      </c>
      <c r="D341" s="1151">
        <v>0</v>
      </c>
      <c r="E341" s="125">
        <f>IFERROR(VLOOKUP($A341,'SAP '!$A$3:$D$391,3,0),0)</f>
        <v>0</v>
      </c>
      <c r="F341" s="1310">
        <f t="shared" si="5"/>
        <v>0</v>
      </c>
    </row>
    <row r="342" spans="1:6" s="125" customFormat="1">
      <c r="A342" s="1176">
        <v>1206105000</v>
      </c>
      <c r="B342" s="1177" t="s">
        <v>304</v>
      </c>
      <c r="C342" s="1312">
        <f>IFERROR(VLOOKUP(A342,'SAP '!$A$3:$C$14709,3,0),0)</f>
        <v>0</v>
      </c>
      <c r="D342" s="1151">
        <v>0</v>
      </c>
      <c r="E342" s="125">
        <f>IFERROR(VLOOKUP($A342,'SAP '!$A$3:$D$391,3,0),0)</f>
        <v>0</v>
      </c>
      <c r="F342" s="1310">
        <f t="shared" si="5"/>
        <v>0</v>
      </c>
    </row>
    <row r="343" spans="1:6" s="125" customFormat="1">
      <c r="A343" s="1182">
        <v>1206108001</v>
      </c>
      <c r="B343" s="1178" t="s">
        <v>1129</v>
      </c>
      <c r="C343" s="1312">
        <f>IFERROR(VLOOKUP(A343,'SAP '!$A$3:$C$14709,3,0),0)</f>
        <v>1282728.96</v>
      </c>
      <c r="D343" s="1151">
        <v>1282728.96</v>
      </c>
      <c r="E343" s="125">
        <f>IFERROR(VLOOKUP($A343,'SAP '!$A$3:$D$391,3,0),0)</f>
        <v>1282728.96</v>
      </c>
      <c r="F343" s="1310">
        <f t="shared" si="5"/>
        <v>0</v>
      </c>
    </row>
    <row r="344" spans="1:6" s="125" customFormat="1">
      <c r="A344" s="1178">
        <v>1212101001</v>
      </c>
      <c r="B344" s="1178" t="s">
        <v>276</v>
      </c>
      <c r="C344" s="1312">
        <f>IFERROR(VLOOKUP(A344,'SAP '!$A$3:$C$14709,3,0),0)</f>
        <v>27892023.539999999</v>
      </c>
      <c r="D344" s="1151">
        <v>27892023.539999999</v>
      </c>
      <c r="E344" s="125">
        <f>IFERROR(VLOOKUP($A344,'SAP '!$A$3:$D$391,3,0),0)</f>
        <v>27892023.539999999</v>
      </c>
      <c r="F344" s="1310">
        <f t="shared" si="5"/>
        <v>0</v>
      </c>
    </row>
    <row r="345" spans="1:6" s="125" customFormat="1">
      <c r="A345" s="1154">
        <v>1213101000</v>
      </c>
      <c r="B345" s="1150" t="s">
        <v>305</v>
      </c>
      <c r="C345" s="1312">
        <f>IFERROR(VLOOKUP(A345,'SAP '!$A$3:$C$14709,3,0),0)</f>
        <v>98344427.920000002</v>
      </c>
      <c r="D345" s="1151">
        <v>83416952.069999993</v>
      </c>
      <c r="E345" s="125">
        <f>IFERROR(VLOOKUP($A345,'SAP '!$A$3:$D$391,3,0),0)</f>
        <v>98344427.920000002</v>
      </c>
      <c r="F345" s="1310">
        <f t="shared" si="5"/>
        <v>0</v>
      </c>
    </row>
    <row r="346" spans="1:6" s="125" customFormat="1">
      <c r="A346" s="1152">
        <v>1213101001</v>
      </c>
      <c r="B346" s="1152" t="s">
        <v>432</v>
      </c>
      <c r="C346" s="1312">
        <f>IFERROR(VLOOKUP(A346,'SAP '!$A$3:$C$14709,3,0),0)</f>
        <v>0</v>
      </c>
      <c r="D346" s="1151">
        <v>0</v>
      </c>
      <c r="E346" s="125">
        <f>IFERROR(VLOOKUP($A346,'SAP '!$A$3:$D$391,3,0),0)</f>
        <v>0</v>
      </c>
      <c r="F346" s="1310">
        <f t="shared" si="5"/>
        <v>0</v>
      </c>
    </row>
    <row r="347" spans="1:6" s="125" customFormat="1">
      <c r="A347" s="1154">
        <v>1214101000</v>
      </c>
      <c r="B347" s="1150" t="s">
        <v>306</v>
      </c>
      <c r="C347" s="1312">
        <f>IFERROR(VLOOKUP(A347,'SAP '!$A$3:$C$14709,3,0),0)</f>
        <v>0</v>
      </c>
      <c r="D347" s="1151">
        <v>0</v>
      </c>
      <c r="E347" s="125">
        <f>IFERROR(VLOOKUP($A347,'SAP '!$A$3:$D$391,3,0),0)</f>
        <v>0</v>
      </c>
      <c r="F347" s="1310">
        <f t="shared" si="5"/>
        <v>0</v>
      </c>
    </row>
    <row r="348" spans="1:6" s="125" customFormat="1">
      <c r="A348" s="1152">
        <v>1214102000</v>
      </c>
      <c r="B348" s="1152" t="s">
        <v>420</v>
      </c>
      <c r="C348" s="1312">
        <f>IFERROR(VLOOKUP(A348,'SAP '!$A$3:$C$14709,3,0),0)</f>
        <v>0</v>
      </c>
      <c r="D348" s="1151">
        <v>0</v>
      </c>
      <c r="E348" s="125">
        <f>IFERROR(VLOOKUP($A348,'SAP '!$A$3:$D$391,3,0),0)</f>
        <v>0</v>
      </c>
      <c r="F348" s="1310">
        <f t="shared" si="5"/>
        <v>0</v>
      </c>
    </row>
    <row r="349" spans="1:6" s="125" customFormat="1">
      <c r="A349" s="1152">
        <v>1214103000</v>
      </c>
      <c r="B349" s="1152" t="s">
        <v>421</v>
      </c>
      <c r="C349" s="1312">
        <f>IFERROR(VLOOKUP(A349,'SAP '!$A$3:$C$14709,3,0),0)</f>
        <v>0</v>
      </c>
      <c r="D349" s="1151">
        <v>0</v>
      </c>
      <c r="E349" s="125">
        <f>IFERROR(VLOOKUP($A349,'SAP '!$A$3:$D$391,3,0),0)</f>
        <v>0</v>
      </c>
      <c r="F349" s="1310">
        <f t="shared" si="5"/>
        <v>0</v>
      </c>
    </row>
    <row r="350" spans="1:6" s="125" customFormat="1">
      <c r="A350" s="1154">
        <v>1214106000</v>
      </c>
      <c r="B350" s="1150" t="s">
        <v>20</v>
      </c>
      <c r="C350" s="1312">
        <f>IFERROR(VLOOKUP(A350,'SAP '!$A$3:$C$14709,3,0),0)</f>
        <v>675562674.38999999</v>
      </c>
      <c r="D350" s="1151">
        <v>675562674.38999999</v>
      </c>
      <c r="E350" s="125">
        <f>IFERROR(VLOOKUP($A350,'SAP '!$A$3:$D$391,3,0),0)</f>
        <v>675562674.38999999</v>
      </c>
      <c r="F350" s="1310">
        <f t="shared" si="5"/>
        <v>0</v>
      </c>
    </row>
    <row r="351" spans="1:6" s="125" customFormat="1">
      <c r="A351" s="1154">
        <v>1214107000</v>
      </c>
      <c r="B351" s="1150" t="s">
        <v>307</v>
      </c>
      <c r="C351" s="1312">
        <f>IFERROR(VLOOKUP(A351,'SAP '!$A$3:$C$14709,3,0),0)</f>
        <v>-212003479.30000001</v>
      </c>
      <c r="D351" s="1151">
        <v>-207403932.11000001</v>
      </c>
      <c r="E351" s="125">
        <f>IFERROR(VLOOKUP($A351,'SAP '!$A$3:$D$391,3,0),0)</f>
        <v>-212003479.30000001</v>
      </c>
      <c r="F351" s="1310">
        <f t="shared" si="5"/>
        <v>0</v>
      </c>
    </row>
    <row r="352" spans="1:6" s="125" customFormat="1">
      <c r="A352" s="1152">
        <v>1214108000</v>
      </c>
      <c r="B352" s="1152" t="s">
        <v>422</v>
      </c>
      <c r="C352" s="1312">
        <f>IFERROR(VLOOKUP(A352,'SAP '!$A$3:$C$14709,3,0),0)</f>
        <v>0</v>
      </c>
      <c r="D352" s="1151">
        <v>0</v>
      </c>
      <c r="E352" s="125">
        <f>IFERROR(VLOOKUP($A352,'SAP '!$A$3:$D$391,3,0),0)</f>
        <v>0</v>
      </c>
      <c r="F352" s="1310">
        <f t="shared" si="5"/>
        <v>0</v>
      </c>
    </row>
    <row r="353" spans="1:6" s="125" customFormat="1">
      <c r="A353" s="1152">
        <v>1214109000</v>
      </c>
      <c r="B353" s="1152" t="s">
        <v>423</v>
      </c>
      <c r="C353" s="1312">
        <f>IFERROR(VLOOKUP(A353,'SAP '!$A$3:$C$14709,3,0),0)</f>
        <v>0</v>
      </c>
      <c r="D353" s="1151">
        <v>0</v>
      </c>
      <c r="E353" s="125">
        <f>IFERROR(VLOOKUP($A353,'SAP '!$A$3:$D$391,3,0),0)</f>
        <v>0</v>
      </c>
      <c r="F353" s="1310">
        <f t="shared" si="5"/>
        <v>0</v>
      </c>
    </row>
    <row r="354" spans="1:6" s="125" customFormat="1">
      <c r="A354" s="1152">
        <v>1214110000</v>
      </c>
      <c r="B354" s="1152" t="s">
        <v>424</v>
      </c>
      <c r="C354" s="1312">
        <f>IFERROR(VLOOKUP(A354,'SAP '!$A$3:$C$14709,3,0),0)</f>
        <v>0</v>
      </c>
      <c r="D354" s="1151">
        <v>0</v>
      </c>
      <c r="E354" s="125">
        <f>IFERROR(VLOOKUP($A354,'SAP '!$A$3:$D$391,3,0),0)</f>
        <v>0</v>
      </c>
      <c r="F354" s="1310">
        <f t="shared" si="5"/>
        <v>0</v>
      </c>
    </row>
    <row r="355" spans="1:6" s="125" customFormat="1">
      <c r="A355" s="1152">
        <v>1214111000</v>
      </c>
      <c r="B355" s="1152" t="s">
        <v>425</v>
      </c>
      <c r="C355" s="1312">
        <f>IFERROR(VLOOKUP(A355,'SAP '!$A$3:$C$14709,3,0),0)</f>
        <v>0</v>
      </c>
      <c r="D355" s="1151">
        <v>0</v>
      </c>
      <c r="E355" s="125">
        <f>IFERROR(VLOOKUP($A355,'SAP '!$A$3:$D$391,3,0),0)</f>
        <v>0</v>
      </c>
      <c r="F355" s="1310">
        <f t="shared" si="5"/>
        <v>0</v>
      </c>
    </row>
    <row r="356" spans="1:6" s="125" customFormat="1">
      <c r="A356" s="1154">
        <v>1214201000</v>
      </c>
      <c r="B356" s="1150" t="s">
        <v>308</v>
      </c>
      <c r="C356" s="1312">
        <f>IFERROR(VLOOKUP(A356,'SAP '!$A$3:$C$14709,3,0),0)</f>
        <v>6313739486.5600004</v>
      </c>
      <c r="D356" s="1151">
        <v>6313739486.5600004</v>
      </c>
      <c r="E356" s="125">
        <f>IFERROR(VLOOKUP($A356,'SAP '!$A$3:$D$391,3,0),0)</f>
        <v>6313739486.5600004</v>
      </c>
      <c r="F356" s="1310">
        <f t="shared" si="5"/>
        <v>0</v>
      </c>
    </row>
    <row r="357" spans="1:6" s="125" customFormat="1">
      <c r="A357" s="1154">
        <v>1214202000</v>
      </c>
      <c r="B357" s="1150" t="s">
        <v>309</v>
      </c>
      <c r="C357" s="1312">
        <f>IFERROR(VLOOKUP(A357,'SAP '!$A$3:$C$14709,3,0),0)</f>
        <v>-4700939007.0299997</v>
      </c>
      <c r="D357" s="1151">
        <v>-4640003260.4300003</v>
      </c>
      <c r="E357" s="125">
        <f>IFERROR(VLOOKUP($A357,'SAP '!$A$3:$D$391,3,0),0)</f>
        <v>-4700939007.0299997</v>
      </c>
      <c r="F357" s="1310">
        <f t="shared" si="5"/>
        <v>0</v>
      </c>
    </row>
    <row r="358" spans="1:6" s="125" customFormat="1">
      <c r="A358" s="1152">
        <v>1214203000</v>
      </c>
      <c r="B358" s="1152" t="s">
        <v>426</v>
      </c>
      <c r="C358" s="1312">
        <f>IFERROR(VLOOKUP(A358,'SAP '!$A$3:$C$14709,3,0),0)</f>
        <v>110060.4</v>
      </c>
      <c r="D358" s="1151">
        <v>110060.4</v>
      </c>
      <c r="E358" s="125">
        <f>IFERROR(VLOOKUP($A358,'SAP '!$A$3:$D$391,3,0),0)</f>
        <v>110060.4</v>
      </c>
      <c r="F358" s="1310">
        <f t="shared" si="5"/>
        <v>0</v>
      </c>
    </row>
    <row r="359" spans="1:6" s="125" customFormat="1">
      <c r="A359" s="1154">
        <v>1214301000</v>
      </c>
      <c r="B359" s="1150" t="s">
        <v>310</v>
      </c>
      <c r="C359" s="1312">
        <f>IFERROR(VLOOKUP(A359,'SAP '!$A$3:$C$14709,3,0),0)</f>
        <v>103370101.95</v>
      </c>
      <c r="D359" s="1151">
        <v>103332221.95</v>
      </c>
      <c r="E359" s="125">
        <f>IFERROR(VLOOKUP($A359,'SAP '!$A$3:$D$391,3,0),0)</f>
        <v>103370101.95</v>
      </c>
      <c r="F359" s="1310">
        <f t="shared" si="5"/>
        <v>0</v>
      </c>
    </row>
    <row r="360" spans="1:6" s="125" customFormat="1">
      <c r="A360" s="1154">
        <v>1214301001</v>
      </c>
      <c r="B360" s="1150" t="s">
        <v>311</v>
      </c>
      <c r="C360" s="1312">
        <f>IFERROR(VLOOKUP(A360,'SAP '!$A$3:$C$14709,3,0),0)</f>
        <v>20982321.289999999</v>
      </c>
      <c r="D360" s="1151">
        <v>20837977.390000001</v>
      </c>
      <c r="E360" s="125">
        <f>IFERROR(VLOOKUP($A360,'SAP '!$A$3:$D$391,3,0),0)</f>
        <v>20982321.289999999</v>
      </c>
      <c r="F360" s="1310">
        <f t="shared" si="5"/>
        <v>0</v>
      </c>
    </row>
    <row r="361" spans="1:6" s="125" customFormat="1">
      <c r="A361" s="1154">
        <v>1214302000</v>
      </c>
      <c r="B361" s="1150" t="s">
        <v>312</v>
      </c>
      <c r="C361" s="1312">
        <f>IFERROR(VLOOKUP(A361,'SAP '!$A$3:$C$14709,3,0),0)</f>
        <v>-89813037.209999993</v>
      </c>
      <c r="D361" s="1151">
        <v>-88515489.170000002</v>
      </c>
      <c r="E361" s="125">
        <f>IFERROR(VLOOKUP($A361,'SAP '!$A$3:$D$391,3,0),0)</f>
        <v>-89813037.209999993</v>
      </c>
      <c r="F361" s="1310">
        <f t="shared" si="5"/>
        <v>0</v>
      </c>
    </row>
    <row r="362" spans="1:6" s="125" customFormat="1">
      <c r="A362" s="1154">
        <v>1214302001</v>
      </c>
      <c r="B362" s="1150" t="s">
        <v>313</v>
      </c>
      <c r="C362" s="1312">
        <f>IFERROR(VLOOKUP(A362,'SAP '!$A$3:$C$14709,3,0),0)</f>
        <v>-14210092</v>
      </c>
      <c r="D362" s="1151">
        <v>-13964619.09</v>
      </c>
      <c r="E362" s="125">
        <f>IFERROR(VLOOKUP($A362,'SAP '!$A$3:$D$391,3,0),0)</f>
        <v>-14210092</v>
      </c>
      <c r="F362" s="1310">
        <f t="shared" si="5"/>
        <v>0</v>
      </c>
    </row>
    <row r="363" spans="1:6" s="125" customFormat="1">
      <c r="A363" s="1152">
        <v>1214303000</v>
      </c>
      <c r="B363" s="1152" t="s">
        <v>427</v>
      </c>
      <c r="C363" s="1312">
        <f>IFERROR(VLOOKUP(A363,'SAP '!$A$3:$C$14709,3,0),0)</f>
        <v>0</v>
      </c>
      <c r="D363" s="1151">
        <v>0</v>
      </c>
      <c r="E363" s="125">
        <f>IFERROR(VLOOKUP($A363,'SAP '!$A$3:$D$391,3,0),0)</f>
        <v>0</v>
      </c>
      <c r="F363" s="1310">
        <f t="shared" si="5"/>
        <v>0</v>
      </c>
    </row>
    <row r="364" spans="1:6" s="125" customFormat="1">
      <c r="A364" s="1154">
        <v>1214401000</v>
      </c>
      <c r="B364" s="1150" t="s">
        <v>314</v>
      </c>
      <c r="C364" s="1312">
        <f>IFERROR(VLOOKUP(A364,'SAP '!$A$3:$C$14709,3,0),0)</f>
        <v>1572210949.73</v>
      </c>
      <c r="D364" s="1151">
        <v>1572210949.73</v>
      </c>
      <c r="E364" s="125">
        <f>IFERROR(VLOOKUP($A364,'SAP '!$A$3:$D$391,3,0),0)</f>
        <v>1572210949.73</v>
      </c>
      <c r="F364" s="1310">
        <f t="shared" si="5"/>
        <v>0</v>
      </c>
    </row>
    <row r="365" spans="1:6" s="125" customFormat="1">
      <c r="A365" s="1154">
        <v>1214401001</v>
      </c>
      <c r="B365" s="1150" t="s">
        <v>315</v>
      </c>
      <c r="C365" s="1312">
        <f>IFERROR(VLOOKUP(A365,'SAP '!$A$3:$C$14709,3,0),0)</f>
        <v>472921997.61000001</v>
      </c>
      <c r="D365" s="1151">
        <v>472921997.61000001</v>
      </c>
      <c r="E365" s="125">
        <f>IFERROR(VLOOKUP($A365,'SAP '!$A$3:$D$391,3,0),0)</f>
        <v>472921997.61000001</v>
      </c>
      <c r="F365" s="1310">
        <f t="shared" si="5"/>
        <v>0</v>
      </c>
    </row>
    <row r="366" spans="1:6" s="125" customFormat="1">
      <c r="A366" s="1154">
        <v>1214402000</v>
      </c>
      <c r="B366" s="1150" t="s">
        <v>316</v>
      </c>
      <c r="C366" s="1312">
        <f>IFERROR(VLOOKUP(A366,'SAP '!$A$3:$C$14709,3,0),0)</f>
        <v>-1044023308.76</v>
      </c>
      <c r="D366" s="1151">
        <v>-1026012669.76</v>
      </c>
      <c r="E366" s="125">
        <f>IFERROR(VLOOKUP($A366,'SAP '!$A$3:$D$391,3,0),0)</f>
        <v>-1044023308.76</v>
      </c>
      <c r="F366" s="1310">
        <f t="shared" si="5"/>
        <v>0</v>
      </c>
    </row>
    <row r="367" spans="1:6" s="125" customFormat="1">
      <c r="A367" s="1154">
        <v>1214402001</v>
      </c>
      <c r="B367" s="1150" t="s">
        <v>317</v>
      </c>
      <c r="C367" s="1312">
        <f>IFERROR(VLOOKUP(A367,'SAP '!$A$3:$C$14709,3,0),0)</f>
        <v>-166979137.34</v>
      </c>
      <c r="D367" s="1151">
        <v>-159538436.50999999</v>
      </c>
      <c r="E367" s="125">
        <f>IFERROR(VLOOKUP($A367,'SAP '!$A$3:$D$391,3,0),0)</f>
        <v>-166979137.34</v>
      </c>
      <c r="F367" s="1310">
        <f t="shared" si="5"/>
        <v>0</v>
      </c>
    </row>
    <row r="368" spans="1:6" s="125" customFormat="1">
      <c r="A368" s="1152">
        <v>1214403000</v>
      </c>
      <c r="B368" s="1152" t="s">
        <v>428</v>
      </c>
      <c r="C368" s="1312">
        <f>IFERROR(VLOOKUP(A368,'SAP '!$A$3:$C$14709,3,0),0)</f>
        <v>0</v>
      </c>
      <c r="D368" s="1151">
        <v>0</v>
      </c>
      <c r="E368" s="125">
        <f>IFERROR(VLOOKUP($A368,'SAP '!$A$3:$D$391,3,0),0)</f>
        <v>0</v>
      </c>
      <c r="F368" s="1310">
        <f t="shared" si="5"/>
        <v>0</v>
      </c>
    </row>
    <row r="369" spans="1:6" s="125" customFormat="1">
      <c r="A369" s="1154">
        <v>1214501000</v>
      </c>
      <c r="B369" s="1150" t="s">
        <v>72</v>
      </c>
      <c r="C369" s="1312">
        <f>IFERROR(VLOOKUP(A369,'SAP '!$A$3:$C$14709,3,0),0)</f>
        <v>76372431.5</v>
      </c>
      <c r="D369" s="1151">
        <v>76372431.5</v>
      </c>
      <c r="E369" s="125">
        <f>IFERROR(VLOOKUP($A369,'SAP '!$A$3:$D$391,3,0),0)</f>
        <v>76372431.5</v>
      </c>
      <c r="F369" s="1310">
        <f t="shared" si="5"/>
        <v>0</v>
      </c>
    </row>
    <row r="370" spans="1:6" s="125" customFormat="1">
      <c r="A370" s="1154">
        <v>1214502000</v>
      </c>
      <c r="B370" s="1150" t="s">
        <v>318</v>
      </c>
      <c r="C370" s="1312">
        <f>IFERROR(VLOOKUP(A370,'SAP '!$A$3:$C$14709,3,0),0)</f>
        <v>-63310134.5</v>
      </c>
      <c r="D370" s="1151">
        <v>-62181619.5</v>
      </c>
      <c r="E370" s="125">
        <f>IFERROR(VLOOKUP($A370,'SAP '!$A$3:$D$391,3,0),0)</f>
        <v>-63310134.5</v>
      </c>
      <c r="F370" s="1310">
        <f t="shared" si="5"/>
        <v>0</v>
      </c>
    </row>
    <row r="371" spans="1:6" s="125" customFormat="1">
      <c r="A371" s="1152">
        <v>1214503000</v>
      </c>
      <c r="B371" s="1152" t="s">
        <v>429</v>
      </c>
      <c r="C371" s="1312">
        <f>IFERROR(VLOOKUP(A371,'SAP '!$A$3:$C$14709,3,0),0)</f>
        <v>0</v>
      </c>
      <c r="D371" s="1151">
        <v>0</v>
      </c>
      <c r="E371" s="125">
        <f>IFERROR(VLOOKUP($A371,'SAP '!$A$3:$D$391,3,0),0)</f>
        <v>0</v>
      </c>
      <c r="F371" s="1310">
        <f t="shared" si="5"/>
        <v>0</v>
      </c>
    </row>
    <row r="372" spans="1:6" s="125" customFormat="1">
      <c r="A372" s="1154">
        <v>1214601000</v>
      </c>
      <c r="B372" s="1150" t="s">
        <v>319</v>
      </c>
      <c r="C372" s="1312">
        <f>IFERROR(VLOOKUP(A372,'SAP '!$A$3:$C$14709,3,0),0)</f>
        <v>66391299.909999996</v>
      </c>
      <c r="D372" s="1151">
        <v>66391299.909999996</v>
      </c>
      <c r="E372" s="125">
        <f>IFERROR(VLOOKUP($A372,'SAP '!$A$3:$D$391,3,0),0)</f>
        <v>66391299.909999996</v>
      </c>
      <c r="F372" s="1310">
        <f t="shared" si="5"/>
        <v>0</v>
      </c>
    </row>
    <row r="373" spans="1:6" s="125" customFormat="1">
      <c r="A373" s="1154">
        <v>1214602000</v>
      </c>
      <c r="B373" s="1150" t="s">
        <v>320</v>
      </c>
      <c r="C373" s="1312">
        <f>IFERROR(VLOOKUP(A373,'SAP '!$A$3:$C$14709,3,0),0)</f>
        <v>-25697735.670000002</v>
      </c>
      <c r="D373" s="1151">
        <v>-24153976.670000002</v>
      </c>
      <c r="E373" s="125">
        <f>IFERROR(VLOOKUP($A373,'SAP '!$A$3:$D$391,3,0),0)</f>
        <v>-25697735.670000002</v>
      </c>
      <c r="F373" s="1310">
        <f t="shared" si="5"/>
        <v>0</v>
      </c>
    </row>
    <row r="374" spans="1:6" s="125" customFormat="1">
      <c r="A374" s="1152">
        <v>1214603000</v>
      </c>
      <c r="B374" s="1152" t="s">
        <v>430</v>
      </c>
      <c r="C374" s="1312">
        <f>IFERROR(VLOOKUP(A374,'SAP '!$A$3:$C$14709,3,0),0)</f>
        <v>0</v>
      </c>
      <c r="D374" s="1151">
        <v>0</v>
      </c>
      <c r="E374" s="125">
        <f>IFERROR(VLOOKUP($A374,'SAP '!$A$3:$D$391,3,0),0)</f>
        <v>0</v>
      </c>
      <c r="F374" s="1310">
        <f t="shared" si="5"/>
        <v>0</v>
      </c>
    </row>
    <row r="375" spans="1:6" s="125" customFormat="1">
      <c r="A375" s="1154">
        <v>1215201000</v>
      </c>
      <c r="B375" s="1150" t="s">
        <v>321</v>
      </c>
      <c r="C375" s="1312">
        <f>IFERROR(VLOOKUP(A375,'SAP '!$A$3:$C$14709,3,0),0)</f>
        <v>2493150856.8899999</v>
      </c>
      <c r="D375" s="1151">
        <v>2491429738.6399999</v>
      </c>
      <c r="E375" s="125">
        <f>IFERROR(VLOOKUP($A375,'SAP '!$A$3:$D$391,3,0),0)</f>
        <v>2493150856.8899999</v>
      </c>
      <c r="F375" s="1310">
        <f t="shared" si="5"/>
        <v>0</v>
      </c>
    </row>
    <row r="376" spans="1:6" s="125" customFormat="1">
      <c r="A376" s="1154">
        <v>1215202000</v>
      </c>
      <c r="B376" s="1150" t="s">
        <v>322</v>
      </c>
      <c r="C376" s="1312">
        <f>IFERROR(VLOOKUP(A376,'SAP '!$A$3:$C$14709,3,0),0)</f>
        <v>-1421160257.4000001</v>
      </c>
      <c r="D376" s="1151">
        <v>-1360577867.4000001</v>
      </c>
      <c r="E376" s="125">
        <f>IFERROR(VLOOKUP($A376,'SAP '!$A$3:$D$391,3,0),0)</f>
        <v>-1421160257.4000001</v>
      </c>
      <c r="F376" s="1310">
        <f t="shared" si="5"/>
        <v>0</v>
      </c>
    </row>
    <row r="377" spans="1:6" s="125" customFormat="1">
      <c r="A377" s="1152">
        <v>1215203000</v>
      </c>
      <c r="B377" s="1152" t="s">
        <v>431</v>
      </c>
      <c r="C377" s="1312">
        <f>IFERROR(VLOOKUP(A377,'SAP '!$A$3:$C$14709,3,0),0)</f>
        <v>0</v>
      </c>
      <c r="D377" s="1151">
        <v>0</v>
      </c>
      <c r="E377" s="125">
        <f>IFERROR(VLOOKUP($A377,'SAP '!$A$3:$D$391,3,0),0)</f>
        <v>0</v>
      </c>
      <c r="F377" s="1310">
        <f t="shared" si="5"/>
        <v>0</v>
      </c>
    </row>
    <row r="378" spans="1:6" s="125" customFormat="1">
      <c r="A378" s="1154">
        <v>2101101000</v>
      </c>
      <c r="B378" s="1150" t="s">
        <v>832</v>
      </c>
      <c r="C378" s="1312">
        <f>IFERROR(VLOOKUP(A378,'SAP '!$A$3:$C$14709,3,0),0)</f>
        <v>-18617639.34</v>
      </c>
      <c r="D378" s="1151">
        <v>-18617639.34</v>
      </c>
      <c r="E378" s="125">
        <f>IFERROR(VLOOKUP($A378,'SAP '!$A$3:$D$391,3,0),0)</f>
        <v>-18617639.34</v>
      </c>
      <c r="F378" s="1310">
        <f t="shared" si="5"/>
        <v>0</v>
      </c>
    </row>
    <row r="379" spans="1:6" s="125" customFormat="1">
      <c r="A379" s="1154">
        <v>2101101001</v>
      </c>
      <c r="B379" s="1150" t="s">
        <v>833</v>
      </c>
      <c r="C379" s="1312">
        <f>IFERROR(VLOOKUP(A379,'SAP '!$A$3:$C$14709,3,0),0)</f>
        <v>0</v>
      </c>
      <c r="D379" s="1151">
        <v>0</v>
      </c>
      <c r="E379" s="125">
        <f>IFERROR(VLOOKUP($A379,'SAP '!$A$3:$D$391,3,0),0)</f>
        <v>0</v>
      </c>
      <c r="F379" s="1310">
        <f t="shared" si="5"/>
        <v>0</v>
      </c>
    </row>
    <row r="380" spans="1:6" s="125" customFormat="1">
      <c r="A380" s="1154">
        <v>2101101002</v>
      </c>
      <c r="B380" s="1150" t="s">
        <v>834</v>
      </c>
      <c r="C380" s="1312">
        <f>IFERROR(VLOOKUP(A380,'SAP '!$A$3:$C$14709,3,0),0)</f>
        <v>-2238705</v>
      </c>
      <c r="D380" s="1151">
        <v>-2238705</v>
      </c>
      <c r="E380" s="125">
        <f>IFERROR(VLOOKUP($A380,'SAP '!$A$3:$D$391,3,0),0)</f>
        <v>-2238705</v>
      </c>
      <c r="F380" s="1310">
        <f t="shared" si="5"/>
        <v>0</v>
      </c>
    </row>
    <row r="381" spans="1:6" s="125" customFormat="1">
      <c r="A381" s="1149">
        <v>2103101000</v>
      </c>
      <c r="B381" s="1150" t="s">
        <v>835</v>
      </c>
      <c r="C381" s="1312">
        <f>IFERROR(VLOOKUP(A381,'SAP '!$A$3:$C$14709,3,0),0)</f>
        <v>-32838382.59</v>
      </c>
      <c r="D381" s="1151">
        <v>-29644522.789999999</v>
      </c>
      <c r="E381" s="125">
        <f>IFERROR(VLOOKUP($A381,'SAP '!$A$3:$D$391,3,0),0)</f>
        <v>-32838382.59</v>
      </c>
      <c r="F381" s="1310">
        <f t="shared" si="5"/>
        <v>0</v>
      </c>
    </row>
    <row r="382" spans="1:6" s="125" customFormat="1">
      <c r="A382" s="1149">
        <v>2103102000</v>
      </c>
      <c r="B382" s="1150" t="s">
        <v>836</v>
      </c>
      <c r="C382" s="1161">
        <f>IFERROR(VLOOKUP(A382,'SAP '!$A$3:$C$14709,3,0),0)</f>
        <v>0</v>
      </c>
      <c r="D382" s="1151">
        <v>-24290</v>
      </c>
      <c r="E382" s="125">
        <f>IFERROR(VLOOKUP($A382,'SAP '!$A$3:$D$391,3,0),0)</f>
        <v>0</v>
      </c>
      <c r="F382" s="1310">
        <f t="shared" si="5"/>
        <v>0</v>
      </c>
    </row>
    <row r="383" spans="1:6" s="125" customFormat="1">
      <c r="A383" s="1149">
        <v>2103103000</v>
      </c>
      <c r="B383" s="1150" t="s">
        <v>837</v>
      </c>
      <c r="C383" s="1312">
        <f>IFERROR(VLOOKUP(A383,'SAP '!$A$3:$C$14709,3,0),0)</f>
        <v>-43556232.68</v>
      </c>
      <c r="D383" s="1151">
        <v>-111008117.88</v>
      </c>
      <c r="E383" s="125">
        <f>IFERROR(VLOOKUP($A383,'SAP '!$A$3:$D$391,3,0),0)</f>
        <v>-43556232.68</v>
      </c>
      <c r="F383" s="1310">
        <f t="shared" si="5"/>
        <v>0</v>
      </c>
    </row>
    <row r="384" spans="1:6" s="125" customFormat="1">
      <c r="A384" s="1152">
        <v>2103301000</v>
      </c>
      <c r="B384" s="1152" t="s">
        <v>1015</v>
      </c>
      <c r="C384" s="1161">
        <f>IFERROR(VLOOKUP(A384,'SAP '!$A$3:$C$14709,3,0),0)</f>
        <v>0</v>
      </c>
      <c r="D384" s="1151">
        <v>0</v>
      </c>
      <c r="E384" s="125">
        <f>IFERROR(VLOOKUP($A384,'SAP '!$A$3:$D$391,3,0),0)</f>
        <v>0</v>
      </c>
      <c r="F384" s="1310">
        <f t="shared" si="5"/>
        <v>0</v>
      </c>
    </row>
    <row r="385" spans="1:6" s="125" customFormat="1">
      <c r="A385" s="1152">
        <v>2103401000</v>
      </c>
      <c r="B385" s="1150" t="s">
        <v>1011</v>
      </c>
      <c r="C385" s="1312">
        <f>IFERROR(VLOOKUP(A385,'SAP '!$A$3:$C$14709,3,0),0)</f>
        <v>-319614.43</v>
      </c>
      <c r="D385" s="1151">
        <v>-11149808.15</v>
      </c>
      <c r="E385" s="125">
        <f>IFERROR(VLOOKUP($A385,'SAP '!$A$3:$D$391,3,0),0)</f>
        <v>-319614.43</v>
      </c>
      <c r="F385" s="1310">
        <f t="shared" si="5"/>
        <v>0</v>
      </c>
    </row>
    <row r="386" spans="1:6" s="125" customFormat="1">
      <c r="A386" s="1154">
        <v>2103501000</v>
      </c>
      <c r="B386" s="1150" t="s">
        <v>838</v>
      </c>
      <c r="C386" s="1312">
        <f>IFERROR(VLOOKUP(A386,'SAP '!$A$3:$C$14709,3,0),0)</f>
        <v>-306922.38</v>
      </c>
      <c r="D386" s="1151">
        <v>-290802.38</v>
      </c>
      <c r="E386" s="125">
        <f>IFERROR(VLOOKUP($A386,'SAP '!$A$3:$D$391,3,0),0)</f>
        <v>-306922.38</v>
      </c>
      <c r="F386" s="1310">
        <f t="shared" si="5"/>
        <v>0</v>
      </c>
    </row>
    <row r="387" spans="1:6" s="125" customFormat="1">
      <c r="A387" s="1154">
        <v>2103501001</v>
      </c>
      <c r="B387" s="1150" t="s">
        <v>839</v>
      </c>
      <c r="C387" s="1312">
        <f>IFERROR(VLOOKUP(A387,'SAP '!$A$3:$C$14709,3,0),0)</f>
        <v>-14632286.5</v>
      </c>
      <c r="D387" s="1151">
        <v>-15994411.130000001</v>
      </c>
      <c r="E387" s="125">
        <f>IFERROR(VLOOKUP($A387,'SAP '!$A$3:$D$391,3,0),0)</f>
        <v>-14632286.5</v>
      </c>
      <c r="F387" s="1310">
        <f t="shared" ref="F387:F450" si="6">C387-E387</f>
        <v>0</v>
      </c>
    </row>
    <row r="388" spans="1:6" s="125" customFormat="1">
      <c r="A388" s="1154">
        <v>2103602000</v>
      </c>
      <c r="B388" s="1150" t="s">
        <v>998</v>
      </c>
      <c r="C388" s="1312">
        <f>IFERROR(VLOOKUP(A388,'SAP '!$A$3:$C$14709,3,0),0)</f>
        <v>0</v>
      </c>
      <c r="D388" s="1151">
        <v>0</v>
      </c>
      <c r="E388" s="125">
        <f>IFERROR(VLOOKUP($A388,'SAP '!$A$3:$D$391,3,0),0)</f>
        <v>0</v>
      </c>
      <c r="F388" s="1310">
        <f t="shared" si="6"/>
        <v>0</v>
      </c>
    </row>
    <row r="389" spans="1:6" s="125" customFormat="1">
      <c r="A389" s="1154">
        <v>2103701000</v>
      </c>
      <c r="B389" s="1150" t="s">
        <v>840</v>
      </c>
      <c r="C389" s="1312">
        <f>IFERROR(VLOOKUP(A389,'SAP '!$A$3:$C$14709,3,0),0)</f>
        <v>-18303</v>
      </c>
      <c r="D389" s="1151">
        <v>-18303</v>
      </c>
      <c r="E389" s="125">
        <f>IFERROR(VLOOKUP($A389,'SAP '!$A$3:$D$391,3,0),0)</f>
        <v>-18303</v>
      </c>
      <c r="F389" s="1310">
        <f t="shared" si="6"/>
        <v>0</v>
      </c>
    </row>
    <row r="390" spans="1:6" s="125" customFormat="1">
      <c r="A390" s="1154">
        <v>2104101000</v>
      </c>
      <c r="B390" s="1150" t="s">
        <v>1008</v>
      </c>
      <c r="C390" s="1312">
        <f>IFERROR(VLOOKUP(A390,'SAP '!$A$3:$C$14709,3,0),0)</f>
        <v>0</v>
      </c>
      <c r="D390" s="1151">
        <v>0</v>
      </c>
      <c r="E390" s="125">
        <f>IFERROR(VLOOKUP($A390,'SAP '!$A$3:$D$391,3,0),0)</f>
        <v>0</v>
      </c>
      <c r="F390" s="1310">
        <f t="shared" si="6"/>
        <v>0</v>
      </c>
    </row>
    <row r="391" spans="1:6" s="125" customFormat="1">
      <c r="A391" s="1154">
        <v>2104302001</v>
      </c>
      <c r="B391" s="1150" t="s">
        <v>323</v>
      </c>
      <c r="C391" s="1312">
        <f>IFERROR(VLOOKUP(A391,'SAP '!$A$3:$C$14709,3,0),0)</f>
        <v>-73395094.829999998</v>
      </c>
      <c r="D391" s="1151">
        <v>-94199332.450000003</v>
      </c>
      <c r="E391" s="125">
        <f>IFERROR(VLOOKUP($A391,'SAP '!$A$3:$D$391,3,0),0)</f>
        <v>-73395094.829999998</v>
      </c>
      <c r="F391" s="1310">
        <f t="shared" si="6"/>
        <v>0</v>
      </c>
    </row>
    <row r="392" spans="1:6" s="125" customFormat="1">
      <c r="A392" s="1166">
        <v>2105101000</v>
      </c>
      <c r="B392" s="1166" t="s">
        <v>181</v>
      </c>
      <c r="C392" s="1312">
        <f>IFERROR(VLOOKUP(A392,'SAP '!$A$3:$C$14709,3,0),0)</f>
        <v>0</v>
      </c>
      <c r="D392" s="1151">
        <v>0</v>
      </c>
      <c r="E392" s="125">
        <f>IFERROR(VLOOKUP($A392,'SAP '!$A$3:$D$391,3,0),0)</f>
        <v>0</v>
      </c>
      <c r="F392" s="1310">
        <f t="shared" si="6"/>
        <v>0</v>
      </c>
    </row>
    <row r="393" spans="1:6" s="125" customFormat="1">
      <c r="A393" s="1154">
        <v>2106103000</v>
      </c>
      <c r="B393" s="1150" t="s">
        <v>841</v>
      </c>
      <c r="C393" s="1312">
        <f>IFERROR(VLOOKUP(A393,'SAP '!$A$3:$C$14709,3,0),0)</f>
        <v>0</v>
      </c>
      <c r="D393" s="1151">
        <v>0</v>
      </c>
      <c r="E393" s="125">
        <f>IFERROR(VLOOKUP($A393,'SAP '!$A$3:$D$391,3,0),0)</f>
        <v>0</v>
      </c>
      <c r="F393" s="1310">
        <f t="shared" si="6"/>
        <v>0</v>
      </c>
    </row>
    <row r="394" spans="1:6" s="125" customFormat="1">
      <c r="A394" s="1154">
        <v>2106103001</v>
      </c>
      <c r="B394" s="1150" t="s">
        <v>842</v>
      </c>
      <c r="C394" s="1312">
        <f>IFERROR(VLOOKUP(A394,'SAP '!$A$3:$C$14709,3,0),0)</f>
        <v>-8335472.6299999999</v>
      </c>
      <c r="D394" s="1151">
        <v>-8335472.6299999999</v>
      </c>
      <c r="E394" s="125">
        <f>IFERROR(VLOOKUP($A394,'SAP '!$A$3:$D$391,3,0),0)</f>
        <v>-8335472.6299999999</v>
      </c>
      <c r="F394" s="1310">
        <f t="shared" si="6"/>
        <v>0</v>
      </c>
    </row>
    <row r="395" spans="1:6" s="125" customFormat="1">
      <c r="A395" s="1154">
        <v>2106103002</v>
      </c>
      <c r="B395" s="1150" t="s">
        <v>511</v>
      </c>
      <c r="C395" s="1312">
        <f>IFERROR(VLOOKUP(A395,'SAP '!$A$3:$C$14709,3,0),0)</f>
        <v>-3048374.53</v>
      </c>
      <c r="D395" s="1151">
        <v>-3048374.53</v>
      </c>
      <c r="E395" s="125">
        <f>IFERROR(VLOOKUP($A395,'SAP '!$A$3:$D$391,3,0),0)</f>
        <v>-3048374.53</v>
      </c>
      <c r="F395" s="1310">
        <f t="shared" si="6"/>
        <v>0</v>
      </c>
    </row>
    <row r="396" spans="1:6" s="125" customFormat="1">
      <c r="A396" s="1154">
        <v>2106201000</v>
      </c>
      <c r="B396" s="1150" t="s">
        <v>843</v>
      </c>
      <c r="C396" s="1312">
        <f>IFERROR(VLOOKUP(A396,'SAP '!$A$3:$C$14709,3,0),0)</f>
        <v>-52289.919999999998</v>
      </c>
      <c r="D396" s="1151">
        <v>0</v>
      </c>
      <c r="E396" s="125">
        <f>IFERROR(VLOOKUP($A396,'SAP '!$A$3:$D$391,3,0),0)</f>
        <v>-52289.919999999998</v>
      </c>
      <c r="F396" s="1310">
        <f t="shared" si="6"/>
        <v>0</v>
      </c>
    </row>
    <row r="397" spans="1:6" s="125" customFormat="1">
      <c r="A397" s="1154">
        <v>2106201001</v>
      </c>
      <c r="B397" s="1150" t="s">
        <v>999</v>
      </c>
      <c r="C397" s="1312">
        <f>IFERROR(VLOOKUP(A397,'SAP '!$A$3:$C$14709,3,0),0)</f>
        <v>-13166</v>
      </c>
      <c r="D397" s="1151">
        <v>0</v>
      </c>
      <c r="E397" s="125">
        <f>IFERROR(VLOOKUP($A397,'SAP '!$A$3:$D$391,3,0),0)</f>
        <v>-13166</v>
      </c>
      <c r="F397" s="1310">
        <f t="shared" si="6"/>
        <v>0</v>
      </c>
    </row>
    <row r="398" spans="1:6" s="125" customFormat="1">
      <c r="A398" s="1154">
        <v>2106201002</v>
      </c>
      <c r="B398" s="1150" t="s">
        <v>1000</v>
      </c>
      <c r="C398" s="1312">
        <f>IFERROR(VLOOKUP(A398,'SAP '!$A$3:$C$14709,3,0),0)</f>
        <v>0</v>
      </c>
      <c r="D398" s="1151">
        <v>0</v>
      </c>
      <c r="E398" s="125">
        <f>IFERROR(VLOOKUP($A398,'SAP '!$A$3:$D$391,3,0),0)</f>
        <v>0</v>
      </c>
      <c r="F398" s="1310">
        <f t="shared" si="6"/>
        <v>0</v>
      </c>
    </row>
    <row r="399" spans="1:6" s="125" customFormat="1">
      <c r="A399" s="1154">
        <v>2106201003</v>
      </c>
      <c r="B399" s="1150" t="s">
        <v>1001</v>
      </c>
      <c r="C399" s="1312">
        <f>IFERROR(VLOOKUP(A399,'SAP '!$A$3:$C$14709,3,0),0)</f>
        <v>0</v>
      </c>
      <c r="D399" s="1151">
        <v>0</v>
      </c>
      <c r="E399" s="125">
        <f>IFERROR(VLOOKUP($A399,'SAP '!$A$3:$D$391,3,0),0)</f>
        <v>0</v>
      </c>
      <c r="F399" s="1310">
        <f t="shared" si="6"/>
        <v>0</v>
      </c>
    </row>
    <row r="400" spans="1:6" s="125" customFormat="1">
      <c r="A400" s="1154">
        <v>2106201004</v>
      </c>
      <c r="B400" s="1150" t="s">
        <v>1002</v>
      </c>
      <c r="C400" s="1312">
        <f>IFERROR(VLOOKUP(A400,'SAP '!$A$3:$C$14709,3,0),0)</f>
        <v>0</v>
      </c>
      <c r="D400" s="1151">
        <v>0</v>
      </c>
      <c r="E400" s="125">
        <f>IFERROR(VLOOKUP($A400,'SAP '!$A$3:$D$391,3,0),0)</f>
        <v>0</v>
      </c>
      <c r="F400" s="1310">
        <f t="shared" si="6"/>
        <v>0</v>
      </c>
    </row>
    <row r="401" spans="1:6" s="125" customFormat="1">
      <c r="A401" s="1154">
        <v>2106201005</v>
      </c>
      <c r="B401" s="1150" t="s">
        <v>1003</v>
      </c>
      <c r="C401" s="1312">
        <f>IFERROR(VLOOKUP(A401,'SAP '!$A$3:$C$14709,3,0),0)</f>
        <v>0</v>
      </c>
      <c r="D401" s="1151">
        <v>0</v>
      </c>
      <c r="E401" s="125">
        <f>IFERROR(VLOOKUP($A401,'SAP '!$A$3:$D$391,3,0),0)</f>
        <v>0</v>
      </c>
      <c r="F401" s="1310">
        <f t="shared" si="6"/>
        <v>0</v>
      </c>
    </row>
    <row r="402" spans="1:6" s="125" customFormat="1">
      <c r="A402" s="1152">
        <v>2106202000</v>
      </c>
      <c r="B402" s="1150" t="s">
        <v>1012</v>
      </c>
      <c r="C402" s="1312">
        <f>IFERROR(VLOOKUP(A402,'SAP '!$A$3:$C$14709,3,0),0)</f>
        <v>-126787.5</v>
      </c>
      <c r="D402" s="1151">
        <v>-126787.5</v>
      </c>
      <c r="E402" s="125">
        <f>IFERROR(VLOOKUP($A402,'SAP '!$A$3:$D$391,3,0),0)</f>
        <v>-126787.5</v>
      </c>
      <c r="F402" s="1310">
        <f t="shared" si="6"/>
        <v>0</v>
      </c>
    </row>
    <row r="403" spans="1:6" s="125" customFormat="1">
      <c r="A403" s="1154">
        <v>2106301000</v>
      </c>
      <c r="B403" s="1150" t="s">
        <v>1010</v>
      </c>
      <c r="C403" s="1312">
        <f>IFERROR(VLOOKUP(A403,'SAP '!$A$3:$C$14709,3,0),0)</f>
        <v>0</v>
      </c>
      <c r="D403" s="1151">
        <v>0</v>
      </c>
      <c r="E403" s="125">
        <f>IFERROR(VLOOKUP($A403,'SAP '!$A$3:$D$391,3,0),0)</f>
        <v>0</v>
      </c>
      <c r="F403" s="1310">
        <f t="shared" si="6"/>
        <v>0</v>
      </c>
    </row>
    <row r="404" spans="1:6" s="125" customFormat="1">
      <c r="A404" s="1152">
        <v>2106301001</v>
      </c>
      <c r="B404" s="1152" t="s">
        <v>1016</v>
      </c>
      <c r="C404" s="1312">
        <f>IFERROR(VLOOKUP(A404,'SAP '!$A$3:$C$14709,3,0),0)</f>
        <v>0</v>
      </c>
      <c r="D404" s="1151">
        <v>0</v>
      </c>
      <c r="E404" s="125">
        <f>IFERROR(VLOOKUP($A404,'SAP '!$A$3:$D$391,3,0),0)</f>
        <v>0</v>
      </c>
      <c r="F404" s="1310">
        <f t="shared" si="6"/>
        <v>0</v>
      </c>
    </row>
    <row r="405" spans="1:6" s="125" customFormat="1">
      <c r="A405" s="1154">
        <v>2106301002</v>
      </c>
      <c r="B405" s="1150" t="s">
        <v>1009</v>
      </c>
      <c r="C405" s="1312">
        <f>IFERROR(VLOOKUP(A405,'SAP '!$A$3:$C$14709,3,0),0)</f>
        <v>0</v>
      </c>
      <c r="D405" s="1151">
        <v>0</v>
      </c>
      <c r="E405" s="125">
        <f>IFERROR(VLOOKUP($A405,'SAP '!$A$3:$D$391,3,0),0)</f>
        <v>0</v>
      </c>
      <c r="F405" s="1310">
        <f t="shared" si="6"/>
        <v>0</v>
      </c>
    </row>
    <row r="406" spans="1:6" s="125" customFormat="1">
      <c r="A406" s="1154">
        <v>2106301003</v>
      </c>
      <c r="B406" s="1150" t="s">
        <v>1004</v>
      </c>
      <c r="C406" s="1312">
        <f>IFERROR(VLOOKUP(A406,'SAP '!$A$3:$C$14709,3,0),0)</f>
        <v>0</v>
      </c>
      <c r="D406" s="1151">
        <v>0</v>
      </c>
      <c r="E406" s="125">
        <f>IFERROR(VLOOKUP($A406,'SAP '!$A$3:$D$391,3,0),0)</f>
        <v>0</v>
      </c>
      <c r="F406" s="1310">
        <f t="shared" si="6"/>
        <v>0</v>
      </c>
    </row>
    <row r="407" spans="1:6" s="125" customFormat="1">
      <c r="A407" s="1154">
        <v>2106301003</v>
      </c>
      <c r="B407" s="1150" t="s">
        <v>1004</v>
      </c>
      <c r="C407" s="1312">
        <f>IFERROR(VLOOKUP(A407,'SAP '!$A$3:$C$14709,3,0),0)</f>
        <v>0</v>
      </c>
      <c r="D407" s="1151">
        <v>0</v>
      </c>
      <c r="E407" s="125">
        <f>IFERROR(VLOOKUP($A407,'SAP '!$A$3:$D$391,3,0),0)</f>
        <v>0</v>
      </c>
      <c r="F407" s="1310">
        <f t="shared" si="6"/>
        <v>0</v>
      </c>
    </row>
    <row r="408" spans="1:6" s="125" customFormat="1">
      <c r="A408" s="1154">
        <v>2106301004</v>
      </c>
      <c r="B408" s="1150" t="s">
        <v>844</v>
      </c>
      <c r="C408" s="1312">
        <f>IFERROR(VLOOKUP(A408,'SAP '!$A$3:$C$14709,3,0),0)</f>
        <v>-1093251.8600000001</v>
      </c>
      <c r="D408" s="1151">
        <v>-1446606</v>
      </c>
      <c r="E408" s="125">
        <f>IFERROR(VLOOKUP($A408,'SAP '!$A$3:$D$391,3,0),0)</f>
        <v>-1093251.8600000001</v>
      </c>
      <c r="F408" s="1310">
        <f t="shared" si="6"/>
        <v>0</v>
      </c>
    </row>
    <row r="409" spans="1:6" s="125" customFormat="1">
      <c r="A409" s="1154">
        <v>2106301005</v>
      </c>
      <c r="B409" s="1150" t="s">
        <v>1005</v>
      </c>
      <c r="C409" s="1312">
        <f>IFERROR(VLOOKUP(A409,'SAP '!$A$3:$C$14709,3,0),0)</f>
        <v>0</v>
      </c>
      <c r="D409" s="1151">
        <v>0</v>
      </c>
      <c r="E409" s="125">
        <f>IFERROR(VLOOKUP($A409,'SAP '!$A$3:$D$391,3,0),0)</f>
        <v>0</v>
      </c>
      <c r="F409" s="1310">
        <f t="shared" si="6"/>
        <v>0</v>
      </c>
    </row>
    <row r="410" spans="1:6" s="125" customFormat="1">
      <c r="A410" s="1152">
        <v>2106301006</v>
      </c>
      <c r="B410" s="1150" t="s">
        <v>1013</v>
      </c>
      <c r="C410" s="1312">
        <f>IFERROR(VLOOKUP(A410,'SAP '!$A$3:$C$14709,3,0),0)</f>
        <v>0</v>
      </c>
      <c r="D410" s="1151">
        <v>0</v>
      </c>
      <c r="E410" s="125">
        <f>IFERROR(VLOOKUP($A410,'SAP '!$A$3:$D$391,3,0),0)</f>
        <v>0</v>
      </c>
      <c r="F410" s="1310">
        <f t="shared" si="6"/>
        <v>0</v>
      </c>
    </row>
    <row r="411" spans="1:6" s="125" customFormat="1">
      <c r="A411" s="1152">
        <v>2106401000</v>
      </c>
      <c r="B411" s="1152" t="s">
        <v>1017</v>
      </c>
      <c r="C411" s="1312">
        <f>IFERROR(VLOOKUP(A411,'SAP '!$A$3:$C$14709,3,0),0)</f>
        <v>0</v>
      </c>
      <c r="D411" s="1151">
        <v>0</v>
      </c>
      <c r="E411" s="125">
        <f>IFERROR(VLOOKUP($A411,'SAP '!$A$3:$D$391,3,0),0)</f>
        <v>0</v>
      </c>
      <c r="F411" s="1310">
        <f t="shared" si="6"/>
        <v>0</v>
      </c>
    </row>
    <row r="412" spans="1:6" s="125" customFormat="1">
      <c r="A412" s="1149">
        <v>2106501000</v>
      </c>
      <c r="B412" s="1150" t="s">
        <v>845</v>
      </c>
      <c r="C412" s="1312">
        <f>IFERROR(VLOOKUP(A412,'SAP '!$A$3:$C$14709,3,0),0)</f>
        <v>-122211</v>
      </c>
      <c r="D412" s="1151">
        <v>-57411</v>
      </c>
      <c r="E412" s="125">
        <f>IFERROR(VLOOKUP($A412,'SAP '!$A$3:$D$391,3,0),0)</f>
        <v>-122211</v>
      </c>
      <c r="F412" s="1310">
        <f t="shared" si="6"/>
        <v>0</v>
      </c>
    </row>
    <row r="413" spans="1:6" s="125" customFormat="1">
      <c r="A413" s="1152">
        <v>2106501001</v>
      </c>
      <c r="B413" s="1150" t="s">
        <v>1014</v>
      </c>
      <c r="C413" s="1312">
        <f>IFERROR(VLOOKUP(A413,'SAP '!$A$3:$C$14709,3,0),0)</f>
        <v>-5544</v>
      </c>
      <c r="D413" s="1151">
        <v>0</v>
      </c>
      <c r="E413" s="125">
        <f>IFERROR(VLOOKUP($A413,'SAP '!$A$3:$D$391,3,0),0)</f>
        <v>-5544</v>
      </c>
      <c r="F413" s="1310">
        <f t="shared" si="6"/>
        <v>0</v>
      </c>
    </row>
    <row r="414" spans="1:6" s="125" customFormat="1">
      <c r="A414" s="1154">
        <v>2106601000</v>
      </c>
      <c r="B414" s="1150" t="s">
        <v>846</v>
      </c>
      <c r="C414" s="1312">
        <f>IFERROR(VLOOKUP(A414,'SAP '!$A$3:$C$14709,3,0),0)</f>
        <v>-3240000</v>
      </c>
      <c r="D414" s="1151">
        <v>-3230000</v>
      </c>
      <c r="E414" s="125">
        <f>IFERROR(VLOOKUP($A414,'SAP '!$A$3:$D$391,3,0),0)</f>
        <v>-3240000</v>
      </c>
      <c r="F414" s="1310">
        <f t="shared" si="6"/>
        <v>0</v>
      </c>
    </row>
    <row r="415" spans="1:6" s="125" customFormat="1">
      <c r="A415" s="1149">
        <v>2106601001</v>
      </c>
      <c r="B415" s="1150" t="s">
        <v>847</v>
      </c>
      <c r="C415" s="1312">
        <f>IFERROR(VLOOKUP(A415,'SAP '!$A$3:$C$14709,3,0),0)</f>
        <v>-8819558.9600000009</v>
      </c>
      <c r="D415" s="1151">
        <v>-9473957.9100000001</v>
      </c>
      <c r="E415" s="125">
        <f>IFERROR(VLOOKUP($A415,'SAP '!$A$3:$D$391,3,0),0)</f>
        <v>-8819558.9600000009</v>
      </c>
      <c r="F415" s="1310">
        <f t="shared" si="6"/>
        <v>0</v>
      </c>
    </row>
    <row r="416" spans="1:6" s="125" customFormat="1">
      <c r="A416" s="1149">
        <v>2106602000</v>
      </c>
      <c r="B416" s="1150" t="s">
        <v>1006</v>
      </c>
      <c r="C416" s="1312">
        <f>IFERROR(VLOOKUP(A416,'SAP '!$A$3:$C$14709,3,0),0)</f>
        <v>0</v>
      </c>
      <c r="D416" s="1151">
        <v>0</v>
      </c>
      <c r="E416" s="125">
        <f>IFERROR(VLOOKUP($A416,'SAP '!$A$3:$D$391,3,0),0)</f>
        <v>0</v>
      </c>
      <c r="F416" s="1310">
        <f t="shared" si="6"/>
        <v>0</v>
      </c>
    </row>
    <row r="417" spans="1:6" s="125" customFormat="1">
      <c r="A417" s="1154">
        <v>2106703000</v>
      </c>
      <c r="B417" s="1150" t="s">
        <v>1007</v>
      </c>
      <c r="C417" s="1312">
        <f>IFERROR(VLOOKUP(A417,'SAP '!$A$3:$C$14709,3,0),0)</f>
        <v>-23071613</v>
      </c>
      <c r="D417" s="1151">
        <v>-47577716.939999998</v>
      </c>
      <c r="E417" s="125">
        <f>IFERROR(VLOOKUP($A417,'SAP '!$A$3:$D$391,3,0),0)</f>
        <v>-23071613</v>
      </c>
      <c r="F417" s="1310">
        <f t="shared" si="6"/>
        <v>0</v>
      </c>
    </row>
    <row r="418" spans="1:6" s="125" customFormat="1">
      <c r="A418" s="959">
        <v>2106703001</v>
      </c>
      <c r="B418" s="960" t="s">
        <v>1136</v>
      </c>
      <c r="C418" s="1312">
        <f>IFERROR(VLOOKUP(A418,'SAP '!$A$3:$C$14709,3,0),0)</f>
        <v>-99285178.310000002</v>
      </c>
      <c r="D418" s="1151">
        <v>-99285178.310000002</v>
      </c>
      <c r="E418" s="125">
        <f>IFERROR(VLOOKUP($A418,'SAP '!$A$3:$D$391,3,0),0)</f>
        <v>-99285178.310000002</v>
      </c>
      <c r="F418" s="1310">
        <f t="shared" si="6"/>
        <v>0</v>
      </c>
    </row>
    <row r="419" spans="1:6" s="125" customFormat="1">
      <c r="A419" s="1154">
        <v>2107101000</v>
      </c>
      <c r="B419" s="1150" t="s">
        <v>848</v>
      </c>
      <c r="C419" s="1312">
        <f>IFERROR(VLOOKUP(A419,'SAP '!$A$3:$C$14709,3,0),0)</f>
        <v>0</v>
      </c>
      <c r="D419" s="1151">
        <v>0</v>
      </c>
      <c r="E419" s="125">
        <f>IFERROR(VLOOKUP($A419,'SAP '!$A$3:$D$391,3,0),0)</f>
        <v>0</v>
      </c>
      <c r="F419" s="1310">
        <f t="shared" si="6"/>
        <v>0</v>
      </c>
    </row>
    <row r="420" spans="1:6" s="125" customFormat="1">
      <c r="A420" s="1154">
        <v>2107101001</v>
      </c>
      <c r="B420" s="1150" t="s">
        <v>1056</v>
      </c>
      <c r="C420" s="1312">
        <f>IFERROR(VLOOKUP(A420,'SAP '!$A$3:$C$14709,3,0),0)</f>
        <v>-31357034</v>
      </c>
      <c r="D420" s="1151">
        <v>-31357034</v>
      </c>
      <c r="E420" s="125">
        <f>IFERROR(VLOOKUP($A420,'SAP '!$A$3:$D$391,3,0),0)</f>
        <v>-31357034</v>
      </c>
      <c r="F420" s="1310">
        <f t="shared" si="6"/>
        <v>0</v>
      </c>
    </row>
    <row r="421" spans="1:6" s="125" customFormat="1">
      <c r="A421" s="1152">
        <v>2108101000</v>
      </c>
      <c r="B421" s="1150" t="s">
        <v>997</v>
      </c>
      <c r="C421" s="1316">
        <f>IFERROR(VLOOKUP(A421,'SAP '!$A$3:$C$14709,3,0),0)</f>
        <v>-221601524.08000001</v>
      </c>
      <c r="D421" s="1151">
        <v>-221601524.08000001</v>
      </c>
      <c r="E421" s="125">
        <f>IFERROR(VLOOKUP($A421,'SAP '!$A$3:$D$391,3,0),0)</f>
        <v>-221601524.08000001</v>
      </c>
      <c r="F421" s="1310">
        <f t="shared" si="6"/>
        <v>0</v>
      </c>
    </row>
    <row r="422" spans="1:6" s="125" customFormat="1">
      <c r="A422" s="1154">
        <v>2108201000</v>
      </c>
      <c r="B422" s="1150" t="s">
        <v>995</v>
      </c>
      <c r="C422" s="1312">
        <f>IFERROR(VLOOKUP(A422,'SAP '!$A$3:$C$14709,3,0),0)</f>
        <v>0</v>
      </c>
      <c r="D422" s="1151">
        <v>0</v>
      </c>
      <c r="E422" s="125">
        <f>IFERROR(VLOOKUP($A422,'SAP '!$A$3:$D$391,3,0),0)</f>
        <v>0</v>
      </c>
      <c r="F422" s="1310">
        <f t="shared" si="6"/>
        <v>0</v>
      </c>
    </row>
    <row r="423" spans="1:6" s="125" customFormat="1">
      <c r="A423" s="959">
        <v>2108600001</v>
      </c>
      <c r="B423" s="960" t="s">
        <v>1134</v>
      </c>
      <c r="C423" s="1312">
        <f>IFERROR(VLOOKUP(A423,'SAP '!$A$3:$C$14709,3,0),0)</f>
        <v>-44914640.189999998</v>
      </c>
      <c r="D423" s="1151">
        <v>-44914640.189999998</v>
      </c>
      <c r="E423" s="125">
        <f>IFERROR(VLOOKUP($A423,'SAP '!$A$3:$D$391,3,0),0)</f>
        <v>-44914640.189999998</v>
      </c>
      <c r="F423" s="1310">
        <f t="shared" si="6"/>
        <v>0</v>
      </c>
    </row>
    <row r="424" spans="1:6" s="125" customFormat="1">
      <c r="A424" s="1152">
        <v>2108701001</v>
      </c>
      <c r="B424" s="1150" t="s">
        <v>1466</v>
      </c>
      <c r="C424" s="1312">
        <f>IFERROR(VLOOKUP(A424,'SAP '!$A$3:$C$14709,3,0),0)</f>
        <v>-19194172</v>
      </c>
      <c r="D424" s="1151">
        <v>-19194172</v>
      </c>
      <c r="E424" s="125">
        <f>IFERROR(VLOOKUP($A424,'SAP '!$A$3:$D$391,3,0),0)</f>
        <v>-19194172</v>
      </c>
      <c r="F424" s="1310">
        <f t="shared" si="6"/>
        <v>0</v>
      </c>
    </row>
    <row r="425" spans="1:6" s="125" customFormat="1">
      <c r="A425" s="1154">
        <v>2201101000</v>
      </c>
      <c r="B425" s="1150" t="s">
        <v>849</v>
      </c>
      <c r="C425" s="1312">
        <f>IFERROR(VLOOKUP(A425,'SAP '!$A$3:$C$14709,3,0),0)</f>
        <v>-62515838.659999996</v>
      </c>
      <c r="D425" s="1151">
        <v>-62515838.659999996</v>
      </c>
      <c r="E425" s="125">
        <f>IFERROR(VLOOKUP($A425,'SAP '!$A$3:$D$391,3,0),0)</f>
        <v>-62515838.659999996</v>
      </c>
      <c r="F425" s="1310">
        <f t="shared" si="6"/>
        <v>0</v>
      </c>
    </row>
    <row r="426" spans="1:6" s="125" customFormat="1">
      <c r="A426" s="1154">
        <v>2201101001</v>
      </c>
      <c r="B426" s="1150" t="s">
        <v>850</v>
      </c>
      <c r="C426" s="1312">
        <f>IFERROR(VLOOKUP(A426,'SAP '!$A$3:$C$14709,3,0),0)</f>
        <v>0</v>
      </c>
      <c r="D426" s="1151">
        <v>0</v>
      </c>
      <c r="E426" s="125">
        <f>IFERROR(VLOOKUP($A426,'SAP '!$A$3:$D$391,3,0),0)</f>
        <v>0</v>
      </c>
      <c r="F426" s="1310">
        <f t="shared" si="6"/>
        <v>0</v>
      </c>
    </row>
    <row r="427" spans="1:6" s="125" customFormat="1">
      <c r="A427" s="1154">
        <v>2201101002</v>
      </c>
      <c r="B427" s="1150" t="s">
        <v>851</v>
      </c>
      <c r="C427" s="1312">
        <f>IFERROR(VLOOKUP(A427,'SAP '!$A$3:$C$14709,3,0),0)</f>
        <v>-4261530.72</v>
      </c>
      <c r="D427" s="1151">
        <v>-4261530.72</v>
      </c>
      <c r="E427" s="125">
        <f>IFERROR(VLOOKUP($A427,'SAP '!$A$3:$D$391,3,0),0)</f>
        <v>-4261530.72</v>
      </c>
      <c r="F427" s="1310">
        <f t="shared" si="6"/>
        <v>0</v>
      </c>
    </row>
    <row r="428" spans="1:6" s="125" customFormat="1">
      <c r="A428" s="1154">
        <v>2201101003</v>
      </c>
      <c r="B428" s="1150" t="s">
        <v>1045</v>
      </c>
      <c r="C428" s="1312">
        <f>IFERROR(VLOOKUP(A428,'SAP '!$A$3:$C$14709,3,0),0)</f>
        <v>0</v>
      </c>
      <c r="D428" s="1151">
        <v>0</v>
      </c>
      <c r="E428" s="125">
        <f>IFERROR(VLOOKUP($A428,'SAP '!$A$3:$D$391,3,0),0)</f>
        <v>0</v>
      </c>
      <c r="F428" s="1310">
        <f t="shared" si="6"/>
        <v>0</v>
      </c>
    </row>
    <row r="429" spans="1:6" s="125" customFormat="1">
      <c r="A429" s="1152">
        <v>2203101000</v>
      </c>
      <c r="B429" s="1152" t="s">
        <v>182</v>
      </c>
      <c r="C429" s="1312">
        <f>IFERROR(VLOOKUP(A429,'SAP '!$A$3:$C$14709,3,0),0)</f>
        <v>0</v>
      </c>
      <c r="D429" s="1151">
        <v>0</v>
      </c>
      <c r="E429" s="125">
        <f>IFERROR(VLOOKUP($A429,'SAP '!$A$3:$D$391,3,0),0)</f>
        <v>0</v>
      </c>
      <c r="F429" s="1310">
        <f t="shared" si="6"/>
        <v>0</v>
      </c>
    </row>
    <row r="430" spans="1:6" s="125" customFormat="1">
      <c r="A430" s="1152">
        <v>2203102000</v>
      </c>
      <c r="B430" s="1152" t="s">
        <v>183</v>
      </c>
      <c r="C430" s="1312">
        <f>IFERROR(VLOOKUP(A430,'SAP '!$A$3:$C$14709,3,0),0)</f>
        <v>0</v>
      </c>
      <c r="D430" s="1151">
        <v>0</v>
      </c>
      <c r="E430" s="125">
        <f>IFERROR(VLOOKUP($A430,'SAP '!$A$3:$D$391,3,0),0)</f>
        <v>0</v>
      </c>
      <c r="F430" s="1310">
        <f t="shared" si="6"/>
        <v>0</v>
      </c>
    </row>
    <row r="431" spans="1:6" s="125" customFormat="1">
      <c r="A431" s="1152">
        <v>2203103000</v>
      </c>
      <c r="B431" s="1152" t="s">
        <v>184</v>
      </c>
      <c r="C431" s="1312">
        <f>IFERROR(VLOOKUP(A431,'SAP '!$A$3:$C$14709,3,0),0)</f>
        <v>0</v>
      </c>
      <c r="D431" s="1151">
        <v>0</v>
      </c>
      <c r="E431" s="125">
        <f>IFERROR(VLOOKUP($A431,'SAP '!$A$3:$D$391,3,0),0)</f>
        <v>0</v>
      </c>
      <c r="F431" s="1310">
        <f t="shared" si="6"/>
        <v>0</v>
      </c>
    </row>
    <row r="432" spans="1:6" s="125" customFormat="1">
      <c r="A432" s="1152">
        <v>2203301000</v>
      </c>
      <c r="B432" s="1166" t="s">
        <v>209</v>
      </c>
      <c r="C432" s="1312">
        <f>IFERROR(VLOOKUP(A432,'SAP '!$A$3:$C$14709,3,0),0)</f>
        <v>0</v>
      </c>
      <c r="D432" s="1151">
        <v>0</v>
      </c>
      <c r="E432" s="125">
        <f>IFERROR(VLOOKUP($A432,'SAP '!$A$3:$D$391,3,0),0)</f>
        <v>0</v>
      </c>
      <c r="F432" s="1310">
        <f t="shared" si="6"/>
        <v>0</v>
      </c>
    </row>
    <row r="433" spans="1:6" s="125" customFormat="1">
      <c r="A433" s="1154">
        <v>2204201000</v>
      </c>
      <c r="B433" s="1150" t="s">
        <v>852</v>
      </c>
      <c r="C433" s="1312">
        <f>IFERROR(VLOOKUP(A433,'SAP '!$A$3:$C$14709,3,0),0)</f>
        <v>-302627143.24000001</v>
      </c>
      <c r="D433" s="1151">
        <v>-302627143.24000001</v>
      </c>
      <c r="E433" s="125">
        <f>IFERROR(VLOOKUP($A433,'SAP '!$A$3:$D$391,3,0),0)</f>
        <v>-302627143.24000001</v>
      </c>
      <c r="F433" s="1310">
        <f t="shared" si="6"/>
        <v>0</v>
      </c>
    </row>
    <row r="434" spans="1:6" s="125" customFormat="1">
      <c r="A434" s="1154">
        <v>2204203000</v>
      </c>
      <c r="B434" s="1150" t="s">
        <v>853</v>
      </c>
      <c r="C434" s="1312">
        <f>IFERROR(VLOOKUP(A434,'SAP '!$A$3:$C$14709,3,0),0)</f>
        <v>-300000000</v>
      </c>
      <c r="D434" s="1151">
        <v>-300000000</v>
      </c>
      <c r="E434" s="125">
        <f>IFERROR(VLOOKUP($A434,'SAP '!$A$3:$D$391,3,0),0)</f>
        <v>-300000000</v>
      </c>
      <c r="F434" s="1310">
        <f t="shared" si="6"/>
        <v>0</v>
      </c>
    </row>
    <row r="435" spans="1:6" s="125" customFormat="1">
      <c r="A435" s="1154">
        <v>2205103000</v>
      </c>
      <c r="B435" s="1150" t="s">
        <v>996</v>
      </c>
      <c r="C435" s="1312">
        <f>IFERROR(VLOOKUP(A435,'SAP '!$A$3:$C$14709,3,0),0)</f>
        <v>0</v>
      </c>
      <c r="D435" s="1151">
        <v>0</v>
      </c>
      <c r="E435" s="125">
        <f>IFERROR(VLOOKUP($A435,'SAP '!$A$3:$D$391,3,0),0)</f>
        <v>0</v>
      </c>
      <c r="F435" s="1310">
        <f t="shared" si="6"/>
        <v>0</v>
      </c>
    </row>
    <row r="436" spans="1:6" s="125" customFormat="1">
      <c r="A436" s="959">
        <v>2205401001</v>
      </c>
      <c r="B436" s="960" t="s">
        <v>1469</v>
      </c>
      <c r="C436" s="1312">
        <f>IFERROR(VLOOKUP(A436,'SAP '!$A$3:$C$14709,3,0),0)</f>
        <v>-194250000</v>
      </c>
      <c r="D436" s="1151">
        <v>-194250000</v>
      </c>
      <c r="E436" s="125">
        <f>IFERROR(VLOOKUP($A436,'SAP '!$A$3:$D$391,3,0),0)</f>
        <v>-194250000</v>
      </c>
      <c r="F436" s="1310">
        <f t="shared" si="6"/>
        <v>0</v>
      </c>
    </row>
    <row r="437" spans="1:6" s="125" customFormat="1">
      <c r="A437" s="1152">
        <v>2207101000</v>
      </c>
      <c r="B437" s="1150" t="s">
        <v>854</v>
      </c>
      <c r="C437" s="1312">
        <f>IFERROR(VLOOKUP(A437,'SAP '!$A$3:$C$14709,3,0),0)</f>
        <v>-26450209.940000001</v>
      </c>
      <c r="D437" s="1151">
        <v>-26450209.940000001</v>
      </c>
      <c r="E437" s="125">
        <f>IFERROR(VLOOKUP($A437,'SAP '!$A$3:$D$391,3,0),0)</f>
        <v>-26450209.940000001</v>
      </c>
      <c r="F437" s="1310">
        <f t="shared" si="6"/>
        <v>0</v>
      </c>
    </row>
    <row r="438" spans="1:6" s="125" customFormat="1">
      <c r="A438" s="1154">
        <v>2207101001</v>
      </c>
      <c r="B438" s="1150" t="s">
        <v>855</v>
      </c>
      <c r="C438" s="1312">
        <f>IFERROR(VLOOKUP(A438,'SAP '!$A$3:$C$14709,3,0),0)</f>
        <v>-14379000.460000001</v>
      </c>
      <c r="D438" s="1151">
        <v>-14379000.460000001</v>
      </c>
      <c r="E438" s="125">
        <f>IFERROR(VLOOKUP($A438,'SAP '!$A$3:$D$391,3,0),0)</f>
        <v>-14379000.460000001</v>
      </c>
      <c r="F438" s="1310">
        <f t="shared" si="6"/>
        <v>0</v>
      </c>
    </row>
    <row r="439" spans="1:6">
      <c r="A439" s="65">
        <v>3101101000</v>
      </c>
      <c r="B439" s="53" t="s">
        <v>856</v>
      </c>
      <c r="C439" s="1317">
        <f>IFERROR(VLOOKUP(A439,'SAP '!$A$3:$C$14709,3,0),0)</f>
        <v>-854082000</v>
      </c>
      <c r="D439" s="1151">
        <f>IFERROR(VLOOKUP(A439,'SAP '!A:D,4,0),0)</f>
        <v>-854082000</v>
      </c>
      <c r="E439" s="125">
        <f>IFERROR(VLOOKUP($A439,'SAP '!$A$3:$D$391,3,0),0)</f>
        <v>-854082000</v>
      </c>
      <c r="F439" s="1310">
        <f t="shared" si="6"/>
        <v>0</v>
      </c>
    </row>
    <row r="440" spans="1:6">
      <c r="A440" s="65">
        <v>3103101000</v>
      </c>
      <c r="B440" s="53" t="s">
        <v>857</v>
      </c>
      <c r="C440" s="1317">
        <f>IFERROR(VLOOKUP(A440,'SAP '!$A$3:$C$14709,3,0),0)</f>
        <v>-3700746116.46</v>
      </c>
      <c r="D440" s="1151">
        <f>IFERROR(VLOOKUP(A440,'SAP '!A:D,4,0),0)</f>
        <v>-3277954946.4400001</v>
      </c>
      <c r="E440" s="125">
        <f>IFERROR(VLOOKUP($A440,'SAP '!$A$3:$D$391,3,0),0)</f>
        <v>-3700746116.46</v>
      </c>
      <c r="F440" s="1310">
        <f t="shared" si="6"/>
        <v>0</v>
      </c>
    </row>
    <row r="441" spans="1:6">
      <c r="A441" s="54">
        <v>3103105000</v>
      </c>
      <c r="B441" s="54" t="s">
        <v>858</v>
      </c>
      <c r="C441" s="1317">
        <f>IFERROR(VLOOKUP(A441,'SAP '!$A$3:$C$14709,3,0),0)</f>
        <v>751592160</v>
      </c>
      <c r="D441" s="1151">
        <f>IFERROR(VLOOKUP(A441,'SAP '!A:D,4,0),0)</f>
        <v>0</v>
      </c>
      <c r="E441" s="125">
        <f>IFERROR(VLOOKUP($A441,'SAP '!$A$3:$D$391,3,0),0)</f>
        <v>751592160</v>
      </c>
      <c r="F441" s="1310">
        <f t="shared" si="6"/>
        <v>0</v>
      </c>
    </row>
    <row r="442" spans="1:6">
      <c r="A442" s="65">
        <v>3104104000</v>
      </c>
      <c r="B442" s="53" t="s">
        <v>68</v>
      </c>
      <c r="C442" s="39">
        <f>IFERROR(VLOOKUP(A442,'SAP '!$A$3:$C$14709,3,0),0)</f>
        <v>0</v>
      </c>
      <c r="D442" s="1151">
        <f>IFERROR(VLOOKUP(A442,'SAP '!A:D,4,0),0)</f>
        <v>-92308400</v>
      </c>
      <c r="E442" s="125">
        <f>IFERROR(VLOOKUP($A442,'SAP '!$A$3:$D$391,3,0),0)</f>
        <v>0</v>
      </c>
      <c r="F442" s="1310">
        <f t="shared" si="6"/>
        <v>0</v>
      </c>
    </row>
    <row r="443" spans="1:6">
      <c r="A443" s="65">
        <v>3104105000</v>
      </c>
      <c r="B443" s="53" t="s">
        <v>994</v>
      </c>
      <c r="C443" s="39">
        <f>IFERROR(VLOOKUP(A443,'SAP '!$A$3:$C$14709,3,0),0)</f>
        <v>0</v>
      </c>
      <c r="D443" s="1151">
        <f>IFERROR(VLOOKUP(A443,'SAP '!A:D,4,0),0)</f>
        <v>0</v>
      </c>
      <c r="E443" s="125">
        <f>IFERROR(VLOOKUP($A443,'SAP '!$A$3:$D$391,3,0),0)</f>
        <v>0</v>
      </c>
      <c r="F443" s="1310">
        <f t="shared" si="6"/>
        <v>0</v>
      </c>
    </row>
    <row r="444" spans="1:6">
      <c r="A444" s="1115">
        <v>4101101000</v>
      </c>
      <c r="B444" s="1116" t="s">
        <v>596</v>
      </c>
      <c r="C444" s="1312">
        <f>IFERROR(VLOOKUP(A444,'SAP '!$A$3:$C$14709,3,0),0)</f>
        <v>-1214074.96</v>
      </c>
      <c r="D444" s="1151">
        <f>IFERROR(VLOOKUP(A444,'SAP '!A:D,4,0),0)</f>
        <v>-1227251.45</v>
      </c>
      <c r="E444" s="125">
        <f>IFERROR(VLOOKUP($A444,'SAP '!$A$3:$D$391,3,0),0)</f>
        <v>-1214074.96</v>
      </c>
      <c r="F444" s="1310">
        <f t="shared" si="6"/>
        <v>0</v>
      </c>
    </row>
    <row r="445" spans="1:6">
      <c r="A445" s="1117">
        <v>4101102000</v>
      </c>
      <c r="B445" s="1118" t="s">
        <v>576</v>
      </c>
      <c r="C445" s="1312">
        <f>IFERROR(VLOOKUP(A445,'SAP '!$A$3:$C$14709,3,0),0)</f>
        <v>-12272156.23</v>
      </c>
      <c r="D445" s="1151">
        <f>IFERROR(VLOOKUP(A445,'SAP '!A:D,4,0),0)</f>
        <v>-13768576.130000001</v>
      </c>
      <c r="E445" s="125">
        <f>IFERROR(VLOOKUP($A445,'SAP '!$A$3:$D$391,3,0),0)</f>
        <v>-12272156.23</v>
      </c>
      <c r="F445" s="1310">
        <f t="shared" si="6"/>
        <v>0</v>
      </c>
    </row>
    <row r="446" spans="1:6">
      <c r="A446" s="1115">
        <v>4101102001</v>
      </c>
      <c r="B446" s="1116" t="s">
        <v>577</v>
      </c>
      <c r="C446" s="1312">
        <f>IFERROR(VLOOKUP(A446,'SAP '!$A$3:$C$14709,3,0),0)</f>
        <v>-187367</v>
      </c>
      <c r="D446" s="1151">
        <f>IFERROR(VLOOKUP(A446,'SAP '!A:D,4,0),0)</f>
        <v>-232110</v>
      </c>
      <c r="E446" s="125">
        <f>IFERROR(VLOOKUP($A446,'SAP '!$A$3:$D$391,3,0),0)</f>
        <v>-187367</v>
      </c>
      <c r="F446" s="1310">
        <f t="shared" si="6"/>
        <v>0</v>
      </c>
    </row>
    <row r="447" spans="1:6">
      <c r="A447" s="1115">
        <v>4101103000</v>
      </c>
      <c r="B447" s="1116" t="s">
        <v>597</v>
      </c>
      <c r="C447" s="1312">
        <f>IFERROR(VLOOKUP(A447,'SAP '!$A$3:$C$14709,3,0),0)</f>
        <v>0</v>
      </c>
      <c r="D447" s="1151">
        <f>IFERROR(VLOOKUP(A447,'SAP '!A:D,4,0),0)</f>
        <v>-2336738.88</v>
      </c>
      <c r="E447" s="125">
        <f>IFERROR(VLOOKUP($A447,'SAP '!$A$3:$D$391,3,0),0)</f>
        <v>0</v>
      </c>
      <c r="F447" s="1310">
        <f t="shared" si="6"/>
        <v>0</v>
      </c>
    </row>
    <row r="448" spans="1:6">
      <c r="A448" s="1117">
        <v>4101103001</v>
      </c>
      <c r="B448" s="1118" t="s">
        <v>1018</v>
      </c>
      <c r="C448" s="1312">
        <f>IFERROR(VLOOKUP(A448,'SAP '!$A$3:$C$14709,3,0),0)</f>
        <v>-510506.64</v>
      </c>
      <c r="D448" s="1151">
        <f>IFERROR(VLOOKUP(A448,'SAP '!A:D,4,0),0)</f>
        <v>-317724</v>
      </c>
      <c r="E448" s="125">
        <f>IFERROR(VLOOKUP($A448,'SAP '!$A$3:$D$391,3,0),0)</f>
        <v>-510506.64</v>
      </c>
      <c r="F448" s="1310">
        <f t="shared" si="6"/>
        <v>0</v>
      </c>
    </row>
    <row r="449" spans="1:6">
      <c r="A449" s="1115">
        <v>4101104000</v>
      </c>
      <c r="B449" s="1116" t="s">
        <v>578</v>
      </c>
      <c r="C449" s="1312">
        <f>IFERROR(VLOOKUP(A449,'SAP '!$A$3:$C$14709,3,0),0)</f>
        <v>-2762650</v>
      </c>
      <c r="D449" s="1151">
        <f>IFERROR(VLOOKUP(A449,'SAP '!A:D,4,0),0)</f>
        <v>-2041000</v>
      </c>
      <c r="E449" s="125">
        <f>IFERROR(VLOOKUP($A449,'SAP '!$A$3:$D$391,3,0),0)</f>
        <v>-2762650</v>
      </c>
      <c r="F449" s="1310">
        <f t="shared" si="6"/>
        <v>0</v>
      </c>
    </row>
    <row r="450" spans="1:6">
      <c r="A450" s="1115">
        <v>4101104001</v>
      </c>
      <c r="B450" s="1116" t="s">
        <v>579</v>
      </c>
      <c r="C450" s="1312">
        <f>IFERROR(VLOOKUP(A450,'SAP '!$A$3:$C$14709,3,0),0)</f>
        <v>-218819946.30000001</v>
      </c>
      <c r="D450" s="1151">
        <f>IFERROR(VLOOKUP(A450,'SAP '!A:D,4,0),0)</f>
        <v>-160598895.49000001</v>
      </c>
      <c r="E450" s="125">
        <f>IFERROR(VLOOKUP($A450,'SAP '!$A$3:$D$391,3,0),0)</f>
        <v>-218819946.30000001</v>
      </c>
      <c r="F450" s="1310">
        <f t="shared" si="6"/>
        <v>0</v>
      </c>
    </row>
    <row r="451" spans="1:6">
      <c r="A451" s="1115">
        <v>4101104002</v>
      </c>
      <c r="B451" s="1116" t="s">
        <v>580</v>
      </c>
      <c r="C451" s="1312">
        <f>IFERROR(VLOOKUP(A451,'SAP '!$A$3:$C$14709,3,0),0)</f>
        <v>-25217734.120000001</v>
      </c>
      <c r="D451" s="1151">
        <f>IFERROR(VLOOKUP(A451,'SAP '!A:D,4,0),0)</f>
        <v>-27638836.129999999</v>
      </c>
      <c r="E451" s="125">
        <f>IFERROR(VLOOKUP($A451,'SAP '!$A$3:$D$391,3,0),0)</f>
        <v>-25217734.120000001</v>
      </c>
      <c r="F451" s="1310">
        <f t="shared" ref="F451:F514" si="7">C451-E451</f>
        <v>0</v>
      </c>
    </row>
    <row r="452" spans="1:6">
      <c r="A452" s="1115">
        <v>4101104003</v>
      </c>
      <c r="B452" s="1116" t="s">
        <v>581</v>
      </c>
      <c r="C452" s="1312">
        <f>IFERROR(VLOOKUP(A452,'SAP '!$A$3:$C$14709,3,0),0)</f>
        <v>-104263790.09999999</v>
      </c>
      <c r="D452" s="1151">
        <f>IFERROR(VLOOKUP(A452,'SAP '!A:D,4,0),0)</f>
        <v>-135154159.30000001</v>
      </c>
      <c r="E452" s="125">
        <f>IFERROR(VLOOKUP($A452,'SAP '!$A$3:$D$391,3,0),0)</f>
        <v>-104263790.09999999</v>
      </c>
      <c r="F452" s="1310">
        <f t="shared" si="7"/>
        <v>0</v>
      </c>
    </row>
    <row r="453" spans="1:6">
      <c r="A453" s="1115">
        <v>4101104004</v>
      </c>
      <c r="B453" s="1116" t="s">
        <v>582</v>
      </c>
      <c r="C453" s="1312">
        <f>IFERROR(VLOOKUP(A453,'SAP '!$A$3:$C$14709,3,0),0)</f>
        <v>-710320.66</v>
      </c>
      <c r="D453" s="1151">
        <f>IFERROR(VLOOKUP(A453,'SAP '!A:D,4,0),0)</f>
        <v>-758200.98</v>
      </c>
      <c r="E453" s="125">
        <f>IFERROR(VLOOKUP($A453,'SAP '!$A$3:$D$391,3,0),0)</f>
        <v>-710320.66</v>
      </c>
      <c r="F453" s="1310">
        <f t="shared" si="7"/>
        <v>0</v>
      </c>
    </row>
    <row r="454" spans="1:6">
      <c r="A454" s="1115">
        <v>4101104005</v>
      </c>
      <c r="B454" s="1116" t="s">
        <v>583</v>
      </c>
      <c r="C454" s="1312">
        <f>IFERROR(VLOOKUP(A454,'SAP '!$A$3:$C$14709,3,0),0)</f>
        <v>-10454.6</v>
      </c>
      <c r="D454" s="1151">
        <f>IFERROR(VLOOKUP(A454,'SAP '!A:D,4,0),0)</f>
        <v>-171383.5</v>
      </c>
      <c r="E454" s="125">
        <f>IFERROR(VLOOKUP($A454,'SAP '!$A$3:$D$391,3,0),0)</f>
        <v>-10454.6</v>
      </c>
      <c r="F454" s="1310">
        <f t="shared" si="7"/>
        <v>0</v>
      </c>
    </row>
    <row r="455" spans="1:6">
      <c r="A455" s="1115">
        <v>4101104006</v>
      </c>
      <c r="B455" s="1116" t="s">
        <v>584</v>
      </c>
      <c r="C455" s="1312">
        <f>IFERROR(VLOOKUP(A455,'SAP '!$A$3:$C$14709,3,0),0)</f>
        <v>-256550</v>
      </c>
      <c r="D455" s="1151">
        <f>IFERROR(VLOOKUP(A455,'SAP '!A:D,4,0),0)</f>
        <v>-95100</v>
      </c>
      <c r="E455" s="125">
        <f>IFERROR(VLOOKUP($A455,'SAP '!$A$3:$D$391,3,0),0)</f>
        <v>-256550</v>
      </c>
      <c r="F455" s="1310">
        <f t="shared" si="7"/>
        <v>0</v>
      </c>
    </row>
    <row r="456" spans="1:6">
      <c r="A456" s="1119">
        <v>4101104007</v>
      </c>
      <c r="B456" s="1119" t="s">
        <v>531</v>
      </c>
      <c r="C456" s="1312">
        <f>IFERROR(VLOOKUP(A456,'SAP '!$A$3:$C$14709,3,0),0)</f>
        <v>-177269378.81999999</v>
      </c>
      <c r="D456" s="1151">
        <f>IFERROR(VLOOKUP(A456,'SAP '!A:D,4,0),0)</f>
        <v>-131768316.89</v>
      </c>
      <c r="E456" s="125">
        <f>IFERROR(VLOOKUP($A456,'SAP '!$A$3:$D$391,3,0),0)</f>
        <v>-177269378.81999999</v>
      </c>
      <c r="F456" s="1310">
        <f t="shared" si="7"/>
        <v>0</v>
      </c>
    </row>
    <row r="457" spans="1:6">
      <c r="A457" s="1115">
        <v>4101105000</v>
      </c>
      <c r="B457" s="1116" t="s">
        <v>585</v>
      </c>
      <c r="C457" s="1312">
        <f>IFERROR(VLOOKUP(A457,'SAP '!$A$3:$C$14709,3,0),0)</f>
        <v>-3004865.73</v>
      </c>
      <c r="D457" s="1151">
        <f>IFERROR(VLOOKUP(A457,'SAP '!A:D,4,0),0)</f>
        <v>-8667026.3499999996</v>
      </c>
      <c r="E457" s="125">
        <f>IFERROR(VLOOKUP($A457,'SAP '!$A$3:$D$391,3,0),0)</f>
        <v>-3004865.73</v>
      </c>
      <c r="F457" s="1310">
        <f t="shared" si="7"/>
        <v>0</v>
      </c>
    </row>
    <row r="458" spans="1:6">
      <c r="A458" s="1115">
        <v>4101105001</v>
      </c>
      <c r="B458" s="1116" t="s">
        <v>586</v>
      </c>
      <c r="C458" s="1312">
        <f>IFERROR(VLOOKUP(A458,'SAP '!$A$3:$C$14709,3,0),0)</f>
        <v>-11688697.689999999</v>
      </c>
      <c r="D458" s="1151">
        <f>IFERROR(VLOOKUP(A458,'SAP '!A:D,4,0),0)</f>
        <v>-8740472.5500000007</v>
      </c>
      <c r="E458" s="125">
        <f>IFERROR(VLOOKUP($A458,'SAP '!$A$3:$D$391,3,0),0)</f>
        <v>-11688697.689999999</v>
      </c>
      <c r="F458" s="1310">
        <f t="shared" si="7"/>
        <v>0</v>
      </c>
    </row>
    <row r="459" spans="1:6">
      <c r="A459" s="1115">
        <v>4101105002</v>
      </c>
      <c r="B459" s="1116" t="s">
        <v>587</v>
      </c>
      <c r="C459" s="1312">
        <f>IFERROR(VLOOKUP(A459,'SAP '!$A$3:$C$14709,3,0),0)</f>
        <v>-43902247.109999999</v>
      </c>
      <c r="D459" s="1151">
        <f>IFERROR(VLOOKUP(A459,'SAP '!A:D,4,0),0)</f>
        <v>-52748536.859999999</v>
      </c>
      <c r="E459" s="125">
        <f>IFERROR(VLOOKUP($A459,'SAP '!$A$3:$D$391,3,0),0)</f>
        <v>-43902247.109999999</v>
      </c>
      <c r="F459" s="1310">
        <f t="shared" si="7"/>
        <v>0</v>
      </c>
    </row>
    <row r="460" spans="1:6">
      <c r="A460" s="1115">
        <v>4101105003</v>
      </c>
      <c r="B460" s="1116" t="s">
        <v>588</v>
      </c>
      <c r="C460" s="1312">
        <f>IFERROR(VLOOKUP(A460,'SAP '!$A$3:$C$14709,3,0),0)</f>
        <v>-390406.65</v>
      </c>
      <c r="D460" s="1151">
        <f>IFERROR(VLOOKUP(A460,'SAP '!A:D,4,0),0)</f>
        <v>-347548</v>
      </c>
      <c r="E460" s="125">
        <f>IFERROR(VLOOKUP($A460,'SAP '!$A$3:$D$391,3,0),0)</f>
        <v>-390406.65</v>
      </c>
      <c r="F460" s="1310">
        <f t="shared" si="7"/>
        <v>0</v>
      </c>
    </row>
    <row r="461" spans="1:6">
      <c r="A461" s="1115">
        <v>4101105004</v>
      </c>
      <c r="B461" s="1116" t="s">
        <v>589</v>
      </c>
      <c r="C461" s="1312">
        <f>IFERROR(VLOOKUP(A461,'SAP '!$A$3:$C$14709,3,0),0)</f>
        <v>0</v>
      </c>
      <c r="D461" s="1151">
        <f>IFERROR(VLOOKUP(A461,'SAP '!A:D,4,0),0)</f>
        <v>-196908</v>
      </c>
      <c r="E461" s="125">
        <f>IFERROR(VLOOKUP($A461,'SAP '!$A$3:$D$391,3,0),0)</f>
        <v>0</v>
      </c>
      <c r="F461" s="1310">
        <f t="shared" si="7"/>
        <v>0</v>
      </c>
    </row>
    <row r="462" spans="1:6">
      <c r="A462" s="1115">
        <v>4101105005</v>
      </c>
      <c r="B462" s="1116" t="s">
        <v>590</v>
      </c>
      <c r="C462" s="1312">
        <f>IFERROR(VLOOKUP(A462,'SAP '!$A$3:$C$14709,3,0),0)</f>
        <v>-163106.41</v>
      </c>
      <c r="D462" s="1151">
        <f>IFERROR(VLOOKUP(A462,'SAP '!A:D,4,0),0)</f>
        <v>-174670.02</v>
      </c>
      <c r="E462" s="125">
        <f>IFERROR(VLOOKUP($A462,'SAP '!$A$3:$D$391,3,0),0)</f>
        <v>-163106.41</v>
      </c>
      <c r="F462" s="1310">
        <f t="shared" si="7"/>
        <v>0</v>
      </c>
    </row>
    <row r="463" spans="1:6">
      <c r="A463" s="1120">
        <v>4101105006</v>
      </c>
      <c r="B463" s="1120" t="s">
        <v>156</v>
      </c>
      <c r="C463" s="1312">
        <f>IFERROR(VLOOKUP(A463,'SAP '!$A$3:$C$14709,3,0),0)</f>
        <v>0</v>
      </c>
      <c r="D463" s="1151">
        <f>IFERROR(VLOOKUP(A463,'SAP '!A:D,4,0),0)</f>
        <v>0</v>
      </c>
      <c r="E463" s="125">
        <f>IFERROR(VLOOKUP($A463,'SAP '!$A$3:$D$391,3,0),0)</f>
        <v>0</v>
      </c>
      <c r="F463" s="1310">
        <f t="shared" si="7"/>
        <v>0</v>
      </c>
    </row>
    <row r="464" spans="1:6">
      <c r="A464" s="1115">
        <v>4101105007</v>
      </c>
      <c r="B464" s="1116" t="s">
        <v>591</v>
      </c>
      <c r="C464" s="1312">
        <f>IFERROR(VLOOKUP(A464,'SAP '!$A$3:$C$14709,3,0),0)</f>
        <v>-176110</v>
      </c>
      <c r="D464" s="1151">
        <f>IFERROR(VLOOKUP(A464,'SAP '!A:D,4,0),0)</f>
        <v>-203705</v>
      </c>
      <c r="E464" s="125">
        <f>IFERROR(VLOOKUP($A464,'SAP '!$A$3:$D$391,3,0),0)</f>
        <v>-176110</v>
      </c>
      <c r="F464" s="1310">
        <f t="shared" si="7"/>
        <v>0</v>
      </c>
    </row>
    <row r="465" spans="1:6">
      <c r="A465" s="1115">
        <v>4101105008</v>
      </c>
      <c r="B465" s="1116" t="s">
        <v>592</v>
      </c>
      <c r="C465" s="1312">
        <f>IFERROR(VLOOKUP(A465,'SAP '!$A$3:$C$14709,3,0),0)</f>
        <v>-897183.8</v>
      </c>
      <c r="D465" s="1151">
        <f>IFERROR(VLOOKUP(A465,'SAP '!A:D,4,0),0)</f>
        <v>-1308268.75</v>
      </c>
      <c r="E465" s="125">
        <f>IFERROR(VLOOKUP($A465,'SAP '!$A$3:$D$391,3,0),0)</f>
        <v>-897183.8</v>
      </c>
      <c r="F465" s="1310">
        <f t="shared" si="7"/>
        <v>0</v>
      </c>
    </row>
    <row r="466" spans="1:6">
      <c r="A466" s="1115">
        <v>4101105009</v>
      </c>
      <c r="B466" s="1116" t="s">
        <v>593</v>
      </c>
      <c r="C466" s="1312">
        <f>IFERROR(VLOOKUP(A466,'SAP '!$A$3:$C$14709,3,0),0)</f>
        <v>-95</v>
      </c>
      <c r="D466" s="1151">
        <f>IFERROR(VLOOKUP(A466,'SAP '!A:D,4,0),0)</f>
        <v>-3363</v>
      </c>
      <c r="E466" s="125">
        <f>IFERROR(VLOOKUP($A466,'SAP '!$A$3:$D$391,3,0),0)</f>
        <v>-95</v>
      </c>
      <c r="F466" s="1310">
        <f t="shared" si="7"/>
        <v>0</v>
      </c>
    </row>
    <row r="467" spans="1:6">
      <c r="A467" s="1115">
        <v>4101105011</v>
      </c>
      <c r="B467" s="1116" t="s">
        <v>594</v>
      </c>
      <c r="C467" s="1312">
        <f>IFERROR(VLOOKUP(A467,'SAP '!$A$3:$C$14709,3,0),0)</f>
        <v>-1091397.67</v>
      </c>
      <c r="D467" s="1151">
        <f>IFERROR(VLOOKUP(A467,'SAP '!A:D,4,0),0)</f>
        <v>-1172169.96</v>
      </c>
      <c r="E467" s="125">
        <f>IFERROR(VLOOKUP($A467,'SAP '!$A$3:$D$391,3,0),0)</f>
        <v>-1091397.67</v>
      </c>
      <c r="F467" s="1310">
        <f t="shared" si="7"/>
        <v>0</v>
      </c>
    </row>
    <row r="468" spans="1:6">
      <c r="A468" s="1115">
        <v>4101105012</v>
      </c>
      <c r="B468" s="1116" t="s">
        <v>212</v>
      </c>
      <c r="C468" s="1312">
        <f>IFERROR(VLOOKUP(A468,'SAP '!$A$3:$C$14709,3,0),0)</f>
        <v>0</v>
      </c>
      <c r="D468" s="1151">
        <f>IFERROR(VLOOKUP(A468,'SAP '!A:D,4,0),0)</f>
        <v>0</v>
      </c>
      <c r="E468" s="125">
        <f>IFERROR(VLOOKUP($A468,'SAP '!$A$3:$D$391,3,0),0)</f>
        <v>0</v>
      </c>
      <c r="F468" s="1310">
        <f t="shared" si="7"/>
        <v>0</v>
      </c>
    </row>
    <row r="469" spans="1:6">
      <c r="A469" s="1115">
        <v>4101105013</v>
      </c>
      <c r="B469" s="1116" t="s">
        <v>595</v>
      </c>
      <c r="C469" s="1312">
        <f>IFERROR(VLOOKUP(A469,'SAP '!$A$3:$C$14709,3,0),0)</f>
        <v>-7003360.2699999996</v>
      </c>
      <c r="D469" s="1151">
        <f>IFERROR(VLOOKUP(A469,'SAP '!A:D,4,0),0)</f>
        <v>-15518090.67</v>
      </c>
      <c r="E469" s="125">
        <f>IFERROR(VLOOKUP($A469,'SAP '!$A$3:$D$391,3,0),0)</f>
        <v>-7003360.2699999996</v>
      </c>
      <c r="F469" s="1310">
        <f t="shared" si="7"/>
        <v>0</v>
      </c>
    </row>
    <row r="470" spans="1:6">
      <c r="A470" s="1115">
        <v>4101105014</v>
      </c>
      <c r="B470" s="1116" t="s">
        <v>215</v>
      </c>
      <c r="C470" s="1312">
        <f>IFERROR(VLOOKUP(A470,'SAP '!$A$3:$C$14709,3,0),0)</f>
        <v>-1534180.83</v>
      </c>
      <c r="D470" s="1151">
        <f>IFERROR(VLOOKUP(A470,'SAP '!A:D,4,0),0)</f>
        <v>-4419916.3600000003</v>
      </c>
      <c r="E470" s="125">
        <f>IFERROR(VLOOKUP($A470,'SAP '!$A$3:$D$391,3,0),0)</f>
        <v>-1534180.83</v>
      </c>
      <c r="F470" s="1310">
        <f t="shared" si="7"/>
        <v>0</v>
      </c>
    </row>
    <row r="471" spans="1:6">
      <c r="A471" s="1115">
        <v>4101105015</v>
      </c>
      <c r="B471" s="1116" t="s">
        <v>213</v>
      </c>
      <c r="C471" s="1312">
        <f>IFERROR(VLOOKUP(A471,'SAP '!$A$3:$C$14709,3,0),0)</f>
        <v>-400000</v>
      </c>
      <c r="D471" s="1151">
        <f>IFERROR(VLOOKUP(A471,'SAP '!A:D,4,0),0)</f>
        <v>0</v>
      </c>
      <c r="E471" s="125">
        <f>IFERROR(VLOOKUP($A471,'SAP '!$A$3:$D$391,3,0),0)</f>
        <v>-400000</v>
      </c>
      <c r="F471" s="1310">
        <f t="shared" si="7"/>
        <v>0</v>
      </c>
    </row>
    <row r="472" spans="1:6">
      <c r="A472" s="1115">
        <v>4101106000</v>
      </c>
      <c r="B472" s="1116" t="s">
        <v>598</v>
      </c>
      <c r="C472" s="1312">
        <f>IFERROR(VLOOKUP(A472,'SAP '!$A$3:$C$14709,3,0),0)</f>
        <v>0</v>
      </c>
      <c r="D472" s="1151">
        <f>IFERROR(VLOOKUP(A472,'SAP '!A:D,4,0),0)</f>
        <v>-584320.23</v>
      </c>
      <c r="E472" s="125">
        <f>IFERROR(VLOOKUP($A472,'SAP '!$A$3:$D$391,3,0),0)</f>
        <v>0</v>
      </c>
      <c r="F472" s="1310">
        <f t="shared" si="7"/>
        <v>0</v>
      </c>
    </row>
    <row r="473" spans="1:6">
      <c r="A473" s="1115">
        <v>4101106001</v>
      </c>
      <c r="B473" s="1116" t="s">
        <v>599</v>
      </c>
      <c r="C473" s="1312">
        <f>IFERROR(VLOOKUP(A473,'SAP '!$A$3:$C$14709,3,0),0)</f>
        <v>-60227.839999999997</v>
      </c>
      <c r="D473" s="1151">
        <f>IFERROR(VLOOKUP(A473,'SAP '!A:D,4,0),0)</f>
        <v>-144976.94</v>
      </c>
      <c r="E473" s="125">
        <f>IFERROR(VLOOKUP($A473,'SAP '!$A$3:$D$391,3,0),0)</f>
        <v>-60227.839999999997</v>
      </c>
      <c r="F473" s="1310">
        <f t="shared" si="7"/>
        <v>0</v>
      </c>
    </row>
    <row r="474" spans="1:6">
      <c r="A474" s="1115">
        <v>4101106002</v>
      </c>
      <c r="B474" s="1116" t="s">
        <v>600</v>
      </c>
      <c r="C474" s="1312">
        <f>IFERROR(VLOOKUP(A474,'SAP '!$A$3:$C$14709,3,0),0)</f>
        <v>0</v>
      </c>
      <c r="D474" s="1151">
        <f>IFERROR(VLOOKUP(A474,'SAP '!A:D,4,0),0)</f>
        <v>-56500.7</v>
      </c>
      <c r="E474" s="125">
        <f>IFERROR(VLOOKUP($A474,'SAP '!$A$3:$D$391,3,0),0)</f>
        <v>0</v>
      </c>
      <c r="F474" s="1310">
        <f t="shared" si="7"/>
        <v>0</v>
      </c>
    </row>
    <row r="475" spans="1:6">
      <c r="A475" s="1119">
        <v>4101108001</v>
      </c>
      <c r="B475" s="1119" t="s">
        <v>533</v>
      </c>
      <c r="C475" s="1312">
        <f>IFERROR(VLOOKUP(A475,'SAP '!$A$3:$C$14709,3,0),0)</f>
        <v>-164598</v>
      </c>
      <c r="D475" s="1151">
        <f>IFERROR(VLOOKUP(A475,'SAP '!A:D,4,0),0)</f>
        <v>-327369</v>
      </c>
      <c r="E475" s="125">
        <f>IFERROR(VLOOKUP($A475,'SAP '!$A$3:$D$391,3,0),0)</f>
        <v>-164598</v>
      </c>
      <c r="F475" s="1310">
        <f t="shared" si="7"/>
        <v>0</v>
      </c>
    </row>
    <row r="476" spans="1:6">
      <c r="A476" s="1120">
        <v>4102101000</v>
      </c>
      <c r="B476" s="1120" t="s">
        <v>157</v>
      </c>
      <c r="C476" s="1312">
        <f>IFERROR(VLOOKUP(A476,'SAP '!$A$3:$C$14709,3,0),0)</f>
        <v>0</v>
      </c>
      <c r="D476" s="1151">
        <f>IFERROR(VLOOKUP(A476,'SAP '!A:D,4,0),0)</f>
        <v>0</v>
      </c>
      <c r="E476" s="125">
        <f>IFERROR(VLOOKUP($A476,'SAP '!$A$3:$D$391,3,0),0)</f>
        <v>0</v>
      </c>
      <c r="F476" s="1310">
        <f t="shared" si="7"/>
        <v>0</v>
      </c>
    </row>
    <row r="477" spans="1:6">
      <c r="A477" s="1115">
        <v>4102102000</v>
      </c>
      <c r="B477" s="1116" t="s">
        <v>601</v>
      </c>
      <c r="C477" s="1312">
        <f>IFERROR(VLOOKUP(A477,'SAP '!$A$3:$C$14709,3,0),0)</f>
        <v>-568040.92000000004</v>
      </c>
      <c r="D477" s="1151">
        <f>IFERROR(VLOOKUP(A477,'SAP '!A:D,4,0),0)</f>
        <v>-525714.81000000006</v>
      </c>
      <c r="E477" s="125">
        <f>IFERROR(VLOOKUP($A477,'SAP '!$A$3:$D$391,3,0),0)</f>
        <v>-568040.92000000004</v>
      </c>
      <c r="F477" s="1310">
        <f t="shared" si="7"/>
        <v>0</v>
      </c>
    </row>
    <row r="478" spans="1:6">
      <c r="A478" s="1115">
        <v>4102102001</v>
      </c>
      <c r="B478" s="1116" t="s">
        <v>1477</v>
      </c>
      <c r="C478" s="1312">
        <v>-43400</v>
      </c>
      <c r="D478" s="1151">
        <f>IFERROR(VLOOKUP(A478,'SAP '!A:D,4,0),0)</f>
        <v>0</v>
      </c>
      <c r="E478" s="125">
        <f>IFERROR(VLOOKUP($A478,'SAP '!$A$3:$D$391,3,0),0)</f>
        <v>-43400</v>
      </c>
      <c r="F478" s="1310">
        <f t="shared" si="7"/>
        <v>0</v>
      </c>
    </row>
    <row r="479" spans="1:6">
      <c r="A479" s="1115">
        <v>4102103000</v>
      </c>
      <c r="B479" s="1116" t="s">
        <v>602</v>
      </c>
      <c r="C479" s="1312">
        <f>IFERROR(VLOOKUP(A479,'SAP '!$A$3:$C$14709,3,0),0)</f>
        <v>-59504</v>
      </c>
      <c r="D479" s="1151">
        <f>IFERROR(VLOOKUP(A479,'SAP '!A:D,4,0),0)</f>
        <v>0</v>
      </c>
      <c r="E479" s="125">
        <f>IFERROR(VLOOKUP($A479,'SAP '!$A$3:$D$391,3,0),0)</f>
        <v>-59504</v>
      </c>
      <c r="F479" s="1310">
        <f t="shared" si="7"/>
        <v>0</v>
      </c>
    </row>
    <row r="480" spans="1:6">
      <c r="A480" s="1115">
        <v>4102103001</v>
      </c>
      <c r="B480" s="1116" t="s">
        <v>603</v>
      </c>
      <c r="C480" s="1312">
        <f>IFERROR(VLOOKUP(A480,'SAP '!$A$3:$C$14709,3,0),0)</f>
        <v>0</v>
      </c>
      <c r="D480" s="1151">
        <f>IFERROR(VLOOKUP(A480,'SAP '!A:D,4,0),0)</f>
        <v>0</v>
      </c>
      <c r="E480" s="125">
        <f>IFERROR(VLOOKUP($A480,'SAP '!$A$3:$D$391,3,0),0)</f>
        <v>0</v>
      </c>
      <c r="F480" s="1310">
        <f t="shared" si="7"/>
        <v>0</v>
      </c>
    </row>
    <row r="481" spans="1:6">
      <c r="A481" s="1115">
        <v>4102103002</v>
      </c>
      <c r="B481" s="1116" t="s">
        <v>604</v>
      </c>
      <c r="C481" s="1312">
        <f>IFERROR(VLOOKUP(A481,'SAP '!$A$3:$C$14709,3,0),0)</f>
        <v>-12550</v>
      </c>
      <c r="D481" s="1151">
        <f>IFERROR(VLOOKUP(A481,'SAP '!A:D,4,0),0)</f>
        <v>-1136454</v>
      </c>
      <c r="E481" s="125">
        <f>IFERROR(VLOOKUP($A481,'SAP '!$A$3:$D$391,3,0),0)</f>
        <v>-12550</v>
      </c>
      <c r="F481" s="1310">
        <f t="shared" si="7"/>
        <v>0</v>
      </c>
    </row>
    <row r="482" spans="1:6">
      <c r="A482" s="1115">
        <v>4102103003</v>
      </c>
      <c r="B482" s="1116" t="s">
        <v>605</v>
      </c>
      <c r="C482" s="1312">
        <f>IFERROR(VLOOKUP(A482,'SAP '!$A$3:$C$14709,3,0),0)</f>
        <v>-8341</v>
      </c>
      <c r="D482" s="1151">
        <f>IFERROR(VLOOKUP(A482,'SAP '!A:D,4,0),0)</f>
        <v>-5581</v>
      </c>
      <c r="E482" s="125">
        <f>IFERROR(VLOOKUP($A482,'SAP '!$A$3:$D$391,3,0),0)</f>
        <v>-8341</v>
      </c>
      <c r="F482" s="1310">
        <f t="shared" si="7"/>
        <v>0</v>
      </c>
    </row>
    <row r="483" spans="1:6">
      <c r="A483" s="1115">
        <v>4102105000</v>
      </c>
      <c r="B483" s="1116" t="s">
        <v>606</v>
      </c>
      <c r="C483" s="1312">
        <f>IFERROR(VLOOKUP(A483,'SAP '!$A$3:$C$14709,3,0),0)</f>
        <v>-133581.51999999999</v>
      </c>
      <c r="D483" s="1151">
        <f>IFERROR(VLOOKUP(A483,'SAP '!A:D,4,0),0)</f>
        <v>-197275.62</v>
      </c>
      <c r="E483" s="125">
        <f>IFERROR(VLOOKUP($A483,'SAP '!$A$3:$D$391,3,0),0)</f>
        <v>-133581.51999999999</v>
      </c>
      <c r="F483" s="1310">
        <f t="shared" si="7"/>
        <v>0</v>
      </c>
    </row>
    <row r="484" spans="1:6">
      <c r="A484" s="1120">
        <v>4102105001</v>
      </c>
      <c r="B484" s="1120" t="s">
        <v>158</v>
      </c>
      <c r="C484" s="1312">
        <f>IFERROR(VLOOKUP(A484,'SAP '!$A$3:$C$14709,3,0),0)</f>
        <v>0</v>
      </c>
      <c r="D484" s="1151">
        <f>IFERROR(VLOOKUP(A484,'SAP '!A:D,4,0),0)</f>
        <v>0</v>
      </c>
      <c r="E484" s="125">
        <f>IFERROR(VLOOKUP($A484,'SAP '!$A$3:$D$391,3,0),0)</f>
        <v>0</v>
      </c>
      <c r="F484" s="1310">
        <f t="shared" si="7"/>
        <v>0</v>
      </c>
    </row>
    <row r="485" spans="1:6">
      <c r="A485" s="1115">
        <v>4102105002</v>
      </c>
      <c r="B485" s="1116" t="s">
        <v>607</v>
      </c>
      <c r="C485" s="1312">
        <f>IFERROR(VLOOKUP(A485,'SAP '!$A$3:$C$14709,3,0),0)</f>
        <v>-397095.6</v>
      </c>
      <c r="D485" s="1151">
        <f>IFERROR(VLOOKUP(A485,'SAP '!A:D,4,0),0)</f>
        <v>0</v>
      </c>
      <c r="E485" s="125">
        <f>IFERROR(VLOOKUP($A485,'SAP '!$A$3:$D$391,3,0),0)</f>
        <v>-397095.6</v>
      </c>
      <c r="F485" s="1310">
        <f t="shared" si="7"/>
        <v>0</v>
      </c>
    </row>
    <row r="486" spans="1:6">
      <c r="A486" s="1115">
        <v>4102106000</v>
      </c>
      <c r="B486" s="1116" t="s">
        <v>608</v>
      </c>
      <c r="C486" s="1312">
        <f>IFERROR(VLOOKUP(A486,'SAP '!$A$3:$C$14709,3,0),0)</f>
        <v>-522157.74</v>
      </c>
      <c r="D486" s="1151">
        <f>IFERROR(VLOOKUP(A486,'SAP '!A:D,4,0),0)</f>
        <v>-206608.24</v>
      </c>
      <c r="E486" s="125">
        <f>IFERROR(VLOOKUP($A486,'SAP '!$A$3:$D$391,3,0),0)</f>
        <v>-522157.74</v>
      </c>
      <c r="F486" s="1310">
        <f t="shared" si="7"/>
        <v>0</v>
      </c>
    </row>
    <row r="487" spans="1:6">
      <c r="A487" s="1121">
        <v>4102108000</v>
      </c>
      <c r="B487" s="1122" t="s">
        <v>1019</v>
      </c>
      <c r="C487" s="1312">
        <f>IFERROR(VLOOKUP(A487,'SAP '!$A$3:$C$14709,3,0),0)</f>
        <v>0</v>
      </c>
      <c r="D487" s="1151">
        <f>IFERROR(VLOOKUP(A487,'SAP '!A:D,4,0),0)</f>
        <v>0</v>
      </c>
      <c r="E487" s="125">
        <f>IFERROR(VLOOKUP($A487,'SAP '!$A$3:$D$391,3,0),0)</f>
        <v>0</v>
      </c>
      <c r="F487" s="1310">
        <f t="shared" si="7"/>
        <v>0</v>
      </c>
    </row>
    <row r="488" spans="1:6">
      <c r="A488" s="1123">
        <v>4102108001</v>
      </c>
      <c r="B488" s="1116" t="s">
        <v>609</v>
      </c>
      <c r="C488" s="1312">
        <f>IFERROR(VLOOKUP(A488,'SAP '!$A$3:$C$14709,3,0),0)</f>
        <v>0</v>
      </c>
      <c r="D488" s="1151">
        <f>IFERROR(VLOOKUP(A488,'SAP '!A:D,4,0),0)</f>
        <v>52646.879999999997</v>
      </c>
      <c r="E488" s="125">
        <f>IFERROR(VLOOKUP($A488,'SAP '!$A$3:$D$391,3,0),0)</f>
        <v>0</v>
      </c>
      <c r="F488" s="1310">
        <f t="shared" si="7"/>
        <v>0</v>
      </c>
    </row>
    <row r="489" spans="1:6">
      <c r="A489" s="1123">
        <v>4102109000</v>
      </c>
      <c r="B489" s="1124" t="s">
        <v>1020</v>
      </c>
      <c r="C489" s="1312">
        <f>IFERROR(VLOOKUP(A489,'SAP '!$A$3:$C$14709,3,0),0)</f>
        <v>0</v>
      </c>
      <c r="D489" s="1151">
        <f>IFERROR(VLOOKUP(A489,'SAP '!A:D,4,0),0)</f>
        <v>0</v>
      </c>
      <c r="E489" s="125">
        <f>IFERROR(VLOOKUP($A489,'SAP '!$A$3:$D$391,3,0),0)</f>
        <v>0</v>
      </c>
      <c r="F489" s="1310">
        <f t="shared" si="7"/>
        <v>0</v>
      </c>
    </row>
    <row r="490" spans="1:6">
      <c r="A490" s="1120">
        <v>4102110000</v>
      </c>
      <c r="B490" s="1120" t="s">
        <v>159</v>
      </c>
      <c r="C490" s="1312">
        <f>IFERROR(VLOOKUP(A490,'SAP '!$A$3:$C$14709,3,0),0)</f>
        <v>0</v>
      </c>
      <c r="D490" s="1151">
        <f>IFERROR(VLOOKUP(A490,'SAP '!A:D,4,0),0)</f>
        <v>0</v>
      </c>
      <c r="E490" s="125">
        <f>IFERROR(VLOOKUP($A490,'SAP '!$A$3:$D$391,3,0),0)</f>
        <v>0</v>
      </c>
      <c r="F490" s="1310">
        <f t="shared" si="7"/>
        <v>0</v>
      </c>
    </row>
    <row r="491" spans="1:6">
      <c r="A491" s="1115">
        <v>4102110001</v>
      </c>
      <c r="B491" s="1116" t="s">
        <v>1021</v>
      </c>
      <c r="C491" s="1312">
        <f>IFERROR(VLOOKUP(A491,'SAP '!$A$3:$C$14709,3,0),0)</f>
        <v>0</v>
      </c>
      <c r="D491" s="1151">
        <f>IFERROR(VLOOKUP(A491,'SAP '!A:D,4,0),0)</f>
        <v>0</v>
      </c>
      <c r="E491" s="125">
        <f>IFERROR(VLOOKUP($A491,'SAP '!$A$3:$D$391,3,0),0)</f>
        <v>0</v>
      </c>
      <c r="F491" s="1310">
        <f t="shared" si="7"/>
        <v>0</v>
      </c>
    </row>
    <row r="492" spans="1:6">
      <c r="A492" s="1120">
        <v>4102110002</v>
      </c>
      <c r="B492" s="1120" t="s">
        <v>160</v>
      </c>
      <c r="C492" s="1312">
        <f>IFERROR(VLOOKUP(A492,'SAP '!$A$3:$C$14709,3,0),0)</f>
        <v>0</v>
      </c>
      <c r="D492" s="1151">
        <f>IFERROR(VLOOKUP(A492,'SAP '!A:D,4,0),0)</f>
        <v>-215653.88</v>
      </c>
      <c r="E492" s="125">
        <f>IFERROR(VLOOKUP($A492,'SAP '!$A$3:$D$391,3,0),0)</f>
        <v>0</v>
      </c>
      <c r="F492" s="1310">
        <f t="shared" si="7"/>
        <v>0</v>
      </c>
    </row>
    <row r="493" spans="1:6">
      <c r="A493" s="1115">
        <v>4102110003</v>
      </c>
      <c r="B493" s="1116" t="s">
        <v>610</v>
      </c>
      <c r="C493" s="1312">
        <f>IFERROR(VLOOKUP(A493,'SAP '!$A$3:$C$14709,3,0),0)</f>
        <v>0</v>
      </c>
      <c r="D493" s="1151">
        <f>IFERROR(VLOOKUP(A493,'SAP '!A:D,4,0),0)</f>
        <v>0</v>
      </c>
      <c r="E493" s="125">
        <f>IFERROR(VLOOKUP($A493,'SAP '!$A$3:$D$391,3,0),0)</f>
        <v>0</v>
      </c>
      <c r="F493" s="1310">
        <f t="shared" si="7"/>
        <v>0</v>
      </c>
    </row>
    <row r="494" spans="1:6">
      <c r="A494" s="1115">
        <v>4102110005</v>
      </c>
      <c r="B494" s="1116" t="s">
        <v>1022</v>
      </c>
      <c r="C494" s="1312">
        <f>IFERROR(VLOOKUP(A494,'SAP '!$A$3:$C$14709,3,0),0)</f>
        <v>0</v>
      </c>
      <c r="D494" s="1151">
        <f>IFERROR(VLOOKUP(A494,'SAP '!A:D,4,0),0)</f>
        <v>0</v>
      </c>
      <c r="E494" s="125">
        <f>IFERROR(VLOOKUP($A494,'SAP '!$A$3:$D$391,3,0),0)</f>
        <v>0</v>
      </c>
      <c r="F494" s="1310">
        <f t="shared" si="7"/>
        <v>0</v>
      </c>
    </row>
    <row r="495" spans="1:6">
      <c r="A495" s="1115">
        <v>4102110006</v>
      </c>
      <c r="B495" s="1116" t="s">
        <v>611</v>
      </c>
      <c r="C495" s="1312">
        <f>IFERROR(VLOOKUP(A495,'SAP '!$A$3:$C$14709,3,0),0)</f>
        <v>-0.08</v>
      </c>
      <c r="D495" s="1151">
        <f>IFERROR(VLOOKUP(A495,'SAP '!A:D,4,0),0)</f>
        <v>-0.63</v>
      </c>
      <c r="E495" s="125">
        <f>IFERROR(VLOOKUP($A495,'SAP '!$A$3:$D$391,3,0),0)</f>
        <v>-0.08</v>
      </c>
      <c r="F495" s="1310">
        <f t="shared" si="7"/>
        <v>0</v>
      </c>
    </row>
    <row r="496" spans="1:6">
      <c r="A496" s="1125">
        <v>4102110007</v>
      </c>
      <c r="B496" s="1125" t="s">
        <v>612</v>
      </c>
      <c r="C496" s="1312">
        <f>IFERROR(VLOOKUP(A496,'SAP '!$A$3:$C$14709,3,0),0)</f>
        <v>-62544</v>
      </c>
      <c r="D496" s="1151">
        <f>IFERROR(VLOOKUP(A496,'SAP '!A:D,4,0),0)</f>
        <v>0</v>
      </c>
      <c r="E496" s="125">
        <f>IFERROR(VLOOKUP($A496,'SAP '!$A$3:$D$391,3,0),0)</f>
        <v>-62544</v>
      </c>
      <c r="F496" s="1310">
        <f t="shared" si="7"/>
        <v>0</v>
      </c>
    </row>
    <row r="497" spans="1:16377">
      <c r="A497" s="1115">
        <v>4102119999</v>
      </c>
      <c r="B497" s="1116" t="s">
        <v>613</v>
      </c>
      <c r="C497" s="1312">
        <f>IFERROR(VLOOKUP(A497,'SAP '!$A$3:$C$14709,3,0),0)</f>
        <v>-71424</v>
      </c>
      <c r="D497" s="1151">
        <f>IFERROR(VLOOKUP(A497,'SAP '!A:D,4,0),0)</f>
        <v>-33623.19</v>
      </c>
      <c r="E497" s="125">
        <f>IFERROR(VLOOKUP($A497,'SAP '!$A$3:$D$391,3,0),0)</f>
        <v>-71424</v>
      </c>
      <c r="F497" s="1310">
        <f t="shared" si="7"/>
        <v>0</v>
      </c>
    </row>
    <row r="498" spans="1:16377">
      <c r="A498" s="1115">
        <v>4103501000</v>
      </c>
      <c r="B498" s="1116" t="s">
        <v>615</v>
      </c>
      <c r="C498" s="1312">
        <f>IFERROR(VLOOKUP(A498,'SAP '!$A$3:$C$14709,3,0),0)</f>
        <v>-169516.82</v>
      </c>
      <c r="D498" s="1151">
        <f>IFERROR(VLOOKUP(A498,'SAP '!A:D,4,0),0)</f>
        <v>-677151.87</v>
      </c>
      <c r="E498" s="125">
        <f>IFERROR(VLOOKUP($A498,'SAP '!$A$3:$D$391,3,0),0)</f>
        <v>-169516.82</v>
      </c>
      <c r="F498" s="1310">
        <f t="shared" si="7"/>
        <v>0</v>
      </c>
    </row>
    <row r="499" spans="1:16377">
      <c r="A499" s="1115">
        <v>4104102000</v>
      </c>
      <c r="B499" s="1116" t="s">
        <v>614</v>
      </c>
      <c r="C499" s="1312">
        <f>IFERROR(VLOOKUP(A499,'SAP '!$A$3:$C$14709,3,0),0)</f>
        <v>-114775.03999999999</v>
      </c>
      <c r="D499" s="1151">
        <f>IFERROR(VLOOKUP(A499,'SAP '!A:D,4,0),0)</f>
        <v>-136035.10999999999</v>
      </c>
      <c r="E499" s="125">
        <f>IFERROR(VLOOKUP($A499,'SAP '!$A$3:$D$391,3,0),0)</f>
        <v>-114775.03999999999</v>
      </c>
      <c r="F499" s="1310">
        <f t="shared" si="7"/>
        <v>0</v>
      </c>
    </row>
    <row r="500" spans="1:16377">
      <c r="A500" s="1115">
        <v>5102101000</v>
      </c>
      <c r="B500" s="1116" t="s">
        <v>616</v>
      </c>
      <c r="C500" s="1312">
        <f>IFERROR(VLOOKUP(A500,'SAP '!$A$3:$C$14709,3,0),0)</f>
        <v>131103.95000000001</v>
      </c>
      <c r="D500" s="1151">
        <f>IFERROR(VLOOKUP(A500,'SAP '!A:D,4,0),0)</f>
        <v>294402.23</v>
      </c>
      <c r="E500" s="125">
        <f>IFERROR(VLOOKUP($A500,'SAP '!$A$3:$D$391,3,0),0)</f>
        <v>131103.95000000001</v>
      </c>
      <c r="F500" s="1310">
        <f t="shared" si="7"/>
        <v>0</v>
      </c>
    </row>
    <row r="501" spans="1:16377">
      <c r="A501" s="1115">
        <v>5102102000</v>
      </c>
      <c r="B501" s="1116" t="s">
        <v>617</v>
      </c>
      <c r="C501" s="1312">
        <f>IFERROR(VLOOKUP(A501,'SAP '!$A$3:$C$14709,3,0),0)</f>
        <v>400556.74</v>
      </c>
      <c r="D501" s="1151">
        <f>IFERROR(VLOOKUP(A501,'SAP '!A:D,4,0),0)</f>
        <v>172284.17</v>
      </c>
      <c r="E501" s="125">
        <f>IFERROR(VLOOKUP($A501,'SAP '!$A$3:$D$391,3,0),0)</f>
        <v>400556.74</v>
      </c>
      <c r="F501" s="1310">
        <f t="shared" si="7"/>
        <v>0</v>
      </c>
    </row>
    <row r="502" spans="1:16377">
      <c r="A502" s="1115">
        <v>5102103000</v>
      </c>
      <c r="B502" s="1116" t="s">
        <v>618</v>
      </c>
      <c r="C502" s="1312">
        <f>IFERROR(VLOOKUP(A502,'SAP '!$A$3:$C$14709,3,0),0)</f>
        <v>5337302.91</v>
      </c>
      <c r="D502" s="1151">
        <f>IFERROR(VLOOKUP(A502,'SAP '!A:D,4,0),0)</f>
        <v>5960985.8200000003</v>
      </c>
      <c r="E502" s="125">
        <f>IFERROR(VLOOKUP($A502,'SAP '!$A$3:$D$391,3,0),0)</f>
        <v>5337302.91</v>
      </c>
      <c r="F502" s="1310">
        <f t="shared" si="7"/>
        <v>0</v>
      </c>
    </row>
    <row r="503" spans="1:16377">
      <c r="A503" s="1115">
        <v>5102104000</v>
      </c>
      <c r="B503" s="1116" t="s">
        <v>619</v>
      </c>
      <c r="C503" s="1312">
        <f>IFERROR(VLOOKUP(A503,'SAP '!$A$3:$C$14709,3,0),0)</f>
        <v>0</v>
      </c>
      <c r="D503" s="1151">
        <f>IFERROR(VLOOKUP(A503,'SAP '!A:D,4,0),0)</f>
        <v>2179</v>
      </c>
      <c r="E503" s="125">
        <f>IFERROR(VLOOKUP($A503,'SAP '!$A$3:$D$391,3,0),0)</f>
        <v>0</v>
      </c>
      <c r="F503" s="1310">
        <f t="shared" si="7"/>
        <v>0</v>
      </c>
    </row>
    <row r="504" spans="1:16377">
      <c r="A504" s="1117">
        <v>5102105000</v>
      </c>
      <c r="B504" s="1118" t="s">
        <v>620</v>
      </c>
      <c r="C504" s="1312">
        <f>IFERROR(VLOOKUP(A504,'SAP '!$A$3:$C$14709,3,0),0)</f>
        <v>664709.17000000004</v>
      </c>
      <c r="D504" s="1151">
        <f>IFERROR(VLOOKUP(A504,'SAP '!A:D,4,0),0)</f>
        <v>67631.929999999993</v>
      </c>
      <c r="E504" s="125">
        <f>IFERROR(VLOOKUP($A504,'SAP '!$A$3:$D$391,3,0),0)</f>
        <v>664709.17000000004</v>
      </c>
      <c r="F504" s="1310">
        <f t="shared" si="7"/>
        <v>0</v>
      </c>
      <c r="G504" s="44"/>
      <c r="H504" s="44"/>
      <c r="I504" s="44"/>
      <c r="J504" s="44"/>
      <c r="K504" s="44"/>
      <c r="L504" s="44"/>
      <c r="M504" s="44"/>
      <c r="N504" s="44"/>
      <c r="O504" s="44"/>
      <c r="P504" s="44"/>
      <c r="Q504" s="44"/>
      <c r="R504" s="44"/>
      <c r="S504" s="44"/>
      <c r="T504" s="44"/>
      <c r="U504" s="44"/>
      <c r="V504" s="44"/>
      <c r="W504" s="44"/>
      <c r="X504" s="44"/>
      <c r="Y504" s="44"/>
      <c r="Z504" s="44"/>
      <c r="AA504" s="44"/>
      <c r="AB504" s="44"/>
      <c r="AC504" s="44"/>
      <c r="AD504" s="44"/>
      <c r="AE504" s="44"/>
      <c r="AF504" s="44"/>
      <c r="AG504" s="44"/>
      <c r="AH504" s="44"/>
      <c r="AI504" s="44"/>
      <c r="AJ504" s="44"/>
      <c r="AK504" s="44"/>
      <c r="AL504" s="44"/>
      <c r="AM504" s="44"/>
      <c r="AN504" s="44"/>
      <c r="AO504" s="44"/>
      <c r="AP504" s="44"/>
      <c r="AQ504" s="44"/>
      <c r="AR504" s="44"/>
      <c r="AS504" s="44"/>
      <c r="AT504" s="44"/>
      <c r="AU504" s="44"/>
      <c r="AV504" s="44"/>
      <c r="AW504" s="44"/>
      <c r="AX504" s="44"/>
      <c r="AY504" s="44"/>
      <c r="AZ504" s="44"/>
      <c r="BA504" s="44"/>
      <c r="BB504" s="44"/>
      <c r="BC504" s="44"/>
      <c r="BD504" s="44"/>
      <c r="BE504" s="44"/>
      <c r="BF504" s="44"/>
      <c r="BG504" s="44"/>
      <c r="BH504" s="44"/>
      <c r="BI504" s="44"/>
      <c r="BJ504" s="44"/>
      <c r="BK504" s="44"/>
      <c r="BL504" s="44"/>
      <c r="BM504" s="44"/>
      <c r="BN504" s="44"/>
      <c r="BO504" s="44"/>
      <c r="BP504" s="44"/>
      <c r="BQ504" s="44"/>
      <c r="BR504" s="44"/>
      <c r="BS504" s="44"/>
      <c r="BT504" s="44"/>
      <c r="BU504" s="44"/>
      <c r="BV504" s="44"/>
      <c r="BW504" s="44"/>
      <c r="BX504" s="44"/>
      <c r="BY504" s="44"/>
      <c r="BZ504" s="44"/>
      <c r="CA504" s="44"/>
      <c r="CB504" s="44"/>
      <c r="CC504" s="44"/>
      <c r="CD504" s="44"/>
      <c r="CE504" s="44"/>
      <c r="CF504" s="44"/>
      <c r="CG504" s="44"/>
      <c r="CH504" s="44"/>
      <c r="CI504" s="44"/>
      <c r="CJ504" s="44"/>
      <c r="CK504" s="44"/>
      <c r="CL504" s="44"/>
      <c r="CM504" s="44"/>
      <c r="CN504" s="44"/>
      <c r="CO504" s="44"/>
      <c r="CP504" s="44"/>
      <c r="CQ504" s="44"/>
      <c r="CR504" s="44"/>
      <c r="CS504" s="44"/>
      <c r="CT504" s="44"/>
      <c r="CU504" s="44"/>
      <c r="CV504" s="44"/>
      <c r="CW504" s="44"/>
      <c r="CX504" s="44"/>
      <c r="CY504" s="44"/>
      <c r="CZ504" s="44"/>
      <c r="DA504" s="44"/>
      <c r="DB504" s="44"/>
      <c r="DC504" s="44"/>
      <c r="DD504" s="44"/>
      <c r="DE504" s="44"/>
      <c r="DF504" s="44"/>
      <c r="DG504" s="44"/>
      <c r="DH504" s="44"/>
      <c r="DI504" s="44"/>
      <c r="DJ504" s="44"/>
      <c r="DK504" s="44"/>
      <c r="DL504" s="44"/>
      <c r="DM504" s="44"/>
      <c r="DN504" s="44"/>
      <c r="DO504" s="44"/>
      <c r="DP504" s="44"/>
      <c r="DQ504" s="44"/>
      <c r="DR504" s="44"/>
      <c r="DS504" s="44"/>
      <c r="DT504" s="44"/>
      <c r="DU504" s="44"/>
      <c r="DV504" s="44"/>
      <c r="DW504" s="44"/>
      <c r="DX504" s="44"/>
      <c r="DY504" s="44"/>
      <c r="DZ504" s="44"/>
      <c r="EA504" s="44"/>
      <c r="EB504" s="44"/>
      <c r="EC504" s="44"/>
      <c r="ED504" s="44"/>
      <c r="EE504" s="44"/>
      <c r="EF504" s="44"/>
      <c r="EG504" s="44"/>
      <c r="EH504" s="44"/>
      <c r="EI504" s="44"/>
      <c r="EJ504" s="44"/>
      <c r="EK504" s="44"/>
      <c r="EL504" s="44"/>
      <c r="EM504" s="44"/>
      <c r="EN504" s="44"/>
      <c r="EO504" s="44"/>
      <c r="EP504" s="44"/>
      <c r="EQ504" s="44"/>
      <c r="ER504" s="44"/>
      <c r="ES504" s="44"/>
      <c r="ET504" s="44"/>
      <c r="EU504" s="44"/>
      <c r="EV504" s="44"/>
      <c r="EW504" s="44"/>
      <c r="EX504" s="44"/>
      <c r="EY504" s="44"/>
      <c r="EZ504" s="44"/>
      <c r="FA504" s="44"/>
      <c r="FB504" s="44"/>
      <c r="FC504" s="44"/>
      <c r="FD504" s="44"/>
      <c r="FE504" s="44"/>
      <c r="FF504" s="44"/>
      <c r="FG504" s="44"/>
      <c r="FH504" s="44"/>
      <c r="FI504" s="44"/>
      <c r="FJ504" s="44"/>
      <c r="FK504" s="44"/>
      <c r="FL504" s="44"/>
      <c r="FM504" s="44"/>
      <c r="FN504" s="44"/>
      <c r="FO504" s="44"/>
      <c r="FP504" s="44"/>
      <c r="FQ504" s="44"/>
      <c r="FR504" s="44"/>
      <c r="FS504" s="44"/>
      <c r="FT504" s="44"/>
      <c r="FU504" s="44"/>
      <c r="FV504" s="44"/>
      <c r="FW504" s="44"/>
      <c r="FX504" s="44"/>
      <c r="FY504" s="44"/>
      <c r="FZ504" s="44"/>
      <c r="GA504" s="44"/>
      <c r="GB504" s="44"/>
      <c r="GC504" s="44"/>
      <c r="GD504" s="44"/>
      <c r="GE504" s="44"/>
      <c r="GF504" s="44"/>
      <c r="GG504" s="44"/>
      <c r="GH504" s="44"/>
      <c r="GI504" s="44"/>
      <c r="GJ504" s="44"/>
      <c r="GK504" s="44"/>
      <c r="GL504" s="44"/>
      <c r="GM504" s="44"/>
      <c r="GN504" s="44"/>
      <c r="GO504" s="44"/>
      <c r="GP504" s="44"/>
      <c r="GQ504" s="44"/>
      <c r="GR504" s="44"/>
      <c r="GS504" s="44"/>
      <c r="GT504" s="44"/>
      <c r="GU504" s="44"/>
      <c r="GV504" s="44"/>
      <c r="GW504" s="44"/>
      <c r="GX504" s="44"/>
      <c r="GY504" s="44"/>
      <c r="GZ504" s="44"/>
      <c r="HA504" s="44"/>
      <c r="HB504" s="44"/>
      <c r="HC504" s="44"/>
      <c r="HD504" s="44"/>
      <c r="HE504" s="44"/>
      <c r="HF504" s="44"/>
      <c r="HG504" s="44"/>
      <c r="HH504" s="44"/>
      <c r="HI504" s="44"/>
      <c r="HJ504" s="44"/>
      <c r="HK504" s="44"/>
      <c r="HL504" s="44"/>
      <c r="HM504" s="44"/>
      <c r="HN504" s="44"/>
      <c r="HO504" s="44"/>
      <c r="HP504" s="44"/>
      <c r="HQ504" s="44"/>
      <c r="HR504" s="44"/>
      <c r="HS504" s="44"/>
      <c r="HT504" s="44"/>
      <c r="HU504" s="44"/>
      <c r="HV504" s="44"/>
      <c r="HW504" s="44"/>
      <c r="HX504" s="44"/>
      <c r="HY504" s="44"/>
      <c r="HZ504" s="44"/>
      <c r="IA504" s="44"/>
      <c r="IB504" s="44"/>
      <c r="IC504" s="44"/>
      <c r="ID504" s="44"/>
      <c r="IE504" s="44"/>
      <c r="IF504" s="44"/>
      <c r="IG504" s="44"/>
      <c r="IH504" s="44"/>
      <c r="II504" s="44"/>
      <c r="IJ504" s="44"/>
      <c r="IK504" s="44"/>
      <c r="IL504" s="44"/>
      <c r="IM504" s="44"/>
      <c r="IN504" s="44"/>
      <c r="IO504" s="44"/>
      <c r="IP504" s="44"/>
      <c r="IQ504" s="44"/>
      <c r="IR504" s="44"/>
      <c r="IS504" s="44"/>
      <c r="IT504" s="44"/>
      <c r="IU504" s="44"/>
      <c r="IV504" s="44"/>
      <c r="IW504" s="44"/>
      <c r="IX504" s="44"/>
      <c r="IY504" s="44"/>
      <c r="IZ504" s="44"/>
      <c r="JA504" s="44"/>
      <c r="JB504" s="44"/>
      <c r="JC504" s="44"/>
      <c r="JD504" s="44"/>
      <c r="JE504" s="44"/>
      <c r="JF504" s="44"/>
      <c r="JG504" s="44"/>
      <c r="JH504" s="44"/>
      <c r="JI504" s="44"/>
      <c r="JJ504" s="44"/>
      <c r="JK504" s="44"/>
      <c r="JL504" s="44"/>
      <c r="JM504" s="44"/>
      <c r="JN504" s="44"/>
      <c r="JO504" s="44"/>
      <c r="JP504" s="44"/>
      <c r="JQ504" s="44"/>
      <c r="JR504" s="44"/>
      <c r="JS504" s="44"/>
      <c r="JT504" s="44"/>
      <c r="JU504" s="44"/>
      <c r="JV504" s="44"/>
      <c r="JW504" s="44"/>
      <c r="JX504" s="44"/>
      <c r="JY504" s="44"/>
      <c r="JZ504" s="44"/>
      <c r="KA504" s="44"/>
      <c r="KB504" s="44"/>
      <c r="KC504" s="44"/>
      <c r="KD504" s="44"/>
      <c r="KE504" s="44"/>
      <c r="KF504" s="44"/>
      <c r="KG504" s="44"/>
      <c r="KH504" s="44"/>
      <c r="KI504" s="44"/>
      <c r="KJ504" s="44"/>
      <c r="KK504" s="44"/>
      <c r="KL504" s="44"/>
      <c r="KM504" s="44"/>
      <c r="KN504" s="44"/>
      <c r="KO504" s="44"/>
      <c r="KP504" s="44"/>
      <c r="KQ504" s="44"/>
      <c r="KR504" s="44"/>
      <c r="KS504" s="44"/>
      <c r="KT504" s="44"/>
      <c r="KU504" s="44"/>
      <c r="KV504" s="44"/>
      <c r="KW504" s="44"/>
      <c r="KX504" s="44"/>
      <c r="KY504" s="44"/>
      <c r="KZ504" s="44"/>
      <c r="LA504" s="44"/>
      <c r="LB504" s="44"/>
      <c r="LC504" s="44"/>
      <c r="LD504" s="44"/>
      <c r="LE504" s="44"/>
      <c r="LF504" s="44"/>
      <c r="LG504" s="44"/>
      <c r="LH504" s="44"/>
      <c r="LI504" s="44"/>
      <c r="LJ504" s="44"/>
      <c r="LK504" s="44"/>
      <c r="LL504" s="44"/>
      <c r="LM504" s="44"/>
      <c r="LN504" s="44"/>
      <c r="LO504" s="44"/>
      <c r="LP504" s="44"/>
      <c r="LQ504" s="44"/>
      <c r="LR504" s="44"/>
      <c r="LS504" s="44"/>
      <c r="LT504" s="44"/>
      <c r="LU504" s="44"/>
      <c r="LV504" s="44"/>
      <c r="LW504" s="44"/>
      <c r="LX504" s="44"/>
      <c r="LY504" s="44"/>
      <c r="LZ504" s="44"/>
      <c r="MA504" s="44"/>
      <c r="MB504" s="44"/>
      <c r="MC504" s="44"/>
      <c r="MD504" s="44"/>
      <c r="ME504" s="44"/>
      <c r="MF504" s="44"/>
      <c r="MG504" s="44"/>
      <c r="MH504" s="44"/>
      <c r="MI504" s="44"/>
      <c r="MJ504" s="44"/>
      <c r="MK504" s="44"/>
      <c r="ML504" s="44"/>
      <c r="MM504" s="44"/>
      <c r="MN504" s="44"/>
      <c r="MO504" s="44"/>
      <c r="MP504" s="44"/>
      <c r="MQ504" s="44"/>
      <c r="MR504" s="44"/>
      <c r="MS504" s="44"/>
      <c r="MT504" s="44"/>
      <c r="MU504" s="44"/>
      <c r="MV504" s="44"/>
      <c r="MW504" s="44"/>
      <c r="MX504" s="44"/>
      <c r="MY504" s="44"/>
      <c r="MZ504" s="44"/>
      <c r="NA504" s="44"/>
      <c r="NB504" s="44"/>
      <c r="NC504" s="44"/>
      <c r="ND504" s="44"/>
      <c r="NE504" s="44"/>
      <c r="NF504" s="44"/>
      <c r="NG504" s="44"/>
      <c r="NH504" s="44"/>
      <c r="NI504" s="44"/>
      <c r="NJ504" s="44"/>
      <c r="NK504" s="44"/>
      <c r="NL504" s="44"/>
      <c r="NM504" s="44"/>
      <c r="NN504" s="44"/>
      <c r="NO504" s="44"/>
      <c r="NP504" s="44"/>
      <c r="NQ504" s="44"/>
      <c r="NR504" s="44"/>
      <c r="NS504" s="44"/>
      <c r="NT504" s="44"/>
      <c r="NU504" s="44"/>
      <c r="NV504" s="44"/>
      <c r="NW504" s="44"/>
      <c r="NX504" s="44"/>
      <c r="NY504" s="44"/>
      <c r="NZ504" s="44"/>
      <c r="OA504" s="44"/>
      <c r="OB504" s="44"/>
      <c r="OC504" s="44"/>
      <c r="OD504" s="44"/>
      <c r="OE504" s="44"/>
      <c r="OF504" s="44"/>
      <c r="OG504" s="44"/>
      <c r="OH504" s="44"/>
      <c r="OI504" s="44"/>
      <c r="OJ504" s="44"/>
      <c r="OK504" s="44"/>
      <c r="OL504" s="44"/>
      <c r="OM504" s="44"/>
      <c r="ON504" s="44"/>
      <c r="OO504" s="44"/>
      <c r="OP504" s="44"/>
      <c r="OQ504" s="44"/>
      <c r="OR504" s="44"/>
      <c r="OS504" s="44"/>
      <c r="OT504" s="44"/>
      <c r="OU504" s="44"/>
      <c r="OV504" s="44"/>
      <c r="OW504" s="44"/>
      <c r="OX504" s="44"/>
      <c r="OY504" s="44"/>
      <c r="OZ504" s="44"/>
      <c r="PA504" s="44"/>
      <c r="PB504" s="44"/>
      <c r="PC504" s="44"/>
      <c r="PD504" s="44"/>
      <c r="PE504" s="44"/>
      <c r="PF504" s="44"/>
      <c r="PG504" s="44"/>
      <c r="PH504" s="44"/>
      <c r="PI504" s="44"/>
      <c r="PJ504" s="44"/>
      <c r="PK504" s="44"/>
      <c r="PL504" s="44"/>
      <c r="PM504" s="44"/>
      <c r="PN504" s="44"/>
      <c r="PO504" s="44"/>
      <c r="PP504" s="44"/>
      <c r="PQ504" s="44"/>
      <c r="PR504" s="44"/>
      <c r="PS504" s="44"/>
      <c r="PT504" s="44"/>
      <c r="PU504" s="44"/>
      <c r="PV504" s="44"/>
      <c r="PW504" s="44"/>
      <c r="PX504" s="44"/>
      <c r="PY504" s="44"/>
      <c r="PZ504" s="44"/>
      <c r="QA504" s="44"/>
      <c r="QB504" s="44"/>
      <c r="QC504" s="44"/>
      <c r="QD504" s="44"/>
      <c r="QE504" s="44"/>
      <c r="QF504" s="44"/>
      <c r="QG504" s="44"/>
      <c r="QH504" s="44"/>
      <c r="QI504" s="44"/>
      <c r="QJ504" s="44"/>
      <c r="QK504" s="44"/>
      <c r="QL504" s="44"/>
      <c r="QM504" s="44"/>
      <c r="QN504" s="44"/>
      <c r="QO504" s="44"/>
      <c r="QP504" s="44"/>
      <c r="QQ504" s="44"/>
      <c r="QR504" s="44"/>
      <c r="QS504" s="44"/>
      <c r="QT504" s="44"/>
      <c r="QU504" s="44"/>
      <c r="QV504" s="44"/>
      <c r="QW504" s="44"/>
      <c r="QX504" s="44"/>
      <c r="QY504" s="44"/>
      <c r="QZ504" s="44"/>
      <c r="RA504" s="44"/>
      <c r="RB504" s="44"/>
      <c r="RC504" s="44"/>
      <c r="RD504" s="44"/>
      <c r="RE504" s="44"/>
      <c r="RF504" s="44"/>
      <c r="RG504" s="44"/>
      <c r="RH504" s="44"/>
      <c r="RI504" s="44"/>
      <c r="RJ504" s="44"/>
      <c r="RK504" s="44"/>
      <c r="RL504" s="44"/>
      <c r="RM504" s="44"/>
      <c r="RN504" s="44"/>
      <c r="RO504" s="44"/>
      <c r="RP504" s="44"/>
      <c r="RQ504" s="44"/>
      <c r="RR504" s="44"/>
      <c r="RS504" s="44"/>
      <c r="RT504" s="44"/>
      <c r="RU504" s="44"/>
      <c r="RV504" s="44"/>
      <c r="RW504" s="44"/>
      <c r="RX504" s="44"/>
      <c r="RY504" s="44"/>
      <c r="RZ504" s="44"/>
      <c r="SA504" s="44"/>
      <c r="SB504" s="44"/>
      <c r="SC504" s="44"/>
      <c r="SD504" s="44"/>
      <c r="SE504" s="44"/>
      <c r="SF504" s="44"/>
      <c r="SG504" s="44"/>
      <c r="SH504" s="44"/>
      <c r="SI504" s="44"/>
      <c r="SJ504" s="44"/>
      <c r="SK504" s="44"/>
      <c r="SL504" s="44"/>
      <c r="SM504" s="44"/>
      <c r="SN504" s="44"/>
      <c r="SO504" s="44"/>
      <c r="SP504" s="44"/>
      <c r="SQ504" s="44"/>
      <c r="SR504" s="44"/>
      <c r="SS504" s="44"/>
      <c r="ST504" s="44"/>
      <c r="SU504" s="44"/>
      <c r="SV504" s="44"/>
      <c r="SW504" s="44"/>
      <c r="SX504" s="44"/>
      <c r="SY504" s="44"/>
      <c r="SZ504" s="44"/>
      <c r="TA504" s="44"/>
      <c r="TB504" s="44"/>
      <c r="TC504" s="44"/>
      <c r="TD504" s="44"/>
      <c r="TE504" s="44"/>
      <c r="TF504" s="44"/>
      <c r="TG504" s="44"/>
      <c r="TH504" s="44"/>
      <c r="TI504" s="44"/>
      <c r="TJ504" s="44"/>
      <c r="TK504" s="44"/>
      <c r="TL504" s="44"/>
      <c r="TM504" s="44"/>
      <c r="TN504" s="44"/>
      <c r="TO504" s="44"/>
      <c r="TP504" s="44"/>
      <c r="TQ504" s="44"/>
      <c r="TR504" s="44"/>
      <c r="TS504" s="44"/>
      <c r="TT504" s="44"/>
      <c r="TU504" s="44"/>
      <c r="TV504" s="44"/>
      <c r="TW504" s="44"/>
      <c r="TX504" s="44"/>
      <c r="TY504" s="44"/>
      <c r="TZ504" s="44"/>
      <c r="UA504" s="44"/>
      <c r="UB504" s="44"/>
      <c r="UC504" s="44"/>
      <c r="UD504" s="44"/>
      <c r="UE504" s="44"/>
      <c r="UF504" s="44"/>
      <c r="UG504" s="44"/>
      <c r="UH504" s="44"/>
      <c r="UI504" s="44"/>
      <c r="UJ504" s="44"/>
      <c r="UK504" s="44"/>
      <c r="UL504" s="44"/>
      <c r="UM504" s="44"/>
      <c r="UN504" s="44"/>
      <c r="UO504" s="44"/>
      <c r="UP504" s="44"/>
      <c r="UQ504" s="44"/>
      <c r="UR504" s="44"/>
      <c r="US504" s="44"/>
      <c r="UT504" s="44"/>
      <c r="UU504" s="44"/>
      <c r="UV504" s="44"/>
      <c r="UW504" s="44"/>
      <c r="UX504" s="44"/>
      <c r="UY504" s="44"/>
      <c r="UZ504" s="44"/>
      <c r="VA504" s="44"/>
      <c r="VB504" s="44"/>
      <c r="VC504" s="44"/>
      <c r="VD504" s="44"/>
      <c r="VE504" s="44"/>
      <c r="VF504" s="44"/>
      <c r="VG504" s="44"/>
      <c r="VH504" s="44"/>
      <c r="VI504" s="44"/>
      <c r="VJ504" s="44"/>
      <c r="VK504" s="44"/>
      <c r="VL504" s="44"/>
      <c r="VM504" s="44"/>
      <c r="VN504" s="44"/>
      <c r="VO504" s="44"/>
      <c r="VP504" s="44"/>
      <c r="VQ504" s="44"/>
      <c r="VR504" s="44"/>
      <c r="VS504" s="44"/>
      <c r="VT504" s="44"/>
      <c r="VU504" s="44"/>
      <c r="VV504" s="44"/>
      <c r="VW504" s="44"/>
      <c r="VX504" s="44"/>
      <c r="VY504" s="44"/>
      <c r="VZ504" s="44"/>
      <c r="WA504" s="44"/>
      <c r="WB504" s="44"/>
      <c r="WC504" s="44"/>
      <c r="WD504" s="44"/>
      <c r="WE504" s="44"/>
      <c r="WF504" s="44"/>
      <c r="WG504" s="44"/>
      <c r="WH504" s="44"/>
      <c r="WI504" s="44"/>
      <c r="WJ504" s="44"/>
      <c r="WK504" s="44"/>
      <c r="WL504" s="44"/>
      <c r="WM504" s="44"/>
      <c r="WN504" s="44"/>
      <c r="WO504" s="44"/>
      <c r="WP504" s="44"/>
      <c r="WQ504" s="44"/>
      <c r="WR504" s="44"/>
      <c r="WS504" s="44"/>
      <c r="WT504" s="44"/>
      <c r="WU504" s="44"/>
      <c r="WV504" s="44"/>
      <c r="WW504" s="44"/>
      <c r="WX504" s="44"/>
      <c r="WY504" s="44"/>
      <c r="WZ504" s="44"/>
      <c r="XA504" s="44"/>
      <c r="XB504" s="44"/>
      <c r="XC504" s="44"/>
      <c r="XD504" s="44"/>
      <c r="XE504" s="44"/>
      <c r="XF504" s="44"/>
      <c r="XG504" s="44"/>
      <c r="XH504" s="44"/>
      <c r="XI504" s="44"/>
      <c r="XJ504" s="44"/>
      <c r="XK504" s="44"/>
      <c r="XL504" s="44"/>
      <c r="XM504" s="44"/>
      <c r="XN504" s="44"/>
      <c r="XO504" s="44"/>
      <c r="XP504" s="44"/>
      <c r="XQ504" s="44"/>
      <c r="XR504" s="44"/>
      <c r="XS504" s="44"/>
      <c r="XT504" s="44"/>
      <c r="XU504" s="44"/>
      <c r="XV504" s="44"/>
      <c r="XW504" s="44"/>
      <c r="XX504" s="44"/>
      <c r="XY504" s="44"/>
      <c r="XZ504" s="44"/>
      <c r="YA504" s="44"/>
      <c r="YB504" s="44"/>
      <c r="YC504" s="44"/>
      <c r="YD504" s="44"/>
      <c r="YE504" s="44"/>
      <c r="YF504" s="44"/>
      <c r="YG504" s="44"/>
      <c r="YH504" s="44"/>
      <c r="YI504" s="44"/>
      <c r="YJ504" s="44"/>
      <c r="YK504" s="44"/>
      <c r="YL504" s="44"/>
      <c r="YM504" s="44"/>
      <c r="YN504" s="44"/>
      <c r="YO504" s="44"/>
      <c r="YP504" s="44"/>
      <c r="YQ504" s="44"/>
      <c r="YR504" s="44"/>
      <c r="YS504" s="44"/>
      <c r="YT504" s="44"/>
      <c r="YU504" s="44"/>
      <c r="YV504" s="44"/>
      <c r="YW504" s="44"/>
      <c r="YX504" s="44"/>
      <c r="YY504" s="44"/>
      <c r="YZ504" s="44"/>
      <c r="ZA504" s="44"/>
      <c r="ZB504" s="44"/>
      <c r="ZC504" s="44"/>
      <c r="ZD504" s="44"/>
      <c r="ZE504" s="44"/>
      <c r="ZF504" s="44"/>
      <c r="ZG504" s="44"/>
      <c r="ZH504" s="44"/>
      <c r="ZI504" s="44"/>
      <c r="ZJ504" s="44"/>
      <c r="ZK504" s="44"/>
      <c r="ZL504" s="44"/>
      <c r="ZM504" s="44"/>
      <c r="ZN504" s="44"/>
      <c r="ZO504" s="44"/>
      <c r="ZP504" s="44"/>
      <c r="ZQ504" s="44"/>
      <c r="ZR504" s="44"/>
      <c r="ZS504" s="44"/>
      <c r="ZT504" s="44"/>
      <c r="ZU504" s="44"/>
      <c r="ZV504" s="44"/>
      <c r="ZW504" s="44"/>
      <c r="ZX504" s="44"/>
      <c r="ZY504" s="44"/>
      <c r="ZZ504" s="44"/>
      <c r="AAA504" s="44"/>
      <c r="AAB504" s="44"/>
      <c r="AAC504" s="44"/>
      <c r="AAD504" s="44"/>
      <c r="AAE504" s="44"/>
      <c r="AAF504" s="44"/>
      <c r="AAG504" s="44"/>
      <c r="AAH504" s="44"/>
      <c r="AAI504" s="44"/>
      <c r="AAJ504" s="44"/>
      <c r="AAK504" s="44"/>
      <c r="AAL504" s="44"/>
      <c r="AAM504" s="44"/>
      <c r="AAN504" s="44"/>
      <c r="AAO504" s="44"/>
      <c r="AAP504" s="44"/>
      <c r="AAQ504" s="44"/>
      <c r="AAR504" s="44"/>
      <c r="AAS504" s="44"/>
      <c r="AAT504" s="44"/>
      <c r="AAU504" s="44"/>
      <c r="AAV504" s="44"/>
      <c r="AAW504" s="44"/>
      <c r="AAX504" s="44"/>
      <c r="AAY504" s="44"/>
      <c r="AAZ504" s="44"/>
      <c r="ABA504" s="44"/>
      <c r="ABB504" s="44"/>
      <c r="ABC504" s="44"/>
      <c r="ABD504" s="44"/>
      <c r="ABE504" s="44"/>
      <c r="ABF504" s="44"/>
      <c r="ABG504" s="44"/>
      <c r="ABH504" s="44"/>
      <c r="ABI504" s="44"/>
      <c r="ABJ504" s="44"/>
      <c r="ABK504" s="44"/>
      <c r="ABL504" s="44"/>
      <c r="ABM504" s="44"/>
      <c r="ABN504" s="44"/>
      <c r="ABO504" s="44"/>
      <c r="ABP504" s="44"/>
      <c r="ABQ504" s="44"/>
      <c r="ABR504" s="44"/>
      <c r="ABS504" s="44"/>
      <c r="ABT504" s="44"/>
      <c r="ABU504" s="44"/>
      <c r="ABV504" s="44"/>
      <c r="ABW504" s="44"/>
      <c r="ABX504" s="44"/>
      <c r="ABY504" s="44"/>
      <c r="ABZ504" s="44"/>
      <c r="ACA504" s="44"/>
      <c r="ACB504" s="44"/>
      <c r="ACC504" s="44"/>
      <c r="ACD504" s="44"/>
      <c r="ACE504" s="44"/>
      <c r="ACF504" s="44"/>
      <c r="ACG504" s="44"/>
      <c r="ACH504" s="44"/>
      <c r="ACI504" s="44"/>
      <c r="ACJ504" s="44"/>
      <c r="ACK504" s="44"/>
      <c r="ACL504" s="44"/>
      <c r="ACM504" s="44"/>
      <c r="ACN504" s="44"/>
      <c r="ACO504" s="44"/>
      <c r="ACP504" s="44"/>
      <c r="ACQ504" s="44"/>
      <c r="ACR504" s="44"/>
      <c r="ACS504" s="44"/>
      <c r="ACT504" s="44"/>
      <c r="ACU504" s="44"/>
      <c r="ACV504" s="44"/>
      <c r="ACW504" s="44"/>
      <c r="ACX504" s="44"/>
      <c r="ACY504" s="44"/>
      <c r="ACZ504" s="44"/>
      <c r="ADA504" s="44"/>
      <c r="ADB504" s="44"/>
      <c r="ADC504" s="44"/>
      <c r="ADD504" s="44"/>
      <c r="ADE504" s="44"/>
      <c r="ADF504" s="44"/>
      <c r="ADG504" s="44"/>
      <c r="ADH504" s="44"/>
      <c r="ADI504" s="44"/>
      <c r="ADJ504" s="44"/>
      <c r="ADK504" s="44"/>
      <c r="ADL504" s="44"/>
      <c r="ADM504" s="44"/>
      <c r="ADN504" s="44"/>
      <c r="ADO504" s="44"/>
      <c r="ADP504" s="44"/>
      <c r="ADQ504" s="44"/>
      <c r="ADR504" s="44"/>
      <c r="ADS504" s="44"/>
      <c r="ADT504" s="44"/>
      <c r="ADU504" s="44"/>
      <c r="ADV504" s="44"/>
      <c r="ADW504" s="44"/>
      <c r="ADX504" s="44"/>
      <c r="ADY504" s="44"/>
      <c r="ADZ504" s="44"/>
      <c r="AEA504" s="44"/>
      <c r="AEB504" s="44"/>
      <c r="AEC504" s="44"/>
      <c r="AED504" s="44"/>
      <c r="AEE504" s="44"/>
      <c r="AEF504" s="44"/>
      <c r="AEG504" s="44"/>
      <c r="AEH504" s="44"/>
      <c r="AEI504" s="44"/>
      <c r="AEJ504" s="44"/>
      <c r="AEK504" s="44"/>
      <c r="AEL504" s="44"/>
      <c r="AEM504" s="44"/>
      <c r="AEN504" s="44"/>
      <c r="AEO504" s="44"/>
      <c r="AEP504" s="44"/>
      <c r="AEQ504" s="44"/>
      <c r="AER504" s="44"/>
      <c r="AES504" s="44"/>
      <c r="AET504" s="44"/>
      <c r="AEU504" s="44"/>
      <c r="AEV504" s="44"/>
      <c r="AEW504" s="44"/>
      <c r="AEX504" s="44"/>
      <c r="AEY504" s="44"/>
      <c r="AEZ504" s="44"/>
      <c r="AFA504" s="44"/>
      <c r="AFB504" s="44"/>
      <c r="AFC504" s="44"/>
      <c r="AFD504" s="44"/>
      <c r="AFE504" s="44"/>
      <c r="AFF504" s="44"/>
      <c r="AFG504" s="44"/>
      <c r="AFH504" s="44"/>
      <c r="AFI504" s="44"/>
      <c r="AFJ504" s="44"/>
      <c r="AFK504" s="44"/>
      <c r="AFL504" s="44"/>
      <c r="AFM504" s="44"/>
      <c r="AFN504" s="44"/>
      <c r="AFO504" s="44"/>
      <c r="AFP504" s="44"/>
      <c r="AFQ504" s="44"/>
      <c r="AFR504" s="44"/>
      <c r="AFS504" s="44"/>
      <c r="AFT504" s="44"/>
      <c r="AFU504" s="44"/>
      <c r="AFV504" s="44"/>
      <c r="AFW504" s="44"/>
      <c r="AFX504" s="44"/>
      <c r="AFY504" s="44"/>
      <c r="AFZ504" s="44"/>
      <c r="AGA504" s="44"/>
      <c r="AGB504" s="44"/>
      <c r="AGC504" s="44"/>
      <c r="AGD504" s="44"/>
      <c r="AGE504" s="44"/>
      <c r="AGF504" s="44"/>
      <c r="AGG504" s="44"/>
      <c r="AGH504" s="44"/>
      <c r="AGI504" s="44"/>
      <c r="AGJ504" s="44"/>
      <c r="AGK504" s="44"/>
      <c r="AGL504" s="44"/>
      <c r="AGM504" s="44"/>
      <c r="AGN504" s="44"/>
      <c r="AGO504" s="44"/>
      <c r="AGP504" s="44"/>
      <c r="AGQ504" s="44"/>
      <c r="AGR504" s="44"/>
      <c r="AGS504" s="44"/>
      <c r="AGT504" s="44"/>
      <c r="AGU504" s="44"/>
      <c r="AGV504" s="44"/>
      <c r="AGW504" s="44"/>
      <c r="AGX504" s="44"/>
      <c r="AGY504" s="44"/>
      <c r="AGZ504" s="44"/>
      <c r="AHA504" s="44"/>
      <c r="AHB504" s="44"/>
      <c r="AHC504" s="44"/>
      <c r="AHD504" s="44"/>
      <c r="AHE504" s="44"/>
      <c r="AHF504" s="44"/>
      <c r="AHG504" s="44"/>
      <c r="AHH504" s="44"/>
      <c r="AHI504" s="44"/>
      <c r="AHJ504" s="44"/>
      <c r="AHK504" s="44"/>
      <c r="AHL504" s="44"/>
      <c r="AHM504" s="44"/>
      <c r="AHN504" s="44"/>
      <c r="AHO504" s="44"/>
      <c r="AHP504" s="44"/>
      <c r="AHQ504" s="44"/>
      <c r="AHR504" s="44"/>
      <c r="AHS504" s="44"/>
      <c r="AHT504" s="44"/>
      <c r="AHU504" s="44"/>
      <c r="AHV504" s="44"/>
      <c r="AHW504" s="44"/>
      <c r="AHX504" s="44"/>
      <c r="AHY504" s="44"/>
      <c r="AHZ504" s="44"/>
      <c r="AIA504" s="44"/>
      <c r="AIB504" s="44"/>
      <c r="AIC504" s="44"/>
      <c r="AID504" s="44"/>
      <c r="AIE504" s="44"/>
      <c r="AIF504" s="44"/>
      <c r="AIG504" s="44"/>
      <c r="AIH504" s="44"/>
      <c r="AII504" s="44"/>
      <c r="AIJ504" s="44"/>
      <c r="AIK504" s="44"/>
      <c r="AIL504" s="44"/>
      <c r="AIM504" s="44"/>
      <c r="AIN504" s="44"/>
      <c r="AIO504" s="44"/>
      <c r="AIP504" s="44"/>
      <c r="AIQ504" s="44"/>
      <c r="AIR504" s="44"/>
      <c r="AIS504" s="44"/>
      <c r="AIT504" s="44"/>
      <c r="AIU504" s="44"/>
      <c r="AIV504" s="44"/>
      <c r="AIW504" s="44"/>
      <c r="AIX504" s="44"/>
      <c r="AIY504" s="44"/>
      <c r="AIZ504" s="44"/>
      <c r="AJA504" s="44"/>
      <c r="AJB504" s="44"/>
      <c r="AJC504" s="44"/>
      <c r="AJD504" s="44"/>
      <c r="AJE504" s="44"/>
      <c r="AJF504" s="44"/>
      <c r="AJG504" s="44"/>
      <c r="AJH504" s="44"/>
      <c r="AJI504" s="44"/>
      <c r="AJJ504" s="44"/>
      <c r="AJK504" s="44"/>
      <c r="AJL504" s="44"/>
      <c r="AJM504" s="44"/>
      <c r="AJN504" s="44"/>
      <c r="AJO504" s="44"/>
      <c r="AJP504" s="44"/>
      <c r="AJQ504" s="44"/>
      <c r="AJR504" s="44"/>
      <c r="AJS504" s="44"/>
      <c r="AJT504" s="44"/>
      <c r="AJU504" s="44"/>
      <c r="AJV504" s="44"/>
      <c r="AJW504" s="44"/>
      <c r="AJX504" s="44"/>
      <c r="AJY504" s="44"/>
      <c r="AJZ504" s="44"/>
      <c r="AKA504" s="44"/>
      <c r="AKB504" s="44"/>
      <c r="AKC504" s="44"/>
      <c r="AKD504" s="44"/>
      <c r="AKE504" s="44"/>
      <c r="AKF504" s="44"/>
      <c r="AKG504" s="44"/>
      <c r="AKH504" s="44"/>
      <c r="AKI504" s="44"/>
      <c r="AKJ504" s="44"/>
      <c r="AKK504" s="44"/>
      <c r="AKL504" s="44"/>
      <c r="AKM504" s="44"/>
      <c r="AKN504" s="44"/>
      <c r="AKO504" s="44"/>
      <c r="AKP504" s="44"/>
      <c r="AKQ504" s="44"/>
      <c r="AKR504" s="44"/>
      <c r="AKS504" s="44"/>
      <c r="AKT504" s="44"/>
      <c r="AKU504" s="44"/>
      <c r="AKV504" s="44"/>
      <c r="AKW504" s="44"/>
      <c r="AKX504" s="44"/>
      <c r="AKY504" s="44"/>
      <c r="AKZ504" s="44"/>
      <c r="ALA504" s="44"/>
      <c r="ALB504" s="44"/>
      <c r="ALC504" s="44"/>
      <c r="ALD504" s="44"/>
      <c r="ALE504" s="44"/>
      <c r="ALF504" s="44"/>
      <c r="ALG504" s="44"/>
      <c r="ALH504" s="44"/>
      <c r="ALI504" s="44"/>
      <c r="ALJ504" s="44"/>
      <c r="ALK504" s="44"/>
      <c r="ALL504" s="44"/>
      <c r="ALM504" s="44"/>
      <c r="ALN504" s="44"/>
      <c r="ALO504" s="44"/>
      <c r="ALP504" s="44"/>
      <c r="ALQ504" s="44"/>
      <c r="ALR504" s="44"/>
      <c r="ALS504" s="44"/>
      <c r="ALT504" s="44"/>
      <c r="ALU504" s="44"/>
      <c r="ALV504" s="44"/>
      <c r="ALW504" s="44"/>
      <c r="ALX504" s="44"/>
      <c r="ALY504" s="44"/>
      <c r="ALZ504" s="44"/>
      <c r="AMA504" s="44"/>
      <c r="AMB504" s="44"/>
      <c r="AMC504" s="44"/>
      <c r="AMD504" s="44"/>
      <c r="AME504" s="44"/>
      <c r="AMF504" s="44"/>
      <c r="AMG504" s="44"/>
      <c r="AMH504" s="44"/>
      <c r="AMI504" s="44"/>
      <c r="AMJ504" s="44"/>
      <c r="AMK504" s="44"/>
      <c r="AML504" s="44"/>
      <c r="AMM504" s="44"/>
      <c r="AMN504" s="44"/>
      <c r="AMO504" s="44"/>
      <c r="AMP504" s="44"/>
      <c r="AMQ504" s="44"/>
      <c r="AMR504" s="44"/>
      <c r="AMS504" s="44"/>
      <c r="AMT504" s="44"/>
      <c r="AMU504" s="44"/>
      <c r="AMV504" s="44"/>
      <c r="AMW504" s="44"/>
      <c r="AMX504" s="44"/>
      <c r="AMY504" s="44"/>
      <c r="AMZ504" s="44"/>
      <c r="ANA504" s="44"/>
      <c r="ANB504" s="44"/>
      <c r="ANC504" s="44"/>
      <c r="AND504" s="44"/>
      <c r="ANE504" s="44"/>
      <c r="ANF504" s="44"/>
      <c r="ANG504" s="44"/>
      <c r="ANH504" s="44"/>
      <c r="ANI504" s="44"/>
      <c r="ANJ504" s="44"/>
      <c r="ANK504" s="44"/>
      <c r="ANL504" s="44"/>
      <c r="ANM504" s="44"/>
      <c r="ANN504" s="44"/>
      <c r="ANO504" s="44"/>
      <c r="ANP504" s="44"/>
      <c r="ANQ504" s="44"/>
      <c r="ANR504" s="44"/>
      <c r="ANS504" s="44"/>
      <c r="ANT504" s="44"/>
      <c r="ANU504" s="44"/>
      <c r="ANV504" s="44"/>
      <c r="ANW504" s="44"/>
      <c r="ANX504" s="44"/>
      <c r="ANY504" s="44"/>
      <c r="ANZ504" s="44"/>
      <c r="AOA504" s="44"/>
      <c r="AOB504" s="44"/>
      <c r="AOC504" s="44"/>
      <c r="AOD504" s="44"/>
      <c r="AOE504" s="44"/>
      <c r="AOF504" s="44"/>
      <c r="AOG504" s="44"/>
      <c r="AOH504" s="44"/>
      <c r="AOI504" s="44"/>
      <c r="AOJ504" s="44"/>
      <c r="AOK504" s="44"/>
      <c r="AOL504" s="44"/>
      <c r="AOM504" s="44"/>
      <c r="AON504" s="44"/>
      <c r="AOO504" s="44"/>
      <c r="AOP504" s="44"/>
      <c r="AOQ504" s="44"/>
      <c r="AOR504" s="44"/>
      <c r="AOS504" s="44"/>
      <c r="AOT504" s="44"/>
      <c r="AOU504" s="44"/>
      <c r="AOV504" s="44"/>
      <c r="AOW504" s="44"/>
      <c r="AOX504" s="44"/>
      <c r="AOY504" s="44"/>
      <c r="AOZ504" s="44"/>
      <c r="APA504" s="44"/>
      <c r="APB504" s="44"/>
      <c r="APC504" s="44"/>
      <c r="APD504" s="44"/>
      <c r="APE504" s="44"/>
      <c r="APF504" s="44"/>
      <c r="APG504" s="44"/>
      <c r="APH504" s="44"/>
      <c r="API504" s="44"/>
      <c r="APJ504" s="44"/>
      <c r="APK504" s="44"/>
      <c r="APL504" s="44"/>
      <c r="APM504" s="44"/>
      <c r="APN504" s="44"/>
      <c r="APO504" s="44"/>
      <c r="APP504" s="44"/>
      <c r="APQ504" s="44"/>
      <c r="APR504" s="44"/>
      <c r="APS504" s="44"/>
      <c r="APT504" s="44"/>
      <c r="APU504" s="44"/>
      <c r="APV504" s="44"/>
      <c r="APW504" s="44"/>
      <c r="APX504" s="44"/>
      <c r="APY504" s="44"/>
      <c r="APZ504" s="44"/>
      <c r="AQA504" s="44"/>
      <c r="AQB504" s="44"/>
      <c r="AQC504" s="44"/>
      <c r="AQD504" s="44"/>
      <c r="AQE504" s="44"/>
      <c r="AQF504" s="44"/>
      <c r="AQG504" s="44"/>
      <c r="AQH504" s="44"/>
      <c r="AQI504" s="44"/>
      <c r="AQJ504" s="44"/>
      <c r="AQK504" s="44"/>
      <c r="AQL504" s="44"/>
      <c r="AQM504" s="44"/>
      <c r="AQN504" s="44"/>
      <c r="AQO504" s="44"/>
      <c r="AQP504" s="44"/>
      <c r="AQQ504" s="44"/>
      <c r="AQR504" s="44"/>
      <c r="AQS504" s="44"/>
      <c r="AQT504" s="44"/>
      <c r="AQU504" s="44"/>
      <c r="AQV504" s="44"/>
      <c r="AQW504" s="44"/>
      <c r="AQX504" s="44"/>
      <c r="AQY504" s="44"/>
      <c r="AQZ504" s="44"/>
      <c r="ARA504" s="44"/>
      <c r="ARB504" s="44"/>
      <c r="ARC504" s="44"/>
      <c r="ARD504" s="44"/>
      <c r="ARE504" s="44"/>
      <c r="ARF504" s="44"/>
      <c r="ARG504" s="44"/>
      <c r="ARH504" s="44"/>
      <c r="ARI504" s="44"/>
      <c r="ARJ504" s="44"/>
      <c r="ARK504" s="44"/>
      <c r="ARL504" s="44"/>
      <c r="ARM504" s="44"/>
      <c r="ARN504" s="44"/>
      <c r="ARO504" s="44"/>
      <c r="ARP504" s="44"/>
      <c r="ARQ504" s="44"/>
      <c r="ARR504" s="44"/>
      <c r="ARS504" s="44"/>
      <c r="ART504" s="44"/>
      <c r="ARU504" s="44"/>
      <c r="ARV504" s="44"/>
      <c r="ARW504" s="44"/>
      <c r="ARX504" s="44"/>
      <c r="ARY504" s="44"/>
      <c r="ARZ504" s="44"/>
      <c r="ASA504" s="44"/>
      <c r="ASB504" s="44"/>
      <c r="ASC504" s="44"/>
      <c r="ASD504" s="44"/>
      <c r="ASE504" s="44"/>
      <c r="ASF504" s="44"/>
      <c r="ASG504" s="44"/>
      <c r="ASH504" s="44"/>
      <c r="ASI504" s="44"/>
      <c r="ASJ504" s="44"/>
      <c r="ASK504" s="44"/>
      <c r="ASL504" s="44"/>
      <c r="ASM504" s="44"/>
      <c r="ASN504" s="44"/>
      <c r="ASO504" s="44"/>
      <c r="ASP504" s="44"/>
      <c r="ASQ504" s="44"/>
      <c r="ASR504" s="44"/>
      <c r="ASS504" s="44"/>
      <c r="AST504" s="44"/>
      <c r="ASU504" s="44"/>
      <c r="ASV504" s="44"/>
      <c r="ASW504" s="44"/>
      <c r="ASX504" s="44"/>
      <c r="ASY504" s="44"/>
      <c r="ASZ504" s="44"/>
      <c r="ATA504" s="44"/>
      <c r="ATB504" s="44"/>
      <c r="ATC504" s="44"/>
      <c r="ATD504" s="44"/>
      <c r="ATE504" s="44"/>
      <c r="ATF504" s="44"/>
      <c r="ATG504" s="44"/>
      <c r="ATH504" s="44"/>
      <c r="ATI504" s="44"/>
      <c r="ATJ504" s="44"/>
      <c r="ATK504" s="44"/>
      <c r="ATL504" s="44"/>
      <c r="ATM504" s="44"/>
      <c r="ATN504" s="44"/>
      <c r="ATO504" s="44"/>
      <c r="ATP504" s="44"/>
      <c r="ATQ504" s="44"/>
      <c r="ATR504" s="44"/>
      <c r="ATS504" s="44"/>
      <c r="ATT504" s="44"/>
      <c r="ATU504" s="44"/>
      <c r="ATV504" s="44"/>
      <c r="ATW504" s="44"/>
      <c r="ATX504" s="44"/>
      <c r="ATY504" s="44"/>
      <c r="ATZ504" s="44"/>
      <c r="AUA504" s="44"/>
      <c r="AUB504" s="44"/>
      <c r="AUC504" s="44"/>
      <c r="AUD504" s="44"/>
      <c r="AUE504" s="44"/>
      <c r="AUF504" s="44"/>
      <c r="AUG504" s="44"/>
      <c r="AUH504" s="44"/>
      <c r="AUI504" s="44"/>
      <c r="AUJ504" s="44"/>
      <c r="AUK504" s="44"/>
      <c r="AUL504" s="44"/>
      <c r="AUM504" s="44"/>
      <c r="AUN504" s="44"/>
      <c r="AUO504" s="44"/>
      <c r="AUP504" s="44"/>
      <c r="AUQ504" s="44"/>
      <c r="AUR504" s="44"/>
      <c r="AUS504" s="44"/>
      <c r="AUT504" s="44"/>
      <c r="AUU504" s="44"/>
      <c r="AUV504" s="44"/>
      <c r="AUW504" s="44"/>
      <c r="AUX504" s="44"/>
      <c r="AUY504" s="44"/>
      <c r="AUZ504" s="44"/>
      <c r="AVA504" s="44"/>
      <c r="AVB504" s="44"/>
      <c r="AVC504" s="44"/>
      <c r="AVD504" s="44"/>
      <c r="AVE504" s="44"/>
      <c r="AVF504" s="44"/>
      <c r="AVG504" s="44"/>
      <c r="AVH504" s="44"/>
      <c r="AVI504" s="44"/>
      <c r="AVJ504" s="44"/>
      <c r="AVK504" s="44"/>
      <c r="AVL504" s="44"/>
      <c r="AVM504" s="44"/>
      <c r="AVN504" s="44"/>
      <c r="AVO504" s="44"/>
      <c r="AVP504" s="44"/>
      <c r="AVQ504" s="44"/>
      <c r="AVR504" s="44"/>
      <c r="AVS504" s="44"/>
      <c r="AVT504" s="44"/>
      <c r="AVU504" s="44"/>
      <c r="AVV504" s="44"/>
      <c r="AVW504" s="44"/>
      <c r="AVX504" s="44"/>
      <c r="AVY504" s="44"/>
      <c r="AVZ504" s="44"/>
      <c r="AWA504" s="44"/>
      <c r="AWB504" s="44"/>
      <c r="AWC504" s="44"/>
      <c r="AWD504" s="44"/>
      <c r="AWE504" s="44"/>
      <c r="AWF504" s="44"/>
      <c r="AWG504" s="44"/>
      <c r="AWH504" s="44"/>
      <c r="AWI504" s="44"/>
      <c r="AWJ504" s="44"/>
      <c r="AWK504" s="44"/>
      <c r="AWL504" s="44"/>
      <c r="AWM504" s="44"/>
      <c r="AWN504" s="44"/>
      <c r="AWO504" s="44"/>
      <c r="AWP504" s="44"/>
      <c r="AWQ504" s="44"/>
      <c r="AWR504" s="44"/>
      <c r="AWS504" s="44"/>
      <c r="AWT504" s="44"/>
      <c r="AWU504" s="44"/>
      <c r="AWV504" s="44"/>
      <c r="AWW504" s="44"/>
      <c r="AWX504" s="44"/>
      <c r="AWY504" s="44"/>
      <c r="AWZ504" s="44"/>
      <c r="AXA504" s="44"/>
      <c r="AXB504" s="44"/>
      <c r="AXC504" s="44"/>
      <c r="AXD504" s="44"/>
      <c r="AXE504" s="44"/>
      <c r="AXF504" s="44"/>
      <c r="AXG504" s="44"/>
      <c r="AXH504" s="44"/>
      <c r="AXI504" s="44"/>
      <c r="AXJ504" s="44"/>
      <c r="AXK504" s="44"/>
      <c r="AXL504" s="44"/>
      <c r="AXM504" s="44"/>
      <c r="AXN504" s="44"/>
      <c r="AXO504" s="44"/>
      <c r="AXP504" s="44"/>
      <c r="AXQ504" s="44"/>
      <c r="AXR504" s="44"/>
      <c r="AXS504" s="44"/>
      <c r="AXT504" s="44"/>
      <c r="AXU504" s="44"/>
      <c r="AXV504" s="44"/>
      <c r="AXW504" s="44"/>
      <c r="AXX504" s="44"/>
      <c r="AXY504" s="44"/>
      <c r="AXZ504" s="44"/>
      <c r="AYA504" s="44"/>
      <c r="AYB504" s="44"/>
      <c r="AYC504" s="44"/>
      <c r="AYD504" s="44"/>
      <c r="AYE504" s="44"/>
      <c r="AYF504" s="44"/>
      <c r="AYG504" s="44"/>
      <c r="AYH504" s="44"/>
      <c r="AYI504" s="44"/>
      <c r="AYJ504" s="44"/>
      <c r="AYK504" s="44"/>
      <c r="AYL504" s="44"/>
      <c r="AYM504" s="44"/>
      <c r="AYN504" s="44"/>
      <c r="AYO504" s="44"/>
      <c r="AYP504" s="44"/>
      <c r="AYQ504" s="44"/>
      <c r="AYR504" s="44"/>
      <c r="AYS504" s="44"/>
      <c r="AYT504" s="44"/>
      <c r="AYU504" s="44"/>
      <c r="AYV504" s="44"/>
      <c r="AYW504" s="44"/>
      <c r="AYX504" s="44"/>
      <c r="AYY504" s="44"/>
      <c r="AYZ504" s="44"/>
      <c r="AZA504" s="44"/>
      <c r="AZB504" s="44"/>
      <c r="AZC504" s="44"/>
      <c r="AZD504" s="44"/>
      <c r="AZE504" s="44"/>
      <c r="AZF504" s="44"/>
      <c r="AZG504" s="44"/>
      <c r="AZH504" s="44"/>
      <c r="AZI504" s="44"/>
      <c r="AZJ504" s="44"/>
      <c r="AZK504" s="44"/>
      <c r="AZL504" s="44"/>
      <c r="AZM504" s="44"/>
      <c r="AZN504" s="44"/>
      <c r="AZO504" s="44"/>
      <c r="AZP504" s="44"/>
      <c r="AZQ504" s="44"/>
      <c r="AZR504" s="44"/>
      <c r="AZS504" s="44"/>
      <c r="AZT504" s="44"/>
      <c r="AZU504" s="44"/>
      <c r="AZV504" s="44"/>
      <c r="AZW504" s="44"/>
      <c r="AZX504" s="44"/>
      <c r="AZY504" s="44"/>
      <c r="AZZ504" s="44"/>
      <c r="BAA504" s="44"/>
      <c r="BAB504" s="44"/>
      <c r="BAC504" s="44"/>
      <c r="BAD504" s="44"/>
      <c r="BAE504" s="44"/>
      <c r="BAF504" s="44"/>
      <c r="BAG504" s="44"/>
      <c r="BAH504" s="44"/>
      <c r="BAI504" s="44"/>
      <c r="BAJ504" s="44"/>
      <c r="BAK504" s="44"/>
      <c r="BAL504" s="44"/>
      <c r="BAM504" s="44"/>
      <c r="BAN504" s="44"/>
      <c r="BAO504" s="44"/>
      <c r="BAP504" s="44"/>
      <c r="BAQ504" s="44"/>
      <c r="BAR504" s="44"/>
      <c r="BAS504" s="44"/>
      <c r="BAT504" s="44"/>
      <c r="BAU504" s="44"/>
      <c r="BAV504" s="44"/>
      <c r="BAW504" s="44"/>
      <c r="BAX504" s="44"/>
      <c r="BAY504" s="44"/>
      <c r="BAZ504" s="44"/>
      <c r="BBA504" s="44"/>
      <c r="BBB504" s="44"/>
      <c r="BBC504" s="44"/>
      <c r="BBD504" s="44"/>
      <c r="BBE504" s="44"/>
      <c r="BBF504" s="44"/>
      <c r="BBG504" s="44"/>
      <c r="BBH504" s="44"/>
      <c r="BBI504" s="44"/>
      <c r="BBJ504" s="44"/>
      <c r="BBK504" s="44"/>
      <c r="BBL504" s="44"/>
      <c r="BBM504" s="44"/>
      <c r="BBN504" s="44"/>
      <c r="BBO504" s="44"/>
      <c r="BBP504" s="44"/>
      <c r="BBQ504" s="44"/>
      <c r="BBR504" s="44"/>
      <c r="BBS504" s="44"/>
      <c r="BBT504" s="44"/>
      <c r="BBU504" s="44"/>
      <c r="BBV504" s="44"/>
      <c r="BBW504" s="44"/>
      <c r="BBX504" s="44"/>
      <c r="BBY504" s="44"/>
      <c r="BBZ504" s="44"/>
      <c r="BCA504" s="44"/>
      <c r="BCB504" s="44"/>
      <c r="BCC504" s="44"/>
      <c r="BCD504" s="44"/>
      <c r="BCE504" s="44"/>
      <c r="BCF504" s="44"/>
      <c r="BCG504" s="44"/>
      <c r="BCH504" s="44"/>
      <c r="BCI504" s="44"/>
      <c r="BCJ504" s="44"/>
      <c r="BCK504" s="44"/>
      <c r="BCL504" s="44"/>
      <c r="BCM504" s="44"/>
      <c r="BCN504" s="44"/>
      <c r="BCO504" s="44"/>
      <c r="BCP504" s="44"/>
      <c r="BCQ504" s="44"/>
      <c r="BCR504" s="44"/>
      <c r="BCS504" s="44"/>
      <c r="BCT504" s="44"/>
      <c r="BCU504" s="44"/>
      <c r="BCV504" s="44"/>
      <c r="BCW504" s="44"/>
      <c r="BCX504" s="44"/>
      <c r="BCY504" s="44"/>
      <c r="BCZ504" s="44"/>
      <c r="BDA504" s="44"/>
      <c r="BDB504" s="44"/>
      <c r="BDC504" s="44"/>
      <c r="BDD504" s="44"/>
      <c r="BDE504" s="44"/>
      <c r="BDF504" s="44"/>
      <c r="BDG504" s="44"/>
      <c r="BDH504" s="44"/>
      <c r="BDI504" s="44"/>
      <c r="BDJ504" s="44"/>
      <c r="BDK504" s="44"/>
      <c r="BDL504" s="44"/>
      <c r="BDM504" s="44"/>
      <c r="BDN504" s="44"/>
      <c r="BDO504" s="44"/>
      <c r="BDP504" s="44"/>
      <c r="BDQ504" s="44"/>
      <c r="BDR504" s="44"/>
      <c r="BDS504" s="44"/>
      <c r="BDT504" s="44"/>
      <c r="BDU504" s="44"/>
      <c r="BDV504" s="44"/>
      <c r="BDW504" s="44"/>
      <c r="BDX504" s="44"/>
      <c r="BDY504" s="44"/>
      <c r="BDZ504" s="44"/>
      <c r="BEA504" s="44"/>
      <c r="BEB504" s="44"/>
      <c r="BEC504" s="44"/>
      <c r="BED504" s="44"/>
      <c r="BEE504" s="44"/>
      <c r="BEF504" s="44"/>
      <c r="BEG504" s="44"/>
      <c r="BEH504" s="44"/>
      <c r="BEI504" s="44"/>
      <c r="BEJ504" s="44"/>
      <c r="BEK504" s="44"/>
      <c r="BEL504" s="44"/>
      <c r="BEM504" s="44"/>
      <c r="BEN504" s="44"/>
      <c r="BEO504" s="44"/>
      <c r="BEP504" s="44"/>
      <c r="BEQ504" s="44"/>
      <c r="BER504" s="44"/>
      <c r="BES504" s="44"/>
      <c r="BET504" s="44"/>
      <c r="BEU504" s="44"/>
      <c r="BEV504" s="44"/>
      <c r="BEW504" s="44"/>
      <c r="BEX504" s="44"/>
      <c r="BEY504" s="44"/>
      <c r="BEZ504" s="44"/>
      <c r="BFA504" s="44"/>
      <c r="BFB504" s="44"/>
      <c r="BFC504" s="44"/>
      <c r="BFD504" s="44"/>
      <c r="BFE504" s="44"/>
      <c r="BFF504" s="44"/>
      <c r="BFG504" s="44"/>
      <c r="BFH504" s="44"/>
      <c r="BFI504" s="44"/>
      <c r="BFJ504" s="44"/>
      <c r="BFK504" s="44"/>
      <c r="BFL504" s="44"/>
      <c r="BFM504" s="44"/>
      <c r="BFN504" s="44"/>
      <c r="BFO504" s="44"/>
      <c r="BFP504" s="44"/>
      <c r="BFQ504" s="44"/>
      <c r="BFR504" s="44"/>
      <c r="BFS504" s="44"/>
      <c r="BFT504" s="44"/>
      <c r="BFU504" s="44"/>
      <c r="BFV504" s="44"/>
      <c r="BFW504" s="44"/>
      <c r="BFX504" s="44"/>
      <c r="BFY504" s="44"/>
      <c r="BFZ504" s="44"/>
      <c r="BGA504" s="44"/>
      <c r="BGB504" s="44"/>
      <c r="BGC504" s="44"/>
      <c r="BGD504" s="44"/>
      <c r="BGE504" s="44"/>
      <c r="BGF504" s="44"/>
      <c r="BGG504" s="44"/>
      <c r="BGH504" s="44"/>
      <c r="BGI504" s="44"/>
      <c r="BGJ504" s="44"/>
      <c r="BGK504" s="44"/>
      <c r="BGL504" s="44"/>
      <c r="BGM504" s="44"/>
      <c r="BGN504" s="44"/>
      <c r="BGO504" s="44"/>
      <c r="BGP504" s="44"/>
      <c r="BGQ504" s="44"/>
      <c r="BGR504" s="44"/>
      <c r="BGS504" s="44"/>
      <c r="BGT504" s="44"/>
      <c r="BGU504" s="44"/>
      <c r="BGV504" s="44"/>
      <c r="BGW504" s="44"/>
      <c r="BGX504" s="44"/>
      <c r="BGY504" s="44"/>
      <c r="BGZ504" s="44"/>
      <c r="BHA504" s="44"/>
      <c r="BHB504" s="44"/>
      <c r="BHC504" s="44"/>
      <c r="BHD504" s="44"/>
      <c r="BHE504" s="44"/>
      <c r="BHF504" s="44"/>
      <c r="BHG504" s="44"/>
      <c r="BHH504" s="44"/>
      <c r="BHI504" s="44"/>
      <c r="BHJ504" s="44"/>
      <c r="BHK504" s="44"/>
      <c r="BHL504" s="44"/>
      <c r="BHM504" s="44"/>
      <c r="BHN504" s="44"/>
      <c r="BHO504" s="44"/>
      <c r="BHP504" s="44"/>
      <c r="BHQ504" s="44"/>
      <c r="BHR504" s="44"/>
      <c r="BHS504" s="44"/>
      <c r="BHT504" s="44"/>
      <c r="BHU504" s="44"/>
      <c r="BHV504" s="44"/>
      <c r="BHW504" s="44"/>
      <c r="BHX504" s="44"/>
      <c r="BHY504" s="44"/>
      <c r="BHZ504" s="44"/>
      <c r="BIA504" s="44"/>
      <c r="BIB504" s="44"/>
      <c r="BIC504" s="44"/>
      <c r="BID504" s="44"/>
      <c r="BIE504" s="44"/>
      <c r="BIF504" s="44"/>
      <c r="BIG504" s="44"/>
      <c r="BIH504" s="44"/>
      <c r="BII504" s="44"/>
      <c r="BIJ504" s="44"/>
      <c r="BIK504" s="44"/>
      <c r="BIL504" s="44"/>
      <c r="BIM504" s="44"/>
      <c r="BIN504" s="44"/>
      <c r="BIO504" s="44"/>
      <c r="BIP504" s="44"/>
      <c r="BIQ504" s="44"/>
      <c r="BIR504" s="44"/>
      <c r="BIS504" s="44"/>
      <c r="BIT504" s="44"/>
      <c r="BIU504" s="44"/>
      <c r="BIV504" s="44"/>
      <c r="BIW504" s="44"/>
      <c r="BIX504" s="44"/>
      <c r="BIY504" s="44"/>
      <c r="BIZ504" s="44"/>
      <c r="BJA504" s="44"/>
      <c r="BJB504" s="44"/>
      <c r="BJC504" s="44"/>
      <c r="BJD504" s="44"/>
      <c r="BJE504" s="44"/>
      <c r="BJF504" s="44"/>
      <c r="BJG504" s="44"/>
      <c r="BJH504" s="44"/>
      <c r="BJI504" s="44"/>
      <c r="BJJ504" s="44"/>
      <c r="BJK504" s="44"/>
      <c r="BJL504" s="44"/>
      <c r="BJM504" s="44"/>
      <c r="BJN504" s="44"/>
      <c r="BJO504" s="44"/>
      <c r="BJP504" s="44"/>
      <c r="BJQ504" s="44"/>
      <c r="BJR504" s="44"/>
      <c r="BJS504" s="44"/>
      <c r="BJT504" s="44"/>
      <c r="BJU504" s="44"/>
      <c r="BJV504" s="44"/>
      <c r="BJW504" s="44"/>
      <c r="BJX504" s="44"/>
      <c r="BJY504" s="44"/>
      <c r="BJZ504" s="44"/>
      <c r="BKA504" s="44"/>
      <c r="BKB504" s="44"/>
      <c r="BKC504" s="44"/>
      <c r="BKD504" s="44"/>
      <c r="BKE504" s="44"/>
      <c r="BKF504" s="44"/>
      <c r="BKG504" s="44"/>
      <c r="BKH504" s="44"/>
      <c r="BKI504" s="44"/>
      <c r="BKJ504" s="44"/>
      <c r="BKK504" s="44"/>
      <c r="BKL504" s="44"/>
      <c r="BKM504" s="44"/>
      <c r="BKN504" s="44"/>
      <c r="BKO504" s="44"/>
      <c r="BKP504" s="44"/>
      <c r="BKQ504" s="44"/>
      <c r="BKR504" s="44"/>
      <c r="BKS504" s="44"/>
      <c r="BKT504" s="44"/>
      <c r="BKU504" s="44"/>
      <c r="BKV504" s="44"/>
      <c r="BKW504" s="44"/>
      <c r="BKX504" s="44"/>
      <c r="BKY504" s="44"/>
      <c r="BKZ504" s="44"/>
      <c r="BLA504" s="44"/>
      <c r="BLB504" s="44"/>
      <c r="BLC504" s="44"/>
      <c r="BLD504" s="44"/>
      <c r="BLE504" s="44"/>
      <c r="BLF504" s="44"/>
      <c r="BLG504" s="44"/>
      <c r="BLH504" s="44"/>
      <c r="BLI504" s="44"/>
      <c r="BLJ504" s="44"/>
      <c r="BLK504" s="44"/>
      <c r="BLL504" s="44"/>
      <c r="BLM504" s="44"/>
      <c r="BLN504" s="44"/>
      <c r="BLO504" s="44"/>
      <c r="BLP504" s="44"/>
      <c r="BLQ504" s="44"/>
      <c r="BLR504" s="44"/>
      <c r="BLS504" s="44"/>
      <c r="BLT504" s="44"/>
      <c r="BLU504" s="44"/>
      <c r="BLV504" s="44"/>
      <c r="BLW504" s="44"/>
      <c r="BLX504" s="44"/>
      <c r="BLY504" s="44"/>
      <c r="BLZ504" s="44"/>
      <c r="BMA504" s="44"/>
      <c r="BMB504" s="44"/>
      <c r="BMC504" s="44"/>
      <c r="BMD504" s="44"/>
      <c r="BME504" s="44"/>
      <c r="BMF504" s="44"/>
      <c r="BMG504" s="44"/>
      <c r="BMH504" s="44"/>
      <c r="BMI504" s="44"/>
      <c r="BMJ504" s="44"/>
      <c r="BMK504" s="44"/>
      <c r="BML504" s="44"/>
      <c r="BMM504" s="44"/>
      <c r="BMN504" s="44"/>
      <c r="BMO504" s="44"/>
      <c r="BMP504" s="44"/>
      <c r="BMQ504" s="44"/>
      <c r="BMR504" s="44"/>
      <c r="BMS504" s="44"/>
      <c r="BMT504" s="44"/>
      <c r="BMU504" s="44"/>
      <c r="BMV504" s="44"/>
      <c r="BMW504" s="44"/>
      <c r="BMX504" s="44"/>
      <c r="BMY504" s="44"/>
      <c r="BMZ504" s="44"/>
      <c r="BNA504" s="44"/>
      <c r="BNB504" s="44"/>
      <c r="BNC504" s="44"/>
      <c r="BND504" s="44"/>
      <c r="BNE504" s="44"/>
      <c r="BNF504" s="44"/>
      <c r="BNG504" s="44"/>
      <c r="BNH504" s="44"/>
      <c r="BNI504" s="44"/>
      <c r="BNJ504" s="44"/>
      <c r="BNK504" s="44"/>
      <c r="BNL504" s="44"/>
      <c r="BNM504" s="44"/>
      <c r="BNN504" s="44"/>
      <c r="BNO504" s="44"/>
      <c r="BNP504" s="44"/>
      <c r="BNQ504" s="44"/>
      <c r="BNR504" s="44"/>
      <c r="BNS504" s="44"/>
      <c r="BNT504" s="44"/>
      <c r="BNU504" s="44"/>
      <c r="BNV504" s="44"/>
      <c r="BNW504" s="44"/>
      <c r="BNX504" s="44"/>
      <c r="BNY504" s="44"/>
      <c r="BNZ504" s="44"/>
      <c r="BOA504" s="44"/>
      <c r="BOB504" s="44"/>
      <c r="BOC504" s="44"/>
      <c r="BOD504" s="44"/>
      <c r="BOE504" s="44"/>
      <c r="BOF504" s="44"/>
      <c r="BOG504" s="44"/>
      <c r="BOH504" s="44"/>
      <c r="BOI504" s="44"/>
      <c r="BOJ504" s="44"/>
      <c r="BOK504" s="44"/>
      <c r="BOL504" s="44"/>
      <c r="BOM504" s="44"/>
      <c r="BON504" s="44"/>
      <c r="BOO504" s="44"/>
      <c r="BOP504" s="44"/>
      <c r="BOQ504" s="44"/>
      <c r="BOR504" s="44"/>
      <c r="BOS504" s="44"/>
      <c r="BOT504" s="44"/>
      <c r="BOU504" s="44"/>
      <c r="BOV504" s="44"/>
      <c r="BOW504" s="44"/>
      <c r="BOX504" s="44"/>
      <c r="BOY504" s="44"/>
      <c r="BOZ504" s="44"/>
      <c r="BPA504" s="44"/>
      <c r="BPB504" s="44"/>
      <c r="BPC504" s="44"/>
      <c r="BPD504" s="44"/>
      <c r="BPE504" s="44"/>
      <c r="BPF504" s="44"/>
      <c r="BPG504" s="44"/>
      <c r="BPH504" s="44"/>
      <c r="BPI504" s="44"/>
      <c r="BPJ504" s="44"/>
      <c r="BPK504" s="44"/>
      <c r="BPL504" s="44"/>
      <c r="BPM504" s="44"/>
      <c r="BPN504" s="44"/>
      <c r="BPO504" s="44"/>
      <c r="BPP504" s="44"/>
      <c r="BPQ504" s="44"/>
      <c r="BPR504" s="44"/>
      <c r="BPS504" s="44"/>
      <c r="BPT504" s="44"/>
      <c r="BPU504" s="44"/>
      <c r="BPV504" s="44"/>
      <c r="BPW504" s="44"/>
      <c r="BPX504" s="44"/>
      <c r="BPY504" s="44"/>
      <c r="BPZ504" s="44"/>
      <c r="BQA504" s="44"/>
      <c r="BQB504" s="44"/>
      <c r="BQC504" s="44"/>
      <c r="BQD504" s="44"/>
      <c r="BQE504" s="44"/>
      <c r="BQF504" s="44"/>
      <c r="BQG504" s="44"/>
      <c r="BQH504" s="44"/>
      <c r="BQI504" s="44"/>
      <c r="BQJ504" s="44"/>
      <c r="BQK504" s="44"/>
      <c r="BQL504" s="44"/>
      <c r="BQM504" s="44"/>
      <c r="BQN504" s="44"/>
      <c r="BQO504" s="44"/>
      <c r="BQP504" s="44"/>
      <c r="BQQ504" s="44"/>
      <c r="BQR504" s="44"/>
      <c r="BQS504" s="44"/>
      <c r="BQT504" s="44"/>
      <c r="BQU504" s="44"/>
      <c r="BQV504" s="44"/>
      <c r="BQW504" s="44"/>
      <c r="BQX504" s="44"/>
      <c r="BQY504" s="44"/>
      <c r="BQZ504" s="44"/>
      <c r="BRA504" s="44"/>
      <c r="BRB504" s="44"/>
      <c r="BRC504" s="44"/>
      <c r="BRD504" s="44"/>
      <c r="BRE504" s="44"/>
      <c r="BRF504" s="44"/>
      <c r="BRG504" s="44"/>
      <c r="BRH504" s="44"/>
      <c r="BRI504" s="44"/>
      <c r="BRJ504" s="44"/>
      <c r="BRK504" s="44"/>
      <c r="BRL504" s="44"/>
      <c r="BRM504" s="44"/>
      <c r="BRN504" s="44"/>
      <c r="BRO504" s="44"/>
      <c r="BRP504" s="44"/>
      <c r="BRQ504" s="44"/>
      <c r="BRR504" s="44"/>
      <c r="BRS504" s="44"/>
      <c r="BRT504" s="44"/>
      <c r="BRU504" s="44"/>
      <c r="BRV504" s="44"/>
      <c r="BRW504" s="44"/>
      <c r="BRX504" s="44"/>
      <c r="BRY504" s="44"/>
      <c r="BRZ504" s="44"/>
      <c r="BSA504" s="44"/>
      <c r="BSB504" s="44"/>
      <c r="BSC504" s="44"/>
      <c r="BSD504" s="44"/>
      <c r="BSE504" s="44"/>
      <c r="BSF504" s="44"/>
      <c r="BSG504" s="44"/>
      <c r="BSH504" s="44"/>
      <c r="BSI504" s="44"/>
      <c r="BSJ504" s="44"/>
      <c r="BSK504" s="44"/>
      <c r="BSL504" s="44"/>
      <c r="BSM504" s="44"/>
      <c r="BSN504" s="44"/>
      <c r="BSO504" s="44"/>
      <c r="BSP504" s="44"/>
      <c r="BSQ504" s="44"/>
      <c r="BSR504" s="44"/>
      <c r="BSS504" s="44"/>
      <c r="BST504" s="44"/>
      <c r="BSU504" s="44"/>
      <c r="BSV504" s="44"/>
      <c r="BSW504" s="44"/>
      <c r="BSX504" s="44"/>
      <c r="BSY504" s="44"/>
      <c r="BSZ504" s="44"/>
      <c r="BTA504" s="44"/>
      <c r="BTB504" s="44"/>
      <c r="BTC504" s="44"/>
      <c r="BTD504" s="44"/>
      <c r="BTE504" s="44"/>
      <c r="BTF504" s="44"/>
      <c r="BTG504" s="44"/>
      <c r="BTH504" s="44"/>
      <c r="BTI504" s="44"/>
      <c r="BTJ504" s="44"/>
      <c r="BTK504" s="44"/>
      <c r="BTL504" s="44"/>
      <c r="BTM504" s="44"/>
      <c r="BTN504" s="44"/>
      <c r="BTO504" s="44"/>
      <c r="BTP504" s="44"/>
      <c r="BTQ504" s="44"/>
      <c r="BTR504" s="44"/>
      <c r="BTS504" s="44"/>
      <c r="BTT504" s="44"/>
      <c r="BTU504" s="44"/>
      <c r="BTV504" s="44"/>
      <c r="BTW504" s="44"/>
      <c r="BTX504" s="44"/>
      <c r="BTY504" s="44"/>
      <c r="BTZ504" s="44"/>
      <c r="BUA504" s="44"/>
      <c r="BUB504" s="44"/>
      <c r="BUC504" s="44"/>
      <c r="BUD504" s="44"/>
      <c r="BUE504" s="44"/>
      <c r="BUF504" s="44"/>
      <c r="BUG504" s="44"/>
      <c r="BUH504" s="44"/>
      <c r="BUI504" s="44"/>
      <c r="BUJ504" s="44"/>
      <c r="BUK504" s="44"/>
      <c r="BUL504" s="44"/>
      <c r="BUM504" s="44"/>
      <c r="BUN504" s="44"/>
      <c r="BUO504" s="44"/>
      <c r="BUP504" s="44"/>
      <c r="BUQ504" s="44"/>
      <c r="BUR504" s="44"/>
      <c r="BUS504" s="44"/>
      <c r="BUT504" s="44"/>
      <c r="BUU504" s="44"/>
      <c r="BUV504" s="44"/>
      <c r="BUW504" s="44"/>
      <c r="BUX504" s="44"/>
      <c r="BUY504" s="44"/>
      <c r="BUZ504" s="44"/>
      <c r="BVA504" s="44"/>
      <c r="BVB504" s="44"/>
      <c r="BVC504" s="44"/>
      <c r="BVD504" s="44"/>
      <c r="BVE504" s="44"/>
      <c r="BVF504" s="44"/>
      <c r="BVG504" s="44"/>
      <c r="BVH504" s="44"/>
      <c r="BVI504" s="44"/>
      <c r="BVJ504" s="44"/>
      <c r="BVK504" s="44"/>
      <c r="BVL504" s="44"/>
      <c r="BVM504" s="44"/>
      <c r="BVN504" s="44"/>
      <c r="BVO504" s="44"/>
      <c r="BVP504" s="44"/>
      <c r="BVQ504" s="44"/>
      <c r="BVR504" s="44"/>
      <c r="BVS504" s="44"/>
      <c r="BVT504" s="44"/>
      <c r="BVU504" s="44"/>
      <c r="BVV504" s="44"/>
      <c r="BVW504" s="44"/>
      <c r="BVX504" s="44"/>
      <c r="BVY504" s="44"/>
      <c r="BVZ504" s="44"/>
      <c r="BWA504" s="44"/>
      <c r="BWB504" s="44"/>
      <c r="BWC504" s="44"/>
      <c r="BWD504" s="44"/>
      <c r="BWE504" s="44"/>
      <c r="BWF504" s="44"/>
      <c r="BWG504" s="44"/>
      <c r="BWH504" s="44"/>
      <c r="BWI504" s="44"/>
      <c r="BWJ504" s="44"/>
      <c r="BWK504" s="44"/>
      <c r="BWL504" s="44"/>
      <c r="BWM504" s="44"/>
      <c r="BWN504" s="44"/>
      <c r="BWO504" s="44"/>
      <c r="BWP504" s="44"/>
      <c r="BWQ504" s="44"/>
      <c r="BWR504" s="44"/>
      <c r="BWS504" s="44"/>
      <c r="BWT504" s="44"/>
      <c r="BWU504" s="44"/>
      <c r="BWV504" s="44"/>
      <c r="BWW504" s="44"/>
      <c r="BWX504" s="44"/>
      <c r="BWY504" s="44"/>
      <c r="BWZ504" s="44"/>
      <c r="BXA504" s="44"/>
      <c r="BXB504" s="44"/>
      <c r="BXC504" s="44"/>
      <c r="BXD504" s="44"/>
      <c r="BXE504" s="44"/>
      <c r="BXF504" s="44"/>
      <c r="BXG504" s="44"/>
      <c r="BXH504" s="44"/>
      <c r="BXI504" s="44"/>
      <c r="BXJ504" s="44"/>
      <c r="BXK504" s="44"/>
      <c r="BXL504" s="44"/>
      <c r="BXM504" s="44"/>
      <c r="BXN504" s="44"/>
      <c r="BXO504" s="44"/>
      <c r="BXP504" s="44"/>
      <c r="BXQ504" s="44"/>
      <c r="BXR504" s="44"/>
      <c r="BXS504" s="44"/>
      <c r="BXT504" s="44"/>
      <c r="BXU504" s="44"/>
      <c r="BXV504" s="44"/>
      <c r="BXW504" s="44"/>
      <c r="BXX504" s="44"/>
      <c r="BXY504" s="44"/>
      <c r="BXZ504" s="44"/>
      <c r="BYA504" s="44"/>
      <c r="BYB504" s="44"/>
      <c r="BYC504" s="44"/>
      <c r="BYD504" s="44"/>
      <c r="BYE504" s="44"/>
      <c r="BYF504" s="44"/>
      <c r="BYG504" s="44"/>
      <c r="BYH504" s="44"/>
      <c r="BYI504" s="44"/>
      <c r="BYJ504" s="44"/>
      <c r="BYK504" s="44"/>
      <c r="BYL504" s="44"/>
      <c r="BYM504" s="44"/>
      <c r="BYN504" s="44"/>
      <c r="BYO504" s="44"/>
      <c r="BYP504" s="44"/>
      <c r="BYQ504" s="44"/>
      <c r="BYR504" s="44"/>
      <c r="BYS504" s="44"/>
      <c r="BYT504" s="44"/>
      <c r="BYU504" s="44"/>
      <c r="BYV504" s="44"/>
      <c r="BYW504" s="44"/>
      <c r="BYX504" s="44"/>
      <c r="BYY504" s="44"/>
      <c r="BYZ504" s="44"/>
      <c r="BZA504" s="44"/>
      <c r="BZB504" s="44"/>
      <c r="BZC504" s="44"/>
      <c r="BZD504" s="44"/>
      <c r="BZE504" s="44"/>
      <c r="BZF504" s="44"/>
      <c r="BZG504" s="44"/>
      <c r="BZH504" s="44"/>
      <c r="BZI504" s="44"/>
      <c r="BZJ504" s="44"/>
      <c r="BZK504" s="44"/>
      <c r="BZL504" s="44"/>
      <c r="BZM504" s="44"/>
      <c r="BZN504" s="44"/>
      <c r="BZO504" s="44"/>
      <c r="BZP504" s="44"/>
      <c r="BZQ504" s="44"/>
      <c r="BZR504" s="44"/>
      <c r="BZS504" s="44"/>
      <c r="BZT504" s="44"/>
      <c r="BZU504" s="44"/>
      <c r="BZV504" s="44"/>
      <c r="BZW504" s="44"/>
      <c r="BZX504" s="44"/>
      <c r="BZY504" s="44"/>
      <c r="BZZ504" s="44"/>
      <c r="CAA504" s="44"/>
      <c r="CAB504" s="44"/>
      <c r="CAC504" s="44"/>
      <c r="CAD504" s="44"/>
      <c r="CAE504" s="44"/>
      <c r="CAF504" s="44"/>
      <c r="CAG504" s="44"/>
      <c r="CAH504" s="44"/>
      <c r="CAI504" s="44"/>
      <c r="CAJ504" s="44"/>
      <c r="CAK504" s="44"/>
      <c r="CAL504" s="44"/>
      <c r="CAM504" s="44"/>
      <c r="CAN504" s="44"/>
      <c r="CAO504" s="44"/>
      <c r="CAP504" s="44"/>
      <c r="CAQ504" s="44"/>
      <c r="CAR504" s="44"/>
      <c r="CAS504" s="44"/>
      <c r="CAT504" s="44"/>
      <c r="CAU504" s="44"/>
      <c r="CAV504" s="44"/>
      <c r="CAW504" s="44"/>
      <c r="CAX504" s="44"/>
      <c r="CAY504" s="44"/>
      <c r="CAZ504" s="44"/>
      <c r="CBA504" s="44"/>
      <c r="CBB504" s="44"/>
      <c r="CBC504" s="44"/>
      <c r="CBD504" s="44"/>
      <c r="CBE504" s="44"/>
      <c r="CBF504" s="44"/>
      <c r="CBG504" s="44"/>
      <c r="CBH504" s="44"/>
      <c r="CBI504" s="44"/>
      <c r="CBJ504" s="44"/>
      <c r="CBK504" s="44"/>
      <c r="CBL504" s="44"/>
      <c r="CBM504" s="44"/>
      <c r="CBN504" s="44"/>
      <c r="CBO504" s="44"/>
      <c r="CBP504" s="44"/>
      <c r="CBQ504" s="44"/>
      <c r="CBR504" s="44"/>
      <c r="CBS504" s="44"/>
      <c r="CBT504" s="44"/>
      <c r="CBU504" s="44"/>
      <c r="CBV504" s="44"/>
      <c r="CBW504" s="44"/>
      <c r="CBX504" s="44"/>
      <c r="CBY504" s="44"/>
      <c r="CBZ504" s="44"/>
      <c r="CCA504" s="44"/>
      <c r="CCB504" s="44"/>
      <c r="CCC504" s="44"/>
      <c r="CCD504" s="44"/>
      <c r="CCE504" s="44"/>
      <c r="CCF504" s="44"/>
      <c r="CCG504" s="44"/>
      <c r="CCH504" s="44"/>
      <c r="CCI504" s="44"/>
      <c r="CCJ504" s="44"/>
      <c r="CCK504" s="44"/>
      <c r="CCL504" s="44"/>
      <c r="CCM504" s="44"/>
      <c r="CCN504" s="44"/>
      <c r="CCO504" s="44"/>
      <c r="CCP504" s="44"/>
      <c r="CCQ504" s="44"/>
      <c r="CCR504" s="44"/>
      <c r="CCS504" s="44"/>
      <c r="CCT504" s="44"/>
      <c r="CCU504" s="44"/>
      <c r="CCV504" s="44"/>
      <c r="CCW504" s="44"/>
      <c r="CCX504" s="44"/>
      <c r="CCY504" s="44"/>
      <c r="CCZ504" s="44"/>
      <c r="CDA504" s="44"/>
      <c r="CDB504" s="44"/>
      <c r="CDC504" s="44"/>
      <c r="CDD504" s="44"/>
      <c r="CDE504" s="44"/>
      <c r="CDF504" s="44"/>
      <c r="CDG504" s="44"/>
      <c r="CDH504" s="44"/>
      <c r="CDI504" s="44"/>
      <c r="CDJ504" s="44"/>
      <c r="CDK504" s="44"/>
      <c r="CDL504" s="44"/>
      <c r="CDM504" s="44"/>
      <c r="CDN504" s="44"/>
      <c r="CDO504" s="44"/>
      <c r="CDP504" s="44"/>
      <c r="CDQ504" s="44"/>
      <c r="CDR504" s="44"/>
      <c r="CDS504" s="44"/>
      <c r="CDT504" s="44"/>
      <c r="CDU504" s="44"/>
      <c r="CDV504" s="44"/>
      <c r="CDW504" s="44"/>
      <c r="CDX504" s="44"/>
      <c r="CDY504" s="44"/>
      <c r="CDZ504" s="44"/>
      <c r="CEA504" s="44"/>
      <c r="CEB504" s="44"/>
      <c r="CEC504" s="44"/>
      <c r="CED504" s="44"/>
      <c r="CEE504" s="44"/>
      <c r="CEF504" s="44"/>
      <c r="CEG504" s="44"/>
      <c r="CEH504" s="44"/>
      <c r="CEI504" s="44"/>
      <c r="CEJ504" s="44"/>
      <c r="CEK504" s="44"/>
      <c r="CEL504" s="44"/>
      <c r="CEM504" s="44"/>
      <c r="CEN504" s="44"/>
      <c r="CEO504" s="44"/>
      <c r="CEP504" s="44"/>
      <c r="CEQ504" s="44"/>
      <c r="CER504" s="44"/>
      <c r="CES504" s="44"/>
      <c r="CET504" s="44"/>
      <c r="CEU504" s="44"/>
      <c r="CEV504" s="44"/>
      <c r="CEW504" s="44"/>
      <c r="CEX504" s="44"/>
      <c r="CEY504" s="44"/>
      <c r="CEZ504" s="44"/>
      <c r="CFA504" s="44"/>
      <c r="CFB504" s="44"/>
      <c r="CFC504" s="44"/>
      <c r="CFD504" s="44"/>
      <c r="CFE504" s="44"/>
      <c r="CFF504" s="44"/>
      <c r="CFG504" s="44"/>
      <c r="CFH504" s="44"/>
      <c r="CFI504" s="44"/>
      <c r="CFJ504" s="44"/>
      <c r="CFK504" s="44"/>
      <c r="CFL504" s="44"/>
      <c r="CFM504" s="44"/>
      <c r="CFN504" s="44"/>
      <c r="CFO504" s="44"/>
      <c r="CFP504" s="44"/>
      <c r="CFQ504" s="44"/>
      <c r="CFR504" s="44"/>
      <c r="CFS504" s="44"/>
      <c r="CFT504" s="44"/>
      <c r="CFU504" s="44"/>
      <c r="CFV504" s="44"/>
      <c r="CFW504" s="44"/>
      <c r="CFX504" s="44"/>
      <c r="CFY504" s="44"/>
      <c r="CFZ504" s="44"/>
      <c r="CGA504" s="44"/>
      <c r="CGB504" s="44"/>
      <c r="CGC504" s="44"/>
      <c r="CGD504" s="44"/>
      <c r="CGE504" s="44"/>
      <c r="CGF504" s="44"/>
      <c r="CGG504" s="44"/>
      <c r="CGH504" s="44"/>
      <c r="CGI504" s="44"/>
      <c r="CGJ504" s="44"/>
      <c r="CGK504" s="44"/>
      <c r="CGL504" s="44"/>
      <c r="CGM504" s="44"/>
      <c r="CGN504" s="44"/>
      <c r="CGO504" s="44"/>
      <c r="CGP504" s="44"/>
      <c r="CGQ504" s="44"/>
      <c r="CGR504" s="44"/>
      <c r="CGS504" s="44"/>
      <c r="CGT504" s="44"/>
      <c r="CGU504" s="44"/>
      <c r="CGV504" s="44"/>
      <c r="CGW504" s="44"/>
      <c r="CGX504" s="44"/>
      <c r="CGY504" s="44"/>
      <c r="CGZ504" s="44"/>
      <c r="CHA504" s="44"/>
      <c r="CHB504" s="44"/>
      <c r="CHC504" s="44"/>
      <c r="CHD504" s="44"/>
      <c r="CHE504" s="44"/>
      <c r="CHF504" s="44"/>
      <c r="CHG504" s="44"/>
      <c r="CHH504" s="44"/>
      <c r="CHI504" s="44"/>
      <c r="CHJ504" s="44"/>
      <c r="CHK504" s="44"/>
      <c r="CHL504" s="44"/>
      <c r="CHM504" s="44"/>
      <c r="CHN504" s="44"/>
      <c r="CHO504" s="44"/>
      <c r="CHP504" s="44"/>
      <c r="CHQ504" s="44"/>
      <c r="CHR504" s="44"/>
      <c r="CHS504" s="44"/>
      <c r="CHT504" s="44"/>
      <c r="CHU504" s="44"/>
      <c r="CHV504" s="44"/>
      <c r="CHW504" s="44"/>
      <c r="CHX504" s="44"/>
      <c r="CHY504" s="44"/>
      <c r="CHZ504" s="44"/>
      <c r="CIA504" s="44"/>
      <c r="CIB504" s="44"/>
      <c r="CIC504" s="44"/>
      <c r="CID504" s="44"/>
      <c r="CIE504" s="44"/>
      <c r="CIF504" s="44"/>
      <c r="CIG504" s="44"/>
      <c r="CIH504" s="44"/>
      <c r="CII504" s="44"/>
      <c r="CIJ504" s="44"/>
      <c r="CIK504" s="44"/>
      <c r="CIL504" s="44"/>
      <c r="CIM504" s="44"/>
      <c r="CIN504" s="44"/>
      <c r="CIO504" s="44"/>
      <c r="CIP504" s="44"/>
      <c r="CIQ504" s="44"/>
      <c r="CIR504" s="44"/>
      <c r="CIS504" s="44"/>
      <c r="CIT504" s="44"/>
      <c r="CIU504" s="44"/>
      <c r="CIV504" s="44"/>
      <c r="CIW504" s="44"/>
      <c r="CIX504" s="44"/>
      <c r="CIY504" s="44"/>
      <c r="CIZ504" s="44"/>
      <c r="CJA504" s="44"/>
      <c r="CJB504" s="44"/>
      <c r="CJC504" s="44"/>
      <c r="CJD504" s="44"/>
      <c r="CJE504" s="44"/>
      <c r="CJF504" s="44"/>
      <c r="CJG504" s="44"/>
      <c r="CJH504" s="44"/>
      <c r="CJI504" s="44"/>
      <c r="CJJ504" s="44"/>
      <c r="CJK504" s="44"/>
      <c r="CJL504" s="44"/>
      <c r="CJM504" s="44"/>
      <c r="CJN504" s="44"/>
      <c r="CJO504" s="44"/>
      <c r="CJP504" s="44"/>
      <c r="CJQ504" s="44"/>
      <c r="CJR504" s="44"/>
      <c r="CJS504" s="44"/>
      <c r="CJT504" s="44"/>
      <c r="CJU504" s="44"/>
      <c r="CJV504" s="44"/>
      <c r="CJW504" s="44"/>
      <c r="CJX504" s="44"/>
      <c r="CJY504" s="44"/>
      <c r="CJZ504" s="44"/>
      <c r="CKA504" s="44"/>
      <c r="CKB504" s="44"/>
      <c r="CKC504" s="44"/>
      <c r="CKD504" s="44"/>
      <c r="CKE504" s="44"/>
      <c r="CKF504" s="44"/>
      <c r="CKG504" s="44"/>
      <c r="CKH504" s="44"/>
      <c r="CKI504" s="44"/>
      <c r="CKJ504" s="44"/>
      <c r="CKK504" s="44"/>
      <c r="CKL504" s="44"/>
      <c r="CKM504" s="44"/>
      <c r="CKN504" s="44"/>
      <c r="CKO504" s="44"/>
      <c r="CKP504" s="44"/>
      <c r="CKQ504" s="44"/>
      <c r="CKR504" s="44"/>
      <c r="CKS504" s="44"/>
      <c r="CKT504" s="44"/>
      <c r="CKU504" s="44"/>
      <c r="CKV504" s="44"/>
      <c r="CKW504" s="44"/>
      <c r="CKX504" s="44"/>
      <c r="CKY504" s="44"/>
      <c r="CKZ504" s="44"/>
      <c r="CLA504" s="44"/>
      <c r="CLB504" s="44"/>
      <c r="CLC504" s="44"/>
      <c r="CLD504" s="44"/>
      <c r="CLE504" s="44"/>
      <c r="CLF504" s="44"/>
      <c r="CLG504" s="44"/>
      <c r="CLH504" s="44"/>
      <c r="CLI504" s="44"/>
      <c r="CLJ504" s="44"/>
      <c r="CLK504" s="44"/>
      <c r="CLL504" s="44"/>
      <c r="CLM504" s="44"/>
      <c r="CLN504" s="44"/>
      <c r="CLO504" s="44"/>
      <c r="CLP504" s="44"/>
      <c r="CLQ504" s="44"/>
      <c r="CLR504" s="44"/>
      <c r="CLS504" s="44"/>
      <c r="CLT504" s="44"/>
      <c r="CLU504" s="44"/>
      <c r="CLV504" s="44"/>
      <c r="CLW504" s="44"/>
      <c r="CLX504" s="44"/>
      <c r="CLY504" s="44"/>
      <c r="CLZ504" s="44"/>
      <c r="CMA504" s="44"/>
      <c r="CMB504" s="44"/>
      <c r="CMC504" s="44"/>
      <c r="CMD504" s="44"/>
      <c r="CME504" s="44"/>
      <c r="CMF504" s="44"/>
      <c r="CMG504" s="44"/>
      <c r="CMH504" s="44"/>
      <c r="CMI504" s="44"/>
      <c r="CMJ504" s="44"/>
      <c r="CMK504" s="44"/>
      <c r="CML504" s="44"/>
      <c r="CMM504" s="44"/>
      <c r="CMN504" s="44"/>
      <c r="CMO504" s="44"/>
      <c r="CMP504" s="44"/>
      <c r="CMQ504" s="44"/>
      <c r="CMR504" s="44"/>
      <c r="CMS504" s="44"/>
      <c r="CMT504" s="44"/>
      <c r="CMU504" s="44"/>
      <c r="CMV504" s="44"/>
      <c r="CMW504" s="44"/>
      <c r="CMX504" s="44"/>
      <c r="CMY504" s="44"/>
      <c r="CMZ504" s="44"/>
      <c r="CNA504" s="44"/>
      <c r="CNB504" s="44"/>
      <c r="CNC504" s="44"/>
      <c r="CND504" s="44"/>
      <c r="CNE504" s="44"/>
      <c r="CNF504" s="44"/>
      <c r="CNG504" s="44"/>
      <c r="CNH504" s="44"/>
      <c r="CNI504" s="44"/>
      <c r="CNJ504" s="44"/>
      <c r="CNK504" s="44"/>
      <c r="CNL504" s="44"/>
      <c r="CNM504" s="44"/>
      <c r="CNN504" s="44"/>
      <c r="CNO504" s="44"/>
      <c r="CNP504" s="44"/>
      <c r="CNQ504" s="44"/>
      <c r="CNR504" s="44"/>
      <c r="CNS504" s="44"/>
      <c r="CNT504" s="44"/>
      <c r="CNU504" s="44"/>
      <c r="CNV504" s="44"/>
      <c r="CNW504" s="44"/>
      <c r="CNX504" s="44"/>
      <c r="CNY504" s="44"/>
      <c r="CNZ504" s="44"/>
      <c r="COA504" s="44"/>
      <c r="COB504" s="44"/>
      <c r="COC504" s="44"/>
      <c r="COD504" s="44"/>
      <c r="COE504" s="44"/>
      <c r="COF504" s="44"/>
      <c r="COG504" s="44"/>
      <c r="COH504" s="44"/>
      <c r="COI504" s="44"/>
      <c r="COJ504" s="44"/>
      <c r="COK504" s="44"/>
      <c r="COL504" s="44"/>
      <c r="COM504" s="44"/>
      <c r="CON504" s="44"/>
      <c r="COO504" s="44"/>
      <c r="COP504" s="44"/>
      <c r="COQ504" s="44"/>
      <c r="COR504" s="44"/>
      <c r="COS504" s="44"/>
      <c r="COT504" s="44"/>
      <c r="COU504" s="44"/>
      <c r="COV504" s="44"/>
      <c r="COW504" s="44"/>
      <c r="COX504" s="44"/>
      <c r="COY504" s="44"/>
      <c r="COZ504" s="44"/>
      <c r="CPA504" s="44"/>
      <c r="CPB504" s="44"/>
      <c r="CPC504" s="44"/>
      <c r="CPD504" s="44"/>
      <c r="CPE504" s="44"/>
      <c r="CPF504" s="44"/>
      <c r="CPG504" s="44"/>
      <c r="CPH504" s="44"/>
      <c r="CPI504" s="44"/>
      <c r="CPJ504" s="44"/>
      <c r="CPK504" s="44"/>
      <c r="CPL504" s="44"/>
      <c r="CPM504" s="44"/>
      <c r="CPN504" s="44"/>
      <c r="CPO504" s="44"/>
      <c r="CPP504" s="44"/>
      <c r="CPQ504" s="44"/>
      <c r="CPR504" s="44"/>
      <c r="CPS504" s="44"/>
      <c r="CPT504" s="44"/>
      <c r="CPU504" s="44"/>
      <c r="CPV504" s="44"/>
      <c r="CPW504" s="44"/>
      <c r="CPX504" s="44"/>
      <c r="CPY504" s="44"/>
      <c r="CPZ504" s="44"/>
      <c r="CQA504" s="44"/>
      <c r="CQB504" s="44"/>
      <c r="CQC504" s="44"/>
      <c r="CQD504" s="44"/>
      <c r="CQE504" s="44"/>
      <c r="CQF504" s="44"/>
      <c r="CQG504" s="44"/>
      <c r="CQH504" s="44"/>
      <c r="CQI504" s="44"/>
      <c r="CQJ504" s="44"/>
      <c r="CQK504" s="44"/>
      <c r="CQL504" s="44"/>
      <c r="CQM504" s="44"/>
      <c r="CQN504" s="44"/>
      <c r="CQO504" s="44"/>
      <c r="CQP504" s="44"/>
      <c r="CQQ504" s="44"/>
      <c r="CQR504" s="44"/>
      <c r="CQS504" s="44"/>
      <c r="CQT504" s="44"/>
      <c r="CQU504" s="44"/>
      <c r="CQV504" s="44"/>
      <c r="CQW504" s="44"/>
      <c r="CQX504" s="44"/>
      <c r="CQY504" s="44"/>
      <c r="CQZ504" s="44"/>
      <c r="CRA504" s="44"/>
      <c r="CRB504" s="44"/>
      <c r="CRC504" s="44"/>
      <c r="CRD504" s="44"/>
      <c r="CRE504" s="44"/>
      <c r="CRF504" s="44"/>
      <c r="CRG504" s="44"/>
      <c r="CRH504" s="44"/>
      <c r="CRI504" s="44"/>
      <c r="CRJ504" s="44"/>
      <c r="CRK504" s="44"/>
      <c r="CRL504" s="44"/>
      <c r="CRM504" s="44"/>
      <c r="CRN504" s="44"/>
      <c r="CRO504" s="44"/>
      <c r="CRP504" s="44"/>
      <c r="CRQ504" s="44"/>
      <c r="CRR504" s="44"/>
      <c r="CRS504" s="44"/>
      <c r="CRT504" s="44"/>
      <c r="CRU504" s="44"/>
      <c r="CRV504" s="44"/>
      <c r="CRW504" s="44"/>
      <c r="CRX504" s="44"/>
      <c r="CRY504" s="44"/>
      <c r="CRZ504" s="44"/>
      <c r="CSA504" s="44"/>
      <c r="CSB504" s="44"/>
      <c r="CSC504" s="44"/>
      <c r="CSD504" s="44"/>
      <c r="CSE504" s="44"/>
      <c r="CSF504" s="44"/>
      <c r="CSG504" s="44"/>
      <c r="CSH504" s="44"/>
      <c r="CSI504" s="44"/>
      <c r="CSJ504" s="44"/>
      <c r="CSK504" s="44"/>
      <c r="CSL504" s="44"/>
      <c r="CSM504" s="44"/>
      <c r="CSN504" s="44"/>
      <c r="CSO504" s="44"/>
      <c r="CSP504" s="44"/>
      <c r="CSQ504" s="44"/>
      <c r="CSR504" s="44"/>
      <c r="CSS504" s="44"/>
      <c r="CST504" s="44"/>
      <c r="CSU504" s="44"/>
      <c r="CSV504" s="44"/>
      <c r="CSW504" s="44"/>
      <c r="CSX504" s="44"/>
      <c r="CSY504" s="44"/>
      <c r="CSZ504" s="44"/>
      <c r="CTA504" s="44"/>
      <c r="CTB504" s="44"/>
      <c r="CTC504" s="44"/>
      <c r="CTD504" s="44"/>
      <c r="CTE504" s="44"/>
      <c r="CTF504" s="44"/>
      <c r="CTG504" s="44"/>
      <c r="CTH504" s="44"/>
      <c r="CTI504" s="44"/>
      <c r="CTJ504" s="44"/>
      <c r="CTK504" s="44"/>
      <c r="CTL504" s="44"/>
      <c r="CTM504" s="44"/>
      <c r="CTN504" s="44"/>
      <c r="CTO504" s="44"/>
      <c r="CTP504" s="44"/>
      <c r="CTQ504" s="44"/>
      <c r="CTR504" s="44"/>
      <c r="CTS504" s="44"/>
      <c r="CTT504" s="44"/>
      <c r="CTU504" s="44"/>
      <c r="CTV504" s="44"/>
      <c r="CTW504" s="44"/>
      <c r="CTX504" s="44"/>
      <c r="CTY504" s="44"/>
      <c r="CTZ504" s="44"/>
      <c r="CUA504" s="44"/>
      <c r="CUB504" s="44"/>
      <c r="CUC504" s="44"/>
      <c r="CUD504" s="44"/>
      <c r="CUE504" s="44"/>
      <c r="CUF504" s="44"/>
      <c r="CUG504" s="44"/>
      <c r="CUH504" s="44"/>
      <c r="CUI504" s="44"/>
      <c r="CUJ504" s="44"/>
      <c r="CUK504" s="44"/>
      <c r="CUL504" s="44"/>
      <c r="CUM504" s="44"/>
      <c r="CUN504" s="44"/>
      <c r="CUO504" s="44"/>
      <c r="CUP504" s="44"/>
      <c r="CUQ504" s="44"/>
      <c r="CUR504" s="44"/>
      <c r="CUS504" s="44"/>
      <c r="CUT504" s="44"/>
      <c r="CUU504" s="44"/>
      <c r="CUV504" s="44"/>
      <c r="CUW504" s="44"/>
      <c r="CUX504" s="44"/>
      <c r="CUY504" s="44"/>
      <c r="CUZ504" s="44"/>
      <c r="CVA504" s="44"/>
      <c r="CVB504" s="44"/>
      <c r="CVC504" s="44"/>
      <c r="CVD504" s="44"/>
      <c r="CVE504" s="44"/>
      <c r="CVF504" s="44"/>
      <c r="CVG504" s="44"/>
      <c r="CVH504" s="44"/>
      <c r="CVI504" s="44"/>
      <c r="CVJ504" s="44"/>
      <c r="CVK504" s="44"/>
      <c r="CVL504" s="44"/>
      <c r="CVM504" s="44"/>
      <c r="CVN504" s="44"/>
      <c r="CVO504" s="44"/>
      <c r="CVP504" s="44"/>
      <c r="CVQ504" s="44"/>
      <c r="CVR504" s="44"/>
      <c r="CVS504" s="44"/>
      <c r="CVT504" s="44"/>
      <c r="CVU504" s="44"/>
      <c r="CVV504" s="44"/>
      <c r="CVW504" s="44"/>
      <c r="CVX504" s="44"/>
      <c r="CVY504" s="44"/>
      <c r="CVZ504" s="44"/>
      <c r="CWA504" s="44"/>
      <c r="CWB504" s="44"/>
      <c r="CWC504" s="44"/>
      <c r="CWD504" s="44"/>
      <c r="CWE504" s="44"/>
      <c r="CWF504" s="44"/>
      <c r="CWG504" s="44"/>
      <c r="CWH504" s="44"/>
      <c r="CWI504" s="44"/>
      <c r="CWJ504" s="44"/>
      <c r="CWK504" s="44"/>
      <c r="CWL504" s="44"/>
      <c r="CWM504" s="44"/>
      <c r="CWN504" s="44"/>
      <c r="CWO504" s="44"/>
      <c r="CWP504" s="44"/>
      <c r="CWQ504" s="44"/>
      <c r="CWR504" s="44"/>
      <c r="CWS504" s="44"/>
      <c r="CWT504" s="44"/>
      <c r="CWU504" s="44"/>
      <c r="CWV504" s="44"/>
      <c r="CWW504" s="44"/>
      <c r="CWX504" s="44"/>
      <c r="CWY504" s="44"/>
      <c r="CWZ504" s="44"/>
      <c r="CXA504" s="44"/>
      <c r="CXB504" s="44"/>
      <c r="CXC504" s="44"/>
      <c r="CXD504" s="44"/>
      <c r="CXE504" s="44"/>
      <c r="CXF504" s="44"/>
      <c r="CXG504" s="44"/>
      <c r="CXH504" s="44"/>
      <c r="CXI504" s="44"/>
      <c r="CXJ504" s="44"/>
      <c r="CXK504" s="44"/>
      <c r="CXL504" s="44"/>
      <c r="CXM504" s="44"/>
      <c r="CXN504" s="44"/>
      <c r="CXO504" s="44"/>
      <c r="CXP504" s="44"/>
      <c r="CXQ504" s="44"/>
      <c r="CXR504" s="44"/>
      <c r="CXS504" s="44"/>
      <c r="CXT504" s="44"/>
      <c r="CXU504" s="44"/>
      <c r="CXV504" s="44"/>
      <c r="CXW504" s="44"/>
      <c r="CXX504" s="44"/>
      <c r="CXY504" s="44"/>
      <c r="CXZ504" s="44"/>
      <c r="CYA504" s="44"/>
      <c r="CYB504" s="44"/>
      <c r="CYC504" s="44"/>
      <c r="CYD504" s="44"/>
      <c r="CYE504" s="44"/>
      <c r="CYF504" s="44"/>
      <c r="CYG504" s="44"/>
      <c r="CYH504" s="44"/>
      <c r="CYI504" s="44"/>
      <c r="CYJ504" s="44"/>
      <c r="CYK504" s="44"/>
      <c r="CYL504" s="44"/>
      <c r="CYM504" s="44"/>
      <c r="CYN504" s="44"/>
      <c r="CYO504" s="44"/>
      <c r="CYP504" s="44"/>
      <c r="CYQ504" s="44"/>
      <c r="CYR504" s="44"/>
      <c r="CYS504" s="44"/>
      <c r="CYT504" s="44"/>
      <c r="CYU504" s="44"/>
      <c r="CYV504" s="44"/>
      <c r="CYW504" s="44"/>
      <c r="CYX504" s="44"/>
      <c r="CYY504" s="44"/>
      <c r="CYZ504" s="44"/>
      <c r="CZA504" s="44"/>
      <c r="CZB504" s="44"/>
      <c r="CZC504" s="44"/>
      <c r="CZD504" s="44"/>
      <c r="CZE504" s="44"/>
      <c r="CZF504" s="44"/>
      <c r="CZG504" s="44"/>
      <c r="CZH504" s="44"/>
      <c r="CZI504" s="44"/>
      <c r="CZJ504" s="44"/>
      <c r="CZK504" s="44"/>
      <c r="CZL504" s="44"/>
      <c r="CZM504" s="44"/>
      <c r="CZN504" s="44"/>
      <c r="CZO504" s="44"/>
      <c r="CZP504" s="44"/>
      <c r="CZQ504" s="44"/>
      <c r="CZR504" s="44"/>
      <c r="CZS504" s="44"/>
      <c r="CZT504" s="44"/>
      <c r="CZU504" s="44"/>
      <c r="CZV504" s="44"/>
      <c r="CZW504" s="44"/>
      <c r="CZX504" s="44"/>
      <c r="CZY504" s="44"/>
      <c r="CZZ504" s="44"/>
      <c r="DAA504" s="44"/>
      <c r="DAB504" s="44"/>
      <c r="DAC504" s="44"/>
      <c r="DAD504" s="44"/>
      <c r="DAE504" s="44"/>
      <c r="DAF504" s="44"/>
      <c r="DAG504" s="44"/>
      <c r="DAH504" s="44"/>
      <c r="DAI504" s="44"/>
      <c r="DAJ504" s="44"/>
      <c r="DAK504" s="44"/>
      <c r="DAL504" s="44"/>
      <c r="DAM504" s="44"/>
      <c r="DAN504" s="44"/>
      <c r="DAO504" s="44"/>
      <c r="DAP504" s="44"/>
      <c r="DAQ504" s="44"/>
      <c r="DAR504" s="44"/>
      <c r="DAS504" s="44"/>
      <c r="DAT504" s="44"/>
      <c r="DAU504" s="44"/>
      <c r="DAV504" s="44"/>
      <c r="DAW504" s="44"/>
      <c r="DAX504" s="44"/>
      <c r="DAY504" s="44"/>
      <c r="DAZ504" s="44"/>
      <c r="DBA504" s="44"/>
      <c r="DBB504" s="44"/>
      <c r="DBC504" s="44"/>
      <c r="DBD504" s="44"/>
      <c r="DBE504" s="44"/>
      <c r="DBF504" s="44"/>
      <c r="DBG504" s="44"/>
      <c r="DBH504" s="44"/>
      <c r="DBI504" s="44"/>
      <c r="DBJ504" s="44"/>
      <c r="DBK504" s="44"/>
      <c r="DBL504" s="44"/>
      <c r="DBM504" s="44"/>
      <c r="DBN504" s="44"/>
      <c r="DBO504" s="44"/>
      <c r="DBP504" s="44"/>
      <c r="DBQ504" s="44"/>
      <c r="DBR504" s="44"/>
      <c r="DBS504" s="44"/>
      <c r="DBT504" s="44"/>
      <c r="DBU504" s="44"/>
      <c r="DBV504" s="44"/>
      <c r="DBW504" s="44"/>
      <c r="DBX504" s="44"/>
      <c r="DBY504" s="44"/>
      <c r="DBZ504" s="44"/>
      <c r="DCA504" s="44"/>
      <c r="DCB504" s="44"/>
      <c r="DCC504" s="44"/>
      <c r="DCD504" s="44"/>
      <c r="DCE504" s="44"/>
      <c r="DCF504" s="44"/>
      <c r="DCG504" s="44"/>
      <c r="DCH504" s="44"/>
      <c r="DCI504" s="44"/>
      <c r="DCJ504" s="44"/>
      <c r="DCK504" s="44"/>
      <c r="DCL504" s="44"/>
      <c r="DCM504" s="44"/>
      <c r="DCN504" s="44"/>
      <c r="DCO504" s="44"/>
      <c r="DCP504" s="44"/>
      <c r="DCQ504" s="44"/>
      <c r="DCR504" s="44"/>
      <c r="DCS504" s="44"/>
      <c r="DCT504" s="44"/>
      <c r="DCU504" s="44"/>
      <c r="DCV504" s="44"/>
      <c r="DCW504" s="44"/>
      <c r="DCX504" s="44"/>
      <c r="DCY504" s="44"/>
      <c r="DCZ504" s="44"/>
      <c r="DDA504" s="44"/>
      <c r="DDB504" s="44"/>
      <c r="DDC504" s="44"/>
      <c r="DDD504" s="44"/>
      <c r="DDE504" s="44"/>
      <c r="DDF504" s="44"/>
      <c r="DDG504" s="44"/>
      <c r="DDH504" s="44"/>
      <c r="DDI504" s="44"/>
      <c r="DDJ504" s="44"/>
      <c r="DDK504" s="44"/>
      <c r="DDL504" s="44"/>
      <c r="DDM504" s="44"/>
      <c r="DDN504" s="44"/>
      <c r="DDO504" s="44"/>
      <c r="DDP504" s="44"/>
      <c r="DDQ504" s="44"/>
      <c r="DDR504" s="44"/>
      <c r="DDS504" s="44"/>
      <c r="DDT504" s="44"/>
      <c r="DDU504" s="44"/>
      <c r="DDV504" s="44"/>
      <c r="DDW504" s="44"/>
      <c r="DDX504" s="44"/>
      <c r="DDY504" s="44"/>
      <c r="DDZ504" s="44"/>
      <c r="DEA504" s="44"/>
      <c r="DEB504" s="44"/>
      <c r="DEC504" s="44"/>
      <c r="DED504" s="44"/>
      <c r="DEE504" s="44"/>
      <c r="DEF504" s="44"/>
      <c r="DEG504" s="44"/>
      <c r="DEH504" s="44"/>
      <c r="DEI504" s="44"/>
      <c r="DEJ504" s="44"/>
      <c r="DEK504" s="44"/>
      <c r="DEL504" s="44"/>
      <c r="DEM504" s="44"/>
      <c r="DEN504" s="44"/>
      <c r="DEO504" s="44"/>
      <c r="DEP504" s="44"/>
      <c r="DEQ504" s="44"/>
      <c r="DER504" s="44"/>
      <c r="DES504" s="44"/>
      <c r="DET504" s="44"/>
      <c r="DEU504" s="44"/>
      <c r="DEV504" s="44"/>
      <c r="DEW504" s="44"/>
      <c r="DEX504" s="44"/>
      <c r="DEY504" s="44"/>
      <c r="DEZ504" s="44"/>
      <c r="DFA504" s="44"/>
      <c r="DFB504" s="44"/>
      <c r="DFC504" s="44"/>
      <c r="DFD504" s="44"/>
      <c r="DFE504" s="44"/>
      <c r="DFF504" s="44"/>
      <c r="DFG504" s="44"/>
      <c r="DFH504" s="44"/>
      <c r="DFI504" s="44"/>
      <c r="DFJ504" s="44"/>
      <c r="DFK504" s="44"/>
      <c r="DFL504" s="44"/>
      <c r="DFM504" s="44"/>
      <c r="DFN504" s="44"/>
      <c r="DFO504" s="44"/>
      <c r="DFP504" s="44"/>
      <c r="DFQ504" s="44"/>
      <c r="DFR504" s="44"/>
      <c r="DFS504" s="44"/>
      <c r="DFT504" s="44"/>
      <c r="DFU504" s="44"/>
      <c r="DFV504" s="44"/>
      <c r="DFW504" s="44"/>
      <c r="DFX504" s="44"/>
      <c r="DFY504" s="44"/>
      <c r="DFZ504" s="44"/>
      <c r="DGA504" s="44"/>
      <c r="DGB504" s="44"/>
      <c r="DGC504" s="44"/>
      <c r="DGD504" s="44"/>
      <c r="DGE504" s="44"/>
      <c r="DGF504" s="44"/>
      <c r="DGG504" s="44"/>
      <c r="DGH504" s="44"/>
      <c r="DGI504" s="44"/>
      <c r="DGJ504" s="44"/>
      <c r="DGK504" s="44"/>
      <c r="DGL504" s="44"/>
      <c r="DGM504" s="44"/>
      <c r="DGN504" s="44"/>
      <c r="DGO504" s="44"/>
      <c r="DGP504" s="44"/>
      <c r="DGQ504" s="44"/>
      <c r="DGR504" s="44"/>
      <c r="DGS504" s="44"/>
      <c r="DGT504" s="44"/>
      <c r="DGU504" s="44"/>
      <c r="DGV504" s="44"/>
      <c r="DGW504" s="44"/>
      <c r="DGX504" s="44"/>
      <c r="DGY504" s="44"/>
      <c r="DGZ504" s="44"/>
      <c r="DHA504" s="44"/>
      <c r="DHB504" s="44"/>
      <c r="DHC504" s="44"/>
      <c r="DHD504" s="44"/>
      <c r="DHE504" s="44"/>
      <c r="DHF504" s="44"/>
      <c r="DHG504" s="44"/>
      <c r="DHH504" s="44"/>
      <c r="DHI504" s="44"/>
      <c r="DHJ504" s="44"/>
      <c r="DHK504" s="44"/>
      <c r="DHL504" s="44"/>
      <c r="DHM504" s="44"/>
      <c r="DHN504" s="44"/>
      <c r="DHO504" s="44"/>
      <c r="DHP504" s="44"/>
      <c r="DHQ504" s="44"/>
      <c r="DHR504" s="44"/>
      <c r="DHS504" s="44"/>
      <c r="DHT504" s="44"/>
      <c r="DHU504" s="44"/>
      <c r="DHV504" s="44"/>
      <c r="DHW504" s="44"/>
      <c r="DHX504" s="44"/>
      <c r="DHY504" s="44"/>
      <c r="DHZ504" s="44"/>
      <c r="DIA504" s="44"/>
      <c r="DIB504" s="44"/>
      <c r="DIC504" s="44"/>
      <c r="DID504" s="44"/>
      <c r="DIE504" s="44"/>
      <c r="DIF504" s="44"/>
      <c r="DIG504" s="44"/>
      <c r="DIH504" s="44"/>
      <c r="DII504" s="44"/>
      <c r="DIJ504" s="44"/>
      <c r="DIK504" s="44"/>
      <c r="DIL504" s="44"/>
      <c r="DIM504" s="44"/>
      <c r="DIN504" s="44"/>
      <c r="DIO504" s="44"/>
      <c r="DIP504" s="44"/>
      <c r="DIQ504" s="44"/>
      <c r="DIR504" s="44"/>
      <c r="DIS504" s="44"/>
      <c r="DIT504" s="44"/>
      <c r="DIU504" s="44"/>
      <c r="DIV504" s="44"/>
      <c r="DIW504" s="44"/>
      <c r="DIX504" s="44"/>
      <c r="DIY504" s="44"/>
      <c r="DIZ504" s="44"/>
      <c r="DJA504" s="44"/>
      <c r="DJB504" s="44"/>
      <c r="DJC504" s="44"/>
      <c r="DJD504" s="44"/>
      <c r="DJE504" s="44"/>
      <c r="DJF504" s="44"/>
      <c r="DJG504" s="44"/>
      <c r="DJH504" s="44"/>
      <c r="DJI504" s="44"/>
      <c r="DJJ504" s="44"/>
      <c r="DJK504" s="44"/>
      <c r="DJL504" s="44"/>
      <c r="DJM504" s="44"/>
      <c r="DJN504" s="44"/>
      <c r="DJO504" s="44"/>
      <c r="DJP504" s="44"/>
      <c r="DJQ504" s="44"/>
      <c r="DJR504" s="44"/>
      <c r="DJS504" s="44"/>
      <c r="DJT504" s="44"/>
      <c r="DJU504" s="44"/>
      <c r="DJV504" s="44"/>
      <c r="DJW504" s="44"/>
      <c r="DJX504" s="44"/>
      <c r="DJY504" s="44"/>
      <c r="DJZ504" s="44"/>
      <c r="DKA504" s="44"/>
      <c r="DKB504" s="44"/>
      <c r="DKC504" s="44"/>
      <c r="DKD504" s="44"/>
      <c r="DKE504" s="44"/>
      <c r="DKF504" s="44"/>
      <c r="DKG504" s="44"/>
      <c r="DKH504" s="44"/>
      <c r="DKI504" s="44"/>
      <c r="DKJ504" s="44"/>
      <c r="DKK504" s="44"/>
      <c r="DKL504" s="44"/>
      <c r="DKM504" s="44"/>
      <c r="DKN504" s="44"/>
      <c r="DKO504" s="44"/>
      <c r="DKP504" s="44"/>
      <c r="DKQ504" s="44"/>
      <c r="DKR504" s="44"/>
      <c r="DKS504" s="44"/>
      <c r="DKT504" s="44"/>
      <c r="DKU504" s="44"/>
      <c r="DKV504" s="44"/>
      <c r="DKW504" s="44"/>
      <c r="DKX504" s="44"/>
      <c r="DKY504" s="44"/>
      <c r="DKZ504" s="44"/>
      <c r="DLA504" s="44"/>
      <c r="DLB504" s="44"/>
      <c r="DLC504" s="44"/>
      <c r="DLD504" s="44"/>
      <c r="DLE504" s="44"/>
      <c r="DLF504" s="44"/>
      <c r="DLG504" s="44"/>
      <c r="DLH504" s="44"/>
      <c r="DLI504" s="44"/>
      <c r="DLJ504" s="44"/>
      <c r="DLK504" s="44"/>
      <c r="DLL504" s="44"/>
      <c r="DLM504" s="44"/>
      <c r="DLN504" s="44"/>
      <c r="DLO504" s="44"/>
      <c r="DLP504" s="44"/>
      <c r="DLQ504" s="44"/>
      <c r="DLR504" s="44"/>
      <c r="DLS504" s="44"/>
      <c r="DLT504" s="44"/>
      <c r="DLU504" s="44"/>
      <c r="DLV504" s="44"/>
      <c r="DLW504" s="44"/>
      <c r="DLX504" s="44"/>
      <c r="DLY504" s="44"/>
      <c r="DLZ504" s="44"/>
      <c r="DMA504" s="44"/>
      <c r="DMB504" s="44"/>
      <c r="DMC504" s="44"/>
      <c r="DMD504" s="44"/>
      <c r="DME504" s="44"/>
      <c r="DMF504" s="44"/>
      <c r="DMG504" s="44"/>
      <c r="DMH504" s="44"/>
      <c r="DMI504" s="44"/>
      <c r="DMJ504" s="44"/>
      <c r="DMK504" s="44"/>
      <c r="DML504" s="44"/>
      <c r="DMM504" s="44"/>
      <c r="DMN504" s="44"/>
      <c r="DMO504" s="44"/>
      <c r="DMP504" s="44"/>
      <c r="DMQ504" s="44"/>
      <c r="DMR504" s="44"/>
      <c r="DMS504" s="44"/>
      <c r="DMT504" s="44"/>
      <c r="DMU504" s="44"/>
      <c r="DMV504" s="44"/>
      <c r="DMW504" s="44"/>
      <c r="DMX504" s="44"/>
      <c r="DMY504" s="44"/>
      <c r="DMZ504" s="44"/>
      <c r="DNA504" s="44"/>
      <c r="DNB504" s="44"/>
      <c r="DNC504" s="44"/>
      <c r="DND504" s="44"/>
      <c r="DNE504" s="44"/>
      <c r="DNF504" s="44"/>
      <c r="DNG504" s="44"/>
      <c r="DNH504" s="44"/>
      <c r="DNI504" s="44"/>
      <c r="DNJ504" s="44"/>
      <c r="DNK504" s="44"/>
      <c r="DNL504" s="44"/>
      <c r="DNM504" s="44"/>
      <c r="DNN504" s="44"/>
      <c r="DNO504" s="44"/>
      <c r="DNP504" s="44"/>
      <c r="DNQ504" s="44"/>
      <c r="DNR504" s="44"/>
      <c r="DNS504" s="44"/>
      <c r="DNT504" s="44"/>
      <c r="DNU504" s="44"/>
      <c r="DNV504" s="44"/>
      <c r="DNW504" s="44"/>
      <c r="DNX504" s="44"/>
      <c r="DNY504" s="44"/>
      <c r="DNZ504" s="44"/>
      <c r="DOA504" s="44"/>
      <c r="DOB504" s="44"/>
      <c r="DOC504" s="44"/>
      <c r="DOD504" s="44"/>
      <c r="DOE504" s="44"/>
      <c r="DOF504" s="44"/>
      <c r="DOG504" s="44"/>
      <c r="DOH504" s="44"/>
      <c r="DOI504" s="44"/>
      <c r="DOJ504" s="44"/>
      <c r="DOK504" s="44"/>
      <c r="DOL504" s="44"/>
      <c r="DOM504" s="44"/>
      <c r="DON504" s="44"/>
      <c r="DOO504" s="44"/>
      <c r="DOP504" s="44"/>
      <c r="DOQ504" s="44"/>
      <c r="DOR504" s="44"/>
      <c r="DOS504" s="44"/>
      <c r="DOT504" s="44"/>
      <c r="DOU504" s="44"/>
      <c r="DOV504" s="44"/>
      <c r="DOW504" s="44"/>
      <c r="DOX504" s="44"/>
      <c r="DOY504" s="44"/>
      <c r="DOZ504" s="44"/>
      <c r="DPA504" s="44"/>
      <c r="DPB504" s="44"/>
      <c r="DPC504" s="44"/>
      <c r="DPD504" s="44"/>
      <c r="DPE504" s="44"/>
      <c r="DPF504" s="44"/>
      <c r="DPG504" s="44"/>
      <c r="DPH504" s="44"/>
      <c r="DPI504" s="44"/>
      <c r="DPJ504" s="44"/>
      <c r="DPK504" s="44"/>
      <c r="DPL504" s="44"/>
      <c r="DPM504" s="44"/>
      <c r="DPN504" s="44"/>
      <c r="DPO504" s="44"/>
      <c r="DPP504" s="44"/>
      <c r="DPQ504" s="44"/>
      <c r="DPR504" s="44"/>
      <c r="DPS504" s="44"/>
      <c r="DPT504" s="44"/>
      <c r="DPU504" s="44"/>
      <c r="DPV504" s="44"/>
      <c r="DPW504" s="44"/>
      <c r="DPX504" s="44"/>
      <c r="DPY504" s="44"/>
      <c r="DPZ504" s="44"/>
      <c r="DQA504" s="44"/>
      <c r="DQB504" s="44"/>
      <c r="DQC504" s="44"/>
      <c r="DQD504" s="44"/>
      <c r="DQE504" s="44"/>
      <c r="DQF504" s="44"/>
      <c r="DQG504" s="44"/>
      <c r="DQH504" s="44"/>
      <c r="DQI504" s="44"/>
      <c r="DQJ504" s="44"/>
      <c r="DQK504" s="44"/>
      <c r="DQL504" s="44"/>
      <c r="DQM504" s="44"/>
      <c r="DQN504" s="44"/>
      <c r="DQO504" s="44"/>
      <c r="DQP504" s="44"/>
      <c r="DQQ504" s="44"/>
      <c r="DQR504" s="44"/>
      <c r="DQS504" s="44"/>
      <c r="DQT504" s="44"/>
      <c r="DQU504" s="44"/>
      <c r="DQV504" s="44"/>
      <c r="DQW504" s="44"/>
      <c r="DQX504" s="44"/>
      <c r="DQY504" s="44"/>
      <c r="DQZ504" s="44"/>
      <c r="DRA504" s="44"/>
      <c r="DRB504" s="44"/>
      <c r="DRC504" s="44"/>
      <c r="DRD504" s="44"/>
      <c r="DRE504" s="44"/>
      <c r="DRF504" s="44"/>
      <c r="DRG504" s="44"/>
      <c r="DRH504" s="44"/>
      <c r="DRI504" s="44"/>
      <c r="DRJ504" s="44"/>
      <c r="DRK504" s="44"/>
      <c r="DRL504" s="44"/>
      <c r="DRM504" s="44"/>
      <c r="DRN504" s="44"/>
      <c r="DRO504" s="44"/>
      <c r="DRP504" s="44"/>
      <c r="DRQ504" s="44"/>
      <c r="DRR504" s="44"/>
      <c r="DRS504" s="44"/>
      <c r="DRT504" s="44"/>
      <c r="DRU504" s="44"/>
      <c r="DRV504" s="44"/>
      <c r="DRW504" s="44"/>
      <c r="DRX504" s="44"/>
      <c r="DRY504" s="44"/>
      <c r="DRZ504" s="44"/>
      <c r="DSA504" s="44"/>
      <c r="DSB504" s="44"/>
      <c r="DSC504" s="44"/>
      <c r="DSD504" s="44"/>
      <c r="DSE504" s="44"/>
      <c r="DSF504" s="44"/>
      <c r="DSG504" s="44"/>
      <c r="DSH504" s="44"/>
      <c r="DSI504" s="44"/>
      <c r="DSJ504" s="44"/>
      <c r="DSK504" s="44"/>
      <c r="DSL504" s="44"/>
      <c r="DSM504" s="44"/>
      <c r="DSN504" s="44"/>
      <c r="DSO504" s="44"/>
      <c r="DSP504" s="44"/>
      <c r="DSQ504" s="44"/>
      <c r="DSR504" s="44"/>
      <c r="DSS504" s="44"/>
      <c r="DST504" s="44"/>
      <c r="DSU504" s="44"/>
      <c r="DSV504" s="44"/>
      <c r="DSW504" s="44"/>
      <c r="DSX504" s="44"/>
      <c r="DSY504" s="44"/>
      <c r="DSZ504" s="44"/>
      <c r="DTA504" s="44"/>
      <c r="DTB504" s="44"/>
      <c r="DTC504" s="44"/>
      <c r="DTD504" s="44"/>
      <c r="DTE504" s="44"/>
      <c r="DTF504" s="44"/>
      <c r="DTG504" s="44"/>
      <c r="DTH504" s="44"/>
      <c r="DTI504" s="44"/>
      <c r="DTJ504" s="44"/>
      <c r="DTK504" s="44"/>
      <c r="DTL504" s="44"/>
      <c r="DTM504" s="44"/>
      <c r="DTN504" s="44"/>
      <c r="DTO504" s="44"/>
      <c r="DTP504" s="44"/>
      <c r="DTQ504" s="44"/>
      <c r="DTR504" s="44"/>
      <c r="DTS504" s="44"/>
      <c r="DTT504" s="44"/>
      <c r="DTU504" s="44"/>
      <c r="DTV504" s="44"/>
      <c r="DTW504" s="44"/>
      <c r="DTX504" s="44"/>
      <c r="DTY504" s="44"/>
      <c r="DTZ504" s="44"/>
      <c r="DUA504" s="44"/>
      <c r="DUB504" s="44"/>
      <c r="DUC504" s="44"/>
      <c r="DUD504" s="44"/>
      <c r="DUE504" s="44"/>
      <c r="DUF504" s="44"/>
      <c r="DUG504" s="44"/>
      <c r="DUH504" s="44"/>
      <c r="DUI504" s="44"/>
      <c r="DUJ504" s="44"/>
      <c r="DUK504" s="44"/>
      <c r="DUL504" s="44"/>
      <c r="DUM504" s="44"/>
      <c r="DUN504" s="44"/>
      <c r="DUO504" s="44"/>
      <c r="DUP504" s="44"/>
      <c r="DUQ504" s="44"/>
      <c r="DUR504" s="44"/>
      <c r="DUS504" s="44"/>
      <c r="DUT504" s="44"/>
      <c r="DUU504" s="44"/>
      <c r="DUV504" s="44"/>
      <c r="DUW504" s="44"/>
      <c r="DUX504" s="44"/>
      <c r="DUY504" s="44"/>
      <c r="DUZ504" s="44"/>
      <c r="DVA504" s="44"/>
      <c r="DVB504" s="44"/>
      <c r="DVC504" s="44"/>
      <c r="DVD504" s="44"/>
      <c r="DVE504" s="44"/>
      <c r="DVF504" s="44"/>
      <c r="DVG504" s="44"/>
      <c r="DVH504" s="44"/>
      <c r="DVI504" s="44"/>
      <c r="DVJ504" s="44"/>
      <c r="DVK504" s="44"/>
      <c r="DVL504" s="44"/>
      <c r="DVM504" s="44"/>
      <c r="DVN504" s="44"/>
      <c r="DVO504" s="44"/>
      <c r="DVP504" s="44"/>
      <c r="DVQ504" s="44"/>
      <c r="DVR504" s="44"/>
      <c r="DVS504" s="44"/>
      <c r="DVT504" s="44"/>
      <c r="DVU504" s="44"/>
      <c r="DVV504" s="44"/>
      <c r="DVW504" s="44"/>
      <c r="DVX504" s="44"/>
      <c r="DVY504" s="44"/>
      <c r="DVZ504" s="44"/>
      <c r="DWA504" s="44"/>
      <c r="DWB504" s="44"/>
      <c r="DWC504" s="44"/>
      <c r="DWD504" s="44"/>
      <c r="DWE504" s="44"/>
      <c r="DWF504" s="44"/>
      <c r="DWG504" s="44"/>
      <c r="DWH504" s="44"/>
      <c r="DWI504" s="44"/>
      <c r="DWJ504" s="44"/>
      <c r="DWK504" s="44"/>
      <c r="DWL504" s="44"/>
      <c r="DWM504" s="44"/>
      <c r="DWN504" s="44"/>
      <c r="DWO504" s="44"/>
      <c r="DWP504" s="44"/>
      <c r="DWQ504" s="44"/>
      <c r="DWR504" s="44"/>
      <c r="DWS504" s="44"/>
      <c r="DWT504" s="44"/>
      <c r="DWU504" s="44"/>
      <c r="DWV504" s="44"/>
      <c r="DWW504" s="44"/>
      <c r="DWX504" s="44"/>
      <c r="DWY504" s="44"/>
      <c r="DWZ504" s="44"/>
      <c r="DXA504" s="44"/>
      <c r="DXB504" s="44"/>
      <c r="DXC504" s="44"/>
      <c r="DXD504" s="44"/>
      <c r="DXE504" s="44"/>
      <c r="DXF504" s="44"/>
      <c r="DXG504" s="44"/>
      <c r="DXH504" s="44"/>
      <c r="DXI504" s="44"/>
      <c r="DXJ504" s="44"/>
      <c r="DXK504" s="44"/>
      <c r="DXL504" s="44"/>
      <c r="DXM504" s="44"/>
      <c r="DXN504" s="44"/>
      <c r="DXO504" s="44"/>
      <c r="DXP504" s="44"/>
      <c r="DXQ504" s="44"/>
      <c r="DXR504" s="44"/>
      <c r="DXS504" s="44"/>
      <c r="DXT504" s="44"/>
      <c r="DXU504" s="44"/>
      <c r="DXV504" s="44"/>
      <c r="DXW504" s="44"/>
      <c r="DXX504" s="44"/>
      <c r="DXY504" s="44"/>
      <c r="DXZ504" s="44"/>
      <c r="DYA504" s="44"/>
      <c r="DYB504" s="44"/>
      <c r="DYC504" s="44"/>
      <c r="DYD504" s="44"/>
      <c r="DYE504" s="44"/>
      <c r="DYF504" s="44"/>
      <c r="DYG504" s="44"/>
      <c r="DYH504" s="44"/>
      <c r="DYI504" s="44"/>
      <c r="DYJ504" s="44"/>
      <c r="DYK504" s="44"/>
      <c r="DYL504" s="44"/>
      <c r="DYM504" s="44"/>
      <c r="DYN504" s="44"/>
      <c r="DYO504" s="44"/>
      <c r="DYP504" s="44"/>
      <c r="DYQ504" s="44"/>
      <c r="DYR504" s="44"/>
      <c r="DYS504" s="44"/>
      <c r="DYT504" s="44"/>
      <c r="DYU504" s="44"/>
      <c r="DYV504" s="44"/>
      <c r="DYW504" s="44"/>
      <c r="DYX504" s="44"/>
      <c r="DYY504" s="44"/>
      <c r="DYZ504" s="44"/>
      <c r="DZA504" s="44"/>
      <c r="DZB504" s="44"/>
      <c r="DZC504" s="44"/>
      <c r="DZD504" s="44"/>
      <c r="DZE504" s="44"/>
      <c r="DZF504" s="44"/>
      <c r="DZG504" s="44"/>
      <c r="DZH504" s="44"/>
      <c r="DZI504" s="44"/>
      <c r="DZJ504" s="44"/>
      <c r="DZK504" s="44"/>
      <c r="DZL504" s="44"/>
      <c r="DZM504" s="44"/>
      <c r="DZN504" s="44"/>
      <c r="DZO504" s="44"/>
      <c r="DZP504" s="44"/>
      <c r="DZQ504" s="44"/>
      <c r="DZR504" s="44"/>
      <c r="DZS504" s="44"/>
      <c r="DZT504" s="44"/>
      <c r="DZU504" s="44"/>
      <c r="DZV504" s="44"/>
      <c r="DZW504" s="44"/>
      <c r="DZX504" s="44"/>
      <c r="DZY504" s="44"/>
      <c r="DZZ504" s="44"/>
      <c r="EAA504" s="44"/>
      <c r="EAB504" s="44"/>
      <c r="EAC504" s="44"/>
      <c r="EAD504" s="44"/>
      <c r="EAE504" s="44"/>
      <c r="EAF504" s="44"/>
      <c r="EAG504" s="44"/>
      <c r="EAH504" s="44"/>
      <c r="EAI504" s="44"/>
      <c r="EAJ504" s="44"/>
      <c r="EAK504" s="44"/>
      <c r="EAL504" s="44"/>
      <c r="EAM504" s="44"/>
      <c r="EAN504" s="44"/>
      <c r="EAO504" s="44"/>
      <c r="EAP504" s="44"/>
      <c r="EAQ504" s="44"/>
      <c r="EAR504" s="44"/>
      <c r="EAS504" s="44"/>
      <c r="EAT504" s="44"/>
      <c r="EAU504" s="44"/>
      <c r="EAV504" s="44"/>
      <c r="EAW504" s="44"/>
      <c r="EAX504" s="44"/>
      <c r="EAY504" s="44"/>
      <c r="EAZ504" s="44"/>
      <c r="EBA504" s="44"/>
      <c r="EBB504" s="44"/>
      <c r="EBC504" s="44"/>
      <c r="EBD504" s="44"/>
      <c r="EBE504" s="44"/>
      <c r="EBF504" s="44"/>
      <c r="EBG504" s="44"/>
      <c r="EBH504" s="44"/>
      <c r="EBI504" s="44"/>
      <c r="EBJ504" s="44"/>
      <c r="EBK504" s="44"/>
      <c r="EBL504" s="44"/>
      <c r="EBM504" s="44"/>
      <c r="EBN504" s="44"/>
      <c r="EBO504" s="44"/>
      <c r="EBP504" s="44"/>
      <c r="EBQ504" s="44"/>
      <c r="EBR504" s="44"/>
      <c r="EBS504" s="44"/>
      <c r="EBT504" s="44"/>
      <c r="EBU504" s="44"/>
      <c r="EBV504" s="44"/>
      <c r="EBW504" s="44"/>
      <c r="EBX504" s="44"/>
      <c r="EBY504" s="44"/>
      <c r="EBZ504" s="44"/>
      <c r="ECA504" s="44"/>
      <c r="ECB504" s="44"/>
      <c r="ECC504" s="44"/>
      <c r="ECD504" s="44"/>
      <c r="ECE504" s="44"/>
      <c r="ECF504" s="44"/>
      <c r="ECG504" s="44"/>
      <c r="ECH504" s="44"/>
      <c r="ECI504" s="44"/>
      <c r="ECJ504" s="44"/>
      <c r="ECK504" s="44"/>
      <c r="ECL504" s="44"/>
      <c r="ECM504" s="44"/>
      <c r="ECN504" s="44"/>
      <c r="ECO504" s="44"/>
      <c r="ECP504" s="44"/>
      <c r="ECQ504" s="44"/>
      <c r="ECR504" s="44"/>
      <c r="ECS504" s="44"/>
      <c r="ECT504" s="44"/>
      <c r="ECU504" s="44"/>
      <c r="ECV504" s="44"/>
      <c r="ECW504" s="44"/>
      <c r="ECX504" s="44"/>
      <c r="ECY504" s="44"/>
      <c r="ECZ504" s="44"/>
      <c r="EDA504" s="44"/>
      <c r="EDB504" s="44"/>
      <c r="EDC504" s="44"/>
      <c r="EDD504" s="44"/>
      <c r="EDE504" s="44"/>
      <c r="EDF504" s="44"/>
      <c r="EDG504" s="44"/>
      <c r="EDH504" s="44"/>
      <c r="EDI504" s="44"/>
      <c r="EDJ504" s="44"/>
      <c r="EDK504" s="44"/>
      <c r="EDL504" s="44"/>
      <c r="EDM504" s="44"/>
      <c r="EDN504" s="44"/>
      <c r="EDO504" s="44"/>
      <c r="EDP504" s="44"/>
      <c r="EDQ504" s="44"/>
      <c r="EDR504" s="44"/>
      <c r="EDS504" s="44"/>
      <c r="EDT504" s="44"/>
      <c r="EDU504" s="44"/>
      <c r="EDV504" s="44"/>
      <c r="EDW504" s="44"/>
      <c r="EDX504" s="44"/>
      <c r="EDY504" s="44"/>
      <c r="EDZ504" s="44"/>
      <c r="EEA504" s="44"/>
      <c r="EEB504" s="44"/>
      <c r="EEC504" s="44"/>
      <c r="EED504" s="44"/>
      <c r="EEE504" s="44"/>
      <c r="EEF504" s="44"/>
      <c r="EEG504" s="44"/>
      <c r="EEH504" s="44"/>
      <c r="EEI504" s="44"/>
      <c r="EEJ504" s="44"/>
      <c r="EEK504" s="44"/>
      <c r="EEL504" s="44"/>
      <c r="EEM504" s="44"/>
      <c r="EEN504" s="44"/>
      <c r="EEO504" s="44"/>
      <c r="EEP504" s="44"/>
      <c r="EEQ504" s="44"/>
      <c r="EER504" s="44"/>
      <c r="EES504" s="44"/>
      <c r="EET504" s="44"/>
      <c r="EEU504" s="44"/>
      <c r="EEV504" s="44"/>
      <c r="EEW504" s="44"/>
      <c r="EEX504" s="44"/>
      <c r="EEY504" s="44"/>
      <c r="EEZ504" s="44"/>
      <c r="EFA504" s="44"/>
      <c r="EFB504" s="44"/>
      <c r="EFC504" s="44"/>
      <c r="EFD504" s="44"/>
      <c r="EFE504" s="44"/>
      <c r="EFF504" s="44"/>
      <c r="EFG504" s="44"/>
      <c r="EFH504" s="44"/>
      <c r="EFI504" s="44"/>
      <c r="EFJ504" s="44"/>
      <c r="EFK504" s="44"/>
      <c r="EFL504" s="44"/>
      <c r="EFM504" s="44"/>
      <c r="EFN504" s="44"/>
      <c r="EFO504" s="44"/>
      <c r="EFP504" s="44"/>
      <c r="EFQ504" s="44"/>
      <c r="EFR504" s="44"/>
      <c r="EFS504" s="44"/>
      <c r="EFT504" s="44"/>
      <c r="EFU504" s="44"/>
      <c r="EFV504" s="44"/>
      <c r="EFW504" s="44"/>
      <c r="EFX504" s="44"/>
      <c r="EFY504" s="44"/>
      <c r="EFZ504" s="44"/>
      <c r="EGA504" s="44"/>
      <c r="EGB504" s="44"/>
      <c r="EGC504" s="44"/>
      <c r="EGD504" s="44"/>
      <c r="EGE504" s="44"/>
      <c r="EGF504" s="44"/>
      <c r="EGG504" s="44"/>
      <c r="EGH504" s="44"/>
      <c r="EGI504" s="44"/>
      <c r="EGJ504" s="44"/>
      <c r="EGK504" s="44"/>
      <c r="EGL504" s="44"/>
      <c r="EGM504" s="44"/>
      <c r="EGN504" s="44"/>
      <c r="EGO504" s="44"/>
      <c r="EGP504" s="44"/>
      <c r="EGQ504" s="44"/>
      <c r="EGR504" s="44"/>
      <c r="EGS504" s="44"/>
      <c r="EGT504" s="44"/>
      <c r="EGU504" s="44"/>
      <c r="EGV504" s="44"/>
      <c r="EGW504" s="44"/>
      <c r="EGX504" s="44"/>
      <c r="EGY504" s="44"/>
      <c r="EGZ504" s="44"/>
      <c r="EHA504" s="44"/>
      <c r="EHB504" s="44"/>
      <c r="EHC504" s="44"/>
      <c r="EHD504" s="44"/>
      <c r="EHE504" s="44"/>
      <c r="EHF504" s="44"/>
      <c r="EHG504" s="44"/>
      <c r="EHH504" s="44"/>
      <c r="EHI504" s="44"/>
      <c r="EHJ504" s="44"/>
      <c r="EHK504" s="44"/>
      <c r="EHL504" s="44"/>
      <c r="EHM504" s="44"/>
      <c r="EHN504" s="44"/>
      <c r="EHO504" s="44"/>
      <c r="EHP504" s="44"/>
      <c r="EHQ504" s="44"/>
      <c r="EHR504" s="44"/>
      <c r="EHS504" s="44"/>
      <c r="EHT504" s="44"/>
      <c r="EHU504" s="44"/>
      <c r="EHV504" s="44"/>
      <c r="EHW504" s="44"/>
      <c r="EHX504" s="44"/>
      <c r="EHY504" s="44"/>
      <c r="EHZ504" s="44"/>
      <c r="EIA504" s="44"/>
      <c r="EIB504" s="44"/>
      <c r="EIC504" s="44"/>
      <c r="EID504" s="44"/>
      <c r="EIE504" s="44"/>
      <c r="EIF504" s="44"/>
      <c r="EIG504" s="44"/>
      <c r="EIH504" s="44"/>
      <c r="EII504" s="44"/>
      <c r="EIJ504" s="44"/>
      <c r="EIK504" s="44"/>
      <c r="EIL504" s="44"/>
      <c r="EIM504" s="44"/>
      <c r="EIN504" s="44"/>
      <c r="EIO504" s="44"/>
      <c r="EIP504" s="44"/>
      <c r="EIQ504" s="44"/>
      <c r="EIR504" s="44"/>
      <c r="EIS504" s="44"/>
      <c r="EIT504" s="44"/>
      <c r="EIU504" s="44"/>
      <c r="EIV504" s="44"/>
      <c r="EIW504" s="44"/>
      <c r="EIX504" s="44"/>
      <c r="EIY504" s="44"/>
      <c r="EIZ504" s="44"/>
      <c r="EJA504" s="44"/>
      <c r="EJB504" s="44"/>
      <c r="EJC504" s="44"/>
      <c r="EJD504" s="44"/>
      <c r="EJE504" s="44"/>
      <c r="EJF504" s="44"/>
      <c r="EJG504" s="44"/>
      <c r="EJH504" s="44"/>
      <c r="EJI504" s="44"/>
      <c r="EJJ504" s="44"/>
      <c r="EJK504" s="44"/>
      <c r="EJL504" s="44"/>
      <c r="EJM504" s="44"/>
      <c r="EJN504" s="44"/>
      <c r="EJO504" s="44"/>
      <c r="EJP504" s="44"/>
      <c r="EJQ504" s="44"/>
      <c r="EJR504" s="44"/>
      <c r="EJS504" s="44"/>
      <c r="EJT504" s="44"/>
      <c r="EJU504" s="44"/>
      <c r="EJV504" s="44"/>
      <c r="EJW504" s="44"/>
      <c r="EJX504" s="44"/>
      <c r="EJY504" s="44"/>
      <c r="EJZ504" s="44"/>
      <c r="EKA504" s="44"/>
      <c r="EKB504" s="44"/>
      <c r="EKC504" s="44"/>
      <c r="EKD504" s="44"/>
      <c r="EKE504" s="44"/>
      <c r="EKF504" s="44"/>
      <c r="EKG504" s="44"/>
      <c r="EKH504" s="44"/>
      <c r="EKI504" s="44"/>
      <c r="EKJ504" s="44"/>
      <c r="EKK504" s="44"/>
      <c r="EKL504" s="44"/>
      <c r="EKM504" s="44"/>
      <c r="EKN504" s="44"/>
      <c r="EKO504" s="44"/>
      <c r="EKP504" s="44"/>
      <c r="EKQ504" s="44"/>
      <c r="EKR504" s="44"/>
      <c r="EKS504" s="44"/>
      <c r="EKT504" s="44"/>
      <c r="EKU504" s="44"/>
      <c r="EKV504" s="44"/>
      <c r="EKW504" s="44"/>
      <c r="EKX504" s="44"/>
      <c r="EKY504" s="44"/>
      <c r="EKZ504" s="44"/>
      <c r="ELA504" s="44"/>
      <c r="ELB504" s="44"/>
      <c r="ELC504" s="44"/>
      <c r="ELD504" s="44"/>
      <c r="ELE504" s="44"/>
      <c r="ELF504" s="44"/>
      <c r="ELG504" s="44"/>
      <c r="ELH504" s="44"/>
      <c r="ELI504" s="44"/>
      <c r="ELJ504" s="44"/>
      <c r="ELK504" s="44"/>
      <c r="ELL504" s="44"/>
      <c r="ELM504" s="44"/>
      <c r="ELN504" s="44"/>
      <c r="ELO504" s="44"/>
      <c r="ELP504" s="44"/>
      <c r="ELQ504" s="44"/>
      <c r="ELR504" s="44"/>
      <c r="ELS504" s="44"/>
      <c r="ELT504" s="44"/>
      <c r="ELU504" s="44"/>
      <c r="ELV504" s="44"/>
      <c r="ELW504" s="44"/>
      <c r="ELX504" s="44"/>
      <c r="ELY504" s="44"/>
      <c r="ELZ504" s="44"/>
      <c r="EMA504" s="44"/>
      <c r="EMB504" s="44"/>
      <c r="EMC504" s="44"/>
      <c r="EMD504" s="44"/>
      <c r="EME504" s="44"/>
      <c r="EMF504" s="44"/>
      <c r="EMG504" s="44"/>
      <c r="EMH504" s="44"/>
      <c r="EMI504" s="44"/>
      <c r="EMJ504" s="44"/>
      <c r="EMK504" s="44"/>
      <c r="EML504" s="44"/>
      <c r="EMM504" s="44"/>
      <c r="EMN504" s="44"/>
      <c r="EMO504" s="44"/>
      <c r="EMP504" s="44"/>
      <c r="EMQ504" s="44"/>
      <c r="EMR504" s="44"/>
      <c r="EMS504" s="44"/>
      <c r="EMT504" s="44"/>
      <c r="EMU504" s="44"/>
      <c r="EMV504" s="44"/>
      <c r="EMW504" s="44"/>
      <c r="EMX504" s="44"/>
      <c r="EMY504" s="44"/>
      <c r="EMZ504" s="44"/>
      <c r="ENA504" s="44"/>
      <c r="ENB504" s="44"/>
      <c r="ENC504" s="44"/>
      <c r="END504" s="44"/>
      <c r="ENE504" s="44"/>
      <c r="ENF504" s="44"/>
      <c r="ENG504" s="44"/>
      <c r="ENH504" s="44"/>
      <c r="ENI504" s="44"/>
      <c r="ENJ504" s="44"/>
      <c r="ENK504" s="44"/>
      <c r="ENL504" s="44"/>
      <c r="ENM504" s="44"/>
      <c r="ENN504" s="44"/>
      <c r="ENO504" s="44"/>
      <c r="ENP504" s="44"/>
      <c r="ENQ504" s="44"/>
      <c r="ENR504" s="44"/>
      <c r="ENS504" s="44"/>
      <c r="ENT504" s="44"/>
      <c r="ENU504" s="44"/>
      <c r="ENV504" s="44"/>
      <c r="ENW504" s="44"/>
      <c r="ENX504" s="44"/>
      <c r="ENY504" s="44"/>
      <c r="ENZ504" s="44"/>
      <c r="EOA504" s="44"/>
      <c r="EOB504" s="44"/>
      <c r="EOC504" s="44"/>
      <c r="EOD504" s="44"/>
      <c r="EOE504" s="44"/>
      <c r="EOF504" s="44"/>
      <c r="EOG504" s="44"/>
      <c r="EOH504" s="44"/>
      <c r="EOI504" s="44"/>
      <c r="EOJ504" s="44"/>
      <c r="EOK504" s="44"/>
      <c r="EOL504" s="44"/>
      <c r="EOM504" s="44"/>
      <c r="EON504" s="44"/>
      <c r="EOO504" s="44"/>
      <c r="EOP504" s="44"/>
      <c r="EOQ504" s="44"/>
      <c r="EOR504" s="44"/>
      <c r="EOS504" s="44"/>
      <c r="EOT504" s="44"/>
      <c r="EOU504" s="44"/>
      <c r="EOV504" s="44"/>
      <c r="EOW504" s="44"/>
      <c r="EOX504" s="44"/>
      <c r="EOY504" s="44"/>
      <c r="EOZ504" s="44"/>
      <c r="EPA504" s="44"/>
      <c r="EPB504" s="44"/>
      <c r="EPC504" s="44"/>
      <c r="EPD504" s="44"/>
      <c r="EPE504" s="44"/>
      <c r="EPF504" s="44"/>
      <c r="EPG504" s="44"/>
      <c r="EPH504" s="44"/>
      <c r="EPI504" s="44"/>
      <c r="EPJ504" s="44"/>
      <c r="EPK504" s="44"/>
      <c r="EPL504" s="44"/>
      <c r="EPM504" s="44"/>
      <c r="EPN504" s="44"/>
      <c r="EPO504" s="44"/>
      <c r="EPP504" s="44"/>
      <c r="EPQ504" s="44"/>
      <c r="EPR504" s="44"/>
      <c r="EPS504" s="44"/>
      <c r="EPT504" s="44"/>
      <c r="EPU504" s="44"/>
      <c r="EPV504" s="44"/>
      <c r="EPW504" s="44"/>
      <c r="EPX504" s="44"/>
      <c r="EPY504" s="44"/>
      <c r="EPZ504" s="44"/>
      <c r="EQA504" s="44"/>
      <c r="EQB504" s="44"/>
      <c r="EQC504" s="44"/>
      <c r="EQD504" s="44"/>
      <c r="EQE504" s="44"/>
      <c r="EQF504" s="44"/>
      <c r="EQG504" s="44"/>
      <c r="EQH504" s="44"/>
      <c r="EQI504" s="44"/>
      <c r="EQJ504" s="44"/>
      <c r="EQK504" s="44"/>
      <c r="EQL504" s="44"/>
      <c r="EQM504" s="44"/>
      <c r="EQN504" s="44"/>
      <c r="EQO504" s="44"/>
      <c r="EQP504" s="44"/>
      <c r="EQQ504" s="44"/>
      <c r="EQR504" s="44"/>
      <c r="EQS504" s="44"/>
      <c r="EQT504" s="44"/>
      <c r="EQU504" s="44"/>
      <c r="EQV504" s="44"/>
      <c r="EQW504" s="44"/>
      <c r="EQX504" s="44"/>
      <c r="EQY504" s="44"/>
      <c r="EQZ504" s="44"/>
      <c r="ERA504" s="44"/>
      <c r="ERB504" s="44"/>
      <c r="ERC504" s="44"/>
      <c r="ERD504" s="44"/>
      <c r="ERE504" s="44"/>
      <c r="ERF504" s="44"/>
      <c r="ERG504" s="44"/>
      <c r="ERH504" s="44"/>
      <c r="ERI504" s="44"/>
      <c r="ERJ504" s="44"/>
      <c r="ERK504" s="44"/>
      <c r="ERL504" s="44"/>
      <c r="ERM504" s="44"/>
      <c r="ERN504" s="44"/>
      <c r="ERO504" s="44"/>
      <c r="ERP504" s="44"/>
      <c r="ERQ504" s="44"/>
      <c r="ERR504" s="44"/>
      <c r="ERS504" s="44"/>
      <c r="ERT504" s="44"/>
      <c r="ERU504" s="44"/>
      <c r="ERV504" s="44"/>
      <c r="ERW504" s="44"/>
      <c r="ERX504" s="44"/>
      <c r="ERY504" s="44"/>
      <c r="ERZ504" s="44"/>
      <c r="ESA504" s="44"/>
      <c r="ESB504" s="44"/>
      <c r="ESC504" s="44"/>
      <c r="ESD504" s="44"/>
      <c r="ESE504" s="44"/>
      <c r="ESF504" s="44"/>
      <c r="ESG504" s="44"/>
      <c r="ESH504" s="44"/>
      <c r="ESI504" s="44"/>
      <c r="ESJ504" s="44"/>
      <c r="ESK504" s="44"/>
      <c r="ESL504" s="44"/>
      <c r="ESM504" s="44"/>
      <c r="ESN504" s="44"/>
      <c r="ESO504" s="44"/>
      <c r="ESP504" s="44"/>
      <c r="ESQ504" s="44"/>
      <c r="ESR504" s="44"/>
      <c r="ESS504" s="44"/>
      <c r="EST504" s="44"/>
      <c r="ESU504" s="44"/>
      <c r="ESV504" s="44"/>
      <c r="ESW504" s="44"/>
      <c r="ESX504" s="44"/>
      <c r="ESY504" s="44"/>
      <c r="ESZ504" s="44"/>
      <c r="ETA504" s="44"/>
      <c r="ETB504" s="44"/>
      <c r="ETC504" s="44"/>
      <c r="ETD504" s="44"/>
      <c r="ETE504" s="44"/>
      <c r="ETF504" s="44"/>
      <c r="ETG504" s="44"/>
      <c r="ETH504" s="44"/>
      <c r="ETI504" s="44"/>
      <c r="ETJ504" s="44"/>
      <c r="ETK504" s="44"/>
      <c r="ETL504" s="44"/>
      <c r="ETM504" s="44"/>
      <c r="ETN504" s="44"/>
      <c r="ETO504" s="44"/>
      <c r="ETP504" s="44"/>
      <c r="ETQ504" s="44"/>
      <c r="ETR504" s="44"/>
      <c r="ETS504" s="44"/>
      <c r="ETT504" s="44"/>
      <c r="ETU504" s="44"/>
      <c r="ETV504" s="44"/>
      <c r="ETW504" s="44"/>
      <c r="ETX504" s="44"/>
      <c r="ETY504" s="44"/>
      <c r="ETZ504" s="44"/>
      <c r="EUA504" s="44"/>
      <c r="EUB504" s="44"/>
      <c r="EUC504" s="44"/>
      <c r="EUD504" s="44"/>
      <c r="EUE504" s="44"/>
      <c r="EUF504" s="44"/>
      <c r="EUG504" s="44"/>
      <c r="EUH504" s="44"/>
      <c r="EUI504" s="44"/>
      <c r="EUJ504" s="44"/>
      <c r="EUK504" s="44"/>
      <c r="EUL504" s="44"/>
      <c r="EUM504" s="44"/>
      <c r="EUN504" s="44"/>
      <c r="EUO504" s="44"/>
      <c r="EUP504" s="44"/>
      <c r="EUQ504" s="44"/>
      <c r="EUR504" s="44"/>
      <c r="EUS504" s="44"/>
      <c r="EUT504" s="44"/>
      <c r="EUU504" s="44"/>
      <c r="EUV504" s="44"/>
      <c r="EUW504" s="44"/>
      <c r="EUX504" s="44"/>
      <c r="EUY504" s="44"/>
      <c r="EUZ504" s="44"/>
      <c r="EVA504" s="44"/>
      <c r="EVB504" s="44"/>
      <c r="EVC504" s="44"/>
      <c r="EVD504" s="44"/>
      <c r="EVE504" s="44"/>
      <c r="EVF504" s="44"/>
      <c r="EVG504" s="44"/>
      <c r="EVH504" s="44"/>
      <c r="EVI504" s="44"/>
      <c r="EVJ504" s="44"/>
      <c r="EVK504" s="44"/>
      <c r="EVL504" s="44"/>
      <c r="EVM504" s="44"/>
      <c r="EVN504" s="44"/>
      <c r="EVO504" s="44"/>
      <c r="EVP504" s="44"/>
      <c r="EVQ504" s="44"/>
      <c r="EVR504" s="44"/>
      <c r="EVS504" s="44"/>
      <c r="EVT504" s="44"/>
      <c r="EVU504" s="44"/>
      <c r="EVV504" s="44"/>
      <c r="EVW504" s="44"/>
      <c r="EVX504" s="44"/>
      <c r="EVY504" s="44"/>
      <c r="EVZ504" s="44"/>
      <c r="EWA504" s="44"/>
      <c r="EWB504" s="44"/>
      <c r="EWC504" s="44"/>
      <c r="EWD504" s="44"/>
      <c r="EWE504" s="44"/>
      <c r="EWF504" s="44"/>
      <c r="EWG504" s="44"/>
      <c r="EWH504" s="44"/>
      <c r="EWI504" s="44"/>
      <c r="EWJ504" s="44"/>
      <c r="EWK504" s="44"/>
      <c r="EWL504" s="44"/>
      <c r="EWM504" s="44"/>
      <c r="EWN504" s="44"/>
      <c r="EWO504" s="44"/>
      <c r="EWP504" s="44"/>
      <c r="EWQ504" s="44"/>
      <c r="EWR504" s="44"/>
      <c r="EWS504" s="44"/>
      <c r="EWT504" s="44"/>
      <c r="EWU504" s="44"/>
      <c r="EWV504" s="44"/>
      <c r="EWW504" s="44"/>
      <c r="EWX504" s="44"/>
      <c r="EWY504" s="44"/>
      <c r="EWZ504" s="44"/>
      <c r="EXA504" s="44"/>
      <c r="EXB504" s="44"/>
      <c r="EXC504" s="44"/>
      <c r="EXD504" s="44"/>
      <c r="EXE504" s="44"/>
      <c r="EXF504" s="44"/>
      <c r="EXG504" s="44"/>
      <c r="EXH504" s="44"/>
      <c r="EXI504" s="44"/>
      <c r="EXJ504" s="44"/>
      <c r="EXK504" s="44"/>
      <c r="EXL504" s="44"/>
      <c r="EXM504" s="44"/>
      <c r="EXN504" s="44"/>
      <c r="EXO504" s="44"/>
      <c r="EXP504" s="44"/>
      <c r="EXQ504" s="44"/>
      <c r="EXR504" s="44"/>
      <c r="EXS504" s="44"/>
      <c r="EXT504" s="44"/>
      <c r="EXU504" s="44"/>
      <c r="EXV504" s="44"/>
      <c r="EXW504" s="44"/>
      <c r="EXX504" s="44"/>
      <c r="EXY504" s="44"/>
      <c r="EXZ504" s="44"/>
      <c r="EYA504" s="44"/>
      <c r="EYB504" s="44"/>
      <c r="EYC504" s="44"/>
      <c r="EYD504" s="44"/>
      <c r="EYE504" s="44"/>
      <c r="EYF504" s="44"/>
      <c r="EYG504" s="44"/>
      <c r="EYH504" s="44"/>
      <c r="EYI504" s="44"/>
      <c r="EYJ504" s="44"/>
      <c r="EYK504" s="44"/>
      <c r="EYL504" s="44"/>
      <c r="EYM504" s="44"/>
      <c r="EYN504" s="44"/>
      <c r="EYO504" s="44"/>
      <c r="EYP504" s="44"/>
      <c r="EYQ504" s="44"/>
      <c r="EYR504" s="44"/>
      <c r="EYS504" s="44"/>
      <c r="EYT504" s="44"/>
      <c r="EYU504" s="44"/>
      <c r="EYV504" s="44"/>
      <c r="EYW504" s="44"/>
      <c r="EYX504" s="44"/>
      <c r="EYY504" s="44"/>
      <c r="EYZ504" s="44"/>
      <c r="EZA504" s="44"/>
      <c r="EZB504" s="44"/>
      <c r="EZC504" s="44"/>
      <c r="EZD504" s="44"/>
      <c r="EZE504" s="44"/>
      <c r="EZF504" s="44"/>
      <c r="EZG504" s="44"/>
      <c r="EZH504" s="44"/>
      <c r="EZI504" s="44"/>
      <c r="EZJ504" s="44"/>
      <c r="EZK504" s="44"/>
      <c r="EZL504" s="44"/>
      <c r="EZM504" s="44"/>
      <c r="EZN504" s="44"/>
      <c r="EZO504" s="44"/>
      <c r="EZP504" s="44"/>
      <c r="EZQ504" s="44"/>
      <c r="EZR504" s="44"/>
      <c r="EZS504" s="44"/>
      <c r="EZT504" s="44"/>
      <c r="EZU504" s="44"/>
      <c r="EZV504" s="44"/>
      <c r="EZW504" s="44"/>
      <c r="EZX504" s="44"/>
      <c r="EZY504" s="44"/>
      <c r="EZZ504" s="44"/>
      <c r="FAA504" s="44"/>
      <c r="FAB504" s="44"/>
      <c r="FAC504" s="44"/>
      <c r="FAD504" s="44"/>
      <c r="FAE504" s="44"/>
      <c r="FAF504" s="44"/>
      <c r="FAG504" s="44"/>
      <c r="FAH504" s="44"/>
      <c r="FAI504" s="44"/>
      <c r="FAJ504" s="44"/>
      <c r="FAK504" s="44"/>
      <c r="FAL504" s="44"/>
      <c r="FAM504" s="44"/>
      <c r="FAN504" s="44"/>
      <c r="FAO504" s="44"/>
      <c r="FAP504" s="44"/>
      <c r="FAQ504" s="44"/>
      <c r="FAR504" s="44"/>
      <c r="FAS504" s="44"/>
      <c r="FAT504" s="44"/>
      <c r="FAU504" s="44"/>
      <c r="FAV504" s="44"/>
      <c r="FAW504" s="44"/>
      <c r="FAX504" s="44"/>
      <c r="FAY504" s="44"/>
      <c r="FAZ504" s="44"/>
      <c r="FBA504" s="44"/>
      <c r="FBB504" s="44"/>
      <c r="FBC504" s="44"/>
      <c r="FBD504" s="44"/>
      <c r="FBE504" s="44"/>
      <c r="FBF504" s="44"/>
      <c r="FBG504" s="44"/>
      <c r="FBH504" s="44"/>
      <c r="FBI504" s="44"/>
      <c r="FBJ504" s="44"/>
      <c r="FBK504" s="44"/>
      <c r="FBL504" s="44"/>
      <c r="FBM504" s="44"/>
      <c r="FBN504" s="44"/>
      <c r="FBO504" s="44"/>
      <c r="FBP504" s="44"/>
      <c r="FBQ504" s="44"/>
      <c r="FBR504" s="44"/>
      <c r="FBS504" s="44"/>
      <c r="FBT504" s="44"/>
      <c r="FBU504" s="44"/>
      <c r="FBV504" s="44"/>
      <c r="FBW504" s="44"/>
      <c r="FBX504" s="44"/>
      <c r="FBY504" s="44"/>
      <c r="FBZ504" s="44"/>
      <c r="FCA504" s="44"/>
      <c r="FCB504" s="44"/>
      <c r="FCC504" s="44"/>
      <c r="FCD504" s="44"/>
      <c r="FCE504" s="44"/>
      <c r="FCF504" s="44"/>
      <c r="FCG504" s="44"/>
      <c r="FCH504" s="44"/>
      <c r="FCI504" s="44"/>
      <c r="FCJ504" s="44"/>
      <c r="FCK504" s="44"/>
      <c r="FCL504" s="44"/>
      <c r="FCM504" s="44"/>
      <c r="FCN504" s="44"/>
      <c r="FCO504" s="44"/>
      <c r="FCP504" s="44"/>
      <c r="FCQ504" s="44"/>
      <c r="FCR504" s="44"/>
      <c r="FCS504" s="44"/>
      <c r="FCT504" s="44"/>
      <c r="FCU504" s="44"/>
      <c r="FCV504" s="44"/>
      <c r="FCW504" s="44"/>
      <c r="FCX504" s="44"/>
      <c r="FCY504" s="44"/>
      <c r="FCZ504" s="44"/>
      <c r="FDA504" s="44"/>
      <c r="FDB504" s="44"/>
      <c r="FDC504" s="44"/>
      <c r="FDD504" s="44"/>
      <c r="FDE504" s="44"/>
      <c r="FDF504" s="44"/>
      <c r="FDG504" s="44"/>
      <c r="FDH504" s="44"/>
      <c r="FDI504" s="44"/>
      <c r="FDJ504" s="44"/>
      <c r="FDK504" s="44"/>
      <c r="FDL504" s="44"/>
      <c r="FDM504" s="44"/>
      <c r="FDN504" s="44"/>
      <c r="FDO504" s="44"/>
      <c r="FDP504" s="44"/>
      <c r="FDQ504" s="44"/>
      <c r="FDR504" s="44"/>
      <c r="FDS504" s="44"/>
      <c r="FDT504" s="44"/>
      <c r="FDU504" s="44"/>
      <c r="FDV504" s="44"/>
      <c r="FDW504" s="44"/>
      <c r="FDX504" s="44"/>
      <c r="FDY504" s="44"/>
      <c r="FDZ504" s="44"/>
      <c r="FEA504" s="44"/>
      <c r="FEB504" s="44"/>
      <c r="FEC504" s="44"/>
      <c r="FED504" s="44"/>
      <c r="FEE504" s="44"/>
      <c r="FEF504" s="44"/>
      <c r="FEG504" s="44"/>
      <c r="FEH504" s="44"/>
      <c r="FEI504" s="44"/>
      <c r="FEJ504" s="44"/>
      <c r="FEK504" s="44"/>
      <c r="FEL504" s="44"/>
      <c r="FEM504" s="44"/>
      <c r="FEN504" s="44"/>
      <c r="FEO504" s="44"/>
      <c r="FEP504" s="44"/>
      <c r="FEQ504" s="44"/>
      <c r="FER504" s="44"/>
      <c r="FES504" s="44"/>
      <c r="FET504" s="44"/>
      <c r="FEU504" s="44"/>
      <c r="FEV504" s="44"/>
      <c r="FEW504" s="44"/>
      <c r="FEX504" s="44"/>
      <c r="FEY504" s="44"/>
      <c r="FEZ504" s="44"/>
      <c r="FFA504" s="44"/>
      <c r="FFB504" s="44"/>
      <c r="FFC504" s="44"/>
      <c r="FFD504" s="44"/>
      <c r="FFE504" s="44"/>
      <c r="FFF504" s="44"/>
      <c r="FFG504" s="44"/>
      <c r="FFH504" s="44"/>
      <c r="FFI504" s="44"/>
      <c r="FFJ504" s="44"/>
      <c r="FFK504" s="44"/>
      <c r="FFL504" s="44"/>
      <c r="FFM504" s="44"/>
      <c r="FFN504" s="44"/>
      <c r="FFO504" s="44"/>
      <c r="FFP504" s="44"/>
      <c r="FFQ504" s="44"/>
      <c r="FFR504" s="44"/>
      <c r="FFS504" s="44"/>
      <c r="FFT504" s="44"/>
      <c r="FFU504" s="44"/>
      <c r="FFV504" s="44"/>
      <c r="FFW504" s="44"/>
      <c r="FFX504" s="44"/>
      <c r="FFY504" s="44"/>
      <c r="FFZ504" s="44"/>
      <c r="FGA504" s="44"/>
      <c r="FGB504" s="44"/>
      <c r="FGC504" s="44"/>
      <c r="FGD504" s="44"/>
      <c r="FGE504" s="44"/>
      <c r="FGF504" s="44"/>
      <c r="FGG504" s="44"/>
      <c r="FGH504" s="44"/>
      <c r="FGI504" s="44"/>
      <c r="FGJ504" s="44"/>
      <c r="FGK504" s="44"/>
      <c r="FGL504" s="44"/>
      <c r="FGM504" s="44"/>
      <c r="FGN504" s="44"/>
      <c r="FGO504" s="44"/>
      <c r="FGP504" s="44"/>
      <c r="FGQ504" s="44"/>
      <c r="FGR504" s="44"/>
      <c r="FGS504" s="44"/>
      <c r="FGT504" s="44"/>
      <c r="FGU504" s="44"/>
      <c r="FGV504" s="44"/>
      <c r="FGW504" s="44"/>
      <c r="FGX504" s="44"/>
      <c r="FGY504" s="44"/>
      <c r="FGZ504" s="44"/>
      <c r="FHA504" s="44"/>
      <c r="FHB504" s="44"/>
      <c r="FHC504" s="44"/>
      <c r="FHD504" s="44"/>
      <c r="FHE504" s="44"/>
      <c r="FHF504" s="44"/>
      <c r="FHG504" s="44"/>
      <c r="FHH504" s="44"/>
      <c r="FHI504" s="44"/>
      <c r="FHJ504" s="44"/>
      <c r="FHK504" s="44"/>
      <c r="FHL504" s="44"/>
      <c r="FHM504" s="44"/>
      <c r="FHN504" s="44"/>
      <c r="FHO504" s="44"/>
      <c r="FHP504" s="44"/>
      <c r="FHQ504" s="44"/>
      <c r="FHR504" s="44"/>
      <c r="FHS504" s="44"/>
      <c r="FHT504" s="44"/>
      <c r="FHU504" s="44"/>
      <c r="FHV504" s="44"/>
      <c r="FHW504" s="44"/>
      <c r="FHX504" s="44"/>
      <c r="FHY504" s="44"/>
      <c r="FHZ504" s="44"/>
      <c r="FIA504" s="44"/>
      <c r="FIB504" s="44"/>
      <c r="FIC504" s="44"/>
      <c r="FID504" s="44"/>
      <c r="FIE504" s="44"/>
      <c r="FIF504" s="44"/>
      <c r="FIG504" s="44"/>
      <c r="FIH504" s="44"/>
      <c r="FII504" s="44"/>
      <c r="FIJ504" s="44"/>
      <c r="FIK504" s="44"/>
      <c r="FIL504" s="44"/>
      <c r="FIM504" s="44"/>
      <c r="FIN504" s="44"/>
      <c r="FIO504" s="44"/>
      <c r="FIP504" s="44"/>
      <c r="FIQ504" s="44"/>
      <c r="FIR504" s="44"/>
      <c r="FIS504" s="44"/>
      <c r="FIT504" s="44"/>
      <c r="FIU504" s="44"/>
      <c r="FIV504" s="44"/>
      <c r="FIW504" s="44"/>
      <c r="FIX504" s="44"/>
      <c r="FIY504" s="44"/>
      <c r="FIZ504" s="44"/>
      <c r="FJA504" s="44"/>
      <c r="FJB504" s="44"/>
      <c r="FJC504" s="44"/>
      <c r="FJD504" s="44"/>
      <c r="FJE504" s="44"/>
      <c r="FJF504" s="44"/>
      <c r="FJG504" s="44"/>
      <c r="FJH504" s="44"/>
      <c r="FJI504" s="44"/>
      <c r="FJJ504" s="44"/>
      <c r="FJK504" s="44"/>
      <c r="FJL504" s="44"/>
      <c r="FJM504" s="44"/>
      <c r="FJN504" s="44"/>
      <c r="FJO504" s="44"/>
      <c r="FJP504" s="44"/>
      <c r="FJQ504" s="44"/>
      <c r="FJR504" s="44"/>
      <c r="FJS504" s="44"/>
      <c r="FJT504" s="44"/>
      <c r="FJU504" s="44"/>
      <c r="FJV504" s="44"/>
      <c r="FJW504" s="44"/>
      <c r="FJX504" s="44"/>
      <c r="FJY504" s="44"/>
      <c r="FJZ504" s="44"/>
      <c r="FKA504" s="44"/>
      <c r="FKB504" s="44"/>
      <c r="FKC504" s="44"/>
      <c r="FKD504" s="44"/>
      <c r="FKE504" s="44"/>
      <c r="FKF504" s="44"/>
      <c r="FKG504" s="44"/>
      <c r="FKH504" s="44"/>
      <c r="FKI504" s="44"/>
      <c r="FKJ504" s="44"/>
      <c r="FKK504" s="44"/>
      <c r="FKL504" s="44"/>
      <c r="FKM504" s="44"/>
      <c r="FKN504" s="44"/>
      <c r="FKO504" s="44"/>
      <c r="FKP504" s="44"/>
      <c r="FKQ504" s="44"/>
      <c r="FKR504" s="44"/>
      <c r="FKS504" s="44"/>
      <c r="FKT504" s="44"/>
      <c r="FKU504" s="44"/>
      <c r="FKV504" s="44"/>
      <c r="FKW504" s="44"/>
      <c r="FKX504" s="44"/>
      <c r="FKY504" s="44"/>
      <c r="FKZ504" s="44"/>
      <c r="FLA504" s="44"/>
      <c r="FLB504" s="44"/>
      <c r="FLC504" s="44"/>
      <c r="FLD504" s="44"/>
      <c r="FLE504" s="44"/>
      <c r="FLF504" s="44"/>
      <c r="FLG504" s="44"/>
      <c r="FLH504" s="44"/>
      <c r="FLI504" s="44"/>
      <c r="FLJ504" s="44"/>
      <c r="FLK504" s="44"/>
      <c r="FLL504" s="44"/>
      <c r="FLM504" s="44"/>
      <c r="FLN504" s="44"/>
      <c r="FLO504" s="44"/>
      <c r="FLP504" s="44"/>
      <c r="FLQ504" s="44"/>
      <c r="FLR504" s="44"/>
      <c r="FLS504" s="44"/>
      <c r="FLT504" s="44"/>
      <c r="FLU504" s="44"/>
      <c r="FLV504" s="44"/>
      <c r="FLW504" s="44"/>
      <c r="FLX504" s="44"/>
      <c r="FLY504" s="44"/>
      <c r="FLZ504" s="44"/>
      <c r="FMA504" s="44"/>
      <c r="FMB504" s="44"/>
      <c r="FMC504" s="44"/>
      <c r="FMD504" s="44"/>
      <c r="FME504" s="44"/>
      <c r="FMF504" s="44"/>
      <c r="FMG504" s="44"/>
      <c r="FMH504" s="44"/>
      <c r="FMI504" s="44"/>
      <c r="FMJ504" s="44"/>
      <c r="FMK504" s="44"/>
      <c r="FML504" s="44"/>
      <c r="FMM504" s="44"/>
      <c r="FMN504" s="44"/>
      <c r="FMO504" s="44"/>
      <c r="FMP504" s="44"/>
      <c r="FMQ504" s="44"/>
      <c r="FMR504" s="44"/>
      <c r="FMS504" s="44"/>
      <c r="FMT504" s="44"/>
      <c r="FMU504" s="44"/>
      <c r="FMV504" s="44"/>
      <c r="FMW504" s="44"/>
      <c r="FMX504" s="44"/>
      <c r="FMY504" s="44"/>
      <c r="FMZ504" s="44"/>
      <c r="FNA504" s="44"/>
      <c r="FNB504" s="44"/>
      <c r="FNC504" s="44"/>
      <c r="FND504" s="44"/>
      <c r="FNE504" s="44"/>
      <c r="FNF504" s="44"/>
      <c r="FNG504" s="44"/>
      <c r="FNH504" s="44"/>
      <c r="FNI504" s="44"/>
      <c r="FNJ504" s="44"/>
      <c r="FNK504" s="44"/>
      <c r="FNL504" s="44"/>
      <c r="FNM504" s="44"/>
      <c r="FNN504" s="44"/>
      <c r="FNO504" s="44"/>
      <c r="FNP504" s="44"/>
      <c r="FNQ504" s="44"/>
      <c r="FNR504" s="44"/>
      <c r="FNS504" s="44"/>
      <c r="FNT504" s="44"/>
      <c r="FNU504" s="44"/>
      <c r="FNV504" s="44"/>
      <c r="FNW504" s="44"/>
      <c r="FNX504" s="44"/>
      <c r="FNY504" s="44"/>
      <c r="FNZ504" s="44"/>
      <c r="FOA504" s="44"/>
      <c r="FOB504" s="44"/>
      <c r="FOC504" s="44"/>
      <c r="FOD504" s="44"/>
      <c r="FOE504" s="44"/>
      <c r="FOF504" s="44"/>
      <c r="FOG504" s="44"/>
      <c r="FOH504" s="44"/>
      <c r="FOI504" s="44"/>
      <c r="FOJ504" s="44"/>
      <c r="FOK504" s="44"/>
      <c r="FOL504" s="44"/>
      <c r="FOM504" s="44"/>
      <c r="FON504" s="44"/>
      <c r="FOO504" s="44"/>
      <c r="FOP504" s="44"/>
      <c r="FOQ504" s="44"/>
      <c r="FOR504" s="44"/>
      <c r="FOS504" s="44"/>
      <c r="FOT504" s="44"/>
      <c r="FOU504" s="44"/>
      <c r="FOV504" s="44"/>
      <c r="FOW504" s="44"/>
      <c r="FOX504" s="44"/>
      <c r="FOY504" s="44"/>
      <c r="FOZ504" s="44"/>
      <c r="FPA504" s="44"/>
      <c r="FPB504" s="44"/>
      <c r="FPC504" s="44"/>
      <c r="FPD504" s="44"/>
      <c r="FPE504" s="44"/>
      <c r="FPF504" s="44"/>
      <c r="FPG504" s="44"/>
      <c r="FPH504" s="44"/>
      <c r="FPI504" s="44"/>
      <c r="FPJ504" s="44"/>
      <c r="FPK504" s="44"/>
      <c r="FPL504" s="44"/>
      <c r="FPM504" s="44"/>
      <c r="FPN504" s="44"/>
      <c r="FPO504" s="44"/>
      <c r="FPP504" s="44"/>
      <c r="FPQ504" s="44"/>
      <c r="FPR504" s="44"/>
      <c r="FPS504" s="44"/>
      <c r="FPT504" s="44"/>
      <c r="FPU504" s="44"/>
      <c r="FPV504" s="44"/>
      <c r="FPW504" s="44"/>
      <c r="FPX504" s="44"/>
      <c r="FPY504" s="44"/>
      <c r="FPZ504" s="44"/>
      <c r="FQA504" s="44"/>
      <c r="FQB504" s="44"/>
      <c r="FQC504" s="44"/>
      <c r="FQD504" s="44"/>
      <c r="FQE504" s="44"/>
      <c r="FQF504" s="44"/>
      <c r="FQG504" s="44"/>
      <c r="FQH504" s="44"/>
      <c r="FQI504" s="44"/>
      <c r="FQJ504" s="44"/>
      <c r="FQK504" s="44"/>
      <c r="FQL504" s="44"/>
      <c r="FQM504" s="44"/>
      <c r="FQN504" s="44"/>
      <c r="FQO504" s="44"/>
      <c r="FQP504" s="44"/>
      <c r="FQQ504" s="44"/>
      <c r="FQR504" s="44"/>
      <c r="FQS504" s="44"/>
      <c r="FQT504" s="44"/>
      <c r="FQU504" s="44"/>
      <c r="FQV504" s="44"/>
      <c r="FQW504" s="44"/>
      <c r="FQX504" s="44"/>
      <c r="FQY504" s="44"/>
      <c r="FQZ504" s="44"/>
      <c r="FRA504" s="44"/>
      <c r="FRB504" s="44"/>
      <c r="FRC504" s="44"/>
      <c r="FRD504" s="44"/>
      <c r="FRE504" s="44"/>
      <c r="FRF504" s="44"/>
      <c r="FRG504" s="44"/>
      <c r="FRH504" s="44"/>
      <c r="FRI504" s="44"/>
      <c r="FRJ504" s="44"/>
      <c r="FRK504" s="44"/>
      <c r="FRL504" s="44"/>
      <c r="FRM504" s="44"/>
      <c r="FRN504" s="44"/>
      <c r="FRO504" s="44"/>
      <c r="FRP504" s="44"/>
      <c r="FRQ504" s="44"/>
      <c r="FRR504" s="44"/>
      <c r="FRS504" s="44"/>
      <c r="FRT504" s="44"/>
      <c r="FRU504" s="44"/>
      <c r="FRV504" s="44"/>
      <c r="FRW504" s="44"/>
      <c r="FRX504" s="44"/>
      <c r="FRY504" s="44"/>
      <c r="FRZ504" s="44"/>
      <c r="FSA504" s="44"/>
      <c r="FSB504" s="44"/>
      <c r="FSC504" s="44"/>
      <c r="FSD504" s="44"/>
      <c r="FSE504" s="44"/>
      <c r="FSF504" s="44"/>
      <c r="FSG504" s="44"/>
      <c r="FSH504" s="44"/>
      <c r="FSI504" s="44"/>
      <c r="FSJ504" s="44"/>
      <c r="FSK504" s="44"/>
      <c r="FSL504" s="44"/>
      <c r="FSM504" s="44"/>
      <c r="FSN504" s="44"/>
      <c r="FSO504" s="44"/>
      <c r="FSP504" s="44"/>
      <c r="FSQ504" s="44"/>
      <c r="FSR504" s="44"/>
      <c r="FSS504" s="44"/>
      <c r="FST504" s="44"/>
      <c r="FSU504" s="44"/>
      <c r="FSV504" s="44"/>
      <c r="FSW504" s="44"/>
      <c r="FSX504" s="44"/>
      <c r="FSY504" s="44"/>
      <c r="FSZ504" s="44"/>
      <c r="FTA504" s="44"/>
      <c r="FTB504" s="44"/>
      <c r="FTC504" s="44"/>
      <c r="FTD504" s="44"/>
      <c r="FTE504" s="44"/>
      <c r="FTF504" s="44"/>
      <c r="FTG504" s="44"/>
      <c r="FTH504" s="44"/>
      <c r="FTI504" s="44"/>
      <c r="FTJ504" s="44"/>
      <c r="FTK504" s="44"/>
      <c r="FTL504" s="44"/>
      <c r="FTM504" s="44"/>
      <c r="FTN504" s="44"/>
      <c r="FTO504" s="44"/>
      <c r="FTP504" s="44"/>
      <c r="FTQ504" s="44"/>
      <c r="FTR504" s="44"/>
      <c r="FTS504" s="44"/>
      <c r="FTT504" s="44"/>
      <c r="FTU504" s="44"/>
      <c r="FTV504" s="44"/>
      <c r="FTW504" s="44"/>
      <c r="FTX504" s="44"/>
      <c r="FTY504" s="44"/>
      <c r="FTZ504" s="44"/>
      <c r="FUA504" s="44"/>
      <c r="FUB504" s="44"/>
      <c r="FUC504" s="44"/>
      <c r="FUD504" s="44"/>
      <c r="FUE504" s="44"/>
      <c r="FUF504" s="44"/>
      <c r="FUG504" s="44"/>
      <c r="FUH504" s="44"/>
      <c r="FUI504" s="44"/>
      <c r="FUJ504" s="44"/>
      <c r="FUK504" s="44"/>
      <c r="FUL504" s="44"/>
      <c r="FUM504" s="44"/>
      <c r="FUN504" s="44"/>
      <c r="FUO504" s="44"/>
      <c r="FUP504" s="44"/>
      <c r="FUQ504" s="44"/>
      <c r="FUR504" s="44"/>
      <c r="FUS504" s="44"/>
      <c r="FUT504" s="44"/>
      <c r="FUU504" s="44"/>
      <c r="FUV504" s="44"/>
      <c r="FUW504" s="44"/>
      <c r="FUX504" s="44"/>
      <c r="FUY504" s="44"/>
      <c r="FUZ504" s="44"/>
      <c r="FVA504" s="44"/>
      <c r="FVB504" s="44"/>
      <c r="FVC504" s="44"/>
      <c r="FVD504" s="44"/>
      <c r="FVE504" s="44"/>
      <c r="FVF504" s="44"/>
      <c r="FVG504" s="44"/>
      <c r="FVH504" s="44"/>
      <c r="FVI504" s="44"/>
      <c r="FVJ504" s="44"/>
      <c r="FVK504" s="44"/>
      <c r="FVL504" s="44"/>
      <c r="FVM504" s="44"/>
      <c r="FVN504" s="44"/>
      <c r="FVO504" s="44"/>
      <c r="FVP504" s="44"/>
      <c r="FVQ504" s="44"/>
      <c r="FVR504" s="44"/>
      <c r="FVS504" s="44"/>
      <c r="FVT504" s="44"/>
      <c r="FVU504" s="44"/>
      <c r="FVV504" s="44"/>
      <c r="FVW504" s="44"/>
      <c r="FVX504" s="44"/>
      <c r="FVY504" s="44"/>
      <c r="FVZ504" s="44"/>
      <c r="FWA504" s="44"/>
      <c r="FWB504" s="44"/>
      <c r="FWC504" s="44"/>
      <c r="FWD504" s="44"/>
      <c r="FWE504" s="44"/>
      <c r="FWF504" s="44"/>
      <c r="FWG504" s="44"/>
      <c r="FWH504" s="44"/>
      <c r="FWI504" s="44"/>
      <c r="FWJ504" s="44"/>
      <c r="FWK504" s="44"/>
      <c r="FWL504" s="44"/>
      <c r="FWM504" s="44"/>
      <c r="FWN504" s="44"/>
      <c r="FWO504" s="44"/>
      <c r="FWP504" s="44"/>
      <c r="FWQ504" s="44"/>
      <c r="FWR504" s="44"/>
      <c r="FWS504" s="44"/>
      <c r="FWT504" s="44"/>
      <c r="FWU504" s="44"/>
      <c r="FWV504" s="44"/>
      <c r="FWW504" s="44"/>
      <c r="FWX504" s="44"/>
      <c r="FWY504" s="44"/>
      <c r="FWZ504" s="44"/>
      <c r="FXA504" s="44"/>
      <c r="FXB504" s="44"/>
      <c r="FXC504" s="44"/>
      <c r="FXD504" s="44"/>
      <c r="FXE504" s="44"/>
      <c r="FXF504" s="44"/>
      <c r="FXG504" s="44"/>
      <c r="FXH504" s="44"/>
      <c r="FXI504" s="44"/>
      <c r="FXJ504" s="44"/>
      <c r="FXK504" s="44"/>
      <c r="FXL504" s="44"/>
      <c r="FXM504" s="44"/>
      <c r="FXN504" s="44"/>
      <c r="FXO504" s="44"/>
      <c r="FXP504" s="44"/>
      <c r="FXQ504" s="44"/>
      <c r="FXR504" s="44"/>
      <c r="FXS504" s="44"/>
      <c r="FXT504" s="44"/>
      <c r="FXU504" s="44"/>
      <c r="FXV504" s="44"/>
      <c r="FXW504" s="44"/>
      <c r="FXX504" s="44"/>
      <c r="FXY504" s="44"/>
      <c r="FXZ504" s="44"/>
      <c r="FYA504" s="44"/>
      <c r="FYB504" s="44"/>
      <c r="FYC504" s="44"/>
      <c r="FYD504" s="44"/>
      <c r="FYE504" s="44"/>
      <c r="FYF504" s="44"/>
      <c r="FYG504" s="44"/>
      <c r="FYH504" s="44"/>
      <c r="FYI504" s="44"/>
      <c r="FYJ504" s="44"/>
      <c r="FYK504" s="44"/>
      <c r="FYL504" s="44"/>
      <c r="FYM504" s="44"/>
      <c r="FYN504" s="44"/>
      <c r="FYO504" s="44"/>
      <c r="FYP504" s="44"/>
      <c r="FYQ504" s="44"/>
      <c r="FYR504" s="44"/>
      <c r="FYS504" s="44"/>
      <c r="FYT504" s="44"/>
      <c r="FYU504" s="44"/>
      <c r="FYV504" s="44"/>
      <c r="FYW504" s="44"/>
      <c r="FYX504" s="44"/>
      <c r="FYY504" s="44"/>
      <c r="FYZ504" s="44"/>
      <c r="FZA504" s="44"/>
      <c r="FZB504" s="44"/>
      <c r="FZC504" s="44"/>
      <c r="FZD504" s="44"/>
      <c r="FZE504" s="44"/>
      <c r="FZF504" s="44"/>
      <c r="FZG504" s="44"/>
      <c r="FZH504" s="44"/>
      <c r="FZI504" s="44"/>
      <c r="FZJ504" s="44"/>
      <c r="FZK504" s="44"/>
      <c r="FZL504" s="44"/>
      <c r="FZM504" s="44"/>
      <c r="FZN504" s="44"/>
      <c r="FZO504" s="44"/>
      <c r="FZP504" s="44"/>
      <c r="FZQ504" s="44"/>
      <c r="FZR504" s="44"/>
      <c r="FZS504" s="44"/>
      <c r="FZT504" s="44"/>
      <c r="FZU504" s="44"/>
      <c r="FZV504" s="44"/>
      <c r="FZW504" s="44"/>
      <c r="FZX504" s="44"/>
      <c r="FZY504" s="44"/>
      <c r="FZZ504" s="44"/>
      <c r="GAA504" s="44"/>
      <c r="GAB504" s="44"/>
      <c r="GAC504" s="44"/>
      <c r="GAD504" s="44"/>
      <c r="GAE504" s="44"/>
      <c r="GAF504" s="44"/>
      <c r="GAG504" s="44"/>
      <c r="GAH504" s="44"/>
      <c r="GAI504" s="44"/>
      <c r="GAJ504" s="44"/>
      <c r="GAK504" s="44"/>
      <c r="GAL504" s="44"/>
      <c r="GAM504" s="44"/>
      <c r="GAN504" s="44"/>
      <c r="GAO504" s="44"/>
      <c r="GAP504" s="44"/>
      <c r="GAQ504" s="44"/>
      <c r="GAR504" s="44"/>
      <c r="GAS504" s="44"/>
      <c r="GAT504" s="44"/>
      <c r="GAU504" s="44"/>
      <c r="GAV504" s="44"/>
      <c r="GAW504" s="44"/>
      <c r="GAX504" s="44"/>
      <c r="GAY504" s="44"/>
      <c r="GAZ504" s="44"/>
      <c r="GBA504" s="44"/>
      <c r="GBB504" s="44"/>
      <c r="GBC504" s="44"/>
      <c r="GBD504" s="44"/>
      <c r="GBE504" s="44"/>
      <c r="GBF504" s="44"/>
      <c r="GBG504" s="44"/>
      <c r="GBH504" s="44"/>
      <c r="GBI504" s="44"/>
      <c r="GBJ504" s="44"/>
      <c r="GBK504" s="44"/>
      <c r="GBL504" s="44"/>
      <c r="GBM504" s="44"/>
      <c r="GBN504" s="44"/>
      <c r="GBO504" s="44"/>
      <c r="GBP504" s="44"/>
      <c r="GBQ504" s="44"/>
      <c r="GBR504" s="44"/>
      <c r="GBS504" s="44"/>
      <c r="GBT504" s="44"/>
      <c r="GBU504" s="44"/>
      <c r="GBV504" s="44"/>
      <c r="GBW504" s="44"/>
      <c r="GBX504" s="44"/>
      <c r="GBY504" s="44"/>
      <c r="GBZ504" s="44"/>
      <c r="GCA504" s="44"/>
      <c r="GCB504" s="44"/>
      <c r="GCC504" s="44"/>
      <c r="GCD504" s="44"/>
      <c r="GCE504" s="44"/>
      <c r="GCF504" s="44"/>
      <c r="GCG504" s="44"/>
      <c r="GCH504" s="44"/>
      <c r="GCI504" s="44"/>
      <c r="GCJ504" s="44"/>
      <c r="GCK504" s="44"/>
      <c r="GCL504" s="44"/>
      <c r="GCM504" s="44"/>
      <c r="GCN504" s="44"/>
      <c r="GCO504" s="44"/>
      <c r="GCP504" s="44"/>
      <c r="GCQ504" s="44"/>
      <c r="GCR504" s="44"/>
      <c r="GCS504" s="44"/>
      <c r="GCT504" s="44"/>
      <c r="GCU504" s="44"/>
      <c r="GCV504" s="44"/>
      <c r="GCW504" s="44"/>
      <c r="GCX504" s="44"/>
      <c r="GCY504" s="44"/>
      <c r="GCZ504" s="44"/>
      <c r="GDA504" s="44"/>
      <c r="GDB504" s="44"/>
      <c r="GDC504" s="44"/>
      <c r="GDD504" s="44"/>
      <c r="GDE504" s="44"/>
      <c r="GDF504" s="44"/>
      <c r="GDG504" s="44"/>
      <c r="GDH504" s="44"/>
      <c r="GDI504" s="44"/>
      <c r="GDJ504" s="44"/>
      <c r="GDK504" s="44"/>
      <c r="GDL504" s="44"/>
      <c r="GDM504" s="44"/>
      <c r="GDN504" s="44"/>
      <c r="GDO504" s="44"/>
      <c r="GDP504" s="44"/>
      <c r="GDQ504" s="44"/>
      <c r="GDR504" s="44"/>
      <c r="GDS504" s="44"/>
      <c r="GDT504" s="44"/>
      <c r="GDU504" s="44"/>
      <c r="GDV504" s="44"/>
      <c r="GDW504" s="44"/>
      <c r="GDX504" s="44"/>
      <c r="GDY504" s="44"/>
      <c r="GDZ504" s="44"/>
      <c r="GEA504" s="44"/>
      <c r="GEB504" s="44"/>
      <c r="GEC504" s="44"/>
      <c r="GED504" s="44"/>
      <c r="GEE504" s="44"/>
      <c r="GEF504" s="44"/>
      <c r="GEG504" s="44"/>
      <c r="GEH504" s="44"/>
      <c r="GEI504" s="44"/>
      <c r="GEJ504" s="44"/>
      <c r="GEK504" s="44"/>
      <c r="GEL504" s="44"/>
      <c r="GEM504" s="44"/>
      <c r="GEN504" s="44"/>
      <c r="GEO504" s="44"/>
      <c r="GEP504" s="44"/>
      <c r="GEQ504" s="44"/>
      <c r="GER504" s="44"/>
      <c r="GES504" s="44"/>
      <c r="GET504" s="44"/>
      <c r="GEU504" s="44"/>
      <c r="GEV504" s="44"/>
      <c r="GEW504" s="44"/>
      <c r="GEX504" s="44"/>
      <c r="GEY504" s="44"/>
      <c r="GEZ504" s="44"/>
      <c r="GFA504" s="44"/>
      <c r="GFB504" s="44"/>
      <c r="GFC504" s="44"/>
      <c r="GFD504" s="44"/>
      <c r="GFE504" s="44"/>
      <c r="GFF504" s="44"/>
      <c r="GFG504" s="44"/>
      <c r="GFH504" s="44"/>
      <c r="GFI504" s="44"/>
      <c r="GFJ504" s="44"/>
      <c r="GFK504" s="44"/>
      <c r="GFL504" s="44"/>
      <c r="GFM504" s="44"/>
      <c r="GFN504" s="44"/>
      <c r="GFO504" s="44"/>
      <c r="GFP504" s="44"/>
      <c r="GFQ504" s="44"/>
      <c r="GFR504" s="44"/>
      <c r="GFS504" s="44"/>
      <c r="GFT504" s="44"/>
      <c r="GFU504" s="44"/>
      <c r="GFV504" s="44"/>
      <c r="GFW504" s="44"/>
      <c r="GFX504" s="44"/>
      <c r="GFY504" s="44"/>
      <c r="GFZ504" s="44"/>
      <c r="GGA504" s="44"/>
      <c r="GGB504" s="44"/>
      <c r="GGC504" s="44"/>
      <c r="GGD504" s="44"/>
      <c r="GGE504" s="44"/>
      <c r="GGF504" s="44"/>
      <c r="GGG504" s="44"/>
      <c r="GGH504" s="44"/>
      <c r="GGI504" s="44"/>
      <c r="GGJ504" s="44"/>
      <c r="GGK504" s="44"/>
      <c r="GGL504" s="44"/>
      <c r="GGM504" s="44"/>
      <c r="GGN504" s="44"/>
      <c r="GGO504" s="44"/>
      <c r="GGP504" s="44"/>
      <c r="GGQ504" s="44"/>
      <c r="GGR504" s="44"/>
      <c r="GGS504" s="44"/>
      <c r="GGT504" s="44"/>
      <c r="GGU504" s="44"/>
      <c r="GGV504" s="44"/>
      <c r="GGW504" s="44"/>
      <c r="GGX504" s="44"/>
      <c r="GGY504" s="44"/>
      <c r="GGZ504" s="44"/>
      <c r="GHA504" s="44"/>
      <c r="GHB504" s="44"/>
      <c r="GHC504" s="44"/>
      <c r="GHD504" s="44"/>
      <c r="GHE504" s="44"/>
      <c r="GHF504" s="44"/>
      <c r="GHG504" s="44"/>
      <c r="GHH504" s="44"/>
      <c r="GHI504" s="44"/>
      <c r="GHJ504" s="44"/>
      <c r="GHK504" s="44"/>
      <c r="GHL504" s="44"/>
      <c r="GHM504" s="44"/>
      <c r="GHN504" s="44"/>
      <c r="GHO504" s="44"/>
      <c r="GHP504" s="44"/>
      <c r="GHQ504" s="44"/>
      <c r="GHR504" s="44"/>
      <c r="GHS504" s="44"/>
      <c r="GHT504" s="44"/>
      <c r="GHU504" s="44"/>
      <c r="GHV504" s="44"/>
      <c r="GHW504" s="44"/>
      <c r="GHX504" s="44"/>
      <c r="GHY504" s="44"/>
      <c r="GHZ504" s="44"/>
      <c r="GIA504" s="44"/>
      <c r="GIB504" s="44"/>
      <c r="GIC504" s="44"/>
      <c r="GID504" s="44"/>
      <c r="GIE504" s="44"/>
      <c r="GIF504" s="44"/>
      <c r="GIG504" s="44"/>
      <c r="GIH504" s="44"/>
      <c r="GII504" s="44"/>
      <c r="GIJ504" s="44"/>
      <c r="GIK504" s="44"/>
      <c r="GIL504" s="44"/>
      <c r="GIM504" s="44"/>
      <c r="GIN504" s="44"/>
      <c r="GIO504" s="44"/>
      <c r="GIP504" s="44"/>
      <c r="GIQ504" s="44"/>
      <c r="GIR504" s="44"/>
      <c r="GIS504" s="44"/>
      <c r="GIT504" s="44"/>
      <c r="GIU504" s="44"/>
      <c r="GIV504" s="44"/>
      <c r="GIW504" s="44"/>
      <c r="GIX504" s="44"/>
      <c r="GIY504" s="44"/>
      <c r="GIZ504" s="44"/>
      <c r="GJA504" s="44"/>
      <c r="GJB504" s="44"/>
      <c r="GJC504" s="44"/>
      <c r="GJD504" s="44"/>
      <c r="GJE504" s="44"/>
      <c r="GJF504" s="44"/>
      <c r="GJG504" s="44"/>
      <c r="GJH504" s="44"/>
      <c r="GJI504" s="44"/>
      <c r="GJJ504" s="44"/>
      <c r="GJK504" s="44"/>
      <c r="GJL504" s="44"/>
      <c r="GJM504" s="44"/>
      <c r="GJN504" s="44"/>
      <c r="GJO504" s="44"/>
      <c r="GJP504" s="44"/>
      <c r="GJQ504" s="44"/>
      <c r="GJR504" s="44"/>
      <c r="GJS504" s="44"/>
      <c r="GJT504" s="44"/>
      <c r="GJU504" s="44"/>
      <c r="GJV504" s="44"/>
      <c r="GJW504" s="44"/>
      <c r="GJX504" s="44"/>
      <c r="GJY504" s="44"/>
      <c r="GJZ504" s="44"/>
      <c r="GKA504" s="44"/>
      <c r="GKB504" s="44"/>
      <c r="GKC504" s="44"/>
      <c r="GKD504" s="44"/>
      <c r="GKE504" s="44"/>
      <c r="GKF504" s="44"/>
      <c r="GKG504" s="44"/>
      <c r="GKH504" s="44"/>
      <c r="GKI504" s="44"/>
      <c r="GKJ504" s="44"/>
      <c r="GKK504" s="44"/>
      <c r="GKL504" s="44"/>
      <c r="GKM504" s="44"/>
      <c r="GKN504" s="44"/>
      <c r="GKO504" s="44"/>
      <c r="GKP504" s="44"/>
      <c r="GKQ504" s="44"/>
      <c r="GKR504" s="44"/>
      <c r="GKS504" s="44"/>
      <c r="GKT504" s="44"/>
      <c r="GKU504" s="44"/>
      <c r="GKV504" s="44"/>
      <c r="GKW504" s="44"/>
      <c r="GKX504" s="44"/>
      <c r="GKY504" s="44"/>
      <c r="GKZ504" s="44"/>
      <c r="GLA504" s="44"/>
      <c r="GLB504" s="44"/>
      <c r="GLC504" s="44"/>
      <c r="GLD504" s="44"/>
      <c r="GLE504" s="44"/>
      <c r="GLF504" s="44"/>
      <c r="GLG504" s="44"/>
      <c r="GLH504" s="44"/>
      <c r="GLI504" s="44"/>
      <c r="GLJ504" s="44"/>
      <c r="GLK504" s="44"/>
      <c r="GLL504" s="44"/>
      <c r="GLM504" s="44"/>
      <c r="GLN504" s="44"/>
      <c r="GLO504" s="44"/>
      <c r="GLP504" s="44"/>
      <c r="GLQ504" s="44"/>
      <c r="GLR504" s="44"/>
      <c r="GLS504" s="44"/>
      <c r="GLT504" s="44"/>
      <c r="GLU504" s="44"/>
      <c r="GLV504" s="44"/>
      <c r="GLW504" s="44"/>
      <c r="GLX504" s="44"/>
      <c r="GLY504" s="44"/>
      <c r="GLZ504" s="44"/>
      <c r="GMA504" s="44"/>
      <c r="GMB504" s="44"/>
      <c r="GMC504" s="44"/>
      <c r="GMD504" s="44"/>
      <c r="GME504" s="44"/>
      <c r="GMF504" s="44"/>
      <c r="GMG504" s="44"/>
      <c r="GMH504" s="44"/>
      <c r="GMI504" s="44"/>
      <c r="GMJ504" s="44"/>
      <c r="GMK504" s="44"/>
      <c r="GML504" s="44"/>
      <c r="GMM504" s="44"/>
      <c r="GMN504" s="44"/>
      <c r="GMO504" s="44"/>
      <c r="GMP504" s="44"/>
      <c r="GMQ504" s="44"/>
      <c r="GMR504" s="44"/>
      <c r="GMS504" s="44"/>
      <c r="GMT504" s="44"/>
      <c r="GMU504" s="44"/>
      <c r="GMV504" s="44"/>
      <c r="GMW504" s="44"/>
      <c r="GMX504" s="44"/>
      <c r="GMY504" s="44"/>
      <c r="GMZ504" s="44"/>
      <c r="GNA504" s="44"/>
      <c r="GNB504" s="44"/>
      <c r="GNC504" s="44"/>
      <c r="GND504" s="44"/>
      <c r="GNE504" s="44"/>
      <c r="GNF504" s="44"/>
      <c r="GNG504" s="44"/>
      <c r="GNH504" s="44"/>
      <c r="GNI504" s="44"/>
      <c r="GNJ504" s="44"/>
      <c r="GNK504" s="44"/>
      <c r="GNL504" s="44"/>
      <c r="GNM504" s="44"/>
      <c r="GNN504" s="44"/>
      <c r="GNO504" s="44"/>
      <c r="GNP504" s="44"/>
      <c r="GNQ504" s="44"/>
      <c r="GNR504" s="44"/>
      <c r="GNS504" s="44"/>
      <c r="GNT504" s="44"/>
      <c r="GNU504" s="44"/>
      <c r="GNV504" s="44"/>
      <c r="GNW504" s="44"/>
      <c r="GNX504" s="44"/>
      <c r="GNY504" s="44"/>
      <c r="GNZ504" s="44"/>
      <c r="GOA504" s="44"/>
      <c r="GOB504" s="44"/>
      <c r="GOC504" s="44"/>
      <c r="GOD504" s="44"/>
      <c r="GOE504" s="44"/>
      <c r="GOF504" s="44"/>
      <c r="GOG504" s="44"/>
      <c r="GOH504" s="44"/>
      <c r="GOI504" s="44"/>
      <c r="GOJ504" s="44"/>
      <c r="GOK504" s="44"/>
      <c r="GOL504" s="44"/>
      <c r="GOM504" s="44"/>
      <c r="GON504" s="44"/>
      <c r="GOO504" s="44"/>
      <c r="GOP504" s="44"/>
      <c r="GOQ504" s="44"/>
      <c r="GOR504" s="44"/>
      <c r="GOS504" s="44"/>
      <c r="GOT504" s="44"/>
      <c r="GOU504" s="44"/>
      <c r="GOV504" s="44"/>
      <c r="GOW504" s="44"/>
      <c r="GOX504" s="44"/>
      <c r="GOY504" s="44"/>
      <c r="GOZ504" s="44"/>
      <c r="GPA504" s="44"/>
      <c r="GPB504" s="44"/>
      <c r="GPC504" s="44"/>
      <c r="GPD504" s="44"/>
      <c r="GPE504" s="44"/>
      <c r="GPF504" s="44"/>
      <c r="GPG504" s="44"/>
      <c r="GPH504" s="44"/>
      <c r="GPI504" s="44"/>
      <c r="GPJ504" s="44"/>
      <c r="GPK504" s="44"/>
      <c r="GPL504" s="44"/>
      <c r="GPM504" s="44"/>
      <c r="GPN504" s="44"/>
      <c r="GPO504" s="44"/>
      <c r="GPP504" s="44"/>
      <c r="GPQ504" s="44"/>
      <c r="GPR504" s="44"/>
      <c r="GPS504" s="44"/>
      <c r="GPT504" s="44"/>
      <c r="GPU504" s="44"/>
      <c r="GPV504" s="44"/>
      <c r="GPW504" s="44"/>
      <c r="GPX504" s="44"/>
      <c r="GPY504" s="44"/>
      <c r="GPZ504" s="44"/>
      <c r="GQA504" s="44"/>
      <c r="GQB504" s="44"/>
      <c r="GQC504" s="44"/>
      <c r="GQD504" s="44"/>
      <c r="GQE504" s="44"/>
      <c r="GQF504" s="44"/>
      <c r="GQG504" s="44"/>
      <c r="GQH504" s="44"/>
      <c r="GQI504" s="44"/>
      <c r="GQJ504" s="44"/>
      <c r="GQK504" s="44"/>
      <c r="GQL504" s="44"/>
      <c r="GQM504" s="44"/>
      <c r="GQN504" s="44"/>
      <c r="GQO504" s="44"/>
      <c r="GQP504" s="44"/>
      <c r="GQQ504" s="44"/>
      <c r="GQR504" s="44"/>
      <c r="GQS504" s="44"/>
      <c r="GQT504" s="44"/>
      <c r="GQU504" s="44"/>
      <c r="GQV504" s="44"/>
      <c r="GQW504" s="44"/>
      <c r="GQX504" s="44"/>
      <c r="GQY504" s="44"/>
      <c r="GQZ504" s="44"/>
      <c r="GRA504" s="44"/>
      <c r="GRB504" s="44"/>
      <c r="GRC504" s="44"/>
      <c r="GRD504" s="44"/>
      <c r="GRE504" s="44"/>
      <c r="GRF504" s="44"/>
      <c r="GRG504" s="44"/>
      <c r="GRH504" s="44"/>
      <c r="GRI504" s="44"/>
      <c r="GRJ504" s="44"/>
      <c r="GRK504" s="44"/>
      <c r="GRL504" s="44"/>
      <c r="GRM504" s="44"/>
      <c r="GRN504" s="44"/>
      <c r="GRO504" s="44"/>
      <c r="GRP504" s="44"/>
      <c r="GRQ504" s="44"/>
      <c r="GRR504" s="44"/>
      <c r="GRS504" s="44"/>
      <c r="GRT504" s="44"/>
      <c r="GRU504" s="44"/>
      <c r="GRV504" s="44"/>
      <c r="GRW504" s="44"/>
      <c r="GRX504" s="44"/>
      <c r="GRY504" s="44"/>
      <c r="GRZ504" s="44"/>
      <c r="GSA504" s="44"/>
      <c r="GSB504" s="44"/>
      <c r="GSC504" s="44"/>
      <c r="GSD504" s="44"/>
      <c r="GSE504" s="44"/>
      <c r="GSF504" s="44"/>
      <c r="GSG504" s="44"/>
      <c r="GSH504" s="44"/>
      <c r="GSI504" s="44"/>
      <c r="GSJ504" s="44"/>
      <c r="GSK504" s="44"/>
      <c r="GSL504" s="44"/>
      <c r="GSM504" s="44"/>
      <c r="GSN504" s="44"/>
      <c r="GSO504" s="44"/>
      <c r="GSP504" s="44"/>
      <c r="GSQ504" s="44"/>
      <c r="GSR504" s="44"/>
      <c r="GSS504" s="44"/>
      <c r="GST504" s="44"/>
      <c r="GSU504" s="44"/>
      <c r="GSV504" s="44"/>
      <c r="GSW504" s="44"/>
      <c r="GSX504" s="44"/>
      <c r="GSY504" s="44"/>
      <c r="GSZ504" s="44"/>
      <c r="GTA504" s="44"/>
      <c r="GTB504" s="44"/>
      <c r="GTC504" s="44"/>
      <c r="GTD504" s="44"/>
      <c r="GTE504" s="44"/>
      <c r="GTF504" s="44"/>
      <c r="GTG504" s="44"/>
      <c r="GTH504" s="44"/>
      <c r="GTI504" s="44"/>
      <c r="GTJ504" s="44"/>
      <c r="GTK504" s="44"/>
      <c r="GTL504" s="44"/>
      <c r="GTM504" s="44"/>
      <c r="GTN504" s="44"/>
      <c r="GTO504" s="44"/>
      <c r="GTP504" s="44"/>
      <c r="GTQ504" s="44"/>
      <c r="GTR504" s="44"/>
      <c r="GTS504" s="44"/>
      <c r="GTT504" s="44"/>
      <c r="GTU504" s="44"/>
      <c r="GTV504" s="44"/>
      <c r="GTW504" s="44"/>
      <c r="GTX504" s="44"/>
      <c r="GTY504" s="44"/>
      <c r="GTZ504" s="44"/>
      <c r="GUA504" s="44"/>
      <c r="GUB504" s="44"/>
      <c r="GUC504" s="44"/>
      <c r="GUD504" s="44"/>
      <c r="GUE504" s="44"/>
      <c r="GUF504" s="44"/>
      <c r="GUG504" s="44"/>
      <c r="GUH504" s="44"/>
      <c r="GUI504" s="44"/>
      <c r="GUJ504" s="44"/>
      <c r="GUK504" s="44"/>
      <c r="GUL504" s="44"/>
      <c r="GUM504" s="44"/>
      <c r="GUN504" s="44"/>
      <c r="GUO504" s="44"/>
      <c r="GUP504" s="44"/>
      <c r="GUQ504" s="44"/>
      <c r="GUR504" s="44"/>
      <c r="GUS504" s="44"/>
      <c r="GUT504" s="44"/>
      <c r="GUU504" s="44"/>
      <c r="GUV504" s="44"/>
      <c r="GUW504" s="44"/>
      <c r="GUX504" s="44"/>
      <c r="GUY504" s="44"/>
      <c r="GUZ504" s="44"/>
      <c r="GVA504" s="44"/>
      <c r="GVB504" s="44"/>
      <c r="GVC504" s="44"/>
      <c r="GVD504" s="44"/>
      <c r="GVE504" s="44"/>
      <c r="GVF504" s="44"/>
      <c r="GVG504" s="44"/>
      <c r="GVH504" s="44"/>
      <c r="GVI504" s="44"/>
      <c r="GVJ504" s="44"/>
      <c r="GVK504" s="44"/>
      <c r="GVL504" s="44"/>
      <c r="GVM504" s="44"/>
      <c r="GVN504" s="44"/>
      <c r="GVO504" s="44"/>
      <c r="GVP504" s="44"/>
      <c r="GVQ504" s="44"/>
      <c r="GVR504" s="44"/>
      <c r="GVS504" s="44"/>
      <c r="GVT504" s="44"/>
      <c r="GVU504" s="44"/>
      <c r="GVV504" s="44"/>
      <c r="GVW504" s="44"/>
      <c r="GVX504" s="44"/>
      <c r="GVY504" s="44"/>
      <c r="GVZ504" s="44"/>
      <c r="GWA504" s="44"/>
      <c r="GWB504" s="44"/>
      <c r="GWC504" s="44"/>
      <c r="GWD504" s="44"/>
      <c r="GWE504" s="44"/>
      <c r="GWF504" s="44"/>
      <c r="GWG504" s="44"/>
      <c r="GWH504" s="44"/>
      <c r="GWI504" s="44"/>
      <c r="GWJ504" s="44"/>
      <c r="GWK504" s="44"/>
      <c r="GWL504" s="44"/>
      <c r="GWM504" s="44"/>
      <c r="GWN504" s="44"/>
      <c r="GWO504" s="44"/>
      <c r="GWP504" s="44"/>
      <c r="GWQ504" s="44"/>
      <c r="GWR504" s="44"/>
      <c r="GWS504" s="44"/>
      <c r="GWT504" s="44"/>
      <c r="GWU504" s="44"/>
      <c r="GWV504" s="44"/>
      <c r="GWW504" s="44"/>
      <c r="GWX504" s="44"/>
      <c r="GWY504" s="44"/>
      <c r="GWZ504" s="44"/>
      <c r="GXA504" s="44"/>
      <c r="GXB504" s="44"/>
      <c r="GXC504" s="44"/>
      <c r="GXD504" s="44"/>
      <c r="GXE504" s="44"/>
      <c r="GXF504" s="44"/>
      <c r="GXG504" s="44"/>
      <c r="GXH504" s="44"/>
      <c r="GXI504" s="44"/>
      <c r="GXJ504" s="44"/>
      <c r="GXK504" s="44"/>
      <c r="GXL504" s="44"/>
      <c r="GXM504" s="44"/>
      <c r="GXN504" s="44"/>
      <c r="GXO504" s="44"/>
      <c r="GXP504" s="44"/>
      <c r="GXQ504" s="44"/>
      <c r="GXR504" s="44"/>
      <c r="GXS504" s="44"/>
      <c r="GXT504" s="44"/>
      <c r="GXU504" s="44"/>
      <c r="GXV504" s="44"/>
      <c r="GXW504" s="44"/>
      <c r="GXX504" s="44"/>
      <c r="GXY504" s="44"/>
      <c r="GXZ504" s="44"/>
      <c r="GYA504" s="44"/>
      <c r="GYB504" s="44"/>
      <c r="GYC504" s="44"/>
      <c r="GYD504" s="44"/>
      <c r="GYE504" s="44"/>
      <c r="GYF504" s="44"/>
      <c r="GYG504" s="44"/>
      <c r="GYH504" s="44"/>
      <c r="GYI504" s="44"/>
      <c r="GYJ504" s="44"/>
      <c r="GYK504" s="44"/>
      <c r="GYL504" s="44"/>
      <c r="GYM504" s="44"/>
      <c r="GYN504" s="44"/>
      <c r="GYO504" s="44"/>
      <c r="GYP504" s="44"/>
      <c r="GYQ504" s="44"/>
      <c r="GYR504" s="44"/>
      <c r="GYS504" s="44"/>
      <c r="GYT504" s="44"/>
      <c r="GYU504" s="44"/>
      <c r="GYV504" s="44"/>
      <c r="GYW504" s="44"/>
      <c r="GYX504" s="44"/>
      <c r="GYY504" s="44"/>
      <c r="GYZ504" s="44"/>
      <c r="GZA504" s="44"/>
      <c r="GZB504" s="44"/>
      <c r="GZC504" s="44"/>
      <c r="GZD504" s="44"/>
      <c r="GZE504" s="44"/>
      <c r="GZF504" s="44"/>
      <c r="GZG504" s="44"/>
      <c r="GZH504" s="44"/>
      <c r="GZI504" s="44"/>
      <c r="GZJ504" s="44"/>
      <c r="GZK504" s="44"/>
      <c r="GZL504" s="44"/>
      <c r="GZM504" s="44"/>
      <c r="GZN504" s="44"/>
      <c r="GZO504" s="44"/>
      <c r="GZP504" s="44"/>
      <c r="GZQ504" s="44"/>
      <c r="GZR504" s="44"/>
      <c r="GZS504" s="44"/>
      <c r="GZT504" s="44"/>
      <c r="GZU504" s="44"/>
      <c r="GZV504" s="44"/>
      <c r="GZW504" s="44"/>
      <c r="GZX504" s="44"/>
      <c r="GZY504" s="44"/>
      <c r="GZZ504" s="44"/>
      <c r="HAA504" s="44"/>
      <c r="HAB504" s="44"/>
      <c r="HAC504" s="44"/>
      <c r="HAD504" s="44"/>
      <c r="HAE504" s="44"/>
      <c r="HAF504" s="44"/>
      <c r="HAG504" s="44"/>
      <c r="HAH504" s="44"/>
      <c r="HAI504" s="44"/>
      <c r="HAJ504" s="44"/>
      <c r="HAK504" s="44"/>
      <c r="HAL504" s="44"/>
      <c r="HAM504" s="44"/>
      <c r="HAN504" s="44"/>
      <c r="HAO504" s="44"/>
      <c r="HAP504" s="44"/>
      <c r="HAQ504" s="44"/>
      <c r="HAR504" s="44"/>
      <c r="HAS504" s="44"/>
      <c r="HAT504" s="44"/>
      <c r="HAU504" s="44"/>
      <c r="HAV504" s="44"/>
      <c r="HAW504" s="44"/>
      <c r="HAX504" s="44"/>
      <c r="HAY504" s="44"/>
      <c r="HAZ504" s="44"/>
      <c r="HBA504" s="44"/>
      <c r="HBB504" s="44"/>
      <c r="HBC504" s="44"/>
      <c r="HBD504" s="44"/>
      <c r="HBE504" s="44"/>
      <c r="HBF504" s="44"/>
      <c r="HBG504" s="44"/>
      <c r="HBH504" s="44"/>
      <c r="HBI504" s="44"/>
      <c r="HBJ504" s="44"/>
      <c r="HBK504" s="44"/>
      <c r="HBL504" s="44"/>
      <c r="HBM504" s="44"/>
      <c r="HBN504" s="44"/>
      <c r="HBO504" s="44"/>
      <c r="HBP504" s="44"/>
      <c r="HBQ504" s="44"/>
      <c r="HBR504" s="44"/>
      <c r="HBS504" s="44"/>
      <c r="HBT504" s="44"/>
      <c r="HBU504" s="44"/>
      <c r="HBV504" s="44"/>
      <c r="HBW504" s="44"/>
      <c r="HBX504" s="44"/>
      <c r="HBY504" s="44"/>
      <c r="HBZ504" s="44"/>
      <c r="HCA504" s="44"/>
      <c r="HCB504" s="44"/>
      <c r="HCC504" s="44"/>
      <c r="HCD504" s="44"/>
      <c r="HCE504" s="44"/>
      <c r="HCF504" s="44"/>
      <c r="HCG504" s="44"/>
      <c r="HCH504" s="44"/>
      <c r="HCI504" s="44"/>
      <c r="HCJ504" s="44"/>
      <c r="HCK504" s="44"/>
      <c r="HCL504" s="44"/>
      <c r="HCM504" s="44"/>
      <c r="HCN504" s="44"/>
      <c r="HCO504" s="44"/>
      <c r="HCP504" s="44"/>
      <c r="HCQ504" s="44"/>
      <c r="HCR504" s="44"/>
      <c r="HCS504" s="44"/>
      <c r="HCT504" s="44"/>
      <c r="HCU504" s="44"/>
      <c r="HCV504" s="44"/>
      <c r="HCW504" s="44"/>
      <c r="HCX504" s="44"/>
      <c r="HCY504" s="44"/>
      <c r="HCZ504" s="44"/>
      <c r="HDA504" s="44"/>
      <c r="HDB504" s="44"/>
      <c r="HDC504" s="44"/>
      <c r="HDD504" s="44"/>
      <c r="HDE504" s="44"/>
      <c r="HDF504" s="44"/>
      <c r="HDG504" s="44"/>
      <c r="HDH504" s="44"/>
      <c r="HDI504" s="44"/>
      <c r="HDJ504" s="44"/>
      <c r="HDK504" s="44"/>
      <c r="HDL504" s="44"/>
      <c r="HDM504" s="44"/>
      <c r="HDN504" s="44"/>
      <c r="HDO504" s="44"/>
      <c r="HDP504" s="44"/>
      <c r="HDQ504" s="44"/>
      <c r="HDR504" s="44"/>
      <c r="HDS504" s="44"/>
      <c r="HDT504" s="44"/>
      <c r="HDU504" s="44"/>
      <c r="HDV504" s="44"/>
      <c r="HDW504" s="44"/>
      <c r="HDX504" s="44"/>
      <c r="HDY504" s="44"/>
      <c r="HDZ504" s="44"/>
      <c r="HEA504" s="44"/>
      <c r="HEB504" s="44"/>
      <c r="HEC504" s="44"/>
      <c r="HED504" s="44"/>
      <c r="HEE504" s="44"/>
      <c r="HEF504" s="44"/>
      <c r="HEG504" s="44"/>
      <c r="HEH504" s="44"/>
      <c r="HEI504" s="44"/>
      <c r="HEJ504" s="44"/>
      <c r="HEK504" s="44"/>
      <c r="HEL504" s="44"/>
      <c r="HEM504" s="44"/>
      <c r="HEN504" s="44"/>
      <c r="HEO504" s="44"/>
      <c r="HEP504" s="44"/>
      <c r="HEQ504" s="44"/>
      <c r="HER504" s="44"/>
      <c r="HES504" s="44"/>
      <c r="HET504" s="44"/>
      <c r="HEU504" s="44"/>
      <c r="HEV504" s="44"/>
      <c r="HEW504" s="44"/>
      <c r="HEX504" s="44"/>
      <c r="HEY504" s="44"/>
      <c r="HEZ504" s="44"/>
      <c r="HFA504" s="44"/>
      <c r="HFB504" s="44"/>
      <c r="HFC504" s="44"/>
      <c r="HFD504" s="44"/>
      <c r="HFE504" s="44"/>
      <c r="HFF504" s="44"/>
      <c r="HFG504" s="44"/>
      <c r="HFH504" s="44"/>
      <c r="HFI504" s="44"/>
      <c r="HFJ504" s="44"/>
      <c r="HFK504" s="44"/>
      <c r="HFL504" s="44"/>
      <c r="HFM504" s="44"/>
      <c r="HFN504" s="44"/>
      <c r="HFO504" s="44"/>
      <c r="HFP504" s="44"/>
      <c r="HFQ504" s="44"/>
      <c r="HFR504" s="44"/>
      <c r="HFS504" s="44"/>
      <c r="HFT504" s="44"/>
      <c r="HFU504" s="44"/>
      <c r="HFV504" s="44"/>
      <c r="HFW504" s="44"/>
      <c r="HFX504" s="44"/>
      <c r="HFY504" s="44"/>
      <c r="HFZ504" s="44"/>
      <c r="HGA504" s="44"/>
      <c r="HGB504" s="44"/>
      <c r="HGC504" s="44"/>
      <c r="HGD504" s="44"/>
      <c r="HGE504" s="44"/>
      <c r="HGF504" s="44"/>
      <c r="HGG504" s="44"/>
      <c r="HGH504" s="44"/>
      <c r="HGI504" s="44"/>
      <c r="HGJ504" s="44"/>
      <c r="HGK504" s="44"/>
      <c r="HGL504" s="44"/>
      <c r="HGM504" s="44"/>
      <c r="HGN504" s="44"/>
      <c r="HGO504" s="44"/>
      <c r="HGP504" s="44"/>
      <c r="HGQ504" s="44"/>
      <c r="HGR504" s="44"/>
      <c r="HGS504" s="44"/>
      <c r="HGT504" s="44"/>
      <c r="HGU504" s="44"/>
      <c r="HGV504" s="44"/>
      <c r="HGW504" s="44"/>
      <c r="HGX504" s="44"/>
      <c r="HGY504" s="44"/>
      <c r="HGZ504" s="44"/>
      <c r="HHA504" s="44"/>
      <c r="HHB504" s="44"/>
      <c r="HHC504" s="44"/>
      <c r="HHD504" s="44"/>
      <c r="HHE504" s="44"/>
      <c r="HHF504" s="44"/>
      <c r="HHG504" s="44"/>
      <c r="HHH504" s="44"/>
      <c r="HHI504" s="44"/>
      <c r="HHJ504" s="44"/>
      <c r="HHK504" s="44"/>
      <c r="HHL504" s="44"/>
      <c r="HHM504" s="44"/>
      <c r="HHN504" s="44"/>
      <c r="HHO504" s="44"/>
      <c r="HHP504" s="44"/>
      <c r="HHQ504" s="44"/>
      <c r="HHR504" s="44"/>
      <c r="HHS504" s="44"/>
      <c r="HHT504" s="44"/>
      <c r="HHU504" s="44"/>
      <c r="HHV504" s="44"/>
      <c r="HHW504" s="44"/>
      <c r="HHX504" s="44"/>
      <c r="HHY504" s="44"/>
      <c r="HHZ504" s="44"/>
      <c r="HIA504" s="44"/>
      <c r="HIB504" s="44"/>
      <c r="HIC504" s="44"/>
      <c r="HID504" s="44"/>
      <c r="HIE504" s="44"/>
      <c r="HIF504" s="44"/>
      <c r="HIG504" s="44"/>
      <c r="HIH504" s="44"/>
      <c r="HII504" s="44"/>
      <c r="HIJ504" s="44"/>
      <c r="HIK504" s="44"/>
      <c r="HIL504" s="44"/>
      <c r="HIM504" s="44"/>
      <c r="HIN504" s="44"/>
      <c r="HIO504" s="44"/>
      <c r="HIP504" s="44"/>
      <c r="HIQ504" s="44"/>
      <c r="HIR504" s="44"/>
      <c r="HIS504" s="44"/>
      <c r="HIT504" s="44"/>
      <c r="HIU504" s="44"/>
      <c r="HIV504" s="44"/>
      <c r="HIW504" s="44"/>
      <c r="HIX504" s="44"/>
      <c r="HIY504" s="44"/>
      <c r="HIZ504" s="44"/>
      <c r="HJA504" s="44"/>
      <c r="HJB504" s="44"/>
      <c r="HJC504" s="44"/>
      <c r="HJD504" s="44"/>
      <c r="HJE504" s="44"/>
      <c r="HJF504" s="44"/>
      <c r="HJG504" s="44"/>
      <c r="HJH504" s="44"/>
      <c r="HJI504" s="44"/>
      <c r="HJJ504" s="44"/>
      <c r="HJK504" s="44"/>
      <c r="HJL504" s="44"/>
      <c r="HJM504" s="44"/>
      <c r="HJN504" s="44"/>
      <c r="HJO504" s="44"/>
      <c r="HJP504" s="44"/>
      <c r="HJQ504" s="44"/>
      <c r="HJR504" s="44"/>
      <c r="HJS504" s="44"/>
      <c r="HJT504" s="44"/>
      <c r="HJU504" s="44"/>
      <c r="HJV504" s="44"/>
      <c r="HJW504" s="44"/>
      <c r="HJX504" s="44"/>
      <c r="HJY504" s="44"/>
      <c r="HJZ504" s="44"/>
      <c r="HKA504" s="44"/>
      <c r="HKB504" s="44"/>
      <c r="HKC504" s="44"/>
      <c r="HKD504" s="44"/>
      <c r="HKE504" s="44"/>
      <c r="HKF504" s="44"/>
      <c r="HKG504" s="44"/>
      <c r="HKH504" s="44"/>
      <c r="HKI504" s="44"/>
      <c r="HKJ504" s="44"/>
      <c r="HKK504" s="44"/>
      <c r="HKL504" s="44"/>
      <c r="HKM504" s="44"/>
      <c r="HKN504" s="44"/>
      <c r="HKO504" s="44"/>
      <c r="HKP504" s="44"/>
      <c r="HKQ504" s="44"/>
      <c r="HKR504" s="44"/>
      <c r="HKS504" s="44"/>
      <c r="HKT504" s="44"/>
      <c r="HKU504" s="44"/>
      <c r="HKV504" s="44"/>
      <c r="HKW504" s="44"/>
      <c r="HKX504" s="44"/>
      <c r="HKY504" s="44"/>
      <c r="HKZ504" s="44"/>
      <c r="HLA504" s="44"/>
      <c r="HLB504" s="44"/>
      <c r="HLC504" s="44"/>
      <c r="HLD504" s="44"/>
      <c r="HLE504" s="44"/>
      <c r="HLF504" s="44"/>
      <c r="HLG504" s="44"/>
      <c r="HLH504" s="44"/>
      <c r="HLI504" s="44"/>
      <c r="HLJ504" s="44"/>
      <c r="HLK504" s="44"/>
      <c r="HLL504" s="44"/>
      <c r="HLM504" s="44"/>
      <c r="HLN504" s="44"/>
      <c r="HLO504" s="44"/>
      <c r="HLP504" s="44"/>
      <c r="HLQ504" s="44"/>
      <c r="HLR504" s="44"/>
      <c r="HLS504" s="44"/>
      <c r="HLT504" s="44"/>
      <c r="HLU504" s="44"/>
      <c r="HLV504" s="44"/>
      <c r="HLW504" s="44"/>
      <c r="HLX504" s="44"/>
      <c r="HLY504" s="44"/>
      <c r="HLZ504" s="44"/>
      <c r="HMA504" s="44"/>
      <c r="HMB504" s="44"/>
      <c r="HMC504" s="44"/>
      <c r="HMD504" s="44"/>
      <c r="HME504" s="44"/>
      <c r="HMF504" s="44"/>
      <c r="HMG504" s="44"/>
      <c r="HMH504" s="44"/>
      <c r="HMI504" s="44"/>
      <c r="HMJ504" s="44"/>
      <c r="HMK504" s="44"/>
      <c r="HML504" s="44"/>
      <c r="HMM504" s="44"/>
      <c r="HMN504" s="44"/>
      <c r="HMO504" s="44"/>
      <c r="HMP504" s="44"/>
      <c r="HMQ504" s="44"/>
      <c r="HMR504" s="44"/>
      <c r="HMS504" s="44"/>
      <c r="HMT504" s="44"/>
      <c r="HMU504" s="44"/>
      <c r="HMV504" s="44"/>
      <c r="HMW504" s="44"/>
      <c r="HMX504" s="44"/>
      <c r="HMY504" s="44"/>
      <c r="HMZ504" s="44"/>
      <c r="HNA504" s="44"/>
      <c r="HNB504" s="44"/>
      <c r="HNC504" s="44"/>
      <c r="HND504" s="44"/>
      <c r="HNE504" s="44"/>
      <c r="HNF504" s="44"/>
      <c r="HNG504" s="44"/>
      <c r="HNH504" s="44"/>
      <c r="HNI504" s="44"/>
      <c r="HNJ504" s="44"/>
      <c r="HNK504" s="44"/>
      <c r="HNL504" s="44"/>
      <c r="HNM504" s="44"/>
      <c r="HNN504" s="44"/>
      <c r="HNO504" s="44"/>
      <c r="HNP504" s="44"/>
      <c r="HNQ504" s="44"/>
      <c r="HNR504" s="44"/>
      <c r="HNS504" s="44"/>
      <c r="HNT504" s="44"/>
      <c r="HNU504" s="44"/>
      <c r="HNV504" s="44"/>
      <c r="HNW504" s="44"/>
      <c r="HNX504" s="44"/>
      <c r="HNY504" s="44"/>
      <c r="HNZ504" s="44"/>
      <c r="HOA504" s="44"/>
      <c r="HOB504" s="44"/>
      <c r="HOC504" s="44"/>
      <c r="HOD504" s="44"/>
      <c r="HOE504" s="44"/>
      <c r="HOF504" s="44"/>
      <c r="HOG504" s="44"/>
      <c r="HOH504" s="44"/>
      <c r="HOI504" s="44"/>
      <c r="HOJ504" s="44"/>
      <c r="HOK504" s="44"/>
      <c r="HOL504" s="44"/>
      <c r="HOM504" s="44"/>
      <c r="HON504" s="44"/>
      <c r="HOO504" s="44"/>
      <c r="HOP504" s="44"/>
      <c r="HOQ504" s="44"/>
      <c r="HOR504" s="44"/>
      <c r="HOS504" s="44"/>
      <c r="HOT504" s="44"/>
      <c r="HOU504" s="44"/>
      <c r="HOV504" s="44"/>
      <c r="HOW504" s="44"/>
      <c r="HOX504" s="44"/>
      <c r="HOY504" s="44"/>
      <c r="HOZ504" s="44"/>
      <c r="HPA504" s="44"/>
      <c r="HPB504" s="44"/>
      <c r="HPC504" s="44"/>
      <c r="HPD504" s="44"/>
      <c r="HPE504" s="44"/>
      <c r="HPF504" s="44"/>
      <c r="HPG504" s="44"/>
      <c r="HPH504" s="44"/>
      <c r="HPI504" s="44"/>
      <c r="HPJ504" s="44"/>
      <c r="HPK504" s="44"/>
      <c r="HPL504" s="44"/>
      <c r="HPM504" s="44"/>
      <c r="HPN504" s="44"/>
      <c r="HPO504" s="44"/>
      <c r="HPP504" s="44"/>
      <c r="HPQ504" s="44"/>
      <c r="HPR504" s="44"/>
      <c r="HPS504" s="44"/>
      <c r="HPT504" s="44"/>
      <c r="HPU504" s="44"/>
      <c r="HPV504" s="44"/>
      <c r="HPW504" s="44"/>
      <c r="HPX504" s="44"/>
      <c r="HPY504" s="44"/>
      <c r="HPZ504" s="44"/>
      <c r="HQA504" s="44"/>
      <c r="HQB504" s="44"/>
      <c r="HQC504" s="44"/>
      <c r="HQD504" s="44"/>
      <c r="HQE504" s="44"/>
      <c r="HQF504" s="44"/>
      <c r="HQG504" s="44"/>
      <c r="HQH504" s="44"/>
      <c r="HQI504" s="44"/>
      <c r="HQJ504" s="44"/>
      <c r="HQK504" s="44"/>
      <c r="HQL504" s="44"/>
      <c r="HQM504" s="44"/>
      <c r="HQN504" s="44"/>
      <c r="HQO504" s="44"/>
      <c r="HQP504" s="44"/>
      <c r="HQQ504" s="44"/>
      <c r="HQR504" s="44"/>
      <c r="HQS504" s="44"/>
      <c r="HQT504" s="44"/>
      <c r="HQU504" s="44"/>
      <c r="HQV504" s="44"/>
      <c r="HQW504" s="44"/>
      <c r="HQX504" s="44"/>
      <c r="HQY504" s="44"/>
      <c r="HQZ504" s="44"/>
      <c r="HRA504" s="44"/>
      <c r="HRB504" s="44"/>
      <c r="HRC504" s="44"/>
      <c r="HRD504" s="44"/>
      <c r="HRE504" s="44"/>
      <c r="HRF504" s="44"/>
      <c r="HRG504" s="44"/>
      <c r="HRH504" s="44"/>
      <c r="HRI504" s="44"/>
      <c r="HRJ504" s="44"/>
      <c r="HRK504" s="44"/>
      <c r="HRL504" s="44"/>
      <c r="HRM504" s="44"/>
      <c r="HRN504" s="44"/>
      <c r="HRO504" s="44"/>
      <c r="HRP504" s="44"/>
      <c r="HRQ504" s="44"/>
      <c r="HRR504" s="44"/>
      <c r="HRS504" s="44"/>
      <c r="HRT504" s="44"/>
      <c r="HRU504" s="44"/>
      <c r="HRV504" s="44"/>
      <c r="HRW504" s="44"/>
      <c r="HRX504" s="44"/>
      <c r="HRY504" s="44"/>
      <c r="HRZ504" s="44"/>
      <c r="HSA504" s="44"/>
      <c r="HSB504" s="44"/>
      <c r="HSC504" s="44"/>
      <c r="HSD504" s="44"/>
      <c r="HSE504" s="44"/>
      <c r="HSF504" s="44"/>
      <c r="HSG504" s="44"/>
      <c r="HSH504" s="44"/>
      <c r="HSI504" s="44"/>
      <c r="HSJ504" s="44"/>
      <c r="HSK504" s="44"/>
      <c r="HSL504" s="44"/>
      <c r="HSM504" s="44"/>
      <c r="HSN504" s="44"/>
      <c r="HSO504" s="44"/>
      <c r="HSP504" s="44"/>
      <c r="HSQ504" s="44"/>
      <c r="HSR504" s="44"/>
      <c r="HSS504" s="44"/>
      <c r="HST504" s="44"/>
      <c r="HSU504" s="44"/>
      <c r="HSV504" s="44"/>
      <c r="HSW504" s="44"/>
      <c r="HSX504" s="44"/>
      <c r="HSY504" s="44"/>
      <c r="HSZ504" s="44"/>
      <c r="HTA504" s="44"/>
      <c r="HTB504" s="44"/>
      <c r="HTC504" s="44"/>
      <c r="HTD504" s="44"/>
      <c r="HTE504" s="44"/>
      <c r="HTF504" s="44"/>
      <c r="HTG504" s="44"/>
      <c r="HTH504" s="44"/>
      <c r="HTI504" s="44"/>
      <c r="HTJ504" s="44"/>
      <c r="HTK504" s="44"/>
      <c r="HTL504" s="44"/>
      <c r="HTM504" s="44"/>
      <c r="HTN504" s="44"/>
      <c r="HTO504" s="44"/>
      <c r="HTP504" s="44"/>
      <c r="HTQ504" s="44"/>
      <c r="HTR504" s="44"/>
      <c r="HTS504" s="44"/>
      <c r="HTT504" s="44"/>
      <c r="HTU504" s="44"/>
      <c r="HTV504" s="44"/>
      <c r="HTW504" s="44"/>
      <c r="HTX504" s="44"/>
      <c r="HTY504" s="44"/>
      <c r="HTZ504" s="44"/>
      <c r="HUA504" s="44"/>
      <c r="HUB504" s="44"/>
      <c r="HUC504" s="44"/>
      <c r="HUD504" s="44"/>
      <c r="HUE504" s="44"/>
      <c r="HUF504" s="44"/>
      <c r="HUG504" s="44"/>
      <c r="HUH504" s="44"/>
      <c r="HUI504" s="44"/>
      <c r="HUJ504" s="44"/>
      <c r="HUK504" s="44"/>
      <c r="HUL504" s="44"/>
      <c r="HUM504" s="44"/>
      <c r="HUN504" s="44"/>
      <c r="HUO504" s="44"/>
      <c r="HUP504" s="44"/>
      <c r="HUQ504" s="44"/>
      <c r="HUR504" s="44"/>
      <c r="HUS504" s="44"/>
      <c r="HUT504" s="44"/>
      <c r="HUU504" s="44"/>
      <c r="HUV504" s="44"/>
      <c r="HUW504" s="44"/>
      <c r="HUX504" s="44"/>
      <c r="HUY504" s="44"/>
      <c r="HUZ504" s="44"/>
      <c r="HVA504" s="44"/>
      <c r="HVB504" s="44"/>
      <c r="HVC504" s="44"/>
      <c r="HVD504" s="44"/>
      <c r="HVE504" s="44"/>
      <c r="HVF504" s="44"/>
      <c r="HVG504" s="44"/>
      <c r="HVH504" s="44"/>
      <c r="HVI504" s="44"/>
      <c r="HVJ504" s="44"/>
      <c r="HVK504" s="44"/>
      <c r="HVL504" s="44"/>
      <c r="HVM504" s="44"/>
      <c r="HVN504" s="44"/>
      <c r="HVO504" s="44"/>
      <c r="HVP504" s="44"/>
      <c r="HVQ504" s="44"/>
      <c r="HVR504" s="44"/>
      <c r="HVS504" s="44"/>
      <c r="HVT504" s="44"/>
      <c r="HVU504" s="44"/>
      <c r="HVV504" s="44"/>
      <c r="HVW504" s="44"/>
      <c r="HVX504" s="44"/>
      <c r="HVY504" s="44"/>
      <c r="HVZ504" s="44"/>
      <c r="HWA504" s="44"/>
      <c r="HWB504" s="44"/>
      <c r="HWC504" s="44"/>
      <c r="HWD504" s="44"/>
      <c r="HWE504" s="44"/>
      <c r="HWF504" s="44"/>
      <c r="HWG504" s="44"/>
      <c r="HWH504" s="44"/>
      <c r="HWI504" s="44"/>
      <c r="HWJ504" s="44"/>
      <c r="HWK504" s="44"/>
      <c r="HWL504" s="44"/>
      <c r="HWM504" s="44"/>
      <c r="HWN504" s="44"/>
      <c r="HWO504" s="44"/>
      <c r="HWP504" s="44"/>
      <c r="HWQ504" s="44"/>
      <c r="HWR504" s="44"/>
      <c r="HWS504" s="44"/>
      <c r="HWT504" s="44"/>
      <c r="HWU504" s="44"/>
      <c r="HWV504" s="44"/>
      <c r="HWW504" s="44"/>
      <c r="HWX504" s="44"/>
      <c r="HWY504" s="44"/>
      <c r="HWZ504" s="44"/>
      <c r="HXA504" s="44"/>
      <c r="HXB504" s="44"/>
      <c r="HXC504" s="44"/>
      <c r="HXD504" s="44"/>
      <c r="HXE504" s="44"/>
      <c r="HXF504" s="44"/>
      <c r="HXG504" s="44"/>
      <c r="HXH504" s="44"/>
      <c r="HXI504" s="44"/>
      <c r="HXJ504" s="44"/>
      <c r="HXK504" s="44"/>
      <c r="HXL504" s="44"/>
      <c r="HXM504" s="44"/>
      <c r="HXN504" s="44"/>
      <c r="HXO504" s="44"/>
      <c r="HXP504" s="44"/>
      <c r="HXQ504" s="44"/>
      <c r="HXR504" s="44"/>
      <c r="HXS504" s="44"/>
      <c r="HXT504" s="44"/>
      <c r="HXU504" s="44"/>
      <c r="HXV504" s="44"/>
      <c r="HXW504" s="44"/>
      <c r="HXX504" s="44"/>
      <c r="HXY504" s="44"/>
      <c r="HXZ504" s="44"/>
      <c r="HYA504" s="44"/>
      <c r="HYB504" s="44"/>
      <c r="HYC504" s="44"/>
      <c r="HYD504" s="44"/>
      <c r="HYE504" s="44"/>
      <c r="HYF504" s="44"/>
      <c r="HYG504" s="44"/>
      <c r="HYH504" s="44"/>
      <c r="HYI504" s="44"/>
      <c r="HYJ504" s="44"/>
      <c r="HYK504" s="44"/>
      <c r="HYL504" s="44"/>
      <c r="HYM504" s="44"/>
      <c r="HYN504" s="44"/>
      <c r="HYO504" s="44"/>
      <c r="HYP504" s="44"/>
      <c r="HYQ504" s="44"/>
      <c r="HYR504" s="44"/>
      <c r="HYS504" s="44"/>
      <c r="HYT504" s="44"/>
      <c r="HYU504" s="44"/>
      <c r="HYV504" s="44"/>
      <c r="HYW504" s="44"/>
      <c r="HYX504" s="44"/>
      <c r="HYY504" s="44"/>
      <c r="HYZ504" s="44"/>
      <c r="HZA504" s="44"/>
      <c r="HZB504" s="44"/>
      <c r="HZC504" s="44"/>
      <c r="HZD504" s="44"/>
      <c r="HZE504" s="44"/>
      <c r="HZF504" s="44"/>
      <c r="HZG504" s="44"/>
      <c r="HZH504" s="44"/>
      <c r="HZI504" s="44"/>
      <c r="HZJ504" s="44"/>
      <c r="HZK504" s="44"/>
      <c r="HZL504" s="44"/>
      <c r="HZM504" s="44"/>
      <c r="HZN504" s="44"/>
      <c r="HZO504" s="44"/>
      <c r="HZP504" s="44"/>
      <c r="HZQ504" s="44"/>
      <c r="HZR504" s="44"/>
      <c r="HZS504" s="44"/>
      <c r="HZT504" s="44"/>
      <c r="HZU504" s="44"/>
      <c r="HZV504" s="44"/>
      <c r="HZW504" s="44"/>
      <c r="HZX504" s="44"/>
      <c r="HZY504" s="44"/>
      <c r="HZZ504" s="44"/>
      <c r="IAA504" s="44"/>
      <c r="IAB504" s="44"/>
      <c r="IAC504" s="44"/>
      <c r="IAD504" s="44"/>
      <c r="IAE504" s="44"/>
      <c r="IAF504" s="44"/>
      <c r="IAG504" s="44"/>
      <c r="IAH504" s="44"/>
      <c r="IAI504" s="44"/>
      <c r="IAJ504" s="44"/>
      <c r="IAK504" s="44"/>
      <c r="IAL504" s="44"/>
      <c r="IAM504" s="44"/>
      <c r="IAN504" s="44"/>
      <c r="IAO504" s="44"/>
      <c r="IAP504" s="44"/>
      <c r="IAQ504" s="44"/>
      <c r="IAR504" s="44"/>
      <c r="IAS504" s="44"/>
      <c r="IAT504" s="44"/>
      <c r="IAU504" s="44"/>
      <c r="IAV504" s="44"/>
      <c r="IAW504" s="44"/>
      <c r="IAX504" s="44"/>
      <c r="IAY504" s="44"/>
      <c r="IAZ504" s="44"/>
      <c r="IBA504" s="44"/>
      <c r="IBB504" s="44"/>
      <c r="IBC504" s="44"/>
      <c r="IBD504" s="44"/>
      <c r="IBE504" s="44"/>
      <c r="IBF504" s="44"/>
      <c r="IBG504" s="44"/>
      <c r="IBH504" s="44"/>
      <c r="IBI504" s="44"/>
      <c r="IBJ504" s="44"/>
      <c r="IBK504" s="44"/>
      <c r="IBL504" s="44"/>
      <c r="IBM504" s="44"/>
      <c r="IBN504" s="44"/>
      <c r="IBO504" s="44"/>
      <c r="IBP504" s="44"/>
      <c r="IBQ504" s="44"/>
      <c r="IBR504" s="44"/>
      <c r="IBS504" s="44"/>
      <c r="IBT504" s="44"/>
      <c r="IBU504" s="44"/>
      <c r="IBV504" s="44"/>
      <c r="IBW504" s="44"/>
      <c r="IBX504" s="44"/>
      <c r="IBY504" s="44"/>
      <c r="IBZ504" s="44"/>
      <c r="ICA504" s="44"/>
      <c r="ICB504" s="44"/>
      <c r="ICC504" s="44"/>
      <c r="ICD504" s="44"/>
      <c r="ICE504" s="44"/>
      <c r="ICF504" s="44"/>
      <c r="ICG504" s="44"/>
      <c r="ICH504" s="44"/>
      <c r="ICI504" s="44"/>
      <c r="ICJ504" s="44"/>
      <c r="ICK504" s="44"/>
      <c r="ICL504" s="44"/>
      <c r="ICM504" s="44"/>
      <c r="ICN504" s="44"/>
      <c r="ICO504" s="44"/>
      <c r="ICP504" s="44"/>
      <c r="ICQ504" s="44"/>
      <c r="ICR504" s="44"/>
      <c r="ICS504" s="44"/>
      <c r="ICT504" s="44"/>
      <c r="ICU504" s="44"/>
      <c r="ICV504" s="44"/>
      <c r="ICW504" s="44"/>
      <c r="ICX504" s="44"/>
      <c r="ICY504" s="44"/>
      <c r="ICZ504" s="44"/>
      <c r="IDA504" s="44"/>
      <c r="IDB504" s="44"/>
      <c r="IDC504" s="44"/>
      <c r="IDD504" s="44"/>
      <c r="IDE504" s="44"/>
      <c r="IDF504" s="44"/>
      <c r="IDG504" s="44"/>
      <c r="IDH504" s="44"/>
      <c r="IDI504" s="44"/>
      <c r="IDJ504" s="44"/>
      <c r="IDK504" s="44"/>
      <c r="IDL504" s="44"/>
      <c r="IDM504" s="44"/>
      <c r="IDN504" s="44"/>
      <c r="IDO504" s="44"/>
      <c r="IDP504" s="44"/>
      <c r="IDQ504" s="44"/>
      <c r="IDR504" s="44"/>
      <c r="IDS504" s="44"/>
      <c r="IDT504" s="44"/>
      <c r="IDU504" s="44"/>
      <c r="IDV504" s="44"/>
      <c r="IDW504" s="44"/>
      <c r="IDX504" s="44"/>
      <c r="IDY504" s="44"/>
      <c r="IDZ504" s="44"/>
      <c r="IEA504" s="44"/>
      <c r="IEB504" s="44"/>
      <c r="IEC504" s="44"/>
      <c r="IED504" s="44"/>
      <c r="IEE504" s="44"/>
      <c r="IEF504" s="44"/>
      <c r="IEG504" s="44"/>
      <c r="IEH504" s="44"/>
      <c r="IEI504" s="44"/>
      <c r="IEJ504" s="44"/>
      <c r="IEK504" s="44"/>
      <c r="IEL504" s="44"/>
      <c r="IEM504" s="44"/>
      <c r="IEN504" s="44"/>
      <c r="IEO504" s="44"/>
      <c r="IEP504" s="44"/>
      <c r="IEQ504" s="44"/>
      <c r="IER504" s="44"/>
      <c r="IES504" s="44"/>
      <c r="IET504" s="44"/>
      <c r="IEU504" s="44"/>
      <c r="IEV504" s="44"/>
      <c r="IEW504" s="44"/>
      <c r="IEX504" s="44"/>
      <c r="IEY504" s="44"/>
      <c r="IEZ504" s="44"/>
      <c r="IFA504" s="44"/>
      <c r="IFB504" s="44"/>
      <c r="IFC504" s="44"/>
      <c r="IFD504" s="44"/>
      <c r="IFE504" s="44"/>
      <c r="IFF504" s="44"/>
      <c r="IFG504" s="44"/>
      <c r="IFH504" s="44"/>
      <c r="IFI504" s="44"/>
      <c r="IFJ504" s="44"/>
      <c r="IFK504" s="44"/>
      <c r="IFL504" s="44"/>
      <c r="IFM504" s="44"/>
      <c r="IFN504" s="44"/>
      <c r="IFO504" s="44"/>
      <c r="IFP504" s="44"/>
      <c r="IFQ504" s="44"/>
      <c r="IFR504" s="44"/>
      <c r="IFS504" s="44"/>
      <c r="IFT504" s="44"/>
      <c r="IFU504" s="44"/>
      <c r="IFV504" s="44"/>
      <c r="IFW504" s="44"/>
      <c r="IFX504" s="44"/>
      <c r="IFY504" s="44"/>
      <c r="IFZ504" s="44"/>
      <c r="IGA504" s="44"/>
      <c r="IGB504" s="44"/>
      <c r="IGC504" s="44"/>
      <c r="IGD504" s="44"/>
      <c r="IGE504" s="44"/>
      <c r="IGF504" s="44"/>
      <c r="IGG504" s="44"/>
      <c r="IGH504" s="44"/>
      <c r="IGI504" s="44"/>
      <c r="IGJ504" s="44"/>
      <c r="IGK504" s="44"/>
      <c r="IGL504" s="44"/>
      <c r="IGM504" s="44"/>
      <c r="IGN504" s="44"/>
      <c r="IGO504" s="44"/>
      <c r="IGP504" s="44"/>
      <c r="IGQ504" s="44"/>
      <c r="IGR504" s="44"/>
      <c r="IGS504" s="44"/>
      <c r="IGT504" s="44"/>
      <c r="IGU504" s="44"/>
      <c r="IGV504" s="44"/>
      <c r="IGW504" s="44"/>
      <c r="IGX504" s="44"/>
      <c r="IGY504" s="44"/>
      <c r="IGZ504" s="44"/>
      <c r="IHA504" s="44"/>
      <c r="IHB504" s="44"/>
      <c r="IHC504" s="44"/>
      <c r="IHD504" s="44"/>
      <c r="IHE504" s="44"/>
      <c r="IHF504" s="44"/>
      <c r="IHG504" s="44"/>
      <c r="IHH504" s="44"/>
      <c r="IHI504" s="44"/>
      <c r="IHJ504" s="44"/>
      <c r="IHK504" s="44"/>
      <c r="IHL504" s="44"/>
      <c r="IHM504" s="44"/>
      <c r="IHN504" s="44"/>
      <c r="IHO504" s="44"/>
      <c r="IHP504" s="44"/>
      <c r="IHQ504" s="44"/>
      <c r="IHR504" s="44"/>
      <c r="IHS504" s="44"/>
      <c r="IHT504" s="44"/>
      <c r="IHU504" s="44"/>
      <c r="IHV504" s="44"/>
      <c r="IHW504" s="44"/>
      <c r="IHX504" s="44"/>
      <c r="IHY504" s="44"/>
      <c r="IHZ504" s="44"/>
      <c r="IIA504" s="44"/>
      <c r="IIB504" s="44"/>
      <c r="IIC504" s="44"/>
      <c r="IID504" s="44"/>
      <c r="IIE504" s="44"/>
      <c r="IIF504" s="44"/>
      <c r="IIG504" s="44"/>
      <c r="IIH504" s="44"/>
      <c r="III504" s="44"/>
      <c r="IIJ504" s="44"/>
      <c r="IIK504" s="44"/>
      <c r="IIL504" s="44"/>
      <c r="IIM504" s="44"/>
      <c r="IIN504" s="44"/>
      <c r="IIO504" s="44"/>
      <c r="IIP504" s="44"/>
      <c r="IIQ504" s="44"/>
      <c r="IIR504" s="44"/>
      <c r="IIS504" s="44"/>
      <c r="IIT504" s="44"/>
      <c r="IIU504" s="44"/>
      <c r="IIV504" s="44"/>
      <c r="IIW504" s="44"/>
      <c r="IIX504" s="44"/>
      <c r="IIY504" s="44"/>
      <c r="IIZ504" s="44"/>
      <c r="IJA504" s="44"/>
      <c r="IJB504" s="44"/>
      <c r="IJC504" s="44"/>
      <c r="IJD504" s="44"/>
      <c r="IJE504" s="44"/>
      <c r="IJF504" s="44"/>
      <c r="IJG504" s="44"/>
      <c r="IJH504" s="44"/>
      <c r="IJI504" s="44"/>
      <c r="IJJ504" s="44"/>
      <c r="IJK504" s="44"/>
      <c r="IJL504" s="44"/>
      <c r="IJM504" s="44"/>
      <c r="IJN504" s="44"/>
      <c r="IJO504" s="44"/>
      <c r="IJP504" s="44"/>
      <c r="IJQ504" s="44"/>
      <c r="IJR504" s="44"/>
      <c r="IJS504" s="44"/>
      <c r="IJT504" s="44"/>
      <c r="IJU504" s="44"/>
      <c r="IJV504" s="44"/>
      <c r="IJW504" s="44"/>
      <c r="IJX504" s="44"/>
      <c r="IJY504" s="44"/>
      <c r="IJZ504" s="44"/>
      <c r="IKA504" s="44"/>
      <c r="IKB504" s="44"/>
      <c r="IKC504" s="44"/>
      <c r="IKD504" s="44"/>
      <c r="IKE504" s="44"/>
      <c r="IKF504" s="44"/>
      <c r="IKG504" s="44"/>
      <c r="IKH504" s="44"/>
      <c r="IKI504" s="44"/>
      <c r="IKJ504" s="44"/>
      <c r="IKK504" s="44"/>
      <c r="IKL504" s="44"/>
      <c r="IKM504" s="44"/>
      <c r="IKN504" s="44"/>
      <c r="IKO504" s="44"/>
      <c r="IKP504" s="44"/>
      <c r="IKQ504" s="44"/>
      <c r="IKR504" s="44"/>
      <c r="IKS504" s="44"/>
      <c r="IKT504" s="44"/>
      <c r="IKU504" s="44"/>
      <c r="IKV504" s="44"/>
      <c r="IKW504" s="44"/>
      <c r="IKX504" s="44"/>
      <c r="IKY504" s="44"/>
      <c r="IKZ504" s="44"/>
      <c r="ILA504" s="44"/>
      <c r="ILB504" s="44"/>
      <c r="ILC504" s="44"/>
      <c r="ILD504" s="44"/>
      <c r="ILE504" s="44"/>
      <c r="ILF504" s="44"/>
      <c r="ILG504" s="44"/>
      <c r="ILH504" s="44"/>
      <c r="ILI504" s="44"/>
      <c r="ILJ504" s="44"/>
      <c r="ILK504" s="44"/>
      <c r="ILL504" s="44"/>
      <c r="ILM504" s="44"/>
      <c r="ILN504" s="44"/>
      <c r="ILO504" s="44"/>
      <c r="ILP504" s="44"/>
      <c r="ILQ504" s="44"/>
      <c r="ILR504" s="44"/>
      <c r="ILS504" s="44"/>
      <c r="ILT504" s="44"/>
      <c r="ILU504" s="44"/>
      <c r="ILV504" s="44"/>
      <c r="ILW504" s="44"/>
      <c r="ILX504" s="44"/>
      <c r="ILY504" s="44"/>
      <c r="ILZ504" s="44"/>
      <c r="IMA504" s="44"/>
      <c r="IMB504" s="44"/>
      <c r="IMC504" s="44"/>
      <c r="IMD504" s="44"/>
      <c r="IME504" s="44"/>
      <c r="IMF504" s="44"/>
      <c r="IMG504" s="44"/>
      <c r="IMH504" s="44"/>
      <c r="IMI504" s="44"/>
      <c r="IMJ504" s="44"/>
      <c r="IMK504" s="44"/>
      <c r="IML504" s="44"/>
      <c r="IMM504" s="44"/>
      <c r="IMN504" s="44"/>
      <c r="IMO504" s="44"/>
      <c r="IMP504" s="44"/>
      <c r="IMQ504" s="44"/>
      <c r="IMR504" s="44"/>
      <c r="IMS504" s="44"/>
      <c r="IMT504" s="44"/>
      <c r="IMU504" s="44"/>
      <c r="IMV504" s="44"/>
      <c r="IMW504" s="44"/>
      <c r="IMX504" s="44"/>
      <c r="IMY504" s="44"/>
      <c r="IMZ504" s="44"/>
      <c r="INA504" s="44"/>
      <c r="INB504" s="44"/>
      <c r="INC504" s="44"/>
      <c r="IND504" s="44"/>
      <c r="INE504" s="44"/>
      <c r="INF504" s="44"/>
      <c r="ING504" s="44"/>
      <c r="INH504" s="44"/>
      <c r="INI504" s="44"/>
      <c r="INJ504" s="44"/>
      <c r="INK504" s="44"/>
      <c r="INL504" s="44"/>
      <c r="INM504" s="44"/>
      <c r="INN504" s="44"/>
      <c r="INO504" s="44"/>
      <c r="INP504" s="44"/>
      <c r="INQ504" s="44"/>
      <c r="INR504" s="44"/>
      <c r="INS504" s="44"/>
      <c r="INT504" s="44"/>
      <c r="INU504" s="44"/>
      <c r="INV504" s="44"/>
      <c r="INW504" s="44"/>
      <c r="INX504" s="44"/>
      <c r="INY504" s="44"/>
      <c r="INZ504" s="44"/>
      <c r="IOA504" s="44"/>
      <c r="IOB504" s="44"/>
      <c r="IOC504" s="44"/>
      <c r="IOD504" s="44"/>
      <c r="IOE504" s="44"/>
      <c r="IOF504" s="44"/>
      <c r="IOG504" s="44"/>
      <c r="IOH504" s="44"/>
      <c r="IOI504" s="44"/>
      <c r="IOJ504" s="44"/>
      <c r="IOK504" s="44"/>
      <c r="IOL504" s="44"/>
      <c r="IOM504" s="44"/>
      <c r="ION504" s="44"/>
      <c r="IOO504" s="44"/>
      <c r="IOP504" s="44"/>
      <c r="IOQ504" s="44"/>
      <c r="IOR504" s="44"/>
      <c r="IOS504" s="44"/>
      <c r="IOT504" s="44"/>
      <c r="IOU504" s="44"/>
      <c r="IOV504" s="44"/>
      <c r="IOW504" s="44"/>
      <c r="IOX504" s="44"/>
      <c r="IOY504" s="44"/>
      <c r="IOZ504" s="44"/>
      <c r="IPA504" s="44"/>
      <c r="IPB504" s="44"/>
      <c r="IPC504" s="44"/>
      <c r="IPD504" s="44"/>
      <c r="IPE504" s="44"/>
      <c r="IPF504" s="44"/>
      <c r="IPG504" s="44"/>
      <c r="IPH504" s="44"/>
      <c r="IPI504" s="44"/>
      <c r="IPJ504" s="44"/>
      <c r="IPK504" s="44"/>
      <c r="IPL504" s="44"/>
      <c r="IPM504" s="44"/>
      <c r="IPN504" s="44"/>
      <c r="IPO504" s="44"/>
      <c r="IPP504" s="44"/>
      <c r="IPQ504" s="44"/>
      <c r="IPR504" s="44"/>
      <c r="IPS504" s="44"/>
      <c r="IPT504" s="44"/>
      <c r="IPU504" s="44"/>
      <c r="IPV504" s="44"/>
      <c r="IPW504" s="44"/>
      <c r="IPX504" s="44"/>
      <c r="IPY504" s="44"/>
      <c r="IPZ504" s="44"/>
      <c r="IQA504" s="44"/>
      <c r="IQB504" s="44"/>
      <c r="IQC504" s="44"/>
      <c r="IQD504" s="44"/>
      <c r="IQE504" s="44"/>
      <c r="IQF504" s="44"/>
      <c r="IQG504" s="44"/>
      <c r="IQH504" s="44"/>
      <c r="IQI504" s="44"/>
      <c r="IQJ504" s="44"/>
      <c r="IQK504" s="44"/>
      <c r="IQL504" s="44"/>
      <c r="IQM504" s="44"/>
      <c r="IQN504" s="44"/>
      <c r="IQO504" s="44"/>
      <c r="IQP504" s="44"/>
      <c r="IQQ504" s="44"/>
      <c r="IQR504" s="44"/>
      <c r="IQS504" s="44"/>
      <c r="IQT504" s="44"/>
      <c r="IQU504" s="44"/>
      <c r="IQV504" s="44"/>
      <c r="IQW504" s="44"/>
      <c r="IQX504" s="44"/>
      <c r="IQY504" s="44"/>
      <c r="IQZ504" s="44"/>
      <c r="IRA504" s="44"/>
      <c r="IRB504" s="44"/>
      <c r="IRC504" s="44"/>
      <c r="IRD504" s="44"/>
      <c r="IRE504" s="44"/>
      <c r="IRF504" s="44"/>
      <c r="IRG504" s="44"/>
      <c r="IRH504" s="44"/>
      <c r="IRI504" s="44"/>
      <c r="IRJ504" s="44"/>
      <c r="IRK504" s="44"/>
      <c r="IRL504" s="44"/>
      <c r="IRM504" s="44"/>
      <c r="IRN504" s="44"/>
      <c r="IRO504" s="44"/>
      <c r="IRP504" s="44"/>
      <c r="IRQ504" s="44"/>
      <c r="IRR504" s="44"/>
      <c r="IRS504" s="44"/>
      <c r="IRT504" s="44"/>
      <c r="IRU504" s="44"/>
      <c r="IRV504" s="44"/>
      <c r="IRW504" s="44"/>
      <c r="IRX504" s="44"/>
      <c r="IRY504" s="44"/>
      <c r="IRZ504" s="44"/>
      <c r="ISA504" s="44"/>
      <c r="ISB504" s="44"/>
      <c r="ISC504" s="44"/>
      <c r="ISD504" s="44"/>
      <c r="ISE504" s="44"/>
      <c r="ISF504" s="44"/>
      <c r="ISG504" s="44"/>
      <c r="ISH504" s="44"/>
      <c r="ISI504" s="44"/>
      <c r="ISJ504" s="44"/>
      <c r="ISK504" s="44"/>
      <c r="ISL504" s="44"/>
      <c r="ISM504" s="44"/>
      <c r="ISN504" s="44"/>
      <c r="ISO504" s="44"/>
      <c r="ISP504" s="44"/>
      <c r="ISQ504" s="44"/>
      <c r="ISR504" s="44"/>
      <c r="ISS504" s="44"/>
      <c r="IST504" s="44"/>
      <c r="ISU504" s="44"/>
      <c r="ISV504" s="44"/>
      <c r="ISW504" s="44"/>
      <c r="ISX504" s="44"/>
      <c r="ISY504" s="44"/>
      <c r="ISZ504" s="44"/>
      <c r="ITA504" s="44"/>
      <c r="ITB504" s="44"/>
      <c r="ITC504" s="44"/>
      <c r="ITD504" s="44"/>
      <c r="ITE504" s="44"/>
      <c r="ITF504" s="44"/>
      <c r="ITG504" s="44"/>
      <c r="ITH504" s="44"/>
      <c r="ITI504" s="44"/>
      <c r="ITJ504" s="44"/>
      <c r="ITK504" s="44"/>
      <c r="ITL504" s="44"/>
      <c r="ITM504" s="44"/>
      <c r="ITN504" s="44"/>
      <c r="ITO504" s="44"/>
      <c r="ITP504" s="44"/>
      <c r="ITQ504" s="44"/>
      <c r="ITR504" s="44"/>
      <c r="ITS504" s="44"/>
      <c r="ITT504" s="44"/>
      <c r="ITU504" s="44"/>
      <c r="ITV504" s="44"/>
      <c r="ITW504" s="44"/>
      <c r="ITX504" s="44"/>
      <c r="ITY504" s="44"/>
      <c r="ITZ504" s="44"/>
      <c r="IUA504" s="44"/>
      <c r="IUB504" s="44"/>
      <c r="IUC504" s="44"/>
      <c r="IUD504" s="44"/>
      <c r="IUE504" s="44"/>
      <c r="IUF504" s="44"/>
      <c r="IUG504" s="44"/>
      <c r="IUH504" s="44"/>
      <c r="IUI504" s="44"/>
      <c r="IUJ504" s="44"/>
      <c r="IUK504" s="44"/>
      <c r="IUL504" s="44"/>
      <c r="IUM504" s="44"/>
      <c r="IUN504" s="44"/>
      <c r="IUO504" s="44"/>
      <c r="IUP504" s="44"/>
      <c r="IUQ504" s="44"/>
      <c r="IUR504" s="44"/>
      <c r="IUS504" s="44"/>
      <c r="IUT504" s="44"/>
      <c r="IUU504" s="44"/>
      <c r="IUV504" s="44"/>
      <c r="IUW504" s="44"/>
      <c r="IUX504" s="44"/>
      <c r="IUY504" s="44"/>
      <c r="IUZ504" s="44"/>
      <c r="IVA504" s="44"/>
      <c r="IVB504" s="44"/>
      <c r="IVC504" s="44"/>
      <c r="IVD504" s="44"/>
      <c r="IVE504" s="44"/>
      <c r="IVF504" s="44"/>
      <c r="IVG504" s="44"/>
      <c r="IVH504" s="44"/>
      <c r="IVI504" s="44"/>
      <c r="IVJ504" s="44"/>
      <c r="IVK504" s="44"/>
      <c r="IVL504" s="44"/>
      <c r="IVM504" s="44"/>
      <c r="IVN504" s="44"/>
      <c r="IVO504" s="44"/>
      <c r="IVP504" s="44"/>
      <c r="IVQ504" s="44"/>
      <c r="IVR504" s="44"/>
      <c r="IVS504" s="44"/>
      <c r="IVT504" s="44"/>
      <c r="IVU504" s="44"/>
      <c r="IVV504" s="44"/>
      <c r="IVW504" s="44"/>
      <c r="IVX504" s="44"/>
      <c r="IVY504" s="44"/>
      <c r="IVZ504" s="44"/>
      <c r="IWA504" s="44"/>
      <c r="IWB504" s="44"/>
      <c r="IWC504" s="44"/>
      <c r="IWD504" s="44"/>
      <c r="IWE504" s="44"/>
      <c r="IWF504" s="44"/>
      <c r="IWG504" s="44"/>
      <c r="IWH504" s="44"/>
      <c r="IWI504" s="44"/>
      <c r="IWJ504" s="44"/>
      <c r="IWK504" s="44"/>
      <c r="IWL504" s="44"/>
      <c r="IWM504" s="44"/>
      <c r="IWN504" s="44"/>
      <c r="IWO504" s="44"/>
      <c r="IWP504" s="44"/>
      <c r="IWQ504" s="44"/>
      <c r="IWR504" s="44"/>
      <c r="IWS504" s="44"/>
      <c r="IWT504" s="44"/>
      <c r="IWU504" s="44"/>
      <c r="IWV504" s="44"/>
      <c r="IWW504" s="44"/>
      <c r="IWX504" s="44"/>
      <c r="IWY504" s="44"/>
      <c r="IWZ504" s="44"/>
      <c r="IXA504" s="44"/>
      <c r="IXB504" s="44"/>
      <c r="IXC504" s="44"/>
      <c r="IXD504" s="44"/>
      <c r="IXE504" s="44"/>
      <c r="IXF504" s="44"/>
      <c r="IXG504" s="44"/>
      <c r="IXH504" s="44"/>
      <c r="IXI504" s="44"/>
      <c r="IXJ504" s="44"/>
      <c r="IXK504" s="44"/>
      <c r="IXL504" s="44"/>
      <c r="IXM504" s="44"/>
      <c r="IXN504" s="44"/>
      <c r="IXO504" s="44"/>
      <c r="IXP504" s="44"/>
      <c r="IXQ504" s="44"/>
      <c r="IXR504" s="44"/>
      <c r="IXS504" s="44"/>
      <c r="IXT504" s="44"/>
      <c r="IXU504" s="44"/>
      <c r="IXV504" s="44"/>
      <c r="IXW504" s="44"/>
      <c r="IXX504" s="44"/>
      <c r="IXY504" s="44"/>
      <c r="IXZ504" s="44"/>
      <c r="IYA504" s="44"/>
      <c r="IYB504" s="44"/>
      <c r="IYC504" s="44"/>
      <c r="IYD504" s="44"/>
      <c r="IYE504" s="44"/>
      <c r="IYF504" s="44"/>
      <c r="IYG504" s="44"/>
      <c r="IYH504" s="44"/>
      <c r="IYI504" s="44"/>
      <c r="IYJ504" s="44"/>
      <c r="IYK504" s="44"/>
      <c r="IYL504" s="44"/>
      <c r="IYM504" s="44"/>
      <c r="IYN504" s="44"/>
      <c r="IYO504" s="44"/>
      <c r="IYP504" s="44"/>
      <c r="IYQ504" s="44"/>
      <c r="IYR504" s="44"/>
      <c r="IYS504" s="44"/>
      <c r="IYT504" s="44"/>
      <c r="IYU504" s="44"/>
      <c r="IYV504" s="44"/>
      <c r="IYW504" s="44"/>
      <c r="IYX504" s="44"/>
      <c r="IYY504" s="44"/>
      <c r="IYZ504" s="44"/>
      <c r="IZA504" s="44"/>
      <c r="IZB504" s="44"/>
      <c r="IZC504" s="44"/>
      <c r="IZD504" s="44"/>
      <c r="IZE504" s="44"/>
      <c r="IZF504" s="44"/>
      <c r="IZG504" s="44"/>
      <c r="IZH504" s="44"/>
      <c r="IZI504" s="44"/>
      <c r="IZJ504" s="44"/>
      <c r="IZK504" s="44"/>
      <c r="IZL504" s="44"/>
      <c r="IZM504" s="44"/>
      <c r="IZN504" s="44"/>
      <c r="IZO504" s="44"/>
      <c r="IZP504" s="44"/>
      <c r="IZQ504" s="44"/>
      <c r="IZR504" s="44"/>
      <c r="IZS504" s="44"/>
      <c r="IZT504" s="44"/>
      <c r="IZU504" s="44"/>
      <c r="IZV504" s="44"/>
      <c r="IZW504" s="44"/>
      <c r="IZX504" s="44"/>
      <c r="IZY504" s="44"/>
      <c r="IZZ504" s="44"/>
      <c r="JAA504" s="44"/>
      <c r="JAB504" s="44"/>
      <c r="JAC504" s="44"/>
      <c r="JAD504" s="44"/>
      <c r="JAE504" s="44"/>
      <c r="JAF504" s="44"/>
      <c r="JAG504" s="44"/>
      <c r="JAH504" s="44"/>
      <c r="JAI504" s="44"/>
      <c r="JAJ504" s="44"/>
      <c r="JAK504" s="44"/>
      <c r="JAL504" s="44"/>
      <c r="JAM504" s="44"/>
      <c r="JAN504" s="44"/>
      <c r="JAO504" s="44"/>
      <c r="JAP504" s="44"/>
      <c r="JAQ504" s="44"/>
      <c r="JAR504" s="44"/>
      <c r="JAS504" s="44"/>
      <c r="JAT504" s="44"/>
      <c r="JAU504" s="44"/>
      <c r="JAV504" s="44"/>
      <c r="JAW504" s="44"/>
      <c r="JAX504" s="44"/>
      <c r="JAY504" s="44"/>
      <c r="JAZ504" s="44"/>
      <c r="JBA504" s="44"/>
      <c r="JBB504" s="44"/>
      <c r="JBC504" s="44"/>
      <c r="JBD504" s="44"/>
      <c r="JBE504" s="44"/>
      <c r="JBF504" s="44"/>
      <c r="JBG504" s="44"/>
      <c r="JBH504" s="44"/>
      <c r="JBI504" s="44"/>
      <c r="JBJ504" s="44"/>
      <c r="JBK504" s="44"/>
      <c r="JBL504" s="44"/>
      <c r="JBM504" s="44"/>
      <c r="JBN504" s="44"/>
      <c r="JBO504" s="44"/>
      <c r="JBP504" s="44"/>
      <c r="JBQ504" s="44"/>
      <c r="JBR504" s="44"/>
      <c r="JBS504" s="44"/>
      <c r="JBT504" s="44"/>
      <c r="JBU504" s="44"/>
      <c r="JBV504" s="44"/>
      <c r="JBW504" s="44"/>
      <c r="JBX504" s="44"/>
      <c r="JBY504" s="44"/>
      <c r="JBZ504" s="44"/>
      <c r="JCA504" s="44"/>
      <c r="JCB504" s="44"/>
      <c r="JCC504" s="44"/>
      <c r="JCD504" s="44"/>
      <c r="JCE504" s="44"/>
      <c r="JCF504" s="44"/>
      <c r="JCG504" s="44"/>
      <c r="JCH504" s="44"/>
      <c r="JCI504" s="44"/>
      <c r="JCJ504" s="44"/>
      <c r="JCK504" s="44"/>
      <c r="JCL504" s="44"/>
      <c r="JCM504" s="44"/>
      <c r="JCN504" s="44"/>
      <c r="JCO504" s="44"/>
      <c r="JCP504" s="44"/>
      <c r="JCQ504" s="44"/>
      <c r="JCR504" s="44"/>
      <c r="JCS504" s="44"/>
      <c r="JCT504" s="44"/>
      <c r="JCU504" s="44"/>
      <c r="JCV504" s="44"/>
      <c r="JCW504" s="44"/>
      <c r="JCX504" s="44"/>
      <c r="JCY504" s="44"/>
      <c r="JCZ504" s="44"/>
      <c r="JDA504" s="44"/>
      <c r="JDB504" s="44"/>
      <c r="JDC504" s="44"/>
      <c r="JDD504" s="44"/>
      <c r="JDE504" s="44"/>
      <c r="JDF504" s="44"/>
      <c r="JDG504" s="44"/>
      <c r="JDH504" s="44"/>
      <c r="JDI504" s="44"/>
      <c r="JDJ504" s="44"/>
      <c r="JDK504" s="44"/>
      <c r="JDL504" s="44"/>
      <c r="JDM504" s="44"/>
      <c r="JDN504" s="44"/>
      <c r="JDO504" s="44"/>
      <c r="JDP504" s="44"/>
      <c r="JDQ504" s="44"/>
      <c r="JDR504" s="44"/>
      <c r="JDS504" s="44"/>
      <c r="JDT504" s="44"/>
      <c r="JDU504" s="44"/>
      <c r="JDV504" s="44"/>
      <c r="JDW504" s="44"/>
      <c r="JDX504" s="44"/>
      <c r="JDY504" s="44"/>
      <c r="JDZ504" s="44"/>
      <c r="JEA504" s="44"/>
      <c r="JEB504" s="44"/>
      <c r="JEC504" s="44"/>
      <c r="JED504" s="44"/>
      <c r="JEE504" s="44"/>
      <c r="JEF504" s="44"/>
      <c r="JEG504" s="44"/>
      <c r="JEH504" s="44"/>
      <c r="JEI504" s="44"/>
      <c r="JEJ504" s="44"/>
      <c r="JEK504" s="44"/>
      <c r="JEL504" s="44"/>
      <c r="JEM504" s="44"/>
      <c r="JEN504" s="44"/>
      <c r="JEO504" s="44"/>
      <c r="JEP504" s="44"/>
      <c r="JEQ504" s="44"/>
      <c r="JER504" s="44"/>
      <c r="JES504" s="44"/>
      <c r="JET504" s="44"/>
      <c r="JEU504" s="44"/>
      <c r="JEV504" s="44"/>
      <c r="JEW504" s="44"/>
      <c r="JEX504" s="44"/>
      <c r="JEY504" s="44"/>
      <c r="JEZ504" s="44"/>
      <c r="JFA504" s="44"/>
      <c r="JFB504" s="44"/>
      <c r="JFC504" s="44"/>
      <c r="JFD504" s="44"/>
      <c r="JFE504" s="44"/>
      <c r="JFF504" s="44"/>
      <c r="JFG504" s="44"/>
      <c r="JFH504" s="44"/>
      <c r="JFI504" s="44"/>
      <c r="JFJ504" s="44"/>
      <c r="JFK504" s="44"/>
      <c r="JFL504" s="44"/>
      <c r="JFM504" s="44"/>
      <c r="JFN504" s="44"/>
      <c r="JFO504" s="44"/>
      <c r="JFP504" s="44"/>
      <c r="JFQ504" s="44"/>
      <c r="JFR504" s="44"/>
      <c r="JFS504" s="44"/>
      <c r="JFT504" s="44"/>
      <c r="JFU504" s="44"/>
      <c r="JFV504" s="44"/>
      <c r="JFW504" s="44"/>
      <c r="JFX504" s="44"/>
      <c r="JFY504" s="44"/>
      <c r="JFZ504" s="44"/>
      <c r="JGA504" s="44"/>
      <c r="JGB504" s="44"/>
      <c r="JGC504" s="44"/>
      <c r="JGD504" s="44"/>
      <c r="JGE504" s="44"/>
      <c r="JGF504" s="44"/>
      <c r="JGG504" s="44"/>
      <c r="JGH504" s="44"/>
      <c r="JGI504" s="44"/>
      <c r="JGJ504" s="44"/>
      <c r="JGK504" s="44"/>
      <c r="JGL504" s="44"/>
      <c r="JGM504" s="44"/>
      <c r="JGN504" s="44"/>
      <c r="JGO504" s="44"/>
      <c r="JGP504" s="44"/>
      <c r="JGQ504" s="44"/>
      <c r="JGR504" s="44"/>
      <c r="JGS504" s="44"/>
      <c r="JGT504" s="44"/>
      <c r="JGU504" s="44"/>
      <c r="JGV504" s="44"/>
      <c r="JGW504" s="44"/>
      <c r="JGX504" s="44"/>
      <c r="JGY504" s="44"/>
      <c r="JGZ504" s="44"/>
      <c r="JHA504" s="44"/>
      <c r="JHB504" s="44"/>
      <c r="JHC504" s="44"/>
      <c r="JHD504" s="44"/>
      <c r="JHE504" s="44"/>
      <c r="JHF504" s="44"/>
      <c r="JHG504" s="44"/>
      <c r="JHH504" s="44"/>
      <c r="JHI504" s="44"/>
      <c r="JHJ504" s="44"/>
      <c r="JHK504" s="44"/>
      <c r="JHL504" s="44"/>
      <c r="JHM504" s="44"/>
      <c r="JHN504" s="44"/>
      <c r="JHO504" s="44"/>
      <c r="JHP504" s="44"/>
      <c r="JHQ504" s="44"/>
      <c r="JHR504" s="44"/>
      <c r="JHS504" s="44"/>
      <c r="JHT504" s="44"/>
      <c r="JHU504" s="44"/>
      <c r="JHV504" s="44"/>
      <c r="JHW504" s="44"/>
      <c r="JHX504" s="44"/>
      <c r="JHY504" s="44"/>
      <c r="JHZ504" s="44"/>
      <c r="JIA504" s="44"/>
      <c r="JIB504" s="44"/>
      <c r="JIC504" s="44"/>
      <c r="JID504" s="44"/>
      <c r="JIE504" s="44"/>
      <c r="JIF504" s="44"/>
      <c r="JIG504" s="44"/>
      <c r="JIH504" s="44"/>
      <c r="JII504" s="44"/>
      <c r="JIJ504" s="44"/>
      <c r="JIK504" s="44"/>
      <c r="JIL504" s="44"/>
      <c r="JIM504" s="44"/>
      <c r="JIN504" s="44"/>
      <c r="JIO504" s="44"/>
      <c r="JIP504" s="44"/>
      <c r="JIQ504" s="44"/>
      <c r="JIR504" s="44"/>
      <c r="JIS504" s="44"/>
      <c r="JIT504" s="44"/>
      <c r="JIU504" s="44"/>
      <c r="JIV504" s="44"/>
      <c r="JIW504" s="44"/>
      <c r="JIX504" s="44"/>
      <c r="JIY504" s="44"/>
      <c r="JIZ504" s="44"/>
      <c r="JJA504" s="44"/>
      <c r="JJB504" s="44"/>
      <c r="JJC504" s="44"/>
      <c r="JJD504" s="44"/>
      <c r="JJE504" s="44"/>
      <c r="JJF504" s="44"/>
      <c r="JJG504" s="44"/>
      <c r="JJH504" s="44"/>
      <c r="JJI504" s="44"/>
      <c r="JJJ504" s="44"/>
      <c r="JJK504" s="44"/>
      <c r="JJL504" s="44"/>
      <c r="JJM504" s="44"/>
      <c r="JJN504" s="44"/>
      <c r="JJO504" s="44"/>
      <c r="JJP504" s="44"/>
      <c r="JJQ504" s="44"/>
      <c r="JJR504" s="44"/>
      <c r="JJS504" s="44"/>
      <c r="JJT504" s="44"/>
      <c r="JJU504" s="44"/>
      <c r="JJV504" s="44"/>
      <c r="JJW504" s="44"/>
      <c r="JJX504" s="44"/>
      <c r="JJY504" s="44"/>
      <c r="JJZ504" s="44"/>
      <c r="JKA504" s="44"/>
      <c r="JKB504" s="44"/>
      <c r="JKC504" s="44"/>
      <c r="JKD504" s="44"/>
      <c r="JKE504" s="44"/>
      <c r="JKF504" s="44"/>
      <c r="JKG504" s="44"/>
      <c r="JKH504" s="44"/>
      <c r="JKI504" s="44"/>
      <c r="JKJ504" s="44"/>
      <c r="JKK504" s="44"/>
      <c r="JKL504" s="44"/>
      <c r="JKM504" s="44"/>
      <c r="JKN504" s="44"/>
      <c r="JKO504" s="44"/>
      <c r="JKP504" s="44"/>
      <c r="JKQ504" s="44"/>
      <c r="JKR504" s="44"/>
      <c r="JKS504" s="44"/>
      <c r="JKT504" s="44"/>
      <c r="JKU504" s="44"/>
      <c r="JKV504" s="44"/>
      <c r="JKW504" s="44"/>
      <c r="JKX504" s="44"/>
      <c r="JKY504" s="44"/>
      <c r="JKZ504" s="44"/>
      <c r="JLA504" s="44"/>
      <c r="JLB504" s="44"/>
      <c r="JLC504" s="44"/>
      <c r="JLD504" s="44"/>
      <c r="JLE504" s="44"/>
      <c r="JLF504" s="44"/>
      <c r="JLG504" s="44"/>
      <c r="JLH504" s="44"/>
      <c r="JLI504" s="44"/>
      <c r="JLJ504" s="44"/>
      <c r="JLK504" s="44"/>
      <c r="JLL504" s="44"/>
      <c r="JLM504" s="44"/>
      <c r="JLN504" s="44"/>
      <c r="JLO504" s="44"/>
      <c r="JLP504" s="44"/>
      <c r="JLQ504" s="44"/>
      <c r="JLR504" s="44"/>
      <c r="JLS504" s="44"/>
      <c r="JLT504" s="44"/>
      <c r="JLU504" s="44"/>
      <c r="JLV504" s="44"/>
      <c r="JLW504" s="44"/>
      <c r="JLX504" s="44"/>
      <c r="JLY504" s="44"/>
      <c r="JLZ504" s="44"/>
      <c r="JMA504" s="44"/>
      <c r="JMB504" s="44"/>
      <c r="JMC504" s="44"/>
      <c r="JMD504" s="44"/>
      <c r="JME504" s="44"/>
      <c r="JMF504" s="44"/>
      <c r="JMG504" s="44"/>
      <c r="JMH504" s="44"/>
      <c r="JMI504" s="44"/>
      <c r="JMJ504" s="44"/>
      <c r="JMK504" s="44"/>
      <c r="JML504" s="44"/>
      <c r="JMM504" s="44"/>
      <c r="JMN504" s="44"/>
      <c r="JMO504" s="44"/>
      <c r="JMP504" s="44"/>
      <c r="JMQ504" s="44"/>
      <c r="JMR504" s="44"/>
      <c r="JMS504" s="44"/>
      <c r="JMT504" s="44"/>
      <c r="JMU504" s="44"/>
      <c r="JMV504" s="44"/>
      <c r="JMW504" s="44"/>
      <c r="JMX504" s="44"/>
      <c r="JMY504" s="44"/>
      <c r="JMZ504" s="44"/>
      <c r="JNA504" s="44"/>
      <c r="JNB504" s="44"/>
      <c r="JNC504" s="44"/>
      <c r="JND504" s="44"/>
      <c r="JNE504" s="44"/>
      <c r="JNF504" s="44"/>
      <c r="JNG504" s="44"/>
      <c r="JNH504" s="44"/>
      <c r="JNI504" s="44"/>
      <c r="JNJ504" s="44"/>
      <c r="JNK504" s="44"/>
      <c r="JNL504" s="44"/>
      <c r="JNM504" s="44"/>
      <c r="JNN504" s="44"/>
      <c r="JNO504" s="44"/>
      <c r="JNP504" s="44"/>
      <c r="JNQ504" s="44"/>
      <c r="JNR504" s="44"/>
      <c r="JNS504" s="44"/>
      <c r="JNT504" s="44"/>
      <c r="JNU504" s="44"/>
      <c r="JNV504" s="44"/>
      <c r="JNW504" s="44"/>
      <c r="JNX504" s="44"/>
      <c r="JNY504" s="44"/>
      <c r="JNZ504" s="44"/>
      <c r="JOA504" s="44"/>
      <c r="JOB504" s="44"/>
      <c r="JOC504" s="44"/>
      <c r="JOD504" s="44"/>
      <c r="JOE504" s="44"/>
      <c r="JOF504" s="44"/>
      <c r="JOG504" s="44"/>
      <c r="JOH504" s="44"/>
      <c r="JOI504" s="44"/>
      <c r="JOJ504" s="44"/>
      <c r="JOK504" s="44"/>
      <c r="JOL504" s="44"/>
      <c r="JOM504" s="44"/>
      <c r="JON504" s="44"/>
      <c r="JOO504" s="44"/>
      <c r="JOP504" s="44"/>
      <c r="JOQ504" s="44"/>
      <c r="JOR504" s="44"/>
      <c r="JOS504" s="44"/>
      <c r="JOT504" s="44"/>
      <c r="JOU504" s="44"/>
      <c r="JOV504" s="44"/>
      <c r="JOW504" s="44"/>
      <c r="JOX504" s="44"/>
      <c r="JOY504" s="44"/>
      <c r="JOZ504" s="44"/>
      <c r="JPA504" s="44"/>
      <c r="JPB504" s="44"/>
      <c r="JPC504" s="44"/>
      <c r="JPD504" s="44"/>
      <c r="JPE504" s="44"/>
      <c r="JPF504" s="44"/>
      <c r="JPG504" s="44"/>
      <c r="JPH504" s="44"/>
      <c r="JPI504" s="44"/>
      <c r="JPJ504" s="44"/>
      <c r="JPK504" s="44"/>
      <c r="JPL504" s="44"/>
      <c r="JPM504" s="44"/>
      <c r="JPN504" s="44"/>
      <c r="JPO504" s="44"/>
      <c r="JPP504" s="44"/>
      <c r="JPQ504" s="44"/>
      <c r="JPR504" s="44"/>
      <c r="JPS504" s="44"/>
      <c r="JPT504" s="44"/>
      <c r="JPU504" s="44"/>
      <c r="JPV504" s="44"/>
      <c r="JPW504" s="44"/>
      <c r="JPX504" s="44"/>
      <c r="JPY504" s="44"/>
      <c r="JPZ504" s="44"/>
      <c r="JQA504" s="44"/>
      <c r="JQB504" s="44"/>
      <c r="JQC504" s="44"/>
      <c r="JQD504" s="44"/>
      <c r="JQE504" s="44"/>
      <c r="JQF504" s="44"/>
      <c r="JQG504" s="44"/>
      <c r="JQH504" s="44"/>
      <c r="JQI504" s="44"/>
      <c r="JQJ504" s="44"/>
      <c r="JQK504" s="44"/>
      <c r="JQL504" s="44"/>
      <c r="JQM504" s="44"/>
      <c r="JQN504" s="44"/>
      <c r="JQO504" s="44"/>
      <c r="JQP504" s="44"/>
      <c r="JQQ504" s="44"/>
      <c r="JQR504" s="44"/>
      <c r="JQS504" s="44"/>
      <c r="JQT504" s="44"/>
      <c r="JQU504" s="44"/>
      <c r="JQV504" s="44"/>
      <c r="JQW504" s="44"/>
      <c r="JQX504" s="44"/>
      <c r="JQY504" s="44"/>
      <c r="JQZ504" s="44"/>
      <c r="JRA504" s="44"/>
      <c r="JRB504" s="44"/>
      <c r="JRC504" s="44"/>
      <c r="JRD504" s="44"/>
      <c r="JRE504" s="44"/>
      <c r="JRF504" s="44"/>
      <c r="JRG504" s="44"/>
      <c r="JRH504" s="44"/>
      <c r="JRI504" s="44"/>
      <c r="JRJ504" s="44"/>
      <c r="JRK504" s="44"/>
      <c r="JRL504" s="44"/>
      <c r="JRM504" s="44"/>
      <c r="JRN504" s="44"/>
      <c r="JRO504" s="44"/>
      <c r="JRP504" s="44"/>
      <c r="JRQ504" s="44"/>
      <c r="JRR504" s="44"/>
      <c r="JRS504" s="44"/>
      <c r="JRT504" s="44"/>
      <c r="JRU504" s="44"/>
      <c r="JRV504" s="44"/>
      <c r="JRW504" s="44"/>
      <c r="JRX504" s="44"/>
      <c r="JRY504" s="44"/>
      <c r="JRZ504" s="44"/>
      <c r="JSA504" s="44"/>
      <c r="JSB504" s="44"/>
      <c r="JSC504" s="44"/>
      <c r="JSD504" s="44"/>
      <c r="JSE504" s="44"/>
      <c r="JSF504" s="44"/>
      <c r="JSG504" s="44"/>
      <c r="JSH504" s="44"/>
      <c r="JSI504" s="44"/>
      <c r="JSJ504" s="44"/>
      <c r="JSK504" s="44"/>
      <c r="JSL504" s="44"/>
      <c r="JSM504" s="44"/>
      <c r="JSN504" s="44"/>
      <c r="JSO504" s="44"/>
      <c r="JSP504" s="44"/>
      <c r="JSQ504" s="44"/>
      <c r="JSR504" s="44"/>
      <c r="JSS504" s="44"/>
      <c r="JST504" s="44"/>
      <c r="JSU504" s="44"/>
      <c r="JSV504" s="44"/>
      <c r="JSW504" s="44"/>
      <c r="JSX504" s="44"/>
      <c r="JSY504" s="44"/>
      <c r="JSZ504" s="44"/>
      <c r="JTA504" s="44"/>
      <c r="JTB504" s="44"/>
      <c r="JTC504" s="44"/>
      <c r="JTD504" s="44"/>
      <c r="JTE504" s="44"/>
      <c r="JTF504" s="44"/>
      <c r="JTG504" s="44"/>
      <c r="JTH504" s="44"/>
      <c r="JTI504" s="44"/>
      <c r="JTJ504" s="44"/>
      <c r="JTK504" s="44"/>
      <c r="JTL504" s="44"/>
      <c r="JTM504" s="44"/>
      <c r="JTN504" s="44"/>
      <c r="JTO504" s="44"/>
      <c r="JTP504" s="44"/>
      <c r="JTQ504" s="44"/>
      <c r="JTR504" s="44"/>
      <c r="JTS504" s="44"/>
      <c r="JTT504" s="44"/>
      <c r="JTU504" s="44"/>
      <c r="JTV504" s="44"/>
      <c r="JTW504" s="44"/>
      <c r="JTX504" s="44"/>
      <c r="JTY504" s="44"/>
      <c r="JTZ504" s="44"/>
      <c r="JUA504" s="44"/>
      <c r="JUB504" s="44"/>
      <c r="JUC504" s="44"/>
      <c r="JUD504" s="44"/>
      <c r="JUE504" s="44"/>
      <c r="JUF504" s="44"/>
      <c r="JUG504" s="44"/>
      <c r="JUH504" s="44"/>
      <c r="JUI504" s="44"/>
      <c r="JUJ504" s="44"/>
      <c r="JUK504" s="44"/>
      <c r="JUL504" s="44"/>
      <c r="JUM504" s="44"/>
      <c r="JUN504" s="44"/>
      <c r="JUO504" s="44"/>
      <c r="JUP504" s="44"/>
      <c r="JUQ504" s="44"/>
      <c r="JUR504" s="44"/>
      <c r="JUS504" s="44"/>
      <c r="JUT504" s="44"/>
      <c r="JUU504" s="44"/>
      <c r="JUV504" s="44"/>
      <c r="JUW504" s="44"/>
      <c r="JUX504" s="44"/>
      <c r="JUY504" s="44"/>
      <c r="JUZ504" s="44"/>
      <c r="JVA504" s="44"/>
      <c r="JVB504" s="44"/>
      <c r="JVC504" s="44"/>
      <c r="JVD504" s="44"/>
      <c r="JVE504" s="44"/>
      <c r="JVF504" s="44"/>
      <c r="JVG504" s="44"/>
      <c r="JVH504" s="44"/>
      <c r="JVI504" s="44"/>
      <c r="JVJ504" s="44"/>
      <c r="JVK504" s="44"/>
      <c r="JVL504" s="44"/>
      <c r="JVM504" s="44"/>
      <c r="JVN504" s="44"/>
      <c r="JVO504" s="44"/>
      <c r="JVP504" s="44"/>
      <c r="JVQ504" s="44"/>
      <c r="JVR504" s="44"/>
      <c r="JVS504" s="44"/>
      <c r="JVT504" s="44"/>
      <c r="JVU504" s="44"/>
      <c r="JVV504" s="44"/>
      <c r="JVW504" s="44"/>
      <c r="JVX504" s="44"/>
      <c r="JVY504" s="44"/>
      <c r="JVZ504" s="44"/>
      <c r="JWA504" s="44"/>
      <c r="JWB504" s="44"/>
      <c r="JWC504" s="44"/>
      <c r="JWD504" s="44"/>
      <c r="JWE504" s="44"/>
      <c r="JWF504" s="44"/>
      <c r="JWG504" s="44"/>
      <c r="JWH504" s="44"/>
      <c r="JWI504" s="44"/>
      <c r="JWJ504" s="44"/>
      <c r="JWK504" s="44"/>
      <c r="JWL504" s="44"/>
      <c r="JWM504" s="44"/>
      <c r="JWN504" s="44"/>
      <c r="JWO504" s="44"/>
      <c r="JWP504" s="44"/>
      <c r="JWQ504" s="44"/>
      <c r="JWR504" s="44"/>
      <c r="JWS504" s="44"/>
      <c r="JWT504" s="44"/>
      <c r="JWU504" s="44"/>
      <c r="JWV504" s="44"/>
      <c r="JWW504" s="44"/>
      <c r="JWX504" s="44"/>
      <c r="JWY504" s="44"/>
      <c r="JWZ504" s="44"/>
      <c r="JXA504" s="44"/>
      <c r="JXB504" s="44"/>
      <c r="JXC504" s="44"/>
      <c r="JXD504" s="44"/>
      <c r="JXE504" s="44"/>
      <c r="JXF504" s="44"/>
      <c r="JXG504" s="44"/>
      <c r="JXH504" s="44"/>
      <c r="JXI504" s="44"/>
      <c r="JXJ504" s="44"/>
      <c r="JXK504" s="44"/>
      <c r="JXL504" s="44"/>
      <c r="JXM504" s="44"/>
      <c r="JXN504" s="44"/>
      <c r="JXO504" s="44"/>
      <c r="JXP504" s="44"/>
      <c r="JXQ504" s="44"/>
      <c r="JXR504" s="44"/>
      <c r="JXS504" s="44"/>
      <c r="JXT504" s="44"/>
      <c r="JXU504" s="44"/>
      <c r="JXV504" s="44"/>
      <c r="JXW504" s="44"/>
      <c r="JXX504" s="44"/>
      <c r="JXY504" s="44"/>
      <c r="JXZ504" s="44"/>
      <c r="JYA504" s="44"/>
      <c r="JYB504" s="44"/>
      <c r="JYC504" s="44"/>
      <c r="JYD504" s="44"/>
      <c r="JYE504" s="44"/>
      <c r="JYF504" s="44"/>
      <c r="JYG504" s="44"/>
      <c r="JYH504" s="44"/>
      <c r="JYI504" s="44"/>
      <c r="JYJ504" s="44"/>
      <c r="JYK504" s="44"/>
      <c r="JYL504" s="44"/>
      <c r="JYM504" s="44"/>
      <c r="JYN504" s="44"/>
      <c r="JYO504" s="44"/>
      <c r="JYP504" s="44"/>
      <c r="JYQ504" s="44"/>
      <c r="JYR504" s="44"/>
      <c r="JYS504" s="44"/>
      <c r="JYT504" s="44"/>
      <c r="JYU504" s="44"/>
      <c r="JYV504" s="44"/>
      <c r="JYW504" s="44"/>
      <c r="JYX504" s="44"/>
      <c r="JYY504" s="44"/>
      <c r="JYZ504" s="44"/>
      <c r="JZA504" s="44"/>
      <c r="JZB504" s="44"/>
      <c r="JZC504" s="44"/>
      <c r="JZD504" s="44"/>
      <c r="JZE504" s="44"/>
      <c r="JZF504" s="44"/>
      <c r="JZG504" s="44"/>
      <c r="JZH504" s="44"/>
      <c r="JZI504" s="44"/>
      <c r="JZJ504" s="44"/>
      <c r="JZK504" s="44"/>
      <c r="JZL504" s="44"/>
      <c r="JZM504" s="44"/>
      <c r="JZN504" s="44"/>
      <c r="JZO504" s="44"/>
      <c r="JZP504" s="44"/>
      <c r="JZQ504" s="44"/>
      <c r="JZR504" s="44"/>
      <c r="JZS504" s="44"/>
      <c r="JZT504" s="44"/>
      <c r="JZU504" s="44"/>
      <c r="JZV504" s="44"/>
      <c r="JZW504" s="44"/>
      <c r="JZX504" s="44"/>
      <c r="JZY504" s="44"/>
      <c r="JZZ504" s="44"/>
      <c r="KAA504" s="44"/>
      <c r="KAB504" s="44"/>
      <c r="KAC504" s="44"/>
      <c r="KAD504" s="44"/>
      <c r="KAE504" s="44"/>
      <c r="KAF504" s="44"/>
      <c r="KAG504" s="44"/>
      <c r="KAH504" s="44"/>
      <c r="KAI504" s="44"/>
      <c r="KAJ504" s="44"/>
      <c r="KAK504" s="44"/>
      <c r="KAL504" s="44"/>
      <c r="KAM504" s="44"/>
      <c r="KAN504" s="44"/>
      <c r="KAO504" s="44"/>
      <c r="KAP504" s="44"/>
      <c r="KAQ504" s="44"/>
      <c r="KAR504" s="44"/>
      <c r="KAS504" s="44"/>
      <c r="KAT504" s="44"/>
      <c r="KAU504" s="44"/>
      <c r="KAV504" s="44"/>
      <c r="KAW504" s="44"/>
      <c r="KAX504" s="44"/>
      <c r="KAY504" s="44"/>
      <c r="KAZ504" s="44"/>
      <c r="KBA504" s="44"/>
      <c r="KBB504" s="44"/>
      <c r="KBC504" s="44"/>
      <c r="KBD504" s="44"/>
      <c r="KBE504" s="44"/>
      <c r="KBF504" s="44"/>
      <c r="KBG504" s="44"/>
      <c r="KBH504" s="44"/>
      <c r="KBI504" s="44"/>
      <c r="KBJ504" s="44"/>
      <c r="KBK504" s="44"/>
      <c r="KBL504" s="44"/>
      <c r="KBM504" s="44"/>
      <c r="KBN504" s="44"/>
      <c r="KBO504" s="44"/>
      <c r="KBP504" s="44"/>
      <c r="KBQ504" s="44"/>
      <c r="KBR504" s="44"/>
      <c r="KBS504" s="44"/>
      <c r="KBT504" s="44"/>
      <c r="KBU504" s="44"/>
      <c r="KBV504" s="44"/>
      <c r="KBW504" s="44"/>
      <c r="KBX504" s="44"/>
      <c r="KBY504" s="44"/>
      <c r="KBZ504" s="44"/>
      <c r="KCA504" s="44"/>
      <c r="KCB504" s="44"/>
      <c r="KCC504" s="44"/>
      <c r="KCD504" s="44"/>
      <c r="KCE504" s="44"/>
      <c r="KCF504" s="44"/>
      <c r="KCG504" s="44"/>
      <c r="KCH504" s="44"/>
      <c r="KCI504" s="44"/>
      <c r="KCJ504" s="44"/>
      <c r="KCK504" s="44"/>
      <c r="KCL504" s="44"/>
      <c r="KCM504" s="44"/>
      <c r="KCN504" s="44"/>
      <c r="KCO504" s="44"/>
      <c r="KCP504" s="44"/>
      <c r="KCQ504" s="44"/>
      <c r="KCR504" s="44"/>
      <c r="KCS504" s="44"/>
      <c r="KCT504" s="44"/>
      <c r="KCU504" s="44"/>
      <c r="KCV504" s="44"/>
      <c r="KCW504" s="44"/>
      <c r="KCX504" s="44"/>
      <c r="KCY504" s="44"/>
      <c r="KCZ504" s="44"/>
      <c r="KDA504" s="44"/>
      <c r="KDB504" s="44"/>
      <c r="KDC504" s="44"/>
      <c r="KDD504" s="44"/>
      <c r="KDE504" s="44"/>
      <c r="KDF504" s="44"/>
      <c r="KDG504" s="44"/>
      <c r="KDH504" s="44"/>
      <c r="KDI504" s="44"/>
      <c r="KDJ504" s="44"/>
      <c r="KDK504" s="44"/>
      <c r="KDL504" s="44"/>
      <c r="KDM504" s="44"/>
      <c r="KDN504" s="44"/>
      <c r="KDO504" s="44"/>
      <c r="KDP504" s="44"/>
      <c r="KDQ504" s="44"/>
      <c r="KDR504" s="44"/>
      <c r="KDS504" s="44"/>
      <c r="KDT504" s="44"/>
      <c r="KDU504" s="44"/>
      <c r="KDV504" s="44"/>
      <c r="KDW504" s="44"/>
      <c r="KDX504" s="44"/>
      <c r="KDY504" s="44"/>
      <c r="KDZ504" s="44"/>
      <c r="KEA504" s="44"/>
      <c r="KEB504" s="44"/>
      <c r="KEC504" s="44"/>
      <c r="KED504" s="44"/>
      <c r="KEE504" s="44"/>
      <c r="KEF504" s="44"/>
      <c r="KEG504" s="44"/>
      <c r="KEH504" s="44"/>
      <c r="KEI504" s="44"/>
      <c r="KEJ504" s="44"/>
      <c r="KEK504" s="44"/>
      <c r="KEL504" s="44"/>
      <c r="KEM504" s="44"/>
      <c r="KEN504" s="44"/>
      <c r="KEO504" s="44"/>
      <c r="KEP504" s="44"/>
      <c r="KEQ504" s="44"/>
      <c r="KER504" s="44"/>
      <c r="KES504" s="44"/>
      <c r="KET504" s="44"/>
      <c r="KEU504" s="44"/>
      <c r="KEV504" s="44"/>
      <c r="KEW504" s="44"/>
      <c r="KEX504" s="44"/>
      <c r="KEY504" s="44"/>
      <c r="KEZ504" s="44"/>
      <c r="KFA504" s="44"/>
      <c r="KFB504" s="44"/>
      <c r="KFC504" s="44"/>
      <c r="KFD504" s="44"/>
      <c r="KFE504" s="44"/>
      <c r="KFF504" s="44"/>
      <c r="KFG504" s="44"/>
      <c r="KFH504" s="44"/>
      <c r="KFI504" s="44"/>
      <c r="KFJ504" s="44"/>
      <c r="KFK504" s="44"/>
      <c r="KFL504" s="44"/>
      <c r="KFM504" s="44"/>
      <c r="KFN504" s="44"/>
      <c r="KFO504" s="44"/>
      <c r="KFP504" s="44"/>
      <c r="KFQ504" s="44"/>
      <c r="KFR504" s="44"/>
      <c r="KFS504" s="44"/>
      <c r="KFT504" s="44"/>
      <c r="KFU504" s="44"/>
      <c r="KFV504" s="44"/>
      <c r="KFW504" s="44"/>
      <c r="KFX504" s="44"/>
      <c r="KFY504" s="44"/>
      <c r="KFZ504" s="44"/>
      <c r="KGA504" s="44"/>
      <c r="KGB504" s="44"/>
      <c r="KGC504" s="44"/>
      <c r="KGD504" s="44"/>
      <c r="KGE504" s="44"/>
      <c r="KGF504" s="44"/>
      <c r="KGG504" s="44"/>
      <c r="KGH504" s="44"/>
      <c r="KGI504" s="44"/>
      <c r="KGJ504" s="44"/>
      <c r="KGK504" s="44"/>
      <c r="KGL504" s="44"/>
      <c r="KGM504" s="44"/>
      <c r="KGN504" s="44"/>
      <c r="KGO504" s="44"/>
      <c r="KGP504" s="44"/>
      <c r="KGQ504" s="44"/>
      <c r="KGR504" s="44"/>
      <c r="KGS504" s="44"/>
      <c r="KGT504" s="44"/>
      <c r="KGU504" s="44"/>
      <c r="KGV504" s="44"/>
      <c r="KGW504" s="44"/>
      <c r="KGX504" s="44"/>
      <c r="KGY504" s="44"/>
      <c r="KGZ504" s="44"/>
      <c r="KHA504" s="44"/>
      <c r="KHB504" s="44"/>
      <c r="KHC504" s="44"/>
      <c r="KHD504" s="44"/>
      <c r="KHE504" s="44"/>
      <c r="KHF504" s="44"/>
      <c r="KHG504" s="44"/>
      <c r="KHH504" s="44"/>
      <c r="KHI504" s="44"/>
      <c r="KHJ504" s="44"/>
      <c r="KHK504" s="44"/>
      <c r="KHL504" s="44"/>
      <c r="KHM504" s="44"/>
      <c r="KHN504" s="44"/>
      <c r="KHO504" s="44"/>
      <c r="KHP504" s="44"/>
      <c r="KHQ504" s="44"/>
      <c r="KHR504" s="44"/>
      <c r="KHS504" s="44"/>
      <c r="KHT504" s="44"/>
      <c r="KHU504" s="44"/>
      <c r="KHV504" s="44"/>
      <c r="KHW504" s="44"/>
      <c r="KHX504" s="44"/>
      <c r="KHY504" s="44"/>
      <c r="KHZ504" s="44"/>
      <c r="KIA504" s="44"/>
      <c r="KIB504" s="44"/>
      <c r="KIC504" s="44"/>
      <c r="KID504" s="44"/>
      <c r="KIE504" s="44"/>
      <c r="KIF504" s="44"/>
      <c r="KIG504" s="44"/>
      <c r="KIH504" s="44"/>
      <c r="KII504" s="44"/>
      <c r="KIJ504" s="44"/>
      <c r="KIK504" s="44"/>
      <c r="KIL504" s="44"/>
      <c r="KIM504" s="44"/>
      <c r="KIN504" s="44"/>
      <c r="KIO504" s="44"/>
      <c r="KIP504" s="44"/>
      <c r="KIQ504" s="44"/>
      <c r="KIR504" s="44"/>
      <c r="KIS504" s="44"/>
      <c r="KIT504" s="44"/>
      <c r="KIU504" s="44"/>
      <c r="KIV504" s="44"/>
      <c r="KIW504" s="44"/>
      <c r="KIX504" s="44"/>
      <c r="KIY504" s="44"/>
      <c r="KIZ504" s="44"/>
      <c r="KJA504" s="44"/>
      <c r="KJB504" s="44"/>
      <c r="KJC504" s="44"/>
      <c r="KJD504" s="44"/>
      <c r="KJE504" s="44"/>
      <c r="KJF504" s="44"/>
      <c r="KJG504" s="44"/>
      <c r="KJH504" s="44"/>
      <c r="KJI504" s="44"/>
      <c r="KJJ504" s="44"/>
      <c r="KJK504" s="44"/>
      <c r="KJL504" s="44"/>
      <c r="KJM504" s="44"/>
      <c r="KJN504" s="44"/>
      <c r="KJO504" s="44"/>
      <c r="KJP504" s="44"/>
      <c r="KJQ504" s="44"/>
      <c r="KJR504" s="44"/>
      <c r="KJS504" s="44"/>
      <c r="KJT504" s="44"/>
      <c r="KJU504" s="44"/>
      <c r="KJV504" s="44"/>
      <c r="KJW504" s="44"/>
      <c r="KJX504" s="44"/>
      <c r="KJY504" s="44"/>
      <c r="KJZ504" s="44"/>
      <c r="KKA504" s="44"/>
      <c r="KKB504" s="44"/>
      <c r="KKC504" s="44"/>
      <c r="KKD504" s="44"/>
      <c r="KKE504" s="44"/>
      <c r="KKF504" s="44"/>
      <c r="KKG504" s="44"/>
      <c r="KKH504" s="44"/>
      <c r="KKI504" s="44"/>
      <c r="KKJ504" s="44"/>
      <c r="KKK504" s="44"/>
      <c r="KKL504" s="44"/>
      <c r="KKM504" s="44"/>
      <c r="KKN504" s="44"/>
      <c r="KKO504" s="44"/>
      <c r="KKP504" s="44"/>
      <c r="KKQ504" s="44"/>
      <c r="KKR504" s="44"/>
      <c r="KKS504" s="44"/>
      <c r="KKT504" s="44"/>
      <c r="KKU504" s="44"/>
      <c r="KKV504" s="44"/>
      <c r="KKW504" s="44"/>
      <c r="KKX504" s="44"/>
      <c r="KKY504" s="44"/>
      <c r="KKZ504" s="44"/>
      <c r="KLA504" s="44"/>
      <c r="KLB504" s="44"/>
      <c r="KLC504" s="44"/>
      <c r="KLD504" s="44"/>
      <c r="KLE504" s="44"/>
      <c r="KLF504" s="44"/>
      <c r="KLG504" s="44"/>
      <c r="KLH504" s="44"/>
      <c r="KLI504" s="44"/>
      <c r="KLJ504" s="44"/>
      <c r="KLK504" s="44"/>
      <c r="KLL504" s="44"/>
      <c r="KLM504" s="44"/>
      <c r="KLN504" s="44"/>
      <c r="KLO504" s="44"/>
      <c r="KLP504" s="44"/>
      <c r="KLQ504" s="44"/>
      <c r="KLR504" s="44"/>
      <c r="KLS504" s="44"/>
      <c r="KLT504" s="44"/>
      <c r="KLU504" s="44"/>
      <c r="KLV504" s="44"/>
      <c r="KLW504" s="44"/>
      <c r="KLX504" s="44"/>
      <c r="KLY504" s="44"/>
      <c r="KLZ504" s="44"/>
      <c r="KMA504" s="44"/>
      <c r="KMB504" s="44"/>
      <c r="KMC504" s="44"/>
      <c r="KMD504" s="44"/>
      <c r="KME504" s="44"/>
      <c r="KMF504" s="44"/>
      <c r="KMG504" s="44"/>
      <c r="KMH504" s="44"/>
      <c r="KMI504" s="44"/>
      <c r="KMJ504" s="44"/>
      <c r="KMK504" s="44"/>
      <c r="KML504" s="44"/>
      <c r="KMM504" s="44"/>
      <c r="KMN504" s="44"/>
      <c r="KMO504" s="44"/>
      <c r="KMP504" s="44"/>
      <c r="KMQ504" s="44"/>
      <c r="KMR504" s="44"/>
      <c r="KMS504" s="44"/>
      <c r="KMT504" s="44"/>
      <c r="KMU504" s="44"/>
      <c r="KMV504" s="44"/>
      <c r="KMW504" s="44"/>
      <c r="KMX504" s="44"/>
      <c r="KMY504" s="44"/>
      <c r="KMZ504" s="44"/>
      <c r="KNA504" s="44"/>
      <c r="KNB504" s="44"/>
      <c r="KNC504" s="44"/>
      <c r="KND504" s="44"/>
      <c r="KNE504" s="44"/>
      <c r="KNF504" s="44"/>
      <c r="KNG504" s="44"/>
      <c r="KNH504" s="44"/>
      <c r="KNI504" s="44"/>
      <c r="KNJ504" s="44"/>
      <c r="KNK504" s="44"/>
      <c r="KNL504" s="44"/>
      <c r="KNM504" s="44"/>
      <c r="KNN504" s="44"/>
      <c r="KNO504" s="44"/>
      <c r="KNP504" s="44"/>
      <c r="KNQ504" s="44"/>
      <c r="KNR504" s="44"/>
      <c r="KNS504" s="44"/>
      <c r="KNT504" s="44"/>
      <c r="KNU504" s="44"/>
      <c r="KNV504" s="44"/>
      <c r="KNW504" s="44"/>
      <c r="KNX504" s="44"/>
      <c r="KNY504" s="44"/>
      <c r="KNZ504" s="44"/>
      <c r="KOA504" s="44"/>
      <c r="KOB504" s="44"/>
      <c r="KOC504" s="44"/>
      <c r="KOD504" s="44"/>
      <c r="KOE504" s="44"/>
      <c r="KOF504" s="44"/>
      <c r="KOG504" s="44"/>
      <c r="KOH504" s="44"/>
      <c r="KOI504" s="44"/>
      <c r="KOJ504" s="44"/>
      <c r="KOK504" s="44"/>
      <c r="KOL504" s="44"/>
      <c r="KOM504" s="44"/>
      <c r="KON504" s="44"/>
      <c r="KOO504" s="44"/>
      <c r="KOP504" s="44"/>
      <c r="KOQ504" s="44"/>
      <c r="KOR504" s="44"/>
      <c r="KOS504" s="44"/>
      <c r="KOT504" s="44"/>
      <c r="KOU504" s="44"/>
      <c r="KOV504" s="44"/>
      <c r="KOW504" s="44"/>
      <c r="KOX504" s="44"/>
      <c r="KOY504" s="44"/>
      <c r="KOZ504" s="44"/>
      <c r="KPA504" s="44"/>
      <c r="KPB504" s="44"/>
      <c r="KPC504" s="44"/>
      <c r="KPD504" s="44"/>
      <c r="KPE504" s="44"/>
      <c r="KPF504" s="44"/>
      <c r="KPG504" s="44"/>
      <c r="KPH504" s="44"/>
      <c r="KPI504" s="44"/>
      <c r="KPJ504" s="44"/>
      <c r="KPK504" s="44"/>
      <c r="KPL504" s="44"/>
      <c r="KPM504" s="44"/>
      <c r="KPN504" s="44"/>
      <c r="KPO504" s="44"/>
      <c r="KPP504" s="44"/>
      <c r="KPQ504" s="44"/>
      <c r="KPR504" s="44"/>
      <c r="KPS504" s="44"/>
      <c r="KPT504" s="44"/>
      <c r="KPU504" s="44"/>
      <c r="KPV504" s="44"/>
      <c r="KPW504" s="44"/>
      <c r="KPX504" s="44"/>
      <c r="KPY504" s="44"/>
      <c r="KPZ504" s="44"/>
      <c r="KQA504" s="44"/>
      <c r="KQB504" s="44"/>
      <c r="KQC504" s="44"/>
      <c r="KQD504" s="44"/>
      <c r="KQE504" s="44"/>
      <c r="KQF504" s="44"/>
      <c r="KQG504" s="44"/>
      <c r="KQH504" s="44"/>
      <c r="KQI504" s="44"/>
      <c r="KQJ504" s="44"/>
      <c r="KQK504" s="44"/>
      <c r="KQL504" s="44"/>
      <c r="KQM504" s="44"/>
      <c r="KQN504" s="44"/>
      <c r="KQO504" s="44"/>
      <c r="KQP504" s="44"/>
      <c r="KQQ504" s="44"/>
      <c r="KQR504" s="44"/>
      <c r="KQS504" s="44"/>
      <c r="KQT504" s="44"/>
      <c r="KQU504" s="44"/>
      <c r="KQV504" s="44"/>
      <c r="KQW504" s="44"/>
      <c r="KQX504" s="44"/>
      <c r="KQY504" s="44"/>
      <c r="KQZ504" s="44"/>
      <c r="KRA504" s="44"/>
      <c r="KRB504" s="44"/>
      <c r="KRC504" s="44"/>
      <c r="KRD504" s="44"/>
      <c r="KRE504" s="44"/>
      <c r="KRF504" s="44"/>
      <c r="KRG504" s="44"/>
      <c r="KRH504" s="44"/>
      <c r="KRI504" s="44"/>
      <c r="KRJ504" s="44"/>
      <c r="KRK504" s="44"/>
      <c r="KRL504" s="44"/>
      <c r="KRM504" s="44"/>
      <c r="KRN504" s="44"/>
      <c r="KRO504" s="44"/>
      <c r="KRP504" s="44"/>
      <c r="KRQ504" s="44"/>
      <c r="KRR504" s="44"/>
      <c r="KRS504" s="44"/>
      <c r="KRT504" s="44"/>
      <c r="KRU504" s="44"/>
      <c r="KRV504" s="44"/>
      <c r="KRW504" s="44"/>
      <c r="KRX504" s="44"/>
      <c r="KRY504" s="44"/>
      <c r="KRZ504" s="44"/>
      <c r="KSA504" s="44"/>
      <c r="KSB504" s="44"/>
      <c r="KSC504" s="44"/>
      <c r="KSD504" s="44"/>
      <c r="KSE504" s="44"/>
      <c r="KSF504" s="44"/>
      <c r="KSG504" s="44"/>
      <c r="KSH504" s="44"/>
      <c r="KSI504" s="44"/>
      <c r="KSJ504" s="44"/>
      <c r="KSK504" s="44"/>
      <c r="KSL504" s="44"/>
      <c r="KSM504" s="44"/>
      <c r="KSN504" s="44"/>
      <c r="KSO504" s="44"/>
      <c r="KSP504" s="44"/>
      <c r="KSQ504" s="44"/>
      <c r="KSR504" s="44"/>
      <c r="KSS504" s="44"/>
      <c r="KST504" s="44"/>
      <c r="KSU504" s="44"/>
      <c r="KSV504" s="44"/>
      <c r="KSW504" s="44"/>
      <c r="KSX504" s="44"/>
      <c r="KSY504" s="44"/>
      <c r="KSZ504" s="44"/>
      <c r="KTA504" s="44"/>
      <c r="KTB504" s="44"/>
      <c r="KTC504" s="44"/>
      <c r="KTD504" s="44"/>
      <c r="KTE504" s="44"/>
      <c r="KTF504" s="44"/>
      <c r="KTG504" s="44"/>
      <c r="KTH504" s="44"/>
      <c r="KTI504" s="44"/>
      <c r="KTJ504" s="44"/>
      <c r="KTK504" s="44"/>
      <c r="KTL504" s="44"/>
      <c r="KTM504" s="44"/>
      <c r="KTN504" s="44"/>
      <c r="KTO504" s="44"/>
      <c r="KTP504" s="44"/>
      <c r="KTQ504" s="44"/>
      <c r="KTR504" s="44"/>
      <c r="KTS504" s="44"/>
      <c r="KTT504" s="44"/>
      <c r="KTU504" s="44"/>
      <c r="KTV504" s="44"/>
      <c r="KTW504" s="44"/>
      <c r="KTX504" s="44"/>
      <c r="KTY504" s="44"/>
      <c r="KTZ504" s="44"/>
      <c r="KUA504" s="44"/>
      <c r="KUB504" s="44"/>
      <c r="KUC504" s="44"/>
      <c r="KUD504" s="44"/>
      <c r="KUE504" s="44"/>
      <c r="KUF504" s="44"/>
      <c r="KUG504" s="44"/>
      <c r="KUH504" s="44"/>
      <c r="KUI504" s="44"/>
      <c r="KUJ504" s="44"/>
      <c r="KUK504" s="44"/>
      <c r="KUL504" s="44"/>
      <c r="KUM504" s="44"/>
      <c r="KUN504" s="44"/>
      <c r="KUO504" s="44"/>
      <c r="KUP504" s="44"/>
      <c r="KUQ504" s="44"/>
      <c r="KUR504" s="44"/>
      <c r="KUS504" s="44"/>
      <c r="KUT504" s="44"/>
      <c r="KUU504" s="44"/>
      <c r="KUV504" s="44"/>
      <c r="KUW504" s="44"/>
      <c r="KUX504" s="44"/>
      <c r="KUY504" s="44"/>
      <c r="KUZ504" s="44"/>
      <c r="KVA504" s="44"/>
      <c r="KVB504" s="44"/>
      <c r="KVC504" s="44"/>
      <c r="KVD504" s="44"/>
      <c r="KVE504" s="44"/>
      <c r="KVF504" s="44"/>
      <c r="KVG504" s="44"/>
      <c r="KVH504" s="44"/>
      <c r="KVI504" s="44"/>
      <c r="KVJ504" s="44"/>
      <c r="KVK504" s="44"/>
      <c r="KVL504" s="44"/>
      <c r="KVM504" s="44"/>
      <c r="KVN504" s="44"/>
      <c r="KVO504" s="44"/>
      <c r="KVP504" s="44"/>
      <c r="KVQ504" s="44"/>
      <c r="KVR504" s="44"/>
      <c r="KVS504" s="44"/>
      <c r="KVT504" s="44"/>
      <c r="KVU504" s="44"/>
      <c r="KVV504" s="44"/>
      <c r="KVW504" s="44"/>
      <c r="KVX504" s="44"/>
      <c r="KVY504" s="44"/>
      <c r="KVZ504" s="44"/>
      <c r="KWA504" s="44"/>
      <c r="KWB504" s="44"/>
      <c r="KWC504" s="44"/>
      <c r="KWD504" s="44"/>
      <c r="KWE504" s="44"/>
      <c r="KWF504" s="44"/>
      <c r="KWG504" s="44"/>
      <c r="KWH504" s="44"/>
      <c r="KWI504" s="44"/>
      <c r="KWJ504" s="44"/>
      <c r="KWK504" s="44"/>
      <c r="KWL504" s="44"/>
      <c r="KWM504" s="44"/>
      <c r="KWN504" s="44"/>
      <c r="KWO504" s="44"/>
      <c r="KWP504" s="44"/>
      <c r="KWQ504" s="44"/>
      <c r="KWR504" s="44"/>
      <c r="KWS504" s="44"/>
      <c r="KWT504" s="44"/>
      <c r="KWU504" s="44"/>
      <c r="KWV504" s="44"/>
      <c r="KWW504" s="44"/>
      <c r="KWX504" s="44"/>
      <c r="KWY504" s="44"/>
      <c r="KWZ504" s="44"/>
      <c r="KXA504" s="44"/>
      <c r="KXB504" s="44"/>
      <c r="KXC504" s="44"/>
      <c r="KXD504" s="44"/>
      <c r="KXE504" s="44"/>
      <c r="KXF504" s="44"/>
      <c r="KXG504" s="44"/>
      <c r="KXH504" s="44"/>
      <c r="KXI504" s="44"/>
      <c r="KXJ504" s="44"/>
      <c r="KXK504" s="44"/>
      <c r="KXL504" s="44"/>
      <c r="KXM504" s="44"/>
      <c r="KXN504" s="44"/>
      <c r="KXO504" s="44"/>
      <c r="KXP504" s="44"/>
      <c r="KXQ504" s="44"/>
      <c r="KXR504" s="44"/>
      <c r="KXS504" s="44"/>
      <c r="KXT504" s="44"/>
      <c r="KXU504" s="44"/>
      <c r="KXV504" s="44"/>
      <c r="KXW504" s="44"/>
      <c r="KXX504" s="44"/>
      <c r="KXY504" s="44"/>
      <c r="KXZ504" s="44"/>
      <c r="KYA504" s="44"/>
      <c r="KYB504" s="44"/>
      <c r="KYC504" s="44"/>
      <c r="KYD504" s="44"/>
      <c r="KYE504" s="44"/>
      <c r="KYF504" s="44"/>
      <c r="KYG504" s="44"/>
      <c r="KYH504" s="44"/>
      <c r="KYI504" s="44"/>
      <c r="KYJ504" s="44"/>
      <c r="KYK504" s="44"/>
      <c r="KYL504" s="44"/>
      <c r="KYM504" s="44"/>
      <c r="KYN504" s="44"/>
      <c r="KYO504" s="44"/>
      <c r="KYP504" s="44"/>
      <c r="KYQ504" s="44"/>
      <c r="KYR504" s="44"/>
      <c r="KYS504" s="44"/>
      <c r="KYT504" s="44"/>
      <c r="KYU504" s="44"/>
      <c r="KYV504" s="44"/>
      <c r="KYW504" s="44"/>
      <c r="KYX504" s="44"/>
      <c r="KYY504" s="44"/>
      <c r="KYZ504" s="44"/>
      <c r="KZA504" s="44"/>
      <c r="KZB504" s="44"/>
      <c r="KZC504" s="44"/>
      <c r="KZD504" s="44"/>
      <c r="KZE504" s="44"/>
      <c r="KZF504" s="44"/>
      <c r="KZG504" s="44"/>
      <c r="KZH504" s="44"/>
      <c r="KZI504" s="44"/>
      <c r="KZJ504" s="44"/>
      <c r="KZK504" s="44"/>
      <c r="KZL504" s="44"/>
      <c r="KZM504" s="44"/>
      <c r="KZN504" s="44"/>
      <c r="KZO504" s="44"/>
      <c r="KZP504" s="44"/>
      <c r="KZQ504" s="44"/>
      <c r="KZR504" s="44"/>
      <c r="KZS504" s="44"/>
      <c r="KZT504" s="44"/>
      <c r="KZU504" s="44"/>
      <c r="KZV504" s="44"/>
      <c r="KZW504" s="44"/>
      <c r="KZX504" s="44"/>
      <c r="KZY504" s="44"/>
      <c r="KZZ504" s="44"/>
      <c r="LAA504" s="44"/>
      <c r="LAB504" s="44"/>
      <c r="LAC504" s="44"/>
      <c r="LAD504" s="44"/>
      <c r="LAE504" s="44"/>
      <c r="LAF504" s="44"/>
      <c r="LAG504" s="44"/>
      <c r="LAH504" s="44"/>
      <c r="LAI504" s="44"/>
      <c r="LAJ504" s="44"/>
      <c r="LAK504" s="44"/>
      <c r="LAL504" s="44"/>
      <c r="LAM504" s="44"/>
      <c r="LAN504" s="44"/>
      <c r="LAO504" s="44"/>
      <c r="LAP504" s="44"/>
      <c r="LAQ504" s="44"/>
      <c r="LAR504" s="44"/>
      <c r="LAS504" s="44"/>
      <c r="LAT504" s="44"/>
      <c r="LAU504" s="44"/>
      <c r="LAV504" s="44"/>
      <c r="LAW504" s="44"/>
      <c r="LAX504" s="44"/>
      <c r="LAY504" s="44"/>
      <c r="LAZ504" s="44"/>
      <c r="LBA504" s="44"/>
      <c r="LBB504" s="44"/>
      <c r="LBC504" s="44"/>
      <c r="LBD504" s="44"/>
      <c r="LBE504" s="44"/>
      <c r="LBF504" s="44"/>
      <c r="LBG504" s="44"/>
      <c r="LBH504" s="44"/>
      <c r="LBI504" s="44"/>
      <c r="LBJ504" s="44"/>
      <c r="LBK504" s="44"/>
      <c r="LBL504" s="44"/>
      <c r="LBM504" s="44"/>
      <c r="LBN504" s="44"/>
      <c r="LBO504" s="44"/>
      <c r="LBP504" s="44"/>
      <c r="LBQ504" s="44"/>
      <c r="LBR504" s="44"/>
      <c r="LBS504" s="44"/>
      <c r="LBT504" s="44"/>
      <c r="LBU504" s="44"/>
      <c r="LBV504" s="44"/>
      <c r="LBW504" s="44"/>
      <c r="LBX504" s="44"/>
      <c r="LBY504" s="44"/>
      <c r="LBZ504" s="44"/>
      <c r="LCA504" s="44"/>
      <c r="LCB504" s="44"/>
      <c r="LCC504" s="44"/>
      <c r="LCD504" s="44"/>
      <c r="LCE504" s="44"/>
      <c r="LCF504" s="44"/>
      <c r="LCG504" s="44"/>
      <c r="LCH504" s="44"/>
      <c r="LCI504" s="44"/>
      <c r="LCJ504" s="44"/>
      <c r="LCK504" s="44"/>
      <c r="LCL504" s="44"/>
      <c r="LCM504" s="44"/>
      <c r="LCN504" s="44"/>
      <c r="LCO504" s="44"/>
      <c r="LCP504" s="44"/>
      <c r="LCQ504" s="44"/>
      <c r="LCR504" s="44"/>
      <c r="LCS504" s="44"/>
      <c r="LCT504" s="44"/>
      <c r="LCU504" s="44"/>
      <c r="LCV504" s="44"/>
      <c r="LCW504" s="44"/>
      <c r="LCX504" s="44"/>
      <c r="LCY504" s="44"/>
      <c r="LCZ504" s="44"/>
      <c r="LDA504" s="44"/>
      <c r="LDB504" s="44"/>
      <c r="LDC504" s="44"/>
      <c r="LDD504" s="44"/>
      <c r="LDE504" s="44"/>
      <c r="LDF504" s="44"/>
      <c r="LDG504" s="44"/>
      <c r="LDH504" s="44"/>
      <c r="LDI504" s="44"/>
      <c r="LDJ504" s="44"/>
      <c r="LDK504" s="44"/>
      <c r="LDL504" s="44"/>
      <c r="LDM504" s="44"/>
      <c r="LDN504" s="44"/>
      <c r="LDO504" s="44"/>
      <c r="LDP504" s="44"/>
      <c r="LDQ504" s="44"/>
      <c r="LDR504" s="44"/>
      <c r="LDS504" s="44"/>
      <c r="LDT504" s="44"/>
      <c r="LDU504" s="44"/>
      <c r="LDV504" s="44"/>
      <c r="LDW504" s="44"/>
      <c r="LDX504" s="44"/>
      <c r="LDY504" s="44"/>
      <c r="LDZ504" s="44"/>
      <c r="LEA504" s="44"/>
      <c r="LEB504" s="44"/>
      <c r="LEC504" s="44"/>
      <c r="LED504" s="44"/>
      <c r="LEE504" s="44"/>
      <c r="LEF504" s="44"/>
      <c r="LEG504" s="44"/>
      <c r="LEH504" s="44"/>
      <c r="LEI504" s="44"/>
      <c r="LEJ504" s="44"/>
      <c r="LEK504" s="44"/>
      <c r="LEL504" s="44"/>
      <c r="LEM504" s="44"/>
      <c r="LEN504" s="44"/>
      <c r="LEO504" s="44"/>
      <c r="LEP504" s="44"/>
      <c r="LEQ504" s="44"/>
      <c r="LER504" s="44"/>
      <c r="LES504" s="44"/>
      <c r="LET504" s="44"/>
      <c r="LEU504" s="44"/>
      <c r="LEV504" s="44"/>
      <c r="LEW504" s="44"/>
      <c r="LEX504" s="44"/>
      <c r="LEY504" s="44"/>
      <c r="LEZ504" s="44"/>
      <c r="LFA504" s="44"/>
      <c r="LFB504" s="44"/>
      <c r="LFC504" s="44"/>
      <c r="LFD504" s="44"/>
      <c r="LFE504" s="44"/>
      <c r="LFF504" s="44"/>
      <c r="LFG504" s="44"/>
      <c r="LFH504" s="44"/>
      <c r="LFI504" s="44"/>
      <c r="LFJ504" s="44"/>
      <c r="LFK504" s="44"/>
      <c r="LFL504" s="44"/>
      <c r="LFM504" s="44"/>
      <c r="LFN504" s="44"/>
      <c r="LFO504" s="44"/>
      <c r="LFP504" s="44"/>
      <c r="LFQ504" s="44"/>
      <c r="LFR504" s="44"/>
      <c r="LFS504" s="44"/>
      <c r="LFT504" s="44"/>
      <c r="LFU504" s="44"/>
      <c r="LFV504" s="44"/>
      <c r="LFW504" s="44"/>
      <c r="LFX504" s="44"/>
      <c r="LFY504" s="44"/>
      <c r="LFZ504" s="44"/>
      <c r="LGA504" s="44"/>
      <c r="LGB504" s="44"/>
      <c r="LGC504" s="44"/>
      <c r="LGD504" s="44"/>
      <c r="LGE504" s="44"/>
      <c r="LGF504" s="44"/>
      <c r="LGG504" s="44"/>
      <c r="LGH504" s="44"/>
      <c r="LGI504" s="44"/>
      <c r="LGJ504" s="44"/>
      <c r="LGK504" s="44"/>
      <c r="LGL504" s="44"/>
      <c r="LGM504" s="44"/>
      <c r="LGN504" s="44"/>
      <c r="LGO504" s="44"/>
      <c r="LGP504" s="44"/>
      <c r="LGQ504" s="44"/>
      <c r="LGR504" s="44"/>
      <c r="LGS504" s="44"/>
      <c r="LGT504" s="44"/>
      <c r="LGU504" s="44"/>
      <c r="LGV504" s="44"/>
      <c r="LGW504" s="44"/>
      <c r="LGX504" s="44"/>
      <c r="LGY504" s="44"/>
      <c r="LGZ504" s="44"/>
      <c r="LHA504" s="44"/>
      <c r="LHB504" s="44"/>
      <c r="LHC504" s="44"/>
      <c r="LHD504" s="44"/>
      <c r="LHE504" s="44"/>
      <c r="LHF504" s="44"/>
      <c r="LHG504" s="44"/>
      <c r="LHH504" s="44"/>
      <c r="LHI504" s="44"/>
      <c r="LHJ504" s="44"/>
      <c r="LHK504" s="44"/>
      <c r="LHL504" s="44"/>
      <c r="LHM504" s="44"/>
      <c r="LHN504" s="44"/>
      <c r="LHO504" s="44"/>
      <c r="LHP504" s="44"/>
      <c r="LHQ504" s="44"/>
      <c r="LHR504" s="44"/>
      <c r="LHS504" s="44"/>
      <c r="LHT504" s="44"/>
      <c r="LHU504" s="44"/>
      <c r="LHV504" s="44"/>
      <c r="LHW504" s="44"/>
      <c r="LHX504" s="44"/>
      <c r="LHY504" s="44"/>
      <c r="LHZ504" s="44"/>
      <c r="LIA504" s="44"/>
      <c r="LIB504" s="44"/>
      <c r="LIC504" s="44"/>
      <c r="LID504" s="44"/>
      <c r="LIE504" s="44"/>
      <c r="LIF504" s="44"/>
      <c r="LIG504" s="44"/>
      <c r="LIH504" s="44"/>
      <c r="LII504" s="44"/>
      <c r="LIJ504" s="44"/>
      <c r="LIK504" s="44"/>
      <c r="LIL504" s="44"/>
      <c r="LIM504" s="44"/>
      <c r="LIN504" s="44"/>
      <c r="LIO504" s="44"/>
      <c r="LIP504" s="44"/>
      <c r="LIQ504" s="44"/>
      <c r="LIR504" s="44"/>
      <c r="LIS504" s="44"/>
      <c r="LIT504" s="44"/>
      <c r="LIU504" s="44"/>
      <c r="LIV504" s="44"/>
      <c r="LIW504" s="44"/>
      <c r="LIX504" s="44"/>
      <c r="LIY504" s="44"/>
      <c r="LIZ504" s="44"/>
      <c r="LJA504" s="44"/>
      <c r="LJB504" s="44"/>
      <c r="LJC504" s="44"/>
      <c r="LJD504" s="44"/>
      <c r="LJE504" s="44"/>
      <c r="LJF504" s="44"/>
      <c r="LJG504" s="44"/>
      <c r="LJH504" s="44"/>
      <c r="LJI504" s="44"/>
      <c r="LJJ504" s="44"/>
      <c r="LJK504" s="44"/>
      <c r="LJL504" s="44"/>
      <c r="LJM504" s="44"/>
      <c r="LJN504" s="44"/>
      <c r="LJO504" s="44"/>
      <c r="LJP504" s="44"/>
      <c r="LJQ504" s="44"/>
      <c r="LJR504" s="44"/>
      <c r="LJS504" s="44"/>
      <c r="LJT504" s="44"/>
      <c r="LJU504" s="44"/>
      <c r="LJV504" s="44"/>
      <c r="LJW504" s="44"/>
      <c r="LJX504" s="44"/>
      <c r="LJY504" s="44"/>
      <c r="LJZ504" s="44"/>
      <c r="LKA504" s="44"/>
      <c r="LKB504" s="44"/>
      <c r="LKC504" s="44"/>
      <c r="LKD504" s="44"/>
      <c r="LKE504" s="44"/>
      <c r="LKF504" s="44"/>
      <c r="LKG504" s="44"/>
      <c r="LKH504" s="44"/>
      <c r="LKI504" s="44"/>
      <c r="LKJ504" s="44"/>
      <c r="LKK504" s="44"/>
      <c r="LKL504" s="44"/>
      <c r="LKM504" s="44"/>
      <c r="LKN504" s="44"/>
      <c r="LKO504" s="44"/>
      <c r="LKP504" s="44"/>
      <c r="LKQ504" s="44"/>
      <c r="LKR504" s="44"/>
      <c r="LKS504" s="44"/>
      <c r="LKT504" s="44"/>
      <c r="LKU504" s="44"/>
      <c r="LKV504" s="44"/>
      <c r="LKW504" s="44"/>
      <c r="LKX504" s="44"/>
      <c r="LKY504" s="44"/>
      <c r="LKZ504" s="44"/>
      <c r="LLA504" s="44"/>
      <c r="LLB504" s="44"/>
      <c r="LLC504" s="44"/>
      <c r="LLD504" s="44"/>
      <c r="LLE504" s="44"/>
      <c r="LLF504" s="44"/>
      <c r="LLG504" s="44"/>
      <c r="LLH504" s="44"/>
      <c r="LLI504" s="44"/>
      <c r="LLJ504" s="44"/>
      <c r="LLK504" s="44"/>
      <c r="LLL504" s="44"/>
      <c r="LLM504" s="44"/>
      <c r="LLN504" s="44"/>
      <c r="LLO504" s="44"/>
      <c r="LLP504" s="44"/>
      <c r="LLQ504" s="44"/>
      <c r="LLR504" s="44"/>
      <c r="LLS504" s="44"/>
      <c r="LLT504" s="44"/>
      <c r="LLU504" s="44"/>
      <c r="LLV504" s="44"/>
      <c r="LLW504" s="44"/>
      <c r="LLX504" s="44"/>
      <c r="LLY504" s="44"/>
      <c r="LLZ504" s="44"/>
      <c r="LMA504" s="44"/>
      <c r="LMB504" s="44"/>
      <c r="LMC504" s="44"/>
      <c r="LMD504" s="44"/>
      <c r="LME504" s="44"/>
      <c r="LMF504" s="44"/>
      <c r="LMG504" s="44"/>
      <c r="LMH504" s="44"/>
      <c r="LMI504" s="44"/>
      <c r="LMJ504" s="44"/>
      <c r="LMK504" s="44"/>
      <c r="LML504" s="44"/>
      <c r="LMM504" s="44"/>
      <c r="LMN504" s="44"/>
      <c r="LMO504" s="44"/>
      <c r="LMP504" s="44"/>
      <c r="LMQ504" s="44"/>
      <c r="LMR504" s="44"/>
      <c r="LMS504" s="44"/>
      <c r="LMT504" s="44"/>
      <c r="LMU504" s="44"/>
      <c r="LMV504" s="44"/>
      <c r="LMW504" s="44"/>
      <c r="LMX504" s="44"/>
      <c r="LMY504" s="44"/>
      <c r="LMZ504" s="44"/>
      <c r="LNA504" s="44"/>
      <c r="LNB504" s="44"/>
      <c r="LNC504" s="44"/>
      <c r="LND504" s="44"/>
      <c r="LNE504" s="44"/>
      <c r="LNF504" s="44"/>
      <c r="LNG504" s="44"/>
      <c r="LNH504" s="44"/>
      <c r="LNI504" s="44"/>
      <c r="LNJ504" s="44"/>
      <c r="LNK504" s="44"/>
      <c r="LNL504" s="44"/>
      <c r="LNM504" s="44"/>
      <c r="LNN504" s="44"/>
      <c r="LNO504" s="44"/>
      <c r="LNP504" s="44"/>
      <c r="LNQ504" s="44"/>
      <c r="LNR504" s="44"/>
      <c r="LNS504" s="44"/>
      <c r="LNT504" s="44"/>
      <c r="LNU504" s="44"/>
      <c r="LNV504" s="44"/>
      <c r="LNW504" s="44"/>
      <c r="LNX504" s="44"/>
      <c r="LNY504" s="44"/>
      <c r="LNZ504" s="44"/>
      <c r="LOA504" s="44"/>
      <c r="LOB504" s="44"/>
      <c r="LOC504" s="44"/>
      <c r="LOD504" s="44"/>
      <c r="LOE504" s="44"/>
      <c r="LOF504" s="44"/>
      <c r="LOG504" s="44"/>
      <c r="LOH504" s="44"/>
      <c r="LOI504" s="44"/>
      <c r="LOJ504" s="44"/>
      <c r="LOK504" s="44"/>
      <c r="LOL504" s="44"/>
      <c r="LOM504" s="44"/>
      <c r="LON504" s="44"/>
      <c r="LOO504" s="44"/>
      <c r="LOP504" s="44"/>
      <c r="LOQ504" s="44"/>
      <c r="LOR504" s="44"/>
      <c r="LOS504" s="44"/>
      <c r="LOT504" s="44"/>
      <c r="LOU504" s="44"/>
      <c r="LOV504" s="44"/>
      <c r="LOW504" s="44"/>
      <c r="LOX504" s="44"/>
      <c r="LOY504" s="44"/>
      <c r="LOZ504" s="44"/>
      <c r="LPA504" s="44"/>
      <c r="LPB504" s="44"/>
      <c r="LPC504" s="44"/>
      <c r="LPD504" s="44"/>
      <c r="LPE504" s="44"/>
      <c r="LPF504" s="44"/>
      <c r="LPG504" s="44"/>
      <c r="LPH504" s="44"/>
      <c r="LPI504" s="44"/>
      <c r="LPJ504" s="44"/>
      <c r="LPK504" s="44"/>
      <c r="LPL504" s="44"/>
      <c r="LPM504" s="44"/>
      <c r="LPN504" s="44"/>
      <c r="LPO504" s="44"/>
      <c r="LPP504" s="44"/>
      <c r="LPQ504" s="44"/>
      <c r="LPR504" s="44"/>
      <c r="LPS504" s="44"/>
      <c r="LPT504" s="44"/>
      <c r="LPU504" s="44"/>
      <c r="LPV504" s="44"/>
      <c r="LPW504" s="44"/>
      <c r="LPX504" s="44"/>
      <c r="LPY504" s="44"/>
      <c r="LPZ504" s="44"/>
      <c r="LQA504" s="44"/>
      <c r="LQB504" s="44"/>
      <c r="LQC504" s="44"/>
      <c r="LQD504" s="44"/>
      <c r="LQE504" s="44"/>
      <c r="LQF504" s="44"/>
      <c r="LQG504" s="44"/>
      <c r="LQH504" s="44"/>
      <c r="LQI504" s="44"/>
      <c r="LQJ504" s="44"/>
      <c r="LQK504" s="44"/>
      <c r="LQL504" s="44"/>
      <c r="LQM504" s="44"/>
      <c r="LQN504" s="44"/>
      <c r="LQO504" s="44"/>
      <c r="LQP504" s="44"/>
      <c r="LQQ504" s="44"/>
      <c r="LQR504" s="44"/>
      <c r="LQS504" s="44"/>
      <c r="LQT504" s="44"/>
      <c r="LQU504" s="44"/>
      <c r="LQV504" s="44"/>
      <c r="LQW504" s="44"/>
      <c r="LQX504" s="44"/>
      <c r="LQY504" s="44"/>
      <c r="LQZ504" s="44"/>
      <c r="LRA504" s="44"/>
      <c r="LRB504" s="44"/>
      <c r="LRC504" s="44"/>
      <c r="LRD504" s="44"/>
      <c r="LRE504" s="44"/>
      <c r="LRF504" s="44"/>
      <c r="LRG504" s="44"/>
      <c r="LRH504" s="44"/>
      <c r="LRI504" s="44"/>
      <c r="LRJ504" s="44"/>
      <c r="LRK504" s="44"/>
      <c r="LRL504" s="44"/>
      <c r="LRM504" s="44"/>
      <c r="LRN504" s="44"/>
      <c r="LRO504" s="44"/>
      <c r="LRP504" s="44"/>
      <c r="LRQ504" s="44"/>
      <c r="LRR504" s="44"/>
      <c r="LRS504" s="44"/>
      <c r="LRT504" s="44"/>
      <c r="LRU504" s="44"/>
      <c r="LRV504" s="44"/>
      <c r="LRW504" s="44"/>
      <c r="LRX504" s="44"/>
      <c r="LRY504" s="44"/>
      <c r="LRZ504" s="44"/>
      <c r="LSA504" s="44"/>
      <c r="LSB504" s="44"/>
      <c r="LSC504" s="44"/>
      <c r="LSD504" s="44"/>
      <c r="LSE504" s="44"/>
      <c r="LSF504" s="44"/>
      <c r="LSG504" s="44"/>
      <c r="LSH504" s="44"/>
      <c r="LSI504" s="44"/>
      <c r="LSJ504" s="44"/>
      <c r="LSK504" s="44"/>
      <c r="LSL504" s="44"/>
      <c r="LSM504" s="44"/>
      <c r="LSN504" s="44"/>
      <c r="LSO504" s="44"/>
      <c r="LSP504" s="44"/>
      <c r="LSQ504" s="44"/>
      <c r="LSR504" s="44"/>
      <c r="LSS504" s="44"/>
      <c r="LST504" s="44"/>
      <c r="LSU504" s="44"/>
      <c r="LSV504" s="44"/>
      <c r="LSW504" s="44"/>
      <c r="LSX504" s="44"/>
      <c r="LSY504" s="44"/>
      <c r="LSZ504" s="44"/>
      <c r="LTA504" s="44"/>
      <c r="LTB504" s="44"/>
      <c r="LTC504" s="44"/>
      <c r="LTD504" s="44"/>
      <c r="LTE504" s="44"/>
      <c r="LTF504" s="44"/>
      <c r="LTG504" s="44"/>
      <c r="LTH504" s="44"/>
      <c r="LTI504" s="44"/>
      <c r="LTJ504" s="44"/>
      <c r="LTK504" s="44"/>
      <c r="LTL504" s="44"/>
      <c r="LTM504" s="44"/>
      <c r="LTN504" s="44"/>
      <c r="LTO504" s="44"/>
      <c r="LTP504" s="44"/>
      <c r="LTQ504" s="44"/>
      <c r="LTR504" s="44"/>
      <c r="LTS504" s="44"/>
      <c r="LTT504" s="44"/>
      <c r="LTU504" s="44"/>
      <c r="LTV504" s="44"/>
      <c r="LTW504" s="44"/>
      <c r="LTX504" s="44"/>
      <c r="LTY504" s="44"/>
      <c r="LTZ504" s="44"/>
      <c r="LUA504" s="44"/>
      <c r="LUB504" s="44"/>
      <c r="LUC504" s="44"/>
      <c r="LUD504" s="44"/>
      <c r="LUE504" s="44"/>
      <c r="LUF504" s="44"/>
      <c r="LUG504" s="44"/>
      <c r="LUH504" s="44"/>
      <c r="LUI504" s="44"/>
      <c r="LUJ504" s="44"/>
      <c r="LUK504" s="44"/>
      <c r="LUL504" s="44"/>
      <c r="LUM504" s="44"/>
      <c r="LUN504" s="44"/>
      <c r="LUO504" s="44"/>
      <c r="LUP504" s="44"/>
      <c r="LUQ504" s="44"/>
      <c r="LUR504" s="44"/>
      <c r="LUS504" s="44"/>
      <c r="LUT504" s="44"/>
      <c r="LUU504" s="44"/>
      <c r="LUV504" s="44"/>
      <c r="LUW504" s="44"/>
      <c r="LUX504" s="44"/>
      <c r="LUY504" s="44"/>
      <c r="LUZ504" s="44"/>
      <c r="LVA504" s="44"/>
      <c r="LVB504" s="44"/>
      <c r="LVC504" s="44"/>
      <c r="LVD504" s="44"/>
      <c r="LVE504" s="44"/>
      <c r="LVF504" s="44"/>
      <c r="LVG504" s="44"/>
      <c r="LVH504" s="44"/>
      <c r="LVI504" s="44"/>
      <c r="LVJ504" s="44"/>
      <c r="LVK504" s="44"/>
      <c r="LVL504" s="44"/>
      <c r="LVM504" s="44"/>
      <c r="LVN504" s="44"/>
      <c r="LVO504" s="44"/>
      <c r="LVP504" s="44"/>
      <c r="LVQ504" s="44"/>
      <c r="LVR504" s="44"/>
      <c r="LVS504" s="44"/>
      <c r="LVT504" s="44"/>
      <c r="LVU504" s="44"/>
      <c r="LVV504" s="44"/>
      <c r="LVW504" s="44"/>
      <c r="LVX504" s="44"/>
      <c r="LVY504" s="44"/>
      <c r="LVZ504" s="44"/>
      <c r="LWA504" s="44"/>
      <c r="LWB504" s="44"/>
      <c r="LWC504" s="44"/>
      <c r="LWD504" s="44"/>
      <c r="LWE504" s="44"/>
      <c r="LWF504" s="44"/>
      <c r="LWG504" s="44"/>
      <c r="LWH504" s="44"/>
      <c r="LWI504" s="44"/>
      <c r="LWJ504" s="44"/>
      <c r="LWK504" s="44"/>
      <c r="LWL504" s="44"/>
      <c r="LWM504" s="44"/>
      <c r="LWN504" s="44"/>
      <c r="LWO504" s="44"/>
      <c r="LWP504" s="44"/>
      <c r="LWQ504" s="44"/>
      <c r="LWR504" s="44"/>
      <c r="LWS504" s="44"/>
      <c r="LWT504" s="44"/>
      <c r="LWU504" s="44"/>
      <c r="LWV504" s="44"/>
      <c r="LWW504" s="44"/>
      <c r="LWX504" s="44"/>
      <c r="LWY504" s="44"/>
      <c r="LWZ504" s="44"/>
      <c r="LXA504" s="44"/>
      <c r="LXB504" s="44"/>
      <c r="LXC504" s="44"/>
      <c r="LXD504" s="44"/>
      <c r="LXE504" s="44"/>
      <c r="LXF504" s="44"/>
      <c r="LXG504" s="44"/>
      <c r="LXH504" s="44"/>
      <c r="LXI504" s="44"/>
      <c r="LXJ504" s="44"/>
      <c r="LXK504" s="44"/>
      <c r="LXL504" s="44"/>
      <c r="LXM504" s="44"/>
      <c r="LXN504" s="44"/>
      <c r="LXO504" s="44"/>
      <c r="LXP504" s="44"/>
      <c r="LXQ504" s="44"/>
      <c r="LXR504" s="44"/>
      <c r="LXS504" s="44"/>
      <c r="LXT504" s="44"/>
      <c r="LXU504" s="44"/>
      <c r="LXV504" s="44"/>
      <c r="LXW504" s="44"/>
      <c r="LXX504" s="44"/>
      <c r="LXY504" s="44"/>
      <c r="LXZ504" s="44"/>
      <c r="LYA504" s="44"/>
      <c r="LYB504" s="44"/>
      <c r="LYC504" s="44"/>
      <c r="LYD504" s="44"/>
      <c r="LYE504" s="44"/>
      <c r="LYF504" s="44"/>
      <c r="LYG504" s="44"/>
      <c r="LYH504" s="44"/>
      <c r="LYI504" s="44"/>
      <c r="LYJ504" s="44"/>
      <c r="LYK504" s="44"/>
      <c r="LYL504" s="44"/>
      <c r="LYM504" s="44"/>
      <c r="LYN504" s="44"/>
      <c r="LYO504" s="44"/>
      <c r="LYP504" s="44"/>
      <c r="LYQ504" s="44"/>
      <c r="LYR504" s="44"/>
      <c r="LYS504" s="44"/>
      <c r="LYT504" s="44"/>
      <c r="LYU504" s="44"/>
      <c r="LYV504" s="44"/>
      <c r="LYW504" s="44"/>
      <c r="LYX504" s="44"/>
      <c r="LYY504" s="44"/>
      <c r="LYZ504" s="44"/>
      <c r="LZA504" s="44"/>
      <c r="LZB504" s="44"/>
      <c r="LZC504" s="44"/>
      <c r="LZD504" s="44"/>
      <c r="LZE504" s="44"/>
      <c r="LZF504" s="44"/>
      <c r="LZG504" s="44"/>
      <c r="LZH504" s="44"/>
      <c r="LZI504" s="44"/>
      <c r="LZJ504" s="44"/>
      <c r="LZK504" s="44"/>
      <c r="LZL504" s="44"/>
      <c r="LZM504" s="44"/>
      <c r="LZN504" s="44"/>
      <c r="LZO504" s="44"/>
      <c r="LZP504" s="44"/>
      <c r="LZQ504" s="44"/>
      <c r="LZR504" s="44"/>
      <c r="LZS504" s="44"/>
      <c r="LZT504" s="44"/>
      <c r="LZU504" s="44"/>
      <c r="LZV504" s="44"/>
      <c r="LZW504" s="44"/>
      <c r="LZX504" s="44"/>
      <c r="LZY504" s="44"/>
      <c r="LZZ504" s="44"/>
      <c r="MAA504" s="44"/>
      <c r="MAB504" s="44"/>
      <c r="MAC504" s="44"/>
      <c r="MAD504" s="44"/>
      <c r="MAE504" s="44"/>
      <c r="MAF504" s="44"/>
      <c r="MAG504" s="44"/>
      <c r="MAH504" s="44"/>
      <c r="MAI504" s="44"/>
      <c r="MAJ504" s="44"/>
      <c r="MAK504" s="44"/>
      <c r="MAL504" s="44"/>
      <c r="MAM504" s="44"/>
      <c r="MAN504" s="44"/>
      <c r="MAO504" s="44"/>
      <c r="MAP504" s="44"/>
      <c r="MAQ504" s="44"/>
      <c r="MAR504" s="44"/>
      <c r="MAS504" s="44"/>
      <c r="MAT504" s="44"/>
      <c r="MAU504" s="44"/>
      <c r="MAV504" s="44"/>
      <c r="MAW504" s="44"/>
      <c r="MAX504" s="44"/>
      <c r="MAY504" s="44"/>
      <c r="MAZ504" s="44"/>
      <c r="MBA504" s="44"/>
      <c r="MBB504" s="44"/>
      <c r="MBC504" s="44"/>
      <c r="MBD504" s="44"/>
      <c r="MBE504" s="44"/>
      <c r="MBF504" s="44"/>
      <c r="MBG504" s="44"/>
      <c r="MBH504" s="44"/>
      <c r="MBI504" s="44"/>
      <c r="MBJ504" s="44"/>
      <c r="MBK504" s="44"/>
      <c r="MBL504" s="44"/>
      <c r="MBM504" s="44"/>
      <c r="MBN504" s="44"/>
      <c r="MBO504" s="44"/>
      <c r="MBP504" s="44"/>
      <c r="MBQ504" s="44"/>
      <c r="MBR504" s="44"/>
      <c r="MBS504" s="44"/>
      <c r="MBT504" s="44"/>
      <c r="MBU504" s="44"/>
      <c r="MBV504" s="44"/>
      <c r="MBW504" s="44"/>
      <c r="MBX504" s="44"/>
      <c r="MBY504" s="44"/>
      <c r="MBZ504" s="44"/>
      <c r="MCA504" s="44"/>
      <c r="MCB504" s="44"/>
      <c r="MCC504" s="44"/>
      <c r="MCD504" s="44"/>
      <c r="MCE504" s="44"/>
      <c r="MCF504" s="44"/>
      <c r="MCG504" s="44"/>
      <c r="MCH504" s="44"/>
      <c r="MCI504" s="44"/>
      <c r="MCJ504" s="44"/>
      <c r="MCK504" s="44"/>
      <c r="MCL504" s="44"/>
      <c r="MCM504" s="44"/>
      <c r="MCN504" s="44"/>
      <c r="MCO504" s="44"/>
      <c r="MCP504" s="44"/>
      <c r="MCQ504" s="44"/>
      <c r="MCR504" s="44"/>
      <c r="MCS504" s="44"/>
      <c r="MCT504" s="44"/>
      <c r="MCU504" s="44"/>
      <c r="MCV504" s="44"/>
      <c r="MCW504" s="44"/>
      <c r="MCX504" s="44"/>
      <c r="MCY504" s="44"/>
      <c r="MCZ504" s="44"/>
      <c r="MDA504" s="44"/>
      <c r="MDB504" s="44"/>
      <c r="MDC504" s="44"/>
      <c r="MDD504" s="44"/>
      <c r="MDE504" s="44"/>
      <c r="MDF504" s="44"/>
      <c r="MDG504" s="44"/>
      <c r="MDH504" s="44"/>
      <c r="MDI504" s="44"/>
      <c r="MDJ504" s="44"/>
      <c r="MDK504" s="44"/>
      <c r="MDL504" s="44"/>
      <c r="MDM504" s="44"/>
      <c r="MDN504" s="44"/>
      <c r="MDO504" s="44"/>
      <c r="MDP504" s="44"/>
      <c r="MDQ504" s="44"/>
      <c r="MDR504" s="44"/>
      <c r="MDS504" s="44"/>
      <c r="MDT504" s="44"/>
      <c r="MDU504" s="44"/>
      <c r="MDV504" s="44"/>
      <c r="MDW504" s="44"/>
      <c r="MDX504" s="44"/>
      <c r="MDY504" s="44"/>
      <c r="MDZ504" s="44"/>
      <c r="MEA504" s="44"/>
      <c r="MEB504" s="44"/>
      <c r="MEC504" s="44"/>
      <c r="MED504" s="44"/>
      <c r="MEE504" s="44"/>
      <c r="MEF504" s="44"/>
      <c r="MEG504" s="44"/>
      <c r="MEH504" s="44"/>
      <c r="MEI504" s="44"/>
      <c r="MEJ504" s="44"/>
      <c r="MEK504" s="44"/>
      <c r="MEL504" s="44"/>
      <c r="MEM504" s="44"/>
      <c r="MEN504" s="44"/>
      <c r="MEO504" s="44"/>
      <c r="MEP504" s="44"/>
      <c r="MEQ504" s="44"/>
      <c r="MER504" s="44"/>
      <c r="MES504" s="44"/>
      <c r="MET504" s="44"/>
      <c r="MEU504" s="44"/>
      <c r="MEV504" s="44"/>
      <c r="MEW504" s="44"/>
      <c r="MEX504" s="44"/>
      <c r="MEY504" s="44"/>
      <c r="MEZ504" s="44"/>
      <c r="MFA504" s="44"/>
      <c r="MFB504" s="44"/>
      <c r="MFC504" s="44"/>
      <c r="MFD504" s="44"/>
      <c r="MFE504" s="44"/>
      <c r="MFF504" s="44"/>
      <c r="MFG504" s="44"/>
      <c r="MFH504" s="44"/>
      <c r="MFI504" s="44"/>
      <c r="MFJ504" s="44"/>
      <c r="MFK504" s="44"/>
      <c r="MFL504" s="44"/>
      <c r="MFM504" s="44"/>
      <c r="MFN504" s="44"/>
      <c r="MFO504" s="44"/>
      <c r="MFP504" s="44"/>
      <c r="MFQ504" s="44"/>
      <c r="MFR504" s="44"/>
      <c r="MFS504" s="44"/>
      <c r="MFT504" s="44"/>
      <c r="MFU504" s="44"/>
      <c r="MFV504" s="44"/>
      <c r="MFW504" s="44"/>
      <c r="MFX504" s="44"/>
      <c r="MFY504" s="44"/>
      <c r="MFZ504" s="44"/>
      <c r="MGA504" s="44"/>
      <c r="MGB504" s="44"/>
      <c r="MGC504" s="44"/>
      <c r="MGD504" s="44"/>
      <c r="MGE504" s="44"/>
      <c r="MGF504" s="44"/>
      <c r="MGG504" s="44"/>
      <c r="MGH504" s="44"/>
      <c r="MGI504" s="44"/>
      <c r="MGJ504" s="44"/>
      <c r="MGK504" s="44"/>
      <c r="MGL504" s="44"/>
      <c r="MGM504" s="44"/>
      <c r="MGN504" s="44"/>
      <c r="MGO504" s="44"/>
      <c r="MGP504" s="44"/>
      <c r="MGQ504" s="44"/>
      <c r="MGR504" s="44"/>
      <c r="MGS504" s="44"/>
      <c r="MGT504" s="44"/>
      <c r="MGU504" s="44"/>
      <c r="MGV504" s="44"/>
      <c r="MGW504" s="44"/>
      <c r="MGX504" s="44"/>
      <c r="MGY504" s="44"/>
      <c r="MGZ504" s="44"/>
      <c r="MHA504" s="44"/>
      <c r="MHB504" s="44"/>
      <c r="MHC504" s="44"/>
      <c r="MHD504" s="44"/>
      <c r="MHE504" s="44"/>
      <c r="MHF504" s="44"/>
      <c r="MHG504" s="44"/>
      <c r="MHH504" s="44"/>
      <c r="MHI504" s="44"/>
      <c r="MHJ504" s="44"/>
      <c r="MHK504" s="44"/>
      <c r="MHL504" s="44"/>
      <c r="MHM504" s="44"/>
      <c r="MHN504" s="44"/>
      <c r="MHO504" s="44"/>
      <c r="MHP504" s="44"/>
      <c r="MHQ504" s="44"/>
      <c r="MHR504" s="44"/>
      <c r="MHS504" s="44"/>
      <c r="MHT504" s="44"/>
      <c r="MHU504" s="44"/>
      <c r="MHV504" s="44"/>
      <c r="MHW504" s="44"/>
      <c r="MHX504" s="44"/>
      <c r="MHY504" s="44"/>
      <c r="MHZ504" s="44"/>
      <c r="MIA504" s="44"/>
      <c r="MIB504" s="44"/>
      <c r="MIC504" s="44"/>
      <c r="MID504" s="44"/>
      <c r="MIE504" s="44"/>
      <c r="MIF504" s="44"/>
      <c r="MIG504" s="44"/>
      <c r="MIH504" s="44"/>
      <c r="MII504" s="44"/>
      <c r="MIJ504" s="44"/>
      <c r="MIK504" s="44"/>
      <c r="MIL504" s="44"/>
      <c r="MIM504" s="44"/>
      <c r="MIN504" s="44"/>
      <c r="MIO504" s="44"/>
      <c r="MIP504" s="44"/>
      <c r="MIQ504" s="44"/>
      <c r="MIR504" s="44"/>
      <c r="MIS504" s="44"/>
      <c r="MIT504" s="44"/>
      <c r="MIU504" s="44"/>
      <c r="MIV504" s="44"/>
      <c r="MIW504" s="44"/>
      <c r="MIX504" s="44"/>
      <c r="MIY504" s="44"/>
      <c r="MIZ504" s="44"/>
      <c r="MJA504" s="44"/>
      <c r="MJB504" s="44"/>
      <c r="MJC504" s="44"/>
      <c r="MJD504" s="44"/>
      <c r="MJE504" s="44"/>
      <c r="MJF504" s="44"/>
      <c r="MJG504" s="44"/>
      <c r="MJH504" s="44"/>
      <c r="MJI504" s="44"/>
      <c r="MJJ504" s="44"/>
      <c r="MJK504" s="44"/>
      <c r="MJL504" s="44"/>
      <c r="MJM504" s="44"/>
      <c r="MJN504" s="44"/>
      <c r="MJO504" s="44"/>
      <c r="MJP504" s="44"/>
      <c r="MJQ504" s="44"/>
      <c r="MJR504" s="44"/>
      <c r="MJS504" s="44"/>
      <c r="MJT504" s="44"/>
      <c r="MJU504" s="44"/>
      <c r="MJV504" s="44"/>
      <c r="MJW504" s="44"/>
      <c r="MJX504" s="44"/>
      <c r="MJY504" s="44"/>
      <c r="MJZ504" s="44"/>
      <c r="MKA504" s="44"/>
      <c r="MKB504" s="44"/>
      <c r="MKC504" s="44"/>
      <c r="MKD504" s="44"/>
      <c r="MKE504" s="44"/>
      <c r="MKF504" s="44"/>
      <c r="MKG504" s="44"/>
      <c r="MKH504" s="44"/>
      <c r="MKI504" s="44"/>
      <c r="MKJ504" s="44"/>
      <c r="MKK504" s="44"/>
      <c r="MKL504" s="44"/>
      <c r="MKM504" s="44"/>
      <c r="MKN504" s="44"/>
      <c r="MKO504" s="44"/>
      <c r="MKP504" s="44"/>
      <c r="MKQ504" s="44"/>
      <c r="MKR504" s="44"/>
      <c r="MKS504" s="44"/>
      <c r="MKT504" s="44"/>
      <c r="MKU504" s="44"/>
      <c r="MKV504" s="44"/>
      <c r="MKW504" s="44"/>
      <c r="MKX504" s="44"/>
      <c r="MKY504" s="44"/>
      <c r="MKZ504" s="44"/>
      <c r="MLA504" s="44"/>
      <c r="MLB504" s="44"/>
      <c r="MLC504" s="44"/>
      <c r="MLD504" s="44"/>
      <c r="MLE504" s="44"/>
      <c r="MLF504" s="44"/>
      <c r="MLG504" s="44"/>
      <c r="MLH504" s="44"/>
      <c r="MLI504" s="44"/>
      <c r="MLJ504" s="44"/>
      <c r="MLK504" s="44"/>
      <c r="MLL504" s="44"/>
      <c r="MLM504" s="44"/>
      <c r="MLN504" s="44"/>
      <c r="MLO504" s="44"/>
      <c r="MLP504" s="44"/>
      <c r="MLQ504" s="44"/>
      <c r="MLR504" s="44"/>
      <c r="MLS504" s="44"/>
      <c r="MLT504" s="44"/>
      <c r="MLU504" s="44"/>
      <c r="MLV504" s="44"/>
      <c r="MLW504" s="44"/>
      <c r="MLX504" s="44"/>
      <c r="MLY504" s="44"/>
      <c r="MLZ504" s="44"/>
      <c r="MMA504" s="44"/>
      <c r="MMB504" s="44"/>
      <c r="MMC504" s="44"/>
      <c r="MMD504" s="44"/>
      <c r="MME504" s="44"/>
      <c r="MMF504" s="44"/>
      <c r="MMG504" s="44"/>
      <c r="MMH504" s="44"/>
      <c r="MMI504" s="44"/>
      <c r="MMJ504" s="44"/>
      <c r="MMK504" s="44"/>
      <c r="MML504" s="44"/>
      <c r="MMM504" s="44"/>
      <c r="MMN504" s="44"/>
      <c r="MMO504" s="44"/>
      <c r="MMP504" s="44"/>
      <c r="MMQ504" s="44"/>
      <c r="MMR504" s="44"/>
      <c r="MMS504" s="44"/>
      <c r="MMT504" s="44"/>
      <c r="MMU504" s="44"/>
      <c r="MMV504" s="44"/>
      <c r="MMW504" s="44"/>
      <c r="MMX504" s="44"/>
      <c r="MMY504" s="44"/>
      <c r="MMZ504" s="44"/>
      <c r="MNA504" s="44"/>
      <c r="MNB504" s="44"/>
      <c r="MNC504" s="44"/>
      <c r="MND504" s="44"/>
      <c r="MNE504" s="44"/>
      <c r="MNF504" s="44"/>
      <c r="MNG504" s="44"/>
      <c r="MNH504" s="44"/>
      <c r="MNI504" s="44"/>
      <c r="MNJ504" s="44"/>
      <c r="MNK504" s="44"/>
      <c r="MNL504" s="44"/>
      <c r="MNM504" s="44"/>
      <c r="MNN504" s="44"/>
      <c r="MNO504" s="44"/>
      <c r="MNP504" s="44"/>
      <c r="MNQ504" s="44"/>
      <c r="MNR504" s="44"/>
      <c r="MNS504" s="44"/>
      <c r="MNT504" s="44"/>
      <c r="MNU504" s="44"/>
      <c r="MNV504" s="44"/>
      <c r="MNW504" s="44"/>
      <c r="MNX504" s="44"/>
      <c r="MNY504" s="44"/>
      <c r="MNZ504" s="44"/>
      <c r="MOA504" s="44"/>
      <c r="MOB504" s="44"/>
      <c r="MOC504" s="44"/>
      <c r="MOD504" s="44"/>
      <c r="MOE504" s="44"/>
      <c r="MOF504" s="44"/>
      <c r="MOG504" s="44"/>
      <c r="MOH504" s="44"/>
      <c r="MOI504" s="44"/>
      <c r="MOJ504" s="44"/>
      <c r="MOK504" s="44"/>
      <c r="MOL504" s="44"/>
      <c r="MOM504" s="44"/>
      <c r="MON504" s="44"/>
      <c r="MOO504" s="44"/>
      <c r="MOP504" s="44"/>
      <c r="MOQ504" s="44"/>
      <c r="MOR504" s="44"/>
      <c r="MOS504" s="44"/>
      <c r="MOT504" s="44"/>
      <c r="MOU504" s="44"/>
      <c r="MOV504" s="44"/>
      <c r="MOW504" s="44"/>
      <c r="MOX504" s="44"/>
      <c r="MOY504" s="44"/>
      <c r="MOZ504" s="44"/>
      <c r="MPA504" s="44"/>
      <c r="MPB504" s="44"/>
      <c r="MPC504" s="44"/>
      <c r="MPD504" s="44"/>
      <c r="MPE504" s="44"/>
      <c r="MPF504" s="44"/>
      <c r="MPG504" s="44"/>
      <c r="MPH504" s="44"/>
      <c r="MPI504" s="44"/>
      <c r="MPJ504" s="44"/>
      <c r="MPK504" s="44"/>
      <c r="MPL504" s="44"/>
      <c r="MPM504" s="44"/>
      <c r="MPN504" s="44"/>
      <c r="MPO504" s="44"/>
      <c r="MPP504" s="44"/>
      <c r="MPQ504" s="44"/>
      <c r="MPR504" s="44"/>
      <c r="MPS504" s="44"/>
      <c r="MPT504" s="44"/>
      <c r="MPU504" s="44"/>
      <c r="MPV504" s="44"/>
      <c r="MPW504" s="44"/>
      <c r="MPX504" s="44"/>
      <c r="MPY504" s="44"/>
      <c r="MPZ504" s="44"/>
      <c r="MQA504" s="44"/>
      <c r="MQB504" s="44"/>
      <c r="MQC504" s="44"/>
      <c r="MQD504" s="44"/>
      <c r="MQE504" s="44"/>
      <c r="MQF504" s="44"/>
      <c r="MQG504" s="44"/>
      <c r="MQH504" s="44"/>
      <c r="MQI504" s="44"/>
      <c r="MQJ504" s="44"/>
      <c r="MQK504" s="44"/>
      <c r="MQL504" s="44"/>
      <c r="MQM504" s="44"/>
      <c r="MQN504" s="44"/>
      <c r="MQO504" s="44"/>
      <c r="MQP504" s="44"/>
      <c r="MQQ504" s="44"/>
      <c r="MQR504" s="44"/>
      <c r="MQS504" s="44"/>
      <c r="MQT504" s="44"/>
      <c r="MQU504" s="44"/>
      <c r="MQV504" s="44"/>
      <c r="MQW504" s="44"/>
      <c r="MQX504" s="44"/>
      <c r="MQY504" s="44"/>
      <c r="MQZ504" s="44"/>
      <c r="MRA504" s="44"/>
      <c r="MRB504" s="44"/>
      <c r="MRC504" s="44"/>
      <c r="MRD504" s="44"/>
      <c r="MRE504" s="44"/>
      <c r="MRF504" s="44"/>
      <c r="MRG504" s="44"/>
      <c r="MRH504" s="44"/>
      <c r="MRI504" s="44"/>
      <c r="MRJ504" s="44"/>
      <c r="MRK504" s="44"/>
      <c r="MRL504" s="44"/>
      <c r="MRM504" s="44"/>
      <c r="MRN504" s="44"/>
      <c r="MRO504" s="44"/>
      <c r="MRP504" s="44"/>
      <c r="MRQ504" s="44"/>
      <c r="MRR504" s="44"/>
      <c r="MRS504" s="44"/>
      <c r="MRT504" s="44"/>
      <c r="MRU504" s="44"/>
      <c r="MRV504" s="44"/>
      <c r="MRW504" s="44"/>
      <c r="MRX504" s="44"/>
      <c r="MRY504" s="44"/>
      <c r="MRZ504" s="44"/>
      <c r="MSA504" s="44"/>
      <c r="MSB504" s="44"/>
      <c r="MSC504" s="44"/>
      <c r="MSD504" s="44"/>
      <c r="MSE504" s="44"/>
      <c r="MSF504" s="44"/>
      <c r="MSG504" s="44"/>
      <c r="MSH504" s="44"/>
      <c r="MSI504" s="44"/>
      <c r="MSJ504" s="44"/>
      <c r="MSK504" s="44"/>
      <c r="MSL504" s="44"/>
      <c r="MSM504" s="44"/>
      <c r="MSN504" s="44"/>
      <c r="MSO504" s="44"/>
      <c r="MSP504" s="44"/>
      <c r="MSQ504" s="44"/>
      <c r="MSR504" s="44"/>
      <c r="MSS504" s="44"/>
      <c r="MST504" s="44"/>
      <c r="MSU504" s="44"/>
      <c r="MSV504" s="44"/>
      <c r="MSW504" s="44"/>
      <c r="MSX504" s="44"/>
      <c r="MSY504" s="44"/>
      <c r="MSZ504" s="44"/>
      <c r="MTA504" s="44"/>
      <c r="MTB504" s="44"/>
      <c r="MTC504" s="44"/>
      <c r="MTD504" s="44"/>
      <c r="MTE504" s="44"/>
      <c r="MTF504" s="44"/>
      <c r="MTG504" s="44"/>
      <c r="MTH504" s="44"/>
      <c r="MTI504" s="44"/>
      <c r="MTJ504" s="44"/>
      <c r="MTK504" s="44"/>
      <c r="MTL504" s="44"/>
      <c r="MTM504" s="44"/>
      <c r="MTN504" s="44"/>
      <c r="MTO504" s="44"/>
      <c r="MTP504" s="44"/>
      <c r="MTQ504" s="44"/>
      <c r="MTR504" s="44"/>
      <c r="MTS504" s="44"/>
      <c r="MTT504" s="44"/>
      <c r="MTU504" s="44"/>
      <c r="MTV504" s="44"/>
      <c r="MTW504" s="44"/>
      <c r="MTX504" s="44"/>
      <c r="MTY504" s="44"/>
      <c r="MTZ504" s="44"/>
      <c r="MUA504" s="44"/>
      <c r="MUB504" s="44"/>
      <c r="MUC504" s="44"/>
      <c r="MUD504" s="44"/>
      <c r="MUE504" s="44"/>
      <c r="MUF504" s="44"/>
      <c r="MUG504" s="44"/>
      <c r="MUH504" s="44"/>
      <c r="MUI504" s="44"/>
      <c r="MUJ504" s="44"/>
      <c r="MUK504" s="44"/>
      <c r="MUL504" s="44"/>
      <c r="MUM504" s="44"/>
      <c r="MUN504" s="44"/>
      <c r="MUO504" s="44"/>
      <c r="MUP504" s="44"/>
      <c r="MUQ504" s="44"/>
      <c r="MUR504" s="44"/>
      <c r="MUS504" s="44"/>
      <c r="MUT504" s="44"/>
      <c r="MUU504" s="44"/>
      <c r="MUV504" s="44"/>
      <c r="MUW504" s="44"/>
      <c r="MUX504" s="44"/>
      <c r="MUY504" s="44"/>
      <c r="MUZ504" s="44"/>
      <c r="MVA504" s="44"/>
      <c r="MVB504" s="44"/>
      <c r="MVC504" s="44"/>
      <c r="MVD504" s="44"/>
      <c r="MVE504" s="44"/>
      <c r="MVF504" s="44"/>
      <c r="MVG504" s="44"/>
      <c r="MVH504" s="44"/>
      <c r="MVI504" s="44"/>
      <c r="MVJ504" s="44"/>
      <c r="MVK504" s="44"/>
      <c r="MVL504" s="44"/>
      <c r="MVM504" s="44"/>
      <c r="MVN504" s="44"/>
      <c r="MVO504" s="44"/>
      <c r="MVP504" s="44"/>
      <c r="MVQ504" s="44"/>
      <c r="MVR504" s="44"/>
      <c r="MVS504" s="44"/>
      <c r="MVT504" s="44"/>
      <c r="MVU504" s="44"/>
      <c r="MVV504" s="44"/>
      <c r="MVW504" s="44"/>
      <c r="MVX504" s="44"/>
      <c r="MVY504" s="44"/>
      <c r="MVZ504" s="44"/>
      <c r="MWA504" s="44"/>
      <c r="MWB504" s="44"/>
      <c r="MWC504" s="44"/>
      <c r="MWD504" s="44"/>
      <c r="MWE504" s="44"/>
      <c r="MWF504" s="44"/>
      <c r="MWG504" s="44"/>
      <c r="MWH504" s="44"/>
      <c r="MWI504" s="44"/>
      <c r="MWJ504" s="44"/>
      <c r="MWK504" s="44"/>
      <c r="MWL504" s="44"/>
      <c r="MWM504" s="44"/>
      <c r="MWN504" s="44"/>
      <c r="MWO504" s="44"/>
      <c r="MWP504" s="44"/>
      <c r="MWQ504" s="44"/>
      <c r="MWR504" s="44"/>
      <c r="MWS504" s="44"/>
      <c r="MWT504" s="44"/>
      <c r="MWU504" s="44"/>
      <c r="MWV504" s="44"/>
      <c r="MWW504" s="44"/>
      <c r="MWX504" s="44"/>
      <c r="MWY504" s="44"/>
      <c r="MWZ504" s="44"/>
      <c r="MXA504" s="44"/>
      <c r="MXB504" s="44"/>
      <c r="MXC504" s="44"/>
      <c r="MXD504" s="44"/>
      <c r="MXE504" s="44"/>
      <c r="MXF504" s="44"/>
      <c r="MXG504" s="44"/>
      <c r="MXH504" s="44"/>
      <c r="MXI504" s="44"/>
      <c r="MXJ504" s="44"/>
      <c r="MXK504" s="44"/>
      <c r="MXL504" s="44"/>
      <c r="MXM504" s="44"/>
      <c r="MXN504" s="44"/>
      <c r="MXO504" s="44"/>
      <c r="MXP504" s="44"/>
      <c r="MXQ504" s="44"/>
      <c r="MXR504" s="44"/>
      <c r="MXS504" s="44"/>
      <c r="MXT504" s="44"/>
      <c r="MXU504" s="44"/>
      <c r="MXV504" s="44"/>
      <c r="MXW504" s="44"/>
      <c r="MXX504" s="44"/>
      <c r="MXY504" s="44"/>
      <c r="MXZ504" s="44"/>
      <c r="MYA504" s="44"/>
      <c r="MYB504" s="44"/>
      <c r="MYC504" s="44"/>
      <c r="MYD504" s="44"/>
      <c r="MYE504" s="44"/>
      <c r="MYF504" s="44"/>
      <c r="MYG504" s="44"/>
      <c r="MYH504" s="44"/>
      <c r="MYI504" s="44"/>
      <c r="MYJ504" s="44"/>
      <c r="MYK504" s="44"/>
      <c r="MYL504" s="44"/>
      <c r="MYM504" s="44"/>
      <c r="MYN504" s="44"/>
      <c r="MYO504" s="44"/>
      <c r="MYP504" s="44"/>
      <c r="MYQ504" s="44"/>
      <c r="MYR504" s="44"/>
      <c r="MYS504" s="44"/>
      <c r="MYT504" s="44"/>
      <c r="MYU504" s="44"/>
      <c r="MYV504" s="44"/>
      <c r="MYW504" s="44"/>
      <c r="MYX504" s="44"/>
      <c r="MYY504" s="44"/>
      <c r="MYZ504" s="44"/>
      <c r="MZA504" s="44"/>
      <c r="MZB504" s="44"/>
      <c r="MZC504" s="44"/>
      <c r="MZD504" s="44"/>
      <c r="MZE504" s="44"/>
      <c r="MZF504" s="44"/>
      <c r="MZG504" s="44"/>
      <c r="MZH504" s="44"/>
      <c r="MZI504" s="44"/>
      <c r="MZJ504" s="44"/>
      <c r="MZK504" s="44"/>
      <c r="MZL504" s="44"/>
      <c r="MZM504" s="44"/>
      <c r="MZN504" s="44"/>
      <c r="MZO504" s="44"/>
      <c r="MZP504" s="44"/>
      <c r="MZQ504" s="44"/>
      <c r="MZR504" s="44"/>
      <c r="MZS504" s="44"/>
      <c r="MZT504" s="44"/>
      <c r="MZU504" s="44"/>
      <c r="MZV504" s="44"/>
      <c r="MZW504" s="44"/>
      <c r="MZX504" s="44"/>
      <c r="MZY504" s="44"/>
      <c r="MZZ504" s="44"/>
      <c r="NAA504" s="44"/>
      <c r="NAB504" s="44"/>
      <c r="NAC504" s="44"/>
      <c r="NAD504" s="44"/>
      <c r="NAE504" s="44"/>
      <c r="NAF504" s="44"/>
      <c r="NAG504" s="44"/>
      <c r="NAH504" s="44"/>
      <c r="NAI504" s="44"/>
      <c r="NAJ504" s="44"/>
      <c r="NAK504" s="44"/>
      <c r="NAL504" s="44"/>
      <c r="NAM504" s="44"/>
      <c r="NAN504" s="44"/>
      <c r="NAO504" s="44"/>
      <c r="NAP504" s="44"/>
      <c r="NAQ504" s="44"/>
      <c r="NAR504" s="44"/>
      <c r="NAS504" s="44"/>
      <c r="NAT504" s="44"/>
      <c r="NAU504" s="44"/>
      <c r="NAV504" s="44"/>
      <c r="NAW504" s="44"/>
      <c r="NAX504" s="44"/>
      <c r="NAY504" s="44"/>
      <c r="NAZ504" s="44"/>
      <c r="NBA504" s="44"/>
      <c r="NBB504" s="44"/>
      <c r="NBC504" s="44"/>
      <c r="NBD504" s="44"/>
      <c r="NBE504" s="44"/>
      <c r="NBF504" s="44"/>
      <c r="NBG504" s="44"/>
      <c r="NBH504" s="44"/>
      <c r="NBI504" s="44"/>
      <c r="NBJ504" s="44"/>
      <c r="NBK504" s="44"/>
      <c r="NBL504" s="44"/>
      <c r="NBM504" s="44"/>
      <c r="NBN504" s="44"/>
      <c r="NBO504" s="44"/>
      <c r="NBP504" s="44"/>
      <c r="NBQ504" s="44"/>
      <c r="NBR504" s="44"/>
      <c r="NBS504" s="44"/>
      <c r="NBT504" s="44"/>
      <c r="NBU504" s="44"/>
      <c r="NBV504" s="44"/>
      <c r="NBW504" s="44"/>
      <c r="NBX504" s="44"/>
      <c r="NBY504" s="44"/>
      <c r="NBZ504" s="44"/>
      <c r="NCA504" s="44"/>
      <c r="NCB504" s="44"/>
      <c r="NCC504" s="44"/>
      <c r="NCD504" s="44"/>
      <c r="NCE504" s="44"/>
      <c r="NCF504" s="44"/>
      <c r="NCG504" s="44"/>
      <c r="NCH504" s="44"/>
      <c r="NCI504" s="44"/>
      <c r="NCJ504" s="44"/>
      <c r="NCK504" s="44"/>
      <c r="NCL504" s="44"/>
      <c r="NCM504" s="44"/>
      <c r="NCN504" s="44"/>
      <c r="NCO504" s="44"/>
      <c r="NCP504" s="44"/>
      <c r="NCQ504" s="44"/>
      <c r="NCR504" s="44"/>
      <c r="NCS504" s="44"/>
      <c r="NCT504" s="44"/>
      <c r="NCU504" s="44"/>
      <c r="NCV504" s="44"/>
      <c r="NCW504" s="44"/>
      <c r="NCX504" s="44"/>
      <c r="NCY504" s="44"/>
      <c r="NCZ504" s="44"/>
      <c r="NDA504" s="44"/>
      <c r="NDB504" s="44"/>
      <c r="NDC504" s="44"/>
      <c r="NDD504" s="44"/>
      <c r="NDE504" s="44"/>
      <c r="NDF504" s="44"/>
      <c r="NDG504" s="44"/>
      <c r="NDH504" s="44"/>
      <c r="NDI504" s="44"/>
      <c r="NDJ504" s="44"/>
      <c r="NDK504" s="44"/>
      <c r="NDL504" s="44"/>
      <c r="NDM504" s="44"/>
      <c r="NDN504" s="44"/>
      <c r="NDO504" s="44"/>
      <c r="NDP504" s="44"/>
      <c r="NDQ504" s="44"/>
      <c r="NDR504" s="44"/>
      <c r="NDS504" s="44"/>
      <c r="NDT504" s="44"/>
      <c r="NDU504" s="44"/>
      <c r="NDV504" s="44"/>
      <c r="NDW504" s="44"/>
      <c r="NDX504" s="44"/>
      <c r="NDY504" s="44"/>
      <c r="NDZ504" s="44"/>
      <c r="NEA504" s="44"/>
      <c r="NEB504" s="44"/>
      <c r="NEC504" s="44"/>
      <c r="NED504" s="44"/>
      <c r="NEE504" s="44"/>
      <c r="NEF504" s="44"/>
      <c r="NEG504" s="44"/>
      <c r="NEH504" s="44"/>
      <c r="NEI504" s="44"/>
      <c r="NEJ504" s="44"/>
      <c r="NEK504" s="44"/>
      <c r="NEL504" s="44"/>
      <c r="NEM504" s="44"/>
      <c r="NEN504" s="44"/>
      <c r="NEO504" s="44"/>
      <c r="NEP504" s="44"/>
      <c r="NEQ504" s="44"/>
      <c r="NER504" s="44"/>
      <c r="NES504" s="44"/>
      <c r="NET504" s="44"/>
      <c r="NEU504" s="44"/>
      <c r="NEV504" s="44"/>
      <c r="NEW504" s="44"/>
      <c r="NEX504" s="44"/>
      <c r="NEY504" s="44"/>
      <c r="NEZ504" s="44"/>
      <c r="NFA504" s="44"/>
      <c r="NFB504" s="44"/>
      <c r="NFC504" s="44"/>
      <c r="NFD504" s="44"/>
      <c r="NFE504" s="44"/>
      <c r="NFF504" s="44"/>
      <c r="NFG504" s="44"/>
      <c r="NFH504" s="44"/>
      <c r="NFI504" s="44"/>
      <c r="NFJ504" s="44"/>
      <c r="NFK504" s="44"/>
      <c r="NFL504" s="44"/>
      <c r="NFM504" s="44"/>
      <c r="NFN504" s="44"/>
      <c r="NFO504" s="44"/>
      <c r="NFP504" s="44"/>
      <c r="NFQ504" s="44"/>
      <c r="NFR504" s="44"/>
      <c r="NFS504" s="44"/>
      <c r="NFT504" s="44"/>
      <c r="NFU504" s="44"/>
      <c r="NFV504" s="44"/>
      <c r="NFW504" s="44"/>
      <c r="NFX504" s="44"/>
      <c r="NFY504" s="44"/>
      <c r="NFZ504" s="44"/>
      <c r="NGA504" s="44"/>
      <c r="NGB504" s="44"/>
      <c r="NGC504" s="44"/>
      <c r="NGD504" s="44"/>
      <c r="NGE504" s="44"/>
      <c r="NGF504" s="44"/>
      <c r="NGG504" s="44"/>
      <c r="NGH504" s="44"/>
      <c r="NGI504" s="44"/>
      <c r="NGJ504" s="44"/>
      <c r="NGK504" s="44"/>
      <c r="NGL504" s="44"/>
      <c r="NGM504" s="44"/>
      <c r="NGN504" s="44"/>
      <c r="NGO504" s="44"/>
      <c r="NGP504" s="44"/>
      <c r="NGQ504" s="44"/>
      <c r="NGR504" s="44"/>
      <c r="NGS504" s="44"/>
      <c r="NGT504" s="44"/>
      <c r="NGU504" s="44"/>
      <c r="NGV504" s="44"/>
      <c r="NGW504" s="44"/>
      <c r="NGX504" s="44"/>
      <c r="NGY504" s="44"/>
      <c r="NGZ504" s="44"/>
      <c r="NHA504" s="44"/>
      <c r="NHB504" s="44"/>
      <c r="NHC504" s="44"/>
      <c r="NHD504" s="44"/>
      <c r="NHE504" s="44"/>
      <c r="NHF504" s="44"/>
      <c r="NHG504" s="44"/>
      <c r="NHH504" s="44"/>
      <c r="NHI504" s="44"/>
      <c r="NHJ504" s="44"/>
      <c r="NHK504" s="44"/>
      <c r="NHL504" s="44"/>
      <c r="NHM504" s="44"/>
      <c r="NHN504" s="44"/>
      <c r="NHO504" s="44"/>
      <c r="NHP504" s="44"/>
      <c r="NHQ504" s="44"/>
      <c r="NHR504" s="44"/>
      <c r="NHS504" s="44"/>
      <c r="NHT504" s="44"/>
      <c r="NHU504" s="44"/>
      <c r="NHV504" s="44"/>
      <c r="NHW504" s="44"/>
      <c r="NHX504" s="44"/>
      <c r="NHY504" s="44"/>
      <c r="NHZ504" s="44"/>
      <c r="NIA504" s="44"/>
      <c r="NIB504" s="44"/>
      <c r="NIC504" s="44"/>
      <c r="NID504" s="44"/>
      <c r="NIE504" s="44"/>
      <c r="NIF504" s="44"/>
      <c r="NIG504" s="44"/>
      <c r="NIH504" s="44"/>
      <c r="NII504" s="44"/>
      <c r="NIJ504" s="44"/>
      <c r="NIK504" s="44"/>
      <c r="NIL504" s="44"/>
      <c r="NIM504" s="44"/>
      <c r="NIN504" s="44"/>
      <c r="NIO504" s="44"/>
      <c r="NIP504" s="44"/>
      <c r="NIQ504" s="44"/>
      <c r="NIR504" s="44"/>
      <c r="NIS504" s="44"/>
      <c r="NIT504" s="44"/>
      <c r="NIU504" s="44"/>
      <c r="NIV504" s="44"/>
      <c r="NIW504" s="44"/>
      <c r="NIX504" s="44"/>
      <c r="NIY504" s="44"/>
      <c r="NIZ504" s="44"/>
      <c r="NJA504" s="44"/>
      <c r="NJB504" s="44"/>
      <c r="NJC504" s="44"/>
      <c r="NJD504" s="44"/>
      <c r="NJE504" s="44"/>
      <c r="NJF504" s="44"/>
      <c r="NJG504" s="44"/>
      <c r="NJH504" s="44"/>
      <c r="NJI504" s="44"/>
      <c r="NJJ504" s="44"/>
      <c r="NJK504" s="44"/>
      <c r="NJL504" s="44"/>
      <c r="NJM504" s="44"/>
      <c r="NJN504" s="44"/>
      <c r="NJO504" s="44"/>
      <c r="NJP504" s="44"/>
      <c r="NJQ504" s="44"/>
      <c r="NJR504" s="44"/>
      <c r="NJS504" s="44"/>
      <c r="NJT504" s="44"/>
      <c r="NJU504" s="44"/>
      <c r="NJV504" s="44"/>
      <c r="NJW504" s="44"/>
      <c r="NJX504" s="44"/>
      <c r="NJY504" s="44"/>
      <c r="NJZ504" s="44"/>
      <c r="NKA504" s="44"/>
      <c r="NKB504" s="44"/>
      <c r="NKC504" s="44"/>
      <c r="NKD504" s="44"/>
      <c r="NKE504" s="44"/>
      <c r="NKF504" s="44"/>
      <c r="NKG504" s="44"/>
      <c r="NKH504" s="44"/>
      <c r="NKI504" s="44"/>
      <c r="NKJ504" s="44"/>
      <c r="NKK504" s="44"/>
      <c r="NKL504" s="44"/>
      <c r="NKM504" s="44"/>
      <c r="NKN504" s="44"/>
      <c r="NKO504" s="44"/>
      <c r="NKP504" s="44"/>
      <c r="NKQ504" s="44"/>
      <c r="NKR504" s="44"/>
      <c r="NKS504" s="44"/>
      <c r="NKT504" s="44"/>
      <c r="NKU504" s="44"/>
      <c r="NKV504" s="44"/>
      <c r="NKW504" s="44"/>
      <c r="NKX504" s="44"/>
      <c r="NKY504" s="44"/>
      <c r="NKZ504" s="44"/>
      <c r="NLA504" s="44"/>
      <c r="NLB504" s="44"/>
      <c r="NLC504" s="44"/>
      <c r="NLD504" s="44"/>
      <c r="NLE504" s="44"/>
      <c r="NLF504" s="44"/>
      <c r="NLG504" s="44"/>
      <c r="NLH504" s="44"/>
      <c r="NLI504" s="44"/>
      <c r="NLJ504" s="44"/>
      <c r="NLK504" s="44"/>
      <c r="NLL504" s="44"/>
      <c r="NLM504" s="44"/>
      <c r="NLN504" s="44"/>
      <c r="NLO504" s="44"/>
      <c r="NLP504" s="44"/>
      <c r="NLQ504" s="44"/>
      <c r="NLR504" s="44"/>
      <c r="NLS504" s="44"/>
      <c r="NLT504" s="44"/>
      <c r="NLU504" s="44"/>
      <c r="NLV504" s="44"/>
      <c r="NLW504" s="44"/>
      <c r="NLX504" s="44"/>
      <c r="NLY504" s="44"/>
      <c r="NLZ504" s="44"/>
      <c r="NMA504" s="44"/>
      <c r="NMB504" s="44"/>
      <c r="NMC504" s="44"/>
      <c r="NMD504" s="44"/>
      <c r="NME504" s="44"/>
      <c r="NMF504" s="44"/>
      <c r="NMG504" s="44"/>
      <c r="NMH504" s="44"/>
      <c r="NMI504" s="44"/>
      <c r="NMJ504" s="44"/>
      <c r="NMK504" s="44"/>
      <c r="NML504" s="44"/>
      <c r="NMM504" s="44"/>
      <c r="NMN504" s="44"/>
      <c r="NMO504" s="44"/>
      <c r="NMP504" s="44"/>
      <c r="NMQ504" s="44"/>
      <c r="NMR504" s="44"/>
      <c r="NMS504" s="44"/>
      <c r="NMT504" s="44"/>
      <c r="NMU504" s="44"/>
      <c r="NMV504" s="44"/>
      <c r="NMW504" s="44"/>
      <c r="NMX504" s="44"/>
      <c r="NMY504" s="44"/>
      <c r="NMZ504" s="44"/>
      <c r="NNA504" s="44"/>
      <c r="NNB504" s="44"/>
      <c r="NNC504" s="44"/>
      <c r="NND504" s="44"/>
      <c r="NNE504" s="44"/>
      <c r="NNF504" s="44"/>
      <c r="NNG504" s="44"/>
      <c r="NNH504" s="44"/>
      <c r="NNI504" s="44"/>
      <c r="NNJ504" s="44"/>
      <c r="NNK504" s="44"/>
      <c r="NNL504" s="44"/>
      <c r="NNM504" s="44"/>
      <c r="NNN504" s="44"/>
      <c r="NNO504" s="44"/>
      <c r="NNP504" s="44"/>
      <c r="NNQ504" s="44"/>
      <c r="NNR504" s="44"/>
      <c r="NNS504" s="44"/>
      <c r="NNT504" s="44"/>
      <c r="NNU504" s="44"/>
      <c r="NNV504" s="44"/>
      <c r="NNW504" s="44"/>
      <c r="NNX504" s="44"/>
      <c r="NNY504" s="44"/>
      <c r="NNZ504" s="44"/>
      <c r="NOA504" s="44"/>
      <c r="NOB504" s="44"/>
      <c r="NOC504" s="44"/>
      <c r="NOD504" s="44"/>
      <c r="NOE504" s="44"/>
      <c r="NOF504" s="44"/>
      <c r="NOG504" s="44"/>
      <c r="NOH504" s="44"/>
      <c r="NOI504" s="44"/>
      <c r="NOJ504" s="44"/>
      <c r="NOK504" s="44"/>
      <c r="NOL504" s="44"/>
      <c r="NOM504" s="44"/>
      <c r="NON504" s="44"/>
      <c r="NOO504" s="44"/>
      <c r="NOP504" s="44"/>
      <c r="NOQ504" s="44"/>
      <c r="NOR504" s="44"/>
      <c r="NOS504" s="44"/>
      <c r="NOT504" s="44"/>
      <c r="NOU504" s="44"/>
      <c r="NOV504" s="44"/>
      <c r="NOW504" s="44"/>
      <c r="NOX504" s="44"/>
      <c r="NOY504" s="44"/>
      <c r="NOZ504" s="44"/>
      <c r="NPA504" s="44"/>
      <c r="NPB504" s="44"/>
      <c r="NPC504" s="44"/>
      <c r="NPD504" s="44"/>
      <c r="NPE504" s="44"/>
      <c r="NPF504" s="44"/>
      <c r="NPG504" s="44"/>
      <c r="NPH504" s="44"/>
      <c r="NPI504" s="44"/>
      <c r="NPJ504" s="44"/>
      <c r="NPK504" s="44"/>
      <c r="NPL504" s="44"/>
      <c r="NPM504" s="44"/>
      <c r="NPN504" s="44"/>
      <c r="NPO504" s="44"/>
      <c r="NPP504" s="44"/>
      <c r="NPQ504" s="44"/>
      <c r="NPR504" s="44"/>
      <c r="NPS504" s="44"/>
      <c r="NPT504" s="44"/>
      <c r="NPU504" s="44"/>
      <c r="NPV504" s="44"/>
      <c r="NPW504" s="44"/>
      <c r="NPX504" s="44"/>
      <c r="NPY504" s="44"/>
      <c r="NPZ504" s="44"/>
      <c r="NQA504" s="44"/>
      <c r="NQB504" s="44"/>
      <c r="NQC504" s="44"/>
      <c r="NQD504" s="44"/>
      <c r="NQE504" s="44"/>
      <c r="NQF504" s="44"/>
      <c r="NQG504" s="44"/>
      <c r="NQH504" s="44"/>
      <c r="NQI504" s="44"/>
      <c r="NQJ504" s="44"/>
      <c r="NQK504" s="44"/>
      <c r="NQL504" s="44"/>
      <c r="NQM504" s="44"/>
      <c r="NQN504" s="44"/>
      <c r="NQO504" s="44"/>
      <c r="NQP504" s="44"/>
      <c r="NQQ504" s="44"/>
      <c r="NQR504" s="44"/>
      <c r="NQS504" s="44"/>
      <c r="NQT504" s="44"/>
      <c r="NQU504" s="44"/>
      <c r="NQV504" s="44"/>
      <c r="NQW504" s="44"/>
      <c r="NQX504" s="44"/>
      <c r="NQY504" s="44"/>
      <c r="NQZ504" s="44"/>
      <c r="NRA504" s="44"/>
      <c r="NRB504" s="44"/>
      <c r="NRC504" s="44"/>
      <c r="NRD504" s="44"/>
      <c r="NRE504" s="44"/>
      <c r="NRF504" s="44"/>
      <c r="NRG504" s="44"/>
      <c r="NRH504" s="44"/>
      <c r="NRI504" s="44"/>
      <c r="NRJ504" s="44"/>
      <c r="NRK504" s="44"/>
      <c r="NRL504" s="44"/>
      <c r="NRM504" s="44"/>
      <c r="NRN504" s="44"/>
      <c r="NRO504" s="44"/>
      <c r="NRP504" s="44"/>
      <c r="NRQ504" s="44"/>
      <c r="NRR504" s="44"/>
      <c r="NRS504" s="44"/>
      <c r="NRT504" s="44"/>
      <c r="NRU504" s="44"/>
      <c r="NRV504" s="44"/>
      <c r="NRW504" s="44"/>
      <c r="NRX504" s="44"/>
      <c r="NRY504" s="44"/>
      <c r="NRZ504" s="44"/>
      <c r="NSA504" s="44"/>
      <c r="NSB504" s="44"/>
      <c r="NSC504" s="44"/>
      <c r="NSD504" s="44"/>
      <c r="NSE504" s="44"/>
      <c r="NSF504" s="44"/>
      <c r="NSG504" s="44"/>
      <c r="NSH504" s="44"/>
      <c r="NSI504" s="44"/>
      <c r="NSJ504" s="44"/>
      <c r="NSK504" s="44"/>
      <c r="NSL504" s="44"/>
      <c r="NSM504" s="44"/>
      <c r="NSN504" s="44"/>
      <c r="NSO504" s="44"/>
      <c r="NSP504" s="44"/>
      <c r="NSQ504" s="44"/>
      <c r="NSR504" s="44"/>
      <c r="NSS504" s="44"/>
      <c r="NST504" s="44"/>
      <c r="NSU504" s="44"/>
      <c r="NSV504" s="44"/>
      <c r="NSW504" s="44"/>
      <c r="NSX504" s="44"/>
      <c r="NSY504" s="44"/>
      <c r="NSZ504" s="44"/>
      <c r="NTA504" s="44"/>
      <c r="NTB504" s="44"/>
      <c r="NTC504" s="44"/>
      <c r="NTD504" s="44"/>
      <c r="NTE504" s="44"/>
      <c r="NTF504" s="44"/>
      <c r="NTG504" s="44"/>
      <c r="NTH504" s="44"/>
      <c r="NTI504" s="44"/>
      <c r="NTJ504" s="44"/>
      <c r="NTK504" s="44"/>
      <c r="NTL504" s="44"/>
      <c r="NTM504" s="44"/>
      <c r="NTN504" s="44"/>
      <c r="NTO504" s="44"/>
      <c r="NTP504" s="44"/>
      <c r="NTQ504" s="44"/>
      <c r="NTR504" s="44"/>
      <c r="NTS504" s="44"/>
      <c r="NTT504" s="44"/>
      <c r="NTU504" s="44"/>
      <c r="NTV504" s="44"/>
      <c r="NTW504" s="44"/>
      <c r="NTX504" s="44"/>
      <c r="NTY504" s="44"/>
      <c r="NTZ504" s="44"/>
      <c r="NUA504" s="44"/>
      <c r="NUB504" s="44"/>
      <c r="NUC504" s="44"/>
      <c r="NUD504" s="44"/>
      <c r="NUE504" s="44"/>
      <c r="NUF504" s="44"/>
      <c r="NUG504" s="44"/>
      <c r="NUH504" s="44"/>
      <c r="NUI504" s="44"/>
      <c r="NUJ504" s="44"/>
      <c r="NUK504" s="44"/>
      <c r="NUL504" s="44"/>
      <c r="NUM504" s="44"/>
      <c r="NUN504" s="44"/>
      <c r="NUO504" s="44"/>
      <c r="NUP504" s="44"/>
      <c r="NUQ504" s="44"/>
      <c r="NUR504" s="44"/>
      <c r="NUS504" s="44"/>
      <c r="NUT504" s="44"/>
      <c r="NUU504" s="44"/>
      <c r="NUV504" s="44"/>
      <c r="NUW504" s="44"/>
      <c r="NUX504" s="44"/>
      <c r="NUY504" s="44"/>
      <c r="NUZ504" s="44"/>
      <c r="NVA504" s="44"/>
      <c r="NVB504" s="44"/>
      <c r="NVC504" s="44"/>
      <c r="NVD504" s="44"/>
      <c r="NVE504" s="44"/>
      <c r="NVF504" s="44"/>
      <c r="NVG504" s="44"/>
      <c r="NVH504" s="44"/>
      <c r="NVI504" s="44"/>
      <c r="NVJ504" s="44"/>
      <c r="NVK504" s="44"/>
      <c r="NVL504" s="44"/>
      <c r="NVM504" s="44"/>
      <c r="NVN504" s="44"/>
      <c r="NVO504" s="44"/>
      <c r="NVP504" s="44"/>
      <c r="NVQ504" s="44"/>
      <c r="NVR504" s="44"/>
      <c r="NVS504" s="44"/>
      <c r="NVT504" s="44"/>
      <c r="NVU504" s="44"/>
      <c r="NVV504" s="44"/>
      <c r="NVW504" s="44"/>
      <c r="NVX504" s="44"/>
      <c r="NVY504" s="44"/>
      <c r="NVZ504" s="44"/>
      <c r="NWA504" s="44"/>
      <c r="NWB504" s="44"/>
      <c r="NWC504" s="44"/>
      <c r="NWD504" s="44"/>
      <c r="NWE504" s="44"/>
      <c r="NWF504" s="44"/>
      <c r="NWG504" s="44"/>
      <c r="NWH504" s="44"/>
      <c r="NWI504" s="44"/>
      <c r="NWJ504" s="44"/>
      <c r="NWK504" s="44"/>
      <c r="NWL504" s="44"/>
      <c r="NWM504" s="44"/>
      <c r="NWN504" s="44"/>
      <c r="NWO504" s="44"/>
      <c r="NWP504" s="44"/>
      <c r="NWQ504" s="44"/>
      <c r="NWR504" s="44"/>
      <c r="NWS504" s="44"/>
      <c r="NWT504" s="44"/>
      <c r="NWU504" s="44"/>
      <c r="NWV504" s="44"/>
      <c r="NWW504" s="44"/>
      <c r="NWX504" s="44"/>
      <c r="NWY504" s="44"/>
      <c r="NWZ504" s="44"/>
      <c r="NXA504" s="44"/>
      <c r="NXB504" s="44"/>
      <c r="NXC504" s="44"/>
      <c r="NXD504" s="44"/>
      <c r="NXE504" s="44"/>
      <c r="NXF504" s="44"/>
      <c r="NXG504" s="44"/>
      <c r="NXH504" s="44"/>
      <c r="NXI504" s="44"/>
      <c r="NXJ504" s="44"/>
      <c r="NXK504" s="44"/>
      <c r="NXL504" s="44"/>
      <c r="NXM504" s="44"/>
      <c r="NXN504" s="44"/>
      <c r="NXO504" s="44"/>
      <c r="NXP504" s="44"/>
      <c r="NXQ504" s="44"/>
      <c r="NXR504" s="44"/>
      <c r="NXS504" s="44"/>
      <c r="NXT504" s="44"/>
      <c r="NXU504" s="44"/>
      <c r="NXV504" s="44"/>
      <c r="NXW504" s="44"/>
      <c r="NXX504" s="44"/>
      <c r="NXY504" s="44"/>
      <c r="NXZ504" s="44"/>
      <c r="NYA504" s="44"/>
      <c r="NYB504" s="44"/>
      <c r="NYC504" s="44"/>
      <c r="NYD504" s="44"/>
      <c r="NYE504" s="44"/>
      <c r="NYF504" s="44"/>
      <c r="NYG504" s="44"/>
      <c r="NYH504" s="44"/>
      <c r="NYI504" s="44"/>
      <c r="NYJ504" s="44"/>
      <c r="NYK504" s="44"/>
      <c r="NYL504" s="44"/>
      <c r="NYM504" s="44"/>
      <c r="NYN504" s="44"/>
      <c r="NYO504" s="44"/>
      <c r="NYP504" s="44"/>
      <c r="NYQ504" s="44"/>
      <c r="NYR504" s="44"/>
      <c r="NYS504" s="44"/>
      <c r="NYT504" s="44"/>
      <c r="NYU504" s="44"/>
      <c r="NYV504" s="44"/>
      <c r="NYW504" s="44"/>
      <c r="NYX504" s="44"/>
      <c r="NYY504" s="44"/>
      <c r="NYZ504" s="44"/>
      <c r="NZA504" s="44"/>
      <c r="NZB504" s="44"/>
      <c r="NZC504" s="44"/>
      <c r="NZD504" s="44"/>
      <c r="NZE504" s="44"/>
      <c r="NZF504" s="44"/>
      <c r="NZG504" s="44"/>
      <c r="NZH504" s="44"/>
      <c r="NZI504" s="44"/>
      <c r="NZJ504" s="44"/>
      <c r="NZK504" s="44"/>
      <c r="NZL504" s="44"/>
      <c r="NZM504" s="44"/>
      <c r="NZN504" s="44"/>
      <c r="NZO504" s="44"/>
      <c r="NZP504" s="44"/>
      <c r="NZQ504" s="44"/>
      <c r="NZR504" s="44"/>
      <c r="NZS504" s="44"/>
      <c r="NZT504" s="44"/>
      <c r="NZU504" s="44"/>
      <c r="NZV504" s="44"/>
      <c r="NZW504" s="44"/>
      <c r="NZX504" s="44"/>
      <c r="NZY504" s="44"/>
      <c r="NZZ504" s="44"/>
      <c r="OAA504" s="44"/>
      <c r="OAB504" s="44"/>
      <c r="OAC504" s="44"/>
      <c r="OAD504" s="44"/>
      <c r="OAE504" s="44"/>
      <c r="OAF504" s="44"/>
      <c r="OAG504" s="44"/>
      <c r="OAH504" s="44"/>
      <c r="OAI504" s="44"/>
      <c r="OAJ504" s="44"/>
      <c r="OAK504" s="44"/>
      <c r="OAL504" s="44"/>
      <c r="OAM504" s="44"/>
      <c r="OAN504" s="44"/>
      <c r="OAO504" s="44"/>
      <c r="OAP504" s="44"/>
      <c r="OAQ504" s="44"/>
      <c r="OAR504" s="44"/>
      <c r="OAS504" s="44"/>
      <c r="OAT504" s="44"/>
      <c r="OAU504" s="44"/>
      <c r="OAV504" s="44"/>
      <c r="OAW504" s="44"/>
      <c r="OAX504" s="44"/>
      <c r="OAY504" s="44"/>
      <c r="OAZ504" s="44"/>
      <c r="OBA504" s="44"/>
      <c r="OBB504" s="44"/>
      <c r="OBC504" s="44"/>
      <c r="OBD504" s="44"/>
      <c r="OBE504" s="44"/>
      <c r="OBF504" s="44"/>
      <c r="OBG504" s="44"/>
      <c r="OBH504" s="44"/>
      <c r="OBI504" s="44"/>
      <c r="OBJ504" s="44"/>
      <c r="OBK504" s="44"/>
      <c r="OBL504" s="44"/>
      <c r="OBM504" s="44"/>
      <c r="OBN504" s="44"/>
      <c r="OBO504" s="44"/>
      <c r="OBP504" s="44"/>
      <c r="OBQ504" s="44"/>
      <c r="OBR504" s="44"/>
      <c r="OBS504" s="44"/>
      <c r="OBT504" s="44"/>
      <c r="OBU504" s="44"/>
      <c r="OBV504" s="44"/>
      <c r="OBW504" s="44"/>
      <c r="OBX504" s="44"/>
      <c r="OBY504" s="44"/>
      <c r="OBZ504" s="44"/>
      <c r="OCA504" s="44"/>
      <c r="OCB504" s="44"/>
      <c r="OCC504" s="44"/>
      <c r="OCD504" s="44"/>
      <c r="OCE504" s="44"/>
      <c r="OCF504" s="44"/>
      <c r="OCG504" s="44"/>
      <c r="OCH504" s="44"/>
      <c r="OCI504" s="44"/>
      <c r="OCJ504" s="44"/>
      <c r="OCK504" s="44"/>
      <c r="OCL504" s="44"/>
      <c r="OCM504" s="44"/>
      <c r="OCN504" s="44"/>
      <c r="OCO504" s="44"/>
      <c r="OCP504" s="44"/>
      <c r="OCQ504" s="44"/>
      <c r="OCR504" s="44"/>
      <c r="OCS504" s="44"/>
      <c r="OCT504" s="44"/>
      <c r="OCU504" s="44"/>
      <c r="OCV504" s="44"/>
      <c r="OCW504" s="44"/>
      <c r="OCX504" s="44"/>
      <c r="OCY504" s="44"/>
      <c r="OCZ504" s="44"/>
      <c r="ODA504" s="44"/>
      <c r="ODB504" s="44"/>
      <c r="ODC504" s="44"/>
      <c r="ODD504" s="44"/>
      <c r="ODE504" s="44"/>
      <c r="ODF504" s="44"/>
      <c r="ODG504" s="44"/>
      <c r="ODH504" s="44"/>
      <c r="ODI504" s="44"/>
      <c r="ODJ504" s="44"/>
      <c r="ODK504" s="44"/>
      <c r="ODL504" s="44"/>
      <c r="ODM504" s="44"/>
      <c r="ODN504" s="44"/>
      <c r="ODO504" s="44"/>
      <c r="ODP504" s="44"/>
      <c r="ODQ504" s="44"/>
      <c r="ODR504" s="44"/>
      <c r="ODS504" s="44"/>
      <c r="ODT504" s="44"/>
      <c r="ODU504" s="44"/>
      <c r="ODV504" s="44"/>
      <c r="ODW504" s="44"/>
      <c r="ODX504" s="44"/>
      <c r="ODY504" s="44"/>
      <c r="ODZ504" s="44"/>
      <c r="OEA504" s="44"/>
      <c r="OEB504" s="44"/>
      <c r="OEC504" s="44"/>
      <c r="OED504" s="44"/>
      <c r="OEE504" s="44"/>
      <c r="OEF504" s="44"/>
      <c r="OEG504" s="44"/>
      <c r="OEH504" s="44"/>
      <c r="OEI504" s="44"/>
      <c r="OEJ504" s="44"/>
      <c r="OEK504" s="44"/>
      <c r="OEL504" s="44"/>
      <c r="OEM504" s="44"/>
      <c r="OEN504" s="44"/>
      <c r="OEO504" s="44"/>
      <c r="OEP504" s="44"/>
      <c r="OEQ504" s="44"/>
      <c r="OER504" s="44"/>
      <c r="OES504" s="44"/>
      <c r="OET504" s="44"/>
      <c r="OEU504" s="44"/>
      <c r="OEV504" s="44"/>
      <c r="OEW504" s="44"/>
      <c r="OEX504" s="44"/>
      <c r="OEY504" s="44"/>
      <c r="OEZ504" s="44"/>
      <c r="OFA504" s="44"/>
      <c r="OFB504" s="44"/>
      <c r="OFC504" s="44"/>
      <c r="OFD504" s="44"/>
      <c r="OFE504" s="44"/>
      <c r="OFF504" s="44"/>
      <c r="OFG504" s="44"/>
      <c r="OFH504" s="44"/>
      <c r="OFI504" s="44"/>
      <c r="OFJ504" s="44"/>
      <c r="OFK504" s="44"/>
      <c r="OFL504" s="44"/>
      <c r="OFM504" s="44"/>
      <c r="OFN504" s="44"/>
      <c r="OFO504" s="44"/>
      <c r="OFP504" s="44"/>
      <c r="OFQ504" s="44"/>
      <c r="OFR504" s="44"/>
      <c r="OFS504" s="44"/>
      <c r="OFT504" s="44"/>
      <c r="OFU504" s="44"/>
      <c r="OFV504" s="44"/>
      <c r="OFW504" s="44"/>
      <c r="OFX504" s="44"/>
      <c r="OFY504" s="44"/>
      <c r="OFZ504" s="44"/>
      <c r="OGA504" s="44"/>
      <c r="OGB504" s="44"/>
      <c r="OGC504" s="44"/>
      <c r="OGD504" s="44"/>
      <c r="OGE504" s="44"/>
      <c r="OGF504" s="44"/>
      <c r="OGG504" s="44"/>
      <c r="OGH504" s="44"/>
      <c r="OGI504" s="44"/>
      <c r="OGJ504" s="44"/>
      <c r="OGK504" s="44"/>
      <c r="OGL504" s="44"/>
      <c r="OGM504" s="44"/>
      <c r="OGN504" s="44"/>
      <c r="OGO504" s="44"/>
      <c r="OGP504" s="44"/>
      <c r="OGQ504" s="44"/>
      <c r="OGR504" s="44"/>
      <c r="OGS504" s="44"/>
      <c r="OGT504" s="44"/>
      <c r="OGU504" s="44"/>
      <c r="OGV504" s="44"/>
      <c r="OGW504" s="44"/>
      <c r="OGX504" s="44"/>
      <c r="OGY504" s="44"/>
      <c r="OGZ504" s="44"/>
      <c r="OHA504" s="44"/>
      <c r="OHB504" s="44"/>
      <c r="OHC504" s="44"/>
      <c r="OHD504" s="44"/>
      <c r="OHE504" s="44"/>
      <c r="OHF504" s="44"/>
      <c r="OHG504" s="44"/>
      <c r="OHH504" s="44"/>
      <c r="OHI504" s="44"/>
      <c r="OHJ504" s="44"/>
      <c r="OHK504" s="44"/>
      <c r="OHL504" s="44"/>
      <c r="OHM504" s="44"/>
      <c r="OHN504" s="44"/>
      <c r="OHO504" s="44"/>
      <c r="OHP504" s="44"/>
      <c r="OHQ504" s="44"/>
      <c r="OHR504" s="44"/>
      <c r="OHS504" s="44"/>
      <c r="OHT504" s="44"/>
      <c r="OHU504" s="44"/>
      <c r="OHV504" s="44"/>
      <c r="OHW504" s="44"/>
      <c r="OHX504" s="44"/>
      <c r="OHY504" s="44"/>
      <c r="OHZ504" s="44"/>
      <c r="OIA504" s="44"/>
      <c r="OIB504" s="44"/>
      <c r="OIC504" s="44"/>
      <c r="OID504" s="44"/>
      <c r="OIE504" s="44"/>
      <c r="OIF504" s="44"/>
      <c r="OIG504" s="44"/>
      <c r="OIH504" s="44"/>
      <c r="OII504" s="44"/>
      <c r="OIJ504" s="44"/>
      <c r="OIK504" s="44"/>
      <c r="OIL504" s="44"/>
      <c r="OIM504" s="44"/>
      <c r="OIN504" s="44"/>
      <c r="OIO504" s="44"/>
      <c r="OIP504" s="44"/>
      <c r="OIQ504" s="44"/>
      <c r="OIR504" s="44"/>
      <c r="OIS504" s="44"/>
      <c r="OIT504" s="44"/>
      <c r="OIU504" s="44"/>
      <c r="OIV504" s="44"/>
      <c r="OIW504" s="44"/>
      <c r="OIX504" s="44"/>
      <c r="OIY504" s="44"/>
      <c r="OIZ504" s="44"/>
      <c r="OJA504" s="44"/>
      <c r="OJB504" s="44"/>
      <c r="OJC504" s="44"/>
      <c r="OJD504" s="44"/>
      <c r="OJE504" s="44"/>
      <c r="OJF504" s="44"/>
      <c r="OJG504" s="44"/>
      <c r="OJH504" s="44"/>
      <c r="OJI504" s="44"/>
      <c r="OJJ504" s="44"/>
      <c r="OJK504" s="44"/>
      <c r="OJL504" s="44"/>
      <c r="OJM504" s="44"/>
      <c r="OJN504" s="44"/>
      <c r="OJO504" s="44"/>
      <c r="OJP504" s="44"/>
      <c r="OJQ504" s="44"/>
      <c r="OJR504" s="44"/>
      <c r="OJS504" s="44"/>
      <c r="OJT504" s="44"/>
      <c r="OJU504" s="44"/>
      <c r="OJV504" s="44"/>
      <c r="OJW504" s="44"/>
      <c r="OJX504" s="44"/>
      <c r="OJY504" s="44"/>
      <c r="OJZ504" s="44"/>
      <c r="OKA504" s="44"/>
      <c r="OKB504" s="44"/>
      <c r="OKC504" s="44"/>
      <c r="OKD504" s="44"/>
      <c r="OKE504" s="44"/>
      <c r="OKF504" s="44"/>
      <c r="OKG504" s="44"/>
      <c r="OKH504" s="44"/>
      <c r="OKI504" s="44"/>
      <c r="OKJ504" s="44"/>
      <c r="OKK504" s="44"/>
      <c r="OKL504" s="44"/>
      <c r="OKM504" s="44"/>
      <c r="OKN504" s="44"/>
      <c r="OKO504" s="44"/>
      <c r="OKP504" s="44"/>
      <c r="OKQ504" s="44"/>
      <c r="OKR504" s="44"/>
      <c r="OKS504" s="44"/>
      <c r="OKT504" s="44"/>
      <c r="OKU504" s="44"/>
      <c r="OKV504" s="44"/>
      <c r="OKW504" s="44"/>
      <c r="OKX504" s="44"/>
      <c r="OKY504" s="44"/>
      <c r="OKZ504" s="44"/>
      <c r="OLA504" s="44"/>
      <c r="OLB504" s="44"/>
      <c r="OLC504" s="44"/>
      <c r="OLD504" s="44"/>
      <c r="OLE504" s="44"/>
      <c r="OLF504" s="44"/>
      <c r="OLG504" s="44"/>
      <c r="OLH504" s="44"/>
      <c r="OLI504" s="44"/>
      <c r="OLJ504" s="44"/>
      <c r="OLK504" s="44"/>
      <c r="OLL504" s="44"/>
      <c r="OLM504" s="44"/>
      <c r="OLN504" s="44"/>
      <c r="OLO504" s="44"/>
      <c r="OLP504" s="44"/>
      <c r="OLQ504" s="44"/>
      <c r="OLR504" s="44"/>
      <c r="OLS504" s="44"/>
      <c r="OLT504" s="44"/>
      <c r="OLU504" s="44"/>
      <c r="OLV504" s="44"/>
      <c r="OLW504" s="44"/>
      <c r="OLX504" s="44"/>
      <c r="OLY504" s="44"/>
      <c r="OLZ504" s="44"/>
      <c r="OMA504" s="44"/>
      <c r="OMB504" s="44"/>
      <c r="OMC504" s="44"/>
      <c r="OMD504" s="44"/>
      <c r="OME504" s="44"/>
      <c r="OMF504" s="44"/>
      <c r="OMG504" s="44"/>
      <c r="OMH504" s="44"/>
      <c r="OMI504" s="44"/>
      <c r="OMJ504" s="44"/>
      <c r="OMK504" s="44"/>
      <c r="OML504" s="44"/>
      <c r="OMM504" s="44"/>
      <c r="OMN504" s="44"/>
      <c r="OMO504" s="44"/>
      <c r="OMP504" s="44"/>
      <c r="OMQ504" s="44"/>
      <c r="OMR504" s="44"/>
      <c r="OMS504" s="44"/>
      <c r="OMT504" s="44"/>
      <c r="OMU504" s="44"/>
      <c r="OMV504" s="44"/>
      <c r="OMW504" s="44"/>
      <c r="OMX504" s="44"/>
      <c r="OMY504" s="44"/>
      <c r="OMZ504" s="44"/>
      <c r="ONA504" s="44"/>
      <c r="ONB504" s="44"/>
      <c r="ONC504" s="44"/>
      <c r="OND504" s="44"/>
      <c r="ONE504" s="44"/>
      <c r="ONF504" s="44"/>
      <c r="ONG504" s="44"/>
      <c r="ONH504" s="44"/>
      <c r="ONI504" s="44"/>
      <c r="ONJ504" s="44"/>
      <c r="ONK504" s="44"/>
      <c r="ONL504" s="44"/>
      <c r="ONM504" s="44"/>
      <c r="ONN504" s="44"/>
      <c r="ONO504" s="44"/>
      <c r="ONP504" s="44"/>
      <c r="ONQ504" s="44"/>
      <c r="ONR504" s="44"/>
      <c r="ONS504" s="44"/>
      <c r="ONT504" s="44"/>
      <c r="ONU504" s="44"/>
      <c r="ONV504" s="44"/>
      <c r="ONW504" s="44"/>
      <c r="ONX504" s="44"/>
      <c r="ONY504" s="44"/>
      <c r="ONZ504" s="44"/>
      <c r="OOA504" s="44"/>
      <c r="OOB504" s="44"/>
      <c r="OOC504" s="44"/>
      <c r="OOD504" s="44"/>
      <c r="OOE504" s="44"/>
      <c r="OOF504" s="44"/>
      <c r="OOG504" s="44"/>
      <c r="OOH504" s="44"/>
      <c r="OOI504" s="44"/>
      <c r="OOJ504" s="44"/>
      <c r="OOK504" s="44"/>
      <c r="OOL504" s="44"/>
      <c r="OOM504" s="44"/>
      <c r="OON504" s="44"/>
      <c r="OOO504" s="44"/>
      <c r="OOP504" s="44"/>
      <c r="OOQ504" s="44"/>
      <c r="OOR504" s="44"/>
      <c r="OOS504" s="44"/>
      <c r="OOT504" s="44"/>
      <c r="OOU504" s="44"/>
      <c r="OOV504" s="44"/>
      <c r="OOW504" s="44"/>
      <c r="OOX504" s="44"/>
      <c r="OOY504" s="44"/>
      <c r="OOZ504" s="44"/>
      <c r="OPA504" s="44"/>
      <c r="OPB504" s="44"/>
      <c r="OPC504" s="44"/>
      <c r="OPD504" s="44"/>
      <c r="OPE504" s="44"/>
      <c r="OPF504" s="44"/>
      <c r="OPG504" s="44"/>
      <c r="OPH504" s="44"/>
      <c r="OPI504" s="44"/>
      <c r="OPJ504" s="44"/>
      <c r="OPK504" s="44"/>
      <c r="OPL504" s="44"/>
      <c r="OPM504" s="44"/>
      <c r="OPN504" s="44"/>
      <c r="OPO504" s="44"/>
      <c r="OPP504" s="44"/>
      <c r="OPQ504" s="44"/>
      <c r="OPR504" s="44"/>
      <c r="OPS504" s="44"/>
      <c r="OPT504" s="44"/>
      <c r="OPU504" s="44"/>
      <c r="OPV504" s="44"/>
      <c r="OPW504" s="44"/>
      <c r="OPX504" s="44"/>
      <c r="OPY504" s="44"/>
      <c r="OPZ504" s="44"/>
      <c r="OQA504" s="44"/>
      <c r="OQB504" s="44"/>
      <c r="OQC504" s="44"/>
      <c r="OQD504" s="44"/>
      <c r="OQE504" s="44"/>
      <c r="OQF504" s="44"/>
      <c r="OQG504" s="44"/>
      <c r="OQH504" s="44"/>
      <c r="OQI504" s="44"/>
      <c r="OQJ504" s="44"/>
      <c r="OQK504" s="44"/>
      <c r="OQL504" s="44"/>
      <c r="OQM504" s="44"/>
      <c r="OQN504" s="44"/>
      <c r="OQO504" s="44"/>
      <c r="OQP504" s="44"/>
      <c r="OQQ504" s="44"/>
      <c r="OQR504" s="44"/>
      <c r="OQS504" s="44"/>
      <c r="OQT504" s="44"/>
      <c r="OQU504" s="44"/>
      <c r="OQV504" s="44"/>
      <c r="OQW504" s="44"/>
      <c r="OQX504" s="44"/>
      <c r="OQY504" s="44"/>
      <c r="OQZ504" s="44"/>
      <c r="ORA504" s="44"/>
      <c r="ORB504" s="44"/>
      <c r="ORC504" s="44"/>
      <c r="ORD504" s="44"/>
      <c r="ORE504" s="44"/>
      <c r="ORF504" s="44"/>
      <c r="ORG504" s="44"/>
      <c r="ORH504" s="44"/>
      <c r="ORI504" s="44"/>
      <c r="ORJ504" s="44"/>
      <c r="ORK504" s="44"/>
      <c r="ORL504" s="44"/>
      <c r="ORM504" s="44"/>
      <c r="ORN504" s="44"/>
      <c r="ORO504" s="44"/>
      <c r="ORP504" s="44"/>
      <c r="ORQ504" s="44"/>
      <c r="ORR504" s="44"/>
      <c r="ORS504" s="44"/>
      <c r="ORT504" s="44"/>
      <c r="ORU504" s="44"/>
      <c r="ORV504" s="44"/>
      <c r="ORW504" s="44"/>
      <c r="ORX504" s="44"/>
      <c r="ORY504" s="44"/>
      <c r="ORZ504" s="44"/>
      <c r="OSA504" s="44"/>
      <c r="OSB504" s="44"/>
      <c r="OSC504" s="44"/>
      <c r="OSD504" s="44"/>
      <c r="OSE504" s="44"/>
      <c r="OSF504" s="44"/>
      <c r="OSG504" s="44"/>
      <c r="OSH504" s="44"/>
      <c r="OSI504" s="44"/>
      <c r="OSJ504" s="44"/>
      <c r="OSK504" s="44"/>
      <c r="OSL504" s="44"/>
      <c r="OSM504" s="44"/>
      <c r="OSN504" s="44"/>
      <c r="OSO504" s="44"/>
      <c r="OSP504" s="44"/>
      <c r="OSQ504" s="44"/>
      <c r="OSR504" s="44"/>
      <c r="OSS504" s="44"/>
      <c r="OST504" s="44"/>
      <c r="OSU504" s="44"/>
      <c r="OSV504" s="44"/>
      <c r="OSW504" s="44"/>
      <c r="OSX504" s="44"/>
      <c r="OSY504" s="44"/>
      <c r="OSZ504" s="44"/>
      <c r="OTA504" s="44"/>
      <c r="OTB504" s="44"/>
      <c r="OTC504" s="44"/>
      <c r="OTD504" s="44"/>
      <c r="OTE504" s="44"/>
      <c r="OTF504" s="44"/>
      <c r="OTG504" s="44"/>
      <c r="OTH504" s="44"/>
      <c r="OTI504" s="44"/>
      <c r="OTJ504" s="44"/>
      <c r="OTK504" s="44"/>
      <c r="OTL504" s="44"/>
      <c r="OTM504" s="44"/>
      <c r="OTN504" s="44"/>
      <c r="OTO504" s="44"/>
      <c r="OTP504" s="44"/>
      <c r="OTQ504" s="44"/>
      <c r="OTR504" s="44"/>
      <c r="OTS504" s="44"/>
      <c r="OTT504" s="44"/>
      <c r="OTU504" s="44"/>
      <c r="OTV504" s="44"/>
      <c r="OTW504" s="44"/>
      <c r="OTX504" s="44"/>
      <c r="OTY504" s="44"/>
      <c r="OTZ504" s="44"/>
      <c r="OUA504" s="44"/>
      <c r="OUB504" s="44"/>
      <c r="OUC504" s="44"/>
      <c r="OUD504" s="44"/>
      <c r="OUE504" s="44"/>
      <c r="OUF504" s="44"/>
      <c r="OUG504" s="44"/>
      <c r="OUH504" s="44"/>
      <c r="OUI504" s="44"/>
      <c r="OUJ504" s="44"/>
      <c r="OUK504" s="44"/>
      <c r="OUL504" s="44"/>
      <c r="OUM504" s="44"/>
      <c r="OUN504" s="44"/>
      <c r="OUO504" s="44"/>
      <c r="OUP504" s="44"/>
      <c r="OUQ504" s="44"/>
      <c r="OUR504" s="44"/>
      <c r="OUS504" s="44"/>
      <c r="OUT504" s="44"/>
      <c r="OUU504" s="44"/>
      <c r="OUV504" s="44"/>
      <c r="OUW504" s="44"/>
      <c r="OUX504" s="44"/>
      <c r="OUY504" s="44"/>
      <c r="OUZ504" s="44"/>
      <c r="OVA504" s="44"/>
      <c r="OVB504" s="44"/>
      <c r="OVC504" s="44"/>
      <c r="OVD504" s="44"/>
      <c r="OVE504" s="44"/>
      <c r="OVF504" s="44"/>
      <c r="OVG504" s="44"/>
      <c r="OVH504" s="44"/>
      <c r="OVI504" s="44"/>
      <c r="OVJ504" s="44"/>
      <c r="OVK504" s="44"/>
      <c r="OVL504" s="44"/>
      <c r="OVM504" s="44"/>
      <c r="OVN504" s="44"/>
      <c r="OVO504" s="44"/>
      <c r="OVP504" s="44"/>
      <c r="OVQ504" s="44"/>
      <c r="OVR504" s="44"/>
      <c r="OVS504" s="44"/>
      <c r="OVT504" s="44"/>
      <c r="OVU504" s="44"/>
      <c r="OVV504" s="44"/>
      <c r="OVW504" s="44"/>
      <c r="OVX504" s="44"/>
      <c r="OVY504" s="44"/>
      <c r="OVZ504" s="44"/>
      <c r="OWA504" s="44"/>
      <c r="OWB504" s="44"/>
      <c r="OWC504" s="44"/>
      <c r="OWD504" s="44"/>
      <c r="OWE504" s="44"/>
      <c r="OWF504" s="44"/>
      <c r="OWG504" s="44"/>
      <c r="OWH504" s="44"/>
      <c r="OWI504" s="44"/>
      <c r="OWJ504" s="44"/>
      <c r="OWK504" s="44"/>
      <c r="OWL504" s="44"/>
      <c r="OWM504" s="44"/>
      <c r="OWN504" s="44"/>
      <c r="OWO504" s="44"/>
      <c r="OWP504" s="44"/>
      <c r="OWQ504" s="44"/>
      <c r="OWR504" s="44"/>
      <c r="OWS504" s="44"/>
      <c r="OWT504" s="44"/>
      <c r="OWU504" s="44"/>
      <c r="OWV504" s="44"/>
      <c r="OWW504" s="44"/>
      <c r="OWX504" s="44"/>
      <c r="OWY504" s="44"/>
      <c r="OWZ504" s="44"/>
      <c r="OXA504" s="44"/>
      <c r="OXB504" s="44"/>
      <c r="OXC504" s="44"/>
      <c r="OXD504" s="44"/>
      <c r="OXE504" s="44"/>
      <c r="OXF504" s="44"/>
      <c r="OXG504" s="44"/>
      <c r="OXH504" s="44"/>
      <c r="OXI504" s="44"/>
      <c r="OXJ504" s="44"/>
      <c r="OXK504" s="44"/>
      <c r="OXL504" s="44"/>
      <c r="OXM504" s="44"/>
      <c r="OXN504" s="44"/>
      <c r="OXO504" s="44"/>
      <c r="OXP504" s="44"/>
      <c r="OXQ504" s="44"/>
      <c r="OXR504" s="44"/>
      <c r="OXS504" s="44"/>
      <c r="OXT504" s="44"/>
      <c r="OXU504" s="44"/>
      <c r="OXV504" s="44"/>
      <c r="OXW504" s="44"/>
      <c r="OXX504" s="44"/>
      <c r="OXY504" s="44"/>
      <c r="OXZ504" s="44"/>
      <c r="OYA504" s="44"/>
      <c r="OYB504" s="44"/>
      <c r="OYC504" s="44"/>
      <c r="OYD504" s="44"/>
      <c r="OYE504" s="44"/>
      <c r="OYF504" s="44"/>
      <c r="OYG504" s="44"/>
      <c r="OYH504" s="44"/>
      <c r="OYI504" s="44"/>
      <c r="OYJ504" s="44"/>
      <c r="OYK504" s="44"/>
      <c r="OYL504" s="44"/>
      <c r="OYM504" s="44"/>
      <c r="OYN504" s="44"/>
      <c r="OYO504" s="44"/>
      <c r="OYP504" s="44"/>
      <c r="OYQ504" s="44"/>
      <c r="OYR504" s="44"/>
      <c r="OYS504" s="44"/>
      <c r="OYT504" s="44"/>
      <c r="OYU504" s="44"/>
      <c r="OYV504" s="44"/>
      <c r="OYW504" s="44"/>
      <c r="OYX504" s="44"/>
      <c r="OYY504" s="44"/>
      <c r="OYZ504" s="44"/>
      <c r="OZA504" s="44"/>
      <c r="OZB504" s="44"/>
      <c r="OZC504" s="44"/>
      <c r="OZD504" s="44"/>
      <c r="OZE504" s="44"/>
      <c r="OZF504" s="44"/>
      <c r="OZG504" s="44"/>
      <c r="OZH504" s="44"/>
      <c r="OZI504" s="44"/>
      <c r="OZJ504" s="44"/>
      <c r="OZK504" s="44"/>
      <c r="OZL504" s="44"/>
      <c r="OZM504" s="44"/>
      <c r="OZN504" s="44"/>
      <c r="OZO504" s="44"/>
      <c r="OZP504" s="44"/>
      <c r="OZQ504" s="44"/>
      <c r="OZR504" s="44"/>
      <c r="OZS504" s="44"/>
      <c r="OZT504" s="44"/>
      <c r="OZU504" s="44"/>
      <c r="OZV504" s="44"/>
      <c r="OZW504" s="44"/>
      <c r="OZX504" s="44"/>
      <c r="OZY504" s="44"/>
      <c r="OZZ504" s="44"/>
      <c r="PAA504" s="44"/>
      <c r="PAB504" s="44"/>
      <c r="PAC504" s="44"/>
      <c r="PAD504" s="44"/>
      <c r="PAE504" s="44"/>
      <c r="PAF504" s="44"/>
      <c r="PAG504" s="44"/>
      <c r="PAH504" s="44"/>
      <c r="PAI504" s="44"/>
      <c r="PAJ504" s="44"/>
      <c r="PAK504" s="44"/>
      <c r="PAL504" s="44"/>
      <c r="PAM504" s="44"/>
      <c r="PAN504" s="44"/>
      <c r="PAO504" s="44"/>
      <c r="PAP504" s="44"/>
      <c r="PAQ504" s="44"/>
      <c r="PAR504" s="44"/>
      <c r="PAS504" s="44"/>
      <c r="PAT504" s="44"/>
      <c r="PAU504" s="44"/>
      <c r="PAV504" s="44"/>
      <c r="PAW504" s="44"/>
      <c r="PAX504" s="44"/>
      <c r="PAY504" s="44"/>
      <c r="PAZ504" s="44"/>
      <c r="PBA504" s="44"/>
      <c r="PBB504" s="44"/>
      <c r="PBC504" s="44"/>
      <c r="PBD504" s="44"/>
      <c r="PBE504" s="44"/>
      <c r="PBF504" s="44"/>
      <c r="PBG504" s="44"/>
      <c r="PBH504" s="44"/>
      <c r="PBI504" s="44"/>
      <c r="PBJ504" s="44"/>
      <c r="PBK504" s="44"/>
      <c r="PBL504" s="44"/>
      <c r="PBM504" s="44"/>
      <c r="PBN504" s="44"/>
      <c r="PBO504" s="44"/>
      <c r="PBP504" s="44"/>
      <c r="PBQ504" s="44"/>
      <c r="PBR504" s="44"/>
      <c r="PBS504" s="44"/>
      <c r="PBT504" s="44"/>
      <c r="PBU504" s="44"/>
      <c r="PBV504" s="44"/>
      <c r="PBW504" s="44"/>
      <c r="PBX504" s="44"/>
      <c r="PBY504" s="44"/>
      <c r="PBZ504" s="44"/>
      <c r="PCA504" s="44"/>
      <c r="PCB504" s="44"/>
      <c r="PCC504" s="44"/>
      <c r="PCD504" s="44"/>
      <c r="PCE504" s="44"/>
      <c r="PCF504" s="44"/>
      <c r="PCG504" s="44"/>
      <c r="PCH504" s="44"/>
      <c r="PCI504" s="44"/>
      <c r="PCJ504" s="44"/>
      <c r="PCK504" s="44"/>
      <c r="PCL504" s="44"/>
      <c r="PCM504" s="44"/>
      <c r="PCN504" s="44"/>
      <c r="PCO504" s="44"/>
      <c r="PCP504" s="44"/>
      <c r="PCQ504" s="44"/>
      <c r="PCR504" s="44"/>
      <c r="PCS504" s="44"/>
      <c r="PCT504" s="44"/>
      <c r="PCU504" s="44"/>
      <c r="PCV504" s="44"/>
      <c r="PCW504" s="44"/>
      <c r="PCX504" s="44"/>
      <c r="PCY504" s="44"/>
      <c r="PCZ504" s="44"/>
      <c r="PDA504" s="44"/>
      <c r="PDB504" s="44"/>
      <c r="PDC504" s="44"/>
      <c r="PDD504" s="44"/>
      <c r="PDE504" s="44"/>
      <c r="PDF504" s="44"/>
      <c r="PDG504" s="44"/>
      <c r="PDH504" s="44"/>
      <c r="PDI504" s="44"/>
      <c r="PDJ504" s="44"/>
      <c r="PDK504" s="44"/>
      <c r="PDL504" s="44"/>
      <c r="PDM504" s="44"/>
      <c r="PDN504" s="44"/>
      <c r="PDO504" s="44"/>
      <c r="PDP504" s="44"/>
      <c r="PDQ504" s="44"/>
      <c r="PDR504" s="44"/>
      <c r="PDS504" s="44"/>
      <c r="PDT504" s="44"/>
      <c r="PDU504" s="44"/>
      <c r="PDV504" s="44"/>
      <c r="PDW504" s="44"/>
      <c r="PDX504" s="44"/>
      <c r="PDY504" s="44"/>
      <c r="PDZ504" s="44"/>
      <c r="PEA504" s="44"/>
      <c r="PEB504" s="44"/>
      <c r="PEC504" s="44"/>
      <c r="PED504" s="44"/>
      <c r="PEE504" s="44"/>
      <c r="PEF504" s="44"/>
      <c r="PEG504" s="44"/>
      <c r="PEH504" s="44"/>
      <c r="PEI504" s="44"/>
      <c r="PEJ504" s="44"/>
      <c r="PEK504" s="44"/>
      <c r="PEL504" s="44"/>
      <c r="PEM504" s="44"/>
      <c r="PEN504" s="44"/>
      <c r="PEO504" s="44"/>
      <c r="PEP504" s="44"/>
      <c r="PEQ504" s="44"/>
      <c r="PER504" s="44"/>
      <c r="PES504" s="44"/>
      <c r="PET504" s="44"/>
      <c r="PEU504" s="44"/>
      <c r="PEV504" s="44"/>
      <c r="PEW504" s="44"/>
      <c r="PEX504" s="44"/>
      <c r="PEY504" s="44"/>
      <c r="PEZ504" s="44"/>
      <c r="PFA504" s="44"/>
      <c r="PFB504" s="44"/>
      <c r="PFC504" s="44"/>
      <c r="PFD504" s="44"/>
      <c r="PFE504" s="44"/>
      <c r="PFF504" s="44"/>
      <c r="PFG504" s="44"/>
      <c r="PFH504" s="44"/>
      <c r="PFI504" s="44"/>
      <c r="PFJ504" s="44"/>
      <c r="PFK504" s="44"/>
      <c r="PFL504" s="44"/>
      <c r="PFM504" s="44"/>
      <c r="PFN504" s="44"/>
      <c r="PFO504" s="44"/>
      <c r="PFP504" s="44"/>
      <c r="PFQ504" s="44"/>
      <c r="PFR504" s="44"/>
      <c r="PFS504" s="44"/>
      <c r="PFT504" s="44"/>
      <c r="PFU504" s="44"/>
      <c r="PFV504" s="44"/>
      <c r="PFW504" s="44"/>
      <c r="PFX504" s="44"/>
      <c r="PFY504" s="44"/>
      <c r="PFZ504" s="44"/>
      <c r="PGA504" s="44"/>
      <c r="PGB504" s="44"/>
      <c r="PGC504" s="44"/>
      <c r="PGD504" s="44"/>
      <c r="PGE504" s="44"/>
      <c r="PGF504" s="44"/>
      <c r="PGG504" s="44"/>
      <c r="PGH504" s="44"/>
      <c r="PGI504" s="44"/>
      <c r="PGJ504" s="44"/>
      <c r="PGK504" s="44"/>
      <c r="PGL504" s="44"/>
      <c r="PGM504" s="44"/>
      <c r="PGN504" s="44"/>
      <c r="PGO504" s="44"/>
      <c r="PGP504" s="44"/>
      <c r="PGQ504" s="44"/>
      <c r="PGR504" s="44"/>
      <c r="PGS504" s="44"/>
      <c r="PGT504" s="44"/>
      <c r="PGU504" s="44"/>
      <c r="PGV504" s="44"/>
      <c r="PGW504" s="44"/>
      <c r="PGX504" s="44"/>
      <c r="PGY504" s="44"/>
      <c r="PGZ504" s="44"/>
      <c r="PHA504" s="44"/>
      <c r="PHB504" s="44"/>
      <c r="PHC504" s="44"/>
      <c r="PHD504" s="44"/>
      <c r="PHE504" s="44"/>
      <c r="PHF504" s="44"/>
      <c r="PHG504" s="44"/>
      <c r="PHH504" s="44"/>
      <c r="PHI504" s="44"/>
      <c r="PHJ504" s="44"/>
      <c r="PHK504" s="44"/>
      <c r="PHL504" s="44"/>
      <c r="PHM504" s="44"/>
      <c r="PHN504" s="44"/>
      <c r="PHO504" s="44"/>
      <c r="PHP504" s="44"/>
      <c r="PHQ504" s="44"/>
      <c r="PHR504" s="44"/>
      <c r="PHS504" s="44"/>
      <c r="PHT504" s="44"/>
      <c r="PHU504" s="44"/>
      <c r="PHV504" s="44"/>
      <c r="PHW504" s="44"/>
      <c r="PHX504" s="44"/>
      <c r="PHY504" s="44"/>
      <c r="PHZ504" s="44"/>
      <c r="PIA504" s="44"/>
      <c r="PIB504" s="44"/>
      <c r="PIC504" s="44"/>
      <c r="PID504" s="44"/>
      <c r="PIE504" s="44"/>
      <c r="PIF504" s="44"/>
      <c r="PIG504" s="44"/>
      <c r="PIH504" s="44"/>
      <c r="PII504" s="44"/>
      <c r="PIJ504" s="44"/>
      <c r="PIK504" s="44"/>
      <c r="PIL504" s="44"/>
      <c r="PIM504" s="44"/>
      <c r="PIN504" s="44"/>
      <c r="PIO504" s="44"/>
      <c r="PIP504" s="44"/>
      <c r="PIQ504" s="44"/>
      <c r="PIR504" s="44"/>
      <c r="PIS504" s="44"/>
      <c r="PIT504" s="44"/>
      <c r="PIU504" s="44"/>
      <c r="PIV504" s="44"/>
      <c r="PIW504" s="44"/>
      <c r="PIX504" s="44"/>
      <c r="PIY504" s="44"/>
      <c r="PIZ504" s="44"/>
      <c r="PJA504" s="44"/>
      <c r="PJB504" s="44"/>
      <c r="PJC504" s="44"/>
      <c r="PJD504" s="44"/>
      <c r="PJE504" s="44"/>
      <c r="PJF504" s="44"/>
      <c r="PJG504" s="44"/>
      <c r="PJH504" s="44"/>
      <c r="PJI504" s="44"/>
      <c r="PJJ504" s="44"/>
      <c r="PJK504" s="44"/>
      <c r="PJL504" s="44"/>
      <c r="PJM504" s="44"/>
      <c r="PJN504" s="44"/>
      <c r="PJO504" s="44"/>
      <c r="PJP504" s="44"/>
      <c r="PJQ504" s="44"/>
      <c r="PJR504" s="44"/>
      <c r="PJS504" s="44"/>
      <c r="PJT504" s="44"/>
      <c r="PJU504" s="44"/>
      <c r="PJV504" s="44"/>
      <c r="PJW504" s="44"/>
      <c r="PJX504" s="44"/>
      <c r="PJY504" s="44"/>
      <c r="PJZ504" s="44"/>
      <c r="PKA504" s="44"/>
      <c r="PKB504" s="44"/>
      <c r="PKC504" s="44"/>
      <c r="PKD504" s="44"/>
      <c r="PKE504" s="44"/>
      <c r="PKF504" s="44"/>
      <c r="PKG504" s="44"/>
      <c r="PKH504" s="44"/>
      <c r="PKI504" s="44"/>
      <c r="PKJ504" s="44"/>
      <c r="PKK504" s="44"/>
      <c r="PKL504" s="44"/>
      <c r="PKM504" s="44"/>
      <c r="PKN504" s="44"/>
      <c r="PKO504" s="44"/>
      <c r="PKP504" s="44"/>
      <c r="PKQ504" s="44"/>
      <c r="PKR504" s="44"/>
      <c r="PKS504" s="44"/>
      <c r="PKT504" s="44"/>
      <c r="PKU504" s="44"/>
      <c r="PKV504" s="44"/>
      <c r="PKW504" s="44"/>
      <c r="PKX504" s="44"/>
      <c r="PKY504" s="44"/>
      <c r="PKZ504" s="44"/>
      <c r="PLA504" s="44"/>
      <c r="PLB504" s="44"/>
      <c r="PLC504" s="44"/>
      <c r="PLD504" s="44"/>
      <c r="PLE504" s="44"/>
      <c r="PLF504" s="44"/>
      <c r="PLG504" s="44"/>
      <c r="PLH504" s="44"/>
      <c r="PLI504" s="44"/>
      <c r="PLJ504" s="44"/>
      <c r="PLK504" s="44"/>
      <c r="PLL504" s="44"/>
      <c r="PLM504" s="44"/>
      <c r="PLN504" s="44"/>
      <c r="PLO504" s="44"/>
      <c r="PLP504" s="44"/>
      <c r="PLQ504" s="44"/>
      <c r="PLR504" s="44"/>
      <c r="PLS504" s="44"/>
      <c r="PLT504" s="44"/>
      <c r="PLU504" s="44"/>
      <c r="PLV504" s="44"/>
      <c r="PLW504" s="44"/>
      <c r="PLX504" s="44"/>
      <c r="PLY504" s="44"/>
      <c r="PLZ504" s="44"/>
      <c r="PMA504" s="44"/>
      <c r="PMB504" s="44"/>
      <c r="PMC504" s="44"/>
      <c r="PMD504" s="44"/>
      <c r="PME504" s="44"/>
      <c r="PMF504" s="44"/>
      <c r="PMG504" s="44"/>
      <c r="PMH504" s="44"/>
      <c r="PMI504" s="44"/>
      <c r="PMJ504" s="44"/>
      <c r="PMK504" s="44"/>
      <c r="PML504" s="44"/>
      <c r="PMM504" s="44"/>
      <c r="PMN504" s="44"/>
      <c r="PMO504" s="44"/>
      <c r="PMP504" s="44"/>
      <c r="PMQ504" s="44"/>
      <c r="PMR504" s="44"/>
      <c r="PMS504" s="44"/>
      <c r="PMT504" s="44"/>
      <c r="PMU504" s="44"/>
      <c r="PMV504" s="44"/>
      <c r="PMW504" s="44"/>
      <c r="PMX504" s="44"/>
      <c r="PMY504" s="44"/>
      <c r="PMZ504" s="44"/>
      <c r="PNA504" s="44"/>
      <c r="PNB504" s="44"/>
      <c r="PNC504" s="44"/>
      <c r="PND504" s="44"/>
      <c r="PNE504" s="44"/>
      <c r="PNF504" s="44"/>
      <c r="PNG504" s="44"/>
      <c r="PNH504" s="44"/>
      <c r="PNI504" s="44"/>
      <c r="PNJ504" s="44"/>
      <c r="PNK504" s="44"/>
      <c r="PNL504" s="44"/>
      <c r="PNM504" s="44"/>
      <c r="PNN504" s="44"/>
      <c r="PNO504" s="44"/>
      <c r="PNP504" s="44"/>
      <c r="PNQ504" s="44"/>
      <c r="PNR504" s="44"/>
      <c r="PNS504" s="44"/>
      <c r="PNT504" s="44"/>
      <c r="PNU504" s="44"/>
      <c r="PNV504" s="44"/>
      <c r="PNW504" s="44"/>
      <c r="PNX504" s="44"/>
      <c r="PNY504" s="44"/>
      <c r="PNZ504" s="44"/>
      <c r="POA504" s="44"/>
      <c r="POB504" s="44"/>
      <c r="POC504" s="44"/>
      <c r="POD504" s="44"/>
      <c r="POE504" s="44"/>
      <c r="POF504" s="44"/>
      <c r="POG504" s="44"/>
      <c r="POH504" s="44"/>
      <c r="POI504" s="44"/>
      <c r="POJ504" s="44"/>
      <c r="POK504" s="44"/>
      <c r="POL504" s="44"/>
      <c r="POM504" s="44"/>
      <c r="PON504" s="44"/>
      <c r="POO504" s="44"/>
      <c r="POP504" s="44"/>
      <c r="POQ504" s="44"/>
      <c r="POR504" s="44"/>
      <c r="POS504" s="44"/>
      <c r="POT504" s="44"/>
      <c r="POU504" s="44"/>
      <c r="POV504" s="44"/>
      <c r="POW504" s="44"/>
      <c r="POX504" s="44"/>
      <c r="POY504" s="44"/>
      <c r="POZ504" s="44"/>
      <c r="PPA504" s="44"/>
      <c r="PPB504" s="44"/>
      <c r="PPC504" s="44"/>
      <c r="PPD504" s="44"/>
      <c r="PPE504" s="44"/>
      <c r="PPF504" s="44"/>
      <c r="PPG504" s="44"/>
      <c r="PPH504" s="44"/>
      <c r="PPI504" s="44"/>
      <c r="PPJ504" s="44"/>
      <c r="PPK504" s="44"/>
      <c r="PPL504" s="44"/>
      <c r="PPM504" s="44"/>
      <c r="PPN504" s="44"/>
      <c r="PPO504" s="44"/>
      <c r="PPP504" s="44"/>
      <c r="PPQ504" s="44"/>
      <c r="PPR504" s="44"/>
      <c r="PPS504" s="44"/>
      <c r="PPT504" s="44"/>
      <c r="PPU504" s="44"/>
      <c r="PPV504" s="44"/>
      <c r="PPW504" s="44"/>
      <c r="PPX504" s="44"/>
      <c r="PPY504" s="44"/>
      <c r="PPZ504" s="44"/>
      <c r="PQA504" s="44"/>
      <c r="PQB504" s="44"/>
      <c r="PQC504" s="44"/>
      <c r="PQD504" s="44"/>
      <c r="PQE504" s="44"/>
      <c r="PQF504" s="44"/>
      <c r="PQG504" s="44"/>
      <c r="PQH504" s="44"/>
      <c r="PQI504" s="44"/>
      <c r="PQJ504" s="44"/>
      <c r="PQK504" s="44"/>
      <c r="PQL504" s="44"/>
      <c r="PQM504" s="44"/>
      <c r="PQN504" s="44"/>
      <c r="PQO504" s="44"/>
      <c r="PQP504" s="44"/>
      <c r="PQQ504" s="44"/>
      <c r="PQR504" s="44"/>
      <c r="PQS504" s="44"/>
      <c r="PQT504" s="44"/>
      <c r="PQU504" s="44"/>
      <c r="PQV504" s="44"/>
      <c r="PQW504" s="44"/>
      <c r="PQX504" s="44"/>
      <c r="PQY504" s="44"/>
      <c r="PQZ504" s="44"/>
      <c r="PRA504" s="44"/>
      <c r="PRB504" s="44"/>
      <c r="PRC504" s="44"/>
      <c r="PRD504" s="44"/>
      <c r="PRE504" s="44"/>
      <c r="PRF504" s="44"/>
      <c r="PRG504" s="44"/>
      <c r="PRH504" s="44"/>
      <c r="PRI504" s="44"/>
      <c r="PRJ504" s="44"/>
      <c r="PRK504" s="44"/>
      <c r="PRL504" s="44"/>
      <c r="PRM504" s="44"/>
      <c r="PRN504" s="44"/>
      <c r="PRO504" s="44"/>
      <c r="PRP504" s="44"/>
      <c r="PRQ504" s="44"/>
      <c r="PRR504" s="44"/>
      <c r="PRS504" s="44"/>
      <c r="PRT504" s="44"/>
      <c r="PRU504" s="44"/>
      <c r="PRV504" s="44"/>
      <c r="PRW504" s="44"/>
      <c r="PRX504" s="44"/>
      <c r="PRY504" s="44"/>
      <c r="PRZ504" s="44"/>
      <c r="PSA504" s="44"/>
      <c r="PSB504" s="44"/>
      <c r="PSC504" s="44"/>
      <c r="PSD504" s="44"/>
      <c r="PSE504" s="44"/>
      <c r="PSF504" s="44"/>
      <c r="PSG504" s="44"/>
      <c r="PSH504" s="44"/>
      <c r="PSI504" s="44"/>
      <c r="PSJ504" s="44"/>
      <c r="PSK504" s="44"/>
      <c r="PSL504" s="44"/>
      <c r="PSM504" s="44"/>
      <c r="PSN504" s="44"/>
      <c r="PSO504" s="44"/>
      <c r="PSP504" s="44"/>
      <c r="PSQ504" s="44"/>
      <c r="PSR504" s="44"/>
      <c r="PSS504" s="44"/>
      <c r="PST504" s="44"/>
      <c r="PSU504" s="44"/>
      <c r="PSV504" s="44"/>
      <c r="PSW504" s="44"/>
      <c r="PSX504" s="44"/>
      <c r="PSY504" s="44"/>
      <c r="PSZ504" s="44"/>
      <c r="PTA504" s="44"/>
      <c r="PTB504" s="44"/>
      <c r="PTC504" s="44"/>
      <c r="PTD504" s="44"/>
      <c r="PTE504" s="44"/>
      <c r="PTF504" s="44"/>
      <c r="PTG504" s="44"/>
      <c r="PTH504" s="44"/>
      <c r="PTI504" s="44"/>
      <c r="PTJ504" s="44"/>
      <c r="PTK504" s="44"/>
      <c r="PTL504" s="44"/>
      <c r="PTM504" s="44"/>
      <c r="PTN504" s="44"/>
      <c r="PTO504" s="44"/>
      <c r="PTP504" s="44"/>
      <c r="PTQ504" s="44"/>
      <c r="PTR504" s="44"/>
      <c r="PTS504" s="44"/>
      <c r="PTT504" s="44"/>
      <c r="PTU504" s="44"/>
      <c r="PTV504" s="44"/>
      <c r="PTW504" s="44"/>
      <c r="PTX504" s="44"/>
      <c r="PTY504" s="44"/>
      <c r="PTZ504" s="44"/>
      <c r="PUA504" s="44"/>
      <c r="PUB504" s="44"/>
      <c r="PUC504" s="44"/>
      <c r="PUD504" s="44"/>
      <c r="PUE504" s="44"/>
      <c r="PUF504" s="44"/>
      <c r="PUG504" s="44"/>
      <c r="PUH504" s="44"/>
      <c r="PUI504" s="44"/>
      <c r="PUJ504" s="44"/>
      <c r="PUK504" s="44"/>
      <c r="PUL504" s="44"/>
      <c r="PUM504" s="44"/>
      <c r="PUN504" s="44"/>
      <c r="PUO504" s="44"/>
      <c r="PUP504" s="44"/>
      <c r="PUQ504" s="44"/>
      <c r="PUR504" s="44"/>
      <c r="PUS504" s="44"/>
      <c r="PUT504" s="44"/>
      <c r="PUU504" s="44"/>
      <c r="PUV504" s="44"/>
      <c r="PUW504" s="44"/>
      <c r="PUX504" s="44"/>
      <c r="PUY504" s="44"/>
      <c r="PUZ504" s="44"/>
      <c r="PVA504" s="44"/>
      <c r="PVB504" s="44"/>
      <c r="PVC504" s="44"/>
      <c r="PVD504" s="44"/>
      <c r="PVE504" s="44"/>
      <c r="PVF504" s="44"/>
      <c r="PVG504" s="44"/>
      <c r="PVH504" s="44"/>
      <c r="PVI504" s="44"/>
      <c r="PVJ504" s="44"/>
      <c r="PVK504" s="44"/>
      <c r="PVL504" s="44"/>
      <c r="PVM504" s="44"/>
      <c r="PVN504" s="44"/>
      <c r="PVO504" s="44"/>
      <c r="PVP504" s="44"/>
      <c r="PVQ504" s="44"/>
      <c r="PVR504" s="44"/>
      <c r="PVS504" s="44"/>
      <c r="PVT504" s="44"/>
      <c r="PVU504" s="44"/>
      <c r="PVV504" s="44"/>
      <c r="PVW504" s="44"/>
      <c r="PVX504" s="44"/>
      <c r="PVY504" s="44"/>
      <c r="PVZ504" s="44"/>
      <c r="PWA504" s="44"/>
      <c r="PWB504" s="44"/>
      <c r="PWC504" s="44"/>
      <c r="PWD504" s="44"/>
      <c r="PWE504" s="44"/>
      <c r="PWF504" s="44"/>
      <c r="PWG504" s="44"/>
      <c r="PWH504" s="44"/>
      <c r="PWI504" s="44"/>
      <c r="PWJ504" s="44"/>
      <c r="PWK504" s="44"/>
      <c r="PWL504" s="44"/>
      <c r="PWM504" s="44"/>
      <c r="PWN504" s="44"/>
      <c r="PWO504" s="44"/>
      <c r="PWP504" s="44"/>
      <c r="PWQ504" s="44"/>
      <c r="PWR504" s="44"/>
      <c r="PWS504" s="44"/>
      <c r="PWT504" s="44"/>
      <c r="PWU504" s="44"/>
      <c r="PWV504" s="44"/>
      <c r="PWW504" s="44"/>
      <c r="PWX504" s="44"/>
      <c r="PWY504" s="44"/>
      <c r="PWZ504" s="44"/>
      <c r="PXA504" s="44"/>
      <c r="PXB504" s="44"/>
      <c r="PXC504" s="44"/>
      <c r="PXD504" s="44"/>
      <c r="PXE504" s="44"/>
      <c r="PXF504" s="44"/>
      <c r="PXG504" s="44"/>
      <c r="PXH504" s="44"/>
      <c r="PXI504" s="44"/>
      <c r="PXJ504" s="44"/>
      <c r="PXK504" s="44"/>
      <c r="PXL504" s="44"/>
      <c r="PXM504" s="44"/>
      <c r="PXN504" s="44"/>
      <c r="PXO504" s="44"/>
      <c r="PXP504" s="44"/>
      <c r="PXQ504" s="44"/>
      <c r="PXR504" s="44"/>
      <c r="PXS504" s="44"/>
      <c r="PXT504" s="44"/>
      <c r="PXU504" s="44"/>
      <c r="PXV504" s="44"/>
      <c r="PXW504" s="44"/>
      <c r="PXX504" s="44"/>
      <c r="PXY504" s="44"/>
      <c r="PXZ504" s="44"/>
      <c r="PYA504" s="44"/>
      <c r="PYB504" s="44"/>
      <c r="PYC504" s="44"/>
      <c r="PYD504" s="44"/>
      <c r="PYE504" s="44"/>
      <c r="PYF504" s="44"/>
      <c r="PYG504" s="44"/>
      <c r="PYH504" s="44"/>
      <c r="PYI504" s="44"/>
      <c r="PYJ504" s="44"/>
      <c r="PYK504" s="44"/>
      <c r="PYL504" s="44"/>
      <c r="PYM504" s="44"/>
      <c r="PYN504" s="44"/>
      <c r="PYO504" s="44"/>
      <c r="PYP504" s="44"/>
      <c r="PYQ504" s="44"/>
      <c r="PYR504" s="44"/>
      <c r="PYS504" s="44"/>
      <c r="PYT504" s="44"/>
      <c r="PYU504" s="44"/>
      <c r="PYV504" s="44"/>
      <c r="PYW504" s="44"/>
      <c r="PYX504" s="44"/>
      <c r="PYY504" s="44"/>
      <c r="PYZ504" s="44"/>
      <c r="PZA504" s="44"/>
      <c r="PZB504" s="44"/>
      <c r="PZC504" s="44"/>
      <c r="PZD504" s="44"/>
      <c r="PZE504" s="44"/>
      <c r="PZF504" s="44"/>
      <c r="PZG504" s="44"/>
      <c r="PZH504" s="44"/>
      <c r="PZI504" s="44"/>
      <c r="PZJ504" s="44"/>
      <c r="PZK504" s="44"/>
      <c r="PZL504" s="44"/>
      <c r="PZM504" s="44"/>
      <c r="PZN504" s="44"/>
      <c r="PZO504" s="44"/>
      <c r="PZP504" s="44"/>
      <c r="PZQ504" s="44"/>
      <c r="PZR504" s="44"/>
      <c r="PZS504" s="44"/>
      <c r="PZT504" s="44"/>
      <c r="PZU504" s="44"/>
      <c r="PZV504" s="44"/>
      <c r="PZW504" s="44"/>
      <c r="PZX504" s="44"/>
      <c r="PZY504" s="44"/>
      <c r="PZZ504" s="44"/>
      <c r="QAA504" s="44"/>
      <c r="QAB504" s="44"/>
      <c r="QAC504" s="44"/>
      <c r="QAD504" s="44"/>
      <c r="QAE504" s="44"/>
      <c r="QAF504" s="44"/>
      <c r="QAG504" s="44"/>
      <c r="QAH504" s="44"/>
      <c r="QAI504" s="44"/>
      <c r="QAJ504" s="44"/>
      <c r="QAK504" s="44"/>
      <c r="QAL504" s="44"/>
      <c r="QAM504" s="44"/>
      <c r="QAN504" s="44"/>
      <c r="QAO504" s="44"/>
      <c r="QAP504" s="44"/>
      <c r="QAQ504" s="44"/>
      <c r="QAR504" s="44"/>
      <c r="QAS504" s="44"/>
      <c r="QAT504" s="44"/>
      <c r="QAU504" s="44"/>
      <c r="QAV504" s="44"/>
      <c r="QAW504" s="44"/>
      <c r="QAX504" s="44"/>
      <c r="QAY504" s="44"/>
      <c r="QAZ504" s="44"/>
      <c r="QBA504" s="44"/>
      <c r="QBB504" s="44"/>
      <c r="QBC504" s="44"/>
      <c r="QBD504" s="44"/>
      <c r="QBE504" s="44"/>
      <c r="QBF504" s="44"/>
      <c r="QBG504" s="44"/>
      <c r="QBH504" s="44"/>
      <c r="QBI504" s="44"/>
      <c r="QBJ504" s="44"/>
      <c r="QBK504" s="44"/>
      <c r="QBL504" s="44"/>
      <c r="QBM504" s="44"/>
      <c r="QBN504" s="44"/>
      <c r="QBO504" s="44"/>
      <c r="QBP504" s="44"/>
      <c r="QBQ504" s="44"/>
      <c r="QBR504" s="44"/>
      <c r="QBS504" s="44"/>
      <c r="QBT504" s="44"/>
      <c r="QBU504" s="44"/>
      <c r="QBV504" s="44"/>
      <c r="QBW504" s="44"/>
      <c r="QBX504" s="44"/>
      <c r="QBY504" s="44"/>
      <c r="QBZ504" s="44"/>
      <c r="QCA504" s="44"/>
      <c r="QCB504" s="44"/>
      <c r="QCC504" s="44"/>
      <c r="QCD504" s="44"/>
      <c r="QCE504" s="44"/>
      <c r="QCF504" s="44"/>
      <c r="QCG504" s="44"/>
      <c r="QCH504" s="44"/>
      <c r="QCI504" s="44"/>
      <c r="QCJ504" s="44"/>
      <c r="QCK504" s="44"/>
      <c r="QCL504" s="44"/>
      <c r="QCM504" s="44"/>
      <c r="QCN504" s="44"/>
      <c r="QCO504" s="44"/>
      <c r="QCP504" s="44"/>
      <c r="QCQ504" s="44"/>
      <c r="QCR504" s="44"/>
      <c r="QCS504" s="44"/>
      <c r="QCT504" s="44"/>
      <c r="QCU504" s="44"/>
      <c r="QCV504" s="44"/>
      <c r="QCW504" s="44"/>
      <c r="QCX504" s="44"/>
      <c r="QCY504" s="44"/>
      <c r="QCZ504" s="44"/>
      <c r="QDA504" s="44"/>
      <c r="QDB504" s="44"/>
      <c r="QDC504" s="44"/>
      <c r="QDD504" s="44"/>
      <c r="QDE504" s="44"/>
      <c r="QDF504" s="44"/>
      <c r="QDG504" s="44"/>
      <c r="QDH504" s="44"/>
      <c r="QDI504" s="44"/>
      <c r="QDJ504" s="44"/>
      <c r="QDK504" s="44"/>
      <c r="QDL504" s="44"/>
      <c r="QDM504" s="44"/>
      <c r="QDN504" s="44"/>
      <c r="QDO504" s="44"/>
      <c r="QDP504" s="44"/>
      <c r="QDQ504" s="44"/>
      <c r="QDR504" s="44"/>
      <c r="QDS504" s="44"/>
      <c r="QDT504" s="44"/>
      <c r="QDU504" s="44"/>
      <c r="QDV504" s="44"/>
      <c r="QDW504" s="44"/>
      <c r="QDX504" s="44"/>
      <c r="QDY504" s="44"/>
      <c r="QDZ504" s="44"/>
      <c r="QEA504" s="44"/>
      <c r="QEB504" s="44"/>
      <c r="QEC504" s="44"/>
      <c r="QED504" s="44"/>
      <c r="QEE504" s="44"/>
      <c r="QEF504" s="44"/>
      <c r="QEG504" s="44"/>
      <c r="QEH504" s="44"/>
      <c r="QEI504" s="44"/>
      <c r="QEJ504" s="44"/>
      <c r="QEK504" s="44"/>
      <c r="QEL504" s="44"/>
      <c r="QEM504" s="44"/>
      <c r="QEN504" s="44"/>
      <c r="QEO504" s="44"/>
      <c r="QEP504" s="44"/>
      <c r="QEQ504" s="44"/>
      <c r="QER504" s="44"/>
      <c r="QES504" s="44"/>
      <c r="QET504" s="44"/>
      <c r="QEU504" s="44"/>
      <c r="QEV504" s="44"/>
      <c r="QEW504" s="44"/>
      <c r="QEX504" s="44"/>
      <c r="QEY504" s="44"/>
      <c r="QEZ504" s="44"/>
      <c r="QFA504" s="44"/>
      <c r="QFB504" s="44"/>
      <c r="QFC504" s="44"/>
      <c r="QFD504" s="44"/>
      <c r="QFE504" s="44"/>
      <c r="QFF504" s="44"/>
      <c r="QFG504" s="44"/>
      <c r="QFH504" s="44"/>
      <c r="QFI504" s="44"/>
      <c r="QFJ504" s="44"/>
      <c r="QFK504" s="44"/>
      <c r="QFL504" s="44"/>
      <c r="QFM504" s="44"/>
      <c r="QFN504" s="44"/>
      <c r="QFO504" s="44"/>
      <c r="QFP504" s="44"/>
      <c r="QFQ504" s="44"/>
      <c r="QFR504" s="44"/>
      <c r="QFS504" s="44"/>
      <c r="QFT504" s="44"/>
      <c r="QFU504" s="44"/>
      <c r="QFV504" s="44"/>
      <c r="QFW504" s="44"/>
      <c r="QFX504" s="44"/>
      <c r="QFY504" s="44"/>
      <c r="QFZ504" s="44"/>
      <c r="QGA504" s="44"/>
      <c r="QGB504" s="44"/>
      <c r="QGC504" s="44"/>
      <c r="QGD504" s="44"/>
      <c r="QGE504" s="44"/>
      <c r="QGF504" s="44"/>
      <c r="QGG504" s="44"/>
      <c r="QGH504" s="44"/>
      <c r="QGI504" s="44"/>
      <c r="QGJ504" s="44"/>
      <c r="QGK504" s="44"/>
      <c r="QGL504" s="44"/>
      <c r="QGM504" s="44"/>
      <c r="QGN504" s="44"/>
      <c r="QGO504" s="44"/>
      <c r="QGP504" s="44"/>
      <c r="QGQ504" s="44"/>
      <c r="QGR504" s="44"/>
      <c r="QGS504" s="44"/>
      <c r="QGT504" s="44"/>
      <c r="QGU504" s="44"/>
      <c r="QGV504" s="44"/>
      <c r="QGW504" s="44"/>
      <c r="QGX504" s="44"/>
      <c r="QGY504" s="44"/>
      <c r="QGZ504" s="44"/>
      <c r="QHA504" s="44"/>
      <c r="QHB504" s="44"/>
      <c r="QHC504" s="44"/>
      <c r="QHD504" s="44"/>
      <c r="QHE504" s="44"/>
      <c r="QHF504" s="44"/>
      <c r="QHG504" s="44"/>
      <c r="QHH504" s="44"/>
      <c r="QHI504" s="44"/>
      <c r="QHJ504" s="44"/>
      <c r="QHK504" s="44"/>
      <c r="QHL504" s="44"/>
      <c r="QHM504" s="44"/>
      <c r="QHN504" s="44"/>
      <c r="QHO504" s="44"/>
      <c r="QHP504" s="44"/>
      <c r="QHQ504" s="44"/>
      <c r="QHR504" s="44"/>
      <c r="QHS504" s="44"/>
      <c r="QHT504" s="44"/>
      <c r="QHU504" s="44"/>
      <c r="QHV504" s="44"/>
      <c r="QHW504" s="44"/>
      <c r="QHX504" s="44"/>
      <c r="QHY504" s="44"/>
      <c r="QHZ504" s="44"/>
      <c r="QIA504" s="44"/>
      <c r="QIB504" s="44"/>
      <c r="QIC504" s="44"/>
      <c r="QID504" s="44"/>
      <c r="QIE504" s="44"/>
      <c r="QIF504" s="44"/>
      <c r="QIG504" s="44"/>
      <c r="QIH504" s="44"/>
      <c r="QII504" s="44"/>
      <c r="QIJ504" s="44"/>
      <c r="QIK504" s="44"/>
      <c r="QIL504" s="44"/>
      <c r="QIM504" s="44"/>
      <c r="QIN504" s="44"/>
      <c r="QIO504" s="44"/>
      <c r="QIP504" s="44"/>
      <c r="QIQ504" s="44"/>
      <c r="QIR504" s="44"/>
      <c r="QIS504" s="44"/>
      <c r="QIT504" s="44"/>
      <c r="QIU504" s="44"/>
      <c r="QIV504" s="44"/>
      <c r="QIW504" s="44"/>
      <c r="QIX504" s="44"/>
      <c r="QIY504" s="44"/>
      <c r="QIZ504" s="44"/>
      <c r="QJA504" s="44"/>
      <c r="QJB504" s="44"/>
      <c r="QJC504" s="44"/>
      <c r="QJD504" s="44"/>
      <c r="QJE504" s="44"/>
      <c r="QJF504" s="44"/>
      <c r="QJG504" s="44"/>
      <c r="QJH504" s="44"/>
      <c r="QJI504" s="44"/>
      <c r="QJJ504" s="44"/>
      <c r="QJK504" s="44"/>
      <c r="QJL504" s="44"/>
      <c r="QJM504" s="44"/>
      <c r="QJN504" s="44"/>
      <c r="QJO504" s="44"/>
      <c r="QJP504" s="44"/>
      <c r="QJQ504" s="44"/>
      <c r="QJR504" s="44"/>
      <c r="QJS504" s="44"/>
      <c r="QJT504" s="44"/>
      <c r="QJU504" s="44"/>
      <c r="QJV504" s="44"/>
      <c r="QJW504" s="44"/>
      <c r="QJX504" s="44"/>
      <c r="QJY504" s="44"/>
      <c r="QJZ504" s="44"/>
      <c r="QKA504" s="44"/>
      <c r="QKB504" s="44"/>
      <c r="QKC504" s="44"/>
      <c r="QKD504" s="44"/>
      <c r="QKE504" s="44"/>
      <c r="QKF504" s="44"/>
      <c r="QKG504" s="44"/>
      <c r="QKH504" s="44"/>
      <c r="QKI504" s="44"/>
      <c r="QKJ504" s="44"/>
      <c r="QKK504" s="44"/>
      <c r="QKL504" s="44"/>
      <c r="QKM504" s="44"/>
      <c r="QKN504" s="44"/>
      <c r="QKO504" s="44"/>
      <c r="QKP504" s="44"/>
      <c r="QKQ504" s="44"/>
      <c r="QKR504" s="44"/>
      <c r="QKS504" s="44"/>
      <c r="QKT504" s="44"/>
      <c r="QKU504" s="44"/>
      <c r="QKV504" s="44"/>
      <c r="QKW504" s="44"/>
      <c r="QKX504" s="44"/>
      <c r="QKY504" s="44"/>
      <c r="QKZ504" s="44"/>
      <c r="QLA504" s="44"/>
      <c r="QLB504" s="44"/>
      <c r="QLC504" s="44"/>
      <c r="QLD504" s="44"/>
      <c r="QLE504" s="44"/>
      <c r="QLF504" s="44"/>
      <c r="QLG504" s="44"/>
      <c r="QLH504" s="44"/>
      <c r="QLI504" s="44"/>
      <c r="QLJ504" s="44"/>
      <c r="QLK504" s="44"/>
      <c r="QLL504" s="44"/>
      <c r="QLM504" s="44"/>
      <c r="QLN504" s="44"/>
      <c r="QLO504" s="44"/>
      <c r="QLP504" s="44"/>
      <c r="QLQ504" s="44"/>
      <c r="QLR504" s="44"/>
      <c r="QLS504" s="44"/>
      <c r="QLT504" s="44"/>
      <c r="QLU504" s="44"/>
      <c r="QLV504" s="44"/>
      <c r="QLW504" s="44"/>
      <c r="QLX504" s="44"/>
      <c r="QLY504" s="44"/>
      <c r="QLZ504" s="44"/>
      <c r="QMA504" s="44"/>
      <c r="QMB504" s="44"/>
      <c r="QMC504" s="44"/>
      <c r="QMD504" s="44"/>
      <c r="QME504" s="44"/>
      <c r="QMF504" s="44"/>
      <c r="QMG504" s="44"/>
      <c r="QMH504" s="44"/>
      <c r="QMI504" s="44"/>
      <c r="QMJ504" s="44"/>
      <c r="QMK504" s="44"/>
      <c r="QML504" s="44"/>
      <c r="QMM504" s="44"/>
      <c r="QMN504" s="44"/>
      <c r="QMO504" s="44"/>
      <c r="QMP504" s="44"/>
      <c r="QMQ504" s="44"/>
      <c r="QMR504" s="44"/>
      <c r="QMS504" s="44"/>
      <c r="QMT504" s="44"/>
      <c r="QMU504" s="44"/>
      <c r="QMV504" s="44"/>
      <c r="QMW504" s="44"/>
      <c r="QMX504" s="44"/>
      <c r="QMY504" s="44"/>
      <c r="QMZ504" s="44"/>
      <c r="QNA504" s="44"/>
      <c r="QNB504" s="44"/>
      <c r="QNC504" s="44"/>
      <c r="QND504" s="44"/>
      <c r="QNE504" s="44"/>
      <c r="QNF504" s="44"/>
      <c r="QNG504" s="44"/>
      <c r="QNH504" s="44"/>
      <c r="QNI504" s="44"/>
      <c r="QNJ504" s="44"/>
      <c r="QNK504" s="44"/>
      <c r="QNL504" s="44"/>
      <c r="QNM504" s="44"/>
      <c r="QNN504" s="44"/>
      <c r="QNO504" s="44"/>
      <c r="QNP504" s="44"/>
      <c r="QNQ504" s="44"/>
      <c r="QNR504" s="44"/>
      <c r="QNS504" s="44"/>
      <c r="QNT504" s="44"/>
      <c r="QNU504" s="44"/>
      <c r="QNV504" s="44"/>
      <c r="QNW504" s="44"/>
      <c r="QNX504" s="44"/>
      <c r="QNY504" s="44"/>
      <c r="QNZ504" s="44"/>
      <c r="QOA504" s="44"/>
      <c r="QOB504" s="44"/>
      <c r="QOC504" s="44"/>
      <c r="QOD504" s="44"/>
      <c r="QOE504" s="44"/>
      <c r="QOF504" s="44"/>
      <c r="QOG504" s="44"/>
      <c r="QOH504" s="44"/>
      <c r="QOI504" s="44"/>
      <c r="QOJ504" s="44"/>
      <c r="QOK504" s="44"/>
      <c r="QOL504" s="44"/>
      <c r="QOM504" s="44"/>
      <c r="QON504" s="44"/>
      <c r="QOO504" s="44"/>
      <c r="QOP504" s="44"/>
      <c r="QOQ504" s="44"/>
      <c r="QOR504" s="44"/>
      <c r="QOS504" s="44"/>
      <c r="QOT504" s="44"/>
      <c r="QOU504" s="44"/>
      <c r="QOV504" s="44"/>
      <c r="QOW504" s="44"/>
      <c r="QOX504" s="44"/>
      <c r="QOY504" s="44"/>
      <c r="QOZ504" s="44"/>
      <c r="QPA504" s="44"/>
      <c r="QPB504" s="44"/>
      <c r="QPC504" s="44"/>
      <c r="QPD504" s="44"/>
      <c r="QPE504" s="44"/>
      <c r="QPF504" s="44"/>
      <c r="QPG504" s="44"/>
      <c r="QPH504" s="44"/>
      <c r="QPI504" s="44"/>
      <c r="QPJ504" s="44"/>
      <c r="QPK504" s="44"/>
      <c r="QPL504" s="44"/>
      <c r="QPM504" s="44"/>
      <c r="QPN504" s="44"/>
      <c r="QPO504" s="44"/>
      <c r="QPP504" s="44"/>
      <c r="QPQ504" s="44"/>
      <c r="QPR504" s="44"/>
      <c r="QPS504" s="44"/>
      <c r="QPT504" s="44"/>
      <c r="QPU504" s="44"/>
      <c r="QPV504" s="44"/>
      <c r="QPW504" s="44"/>
      <c r="QPX504" s="44"/>
      <c r="QPY504" s="44"/>
      <c r="QPZ504" s="44"/>
      <c r="QQA504" s="44"/>
      <c r="QQB504" s="44"/>
      <c r="QQC504" s="44"/>
      <c r="QQD504" s="44"/>
      <c r="QQE504" s="44"/>
      <c r="QQF504" s="44"/>
      <c r="QQG504" s="44"/>
      <c r="QQH504" s="44"/>
      <c r="QQI504" s="44"/>
      <c r="QQJ504" s="44"/>
      <c r="QQK504" s="44"/>
      <c r="QQL504" s="44"/>
      <c r="QQM504" s="44"/>
      <c r="QQN504" s="44"/>
      <c r="QQO504" s="44"/>
      <c r="QQP504" s="44"/>
      <c r="QQQ504" s="44"/>
      <c r="QQR504" s="44"/>
      <c r="QQS504" s="44"/>
      <c r="QQT504" s="44"/>
      <c r="QQU504" s="44"/>
      <c r="QQV504" s="44"/>
      <c r="QQW504" s="44"/>
      <c r="QQX504" s="44"/>
      <c r="QQY504" s="44"/>
      <c r="QQZ504" s="44"/>
      <c r="QRA504" s="44"/>
      <c r="QRB504" s="44"/>
      <c r="QRC504" s="44"/>
      <c r="QRD504" s="44"/>
      <c r="QRE504" s="44"/>
      <c r="QRF504" s="44"/>
      <c r="QRG504" s="44"/>
      <c r="QRH504" s="44"/>
      <c r="QRI504" s="44"/>
      <c r="QRJ504" s="44"/>
      <c r="QRK504" s="44"/>
      <c r="QRL504" s="44"/>
      <c r="QRM504" s="44"/>
      <c r="QRN504" s="44"/>
      <c r="QRO504" s="44"/>
      <c r="QRP504" s="44"/>
      <c r="QRQ504" s="44"/>
      <c r="QRR504" s="44"/>
      <c r="QRS504" s="44"/>
      <c r="QRT504" s="44"/>
      <c r="QRU504" s="44"/>
      <c r="QRV504" s="44"/>
      <c r="QRW504" s="44"/>
      <c r="QRX504" s="44"/>
      <c r="QRY504" s="44"/>
      <c r="QRZ504" s="44"/>
      <c r="QSA504" s="44"/>
      <c r="QSB504" s="44"/>
      <c r="QSC504" s="44"/>
      <c r="QSD504" s="44"/>
      <c r="QSE504" s="44"/>
      <c r="QSF504" s="44"/>
      <c r="QSG504" s="44"/>
      <c r="QSH504" s="44"/>
      <c r="QSI504" s="44"/>
      <c r="QSJ504" s="44"/>
      <c r="QSK504" s="44"/>
      <c r="QSL504" s="44"/>
      <c r="QSM504" s="44"/>
      <c r="QSN504" s="44"/>
      <c r="QSO504" s="44"/>
      <c r="QSP504" s="44"/>
      <c r="QSQ504" s="44"/>
      <c r="QSR504" s="44"/>
      <c r="QSS504" s="44"/>
      <c r="QST504" s="44"/>
      <c r="QSU504" s="44"/>
      <c r="QSV504" s="44"/>
      <c r="QSW504" s="44"/>
      <c r="QSX504" s="44"/>
      <c r="QSY504" s="44"/>
      <c r="QSZ504" s="44"/>
      <c r="QTA504" s="44"/>
      <c r="QTB504" s="44"/>
      <c r="QTC504" s="44"/>
      <c r="QTD504" s="44"/>
      <c r="QTE504" s="44"/>
      <c r="QTF504" s="44"/>
      <c r="QTG504" s="44"/>
      <c r="QTH504" s="44"/>
      <c r="QTI504" s="44"/>
      <c r="QTJ504" s="44"/>
      <c r="QTK504" s="44"/>
      <c r="QTL504" s="44"/>
      <c r="QTM504" s="44"/>
      <c r="QTN504" s="44"/>
      <c r="QTO504" s="44"/>
      <c r="QTP504" s="44"/>
      <c r="QTQ504" s="44"/>
      <c r="QTR504" s="44"/>
      <c r="QTS504" s="44"/>
      <c r="QTT504" s="44"/>
      <c r="QTU504" s="44"/>
      <c r="QTV504" s="44"/>
      <c r="QTW504" s="44"/>
      <c r="QTX504" s="44"/>
      <c r="QTY504" s="44"/>
      <c r="QTZ504" s="44"/>
      <c r="QUA504" s="44"/>
      <c r="QUB504" s="44"/>
      <c r="QUC504" s="44"/>
      <c r="QUD504" s="44"/>
      <c r="QUE504" s="44"/>
      <c r="QUF504" s="44"/>
      <c r="QUG504" s="44"/>
      <c r="QUH504" s="44"/>
      <c r="QUI504" s="44"/>
      <c r="QUJ504" s="44"/>
      <c r="QUK504" s="44"/>
      <c r="QUL504" s="44"/>
      <c r="QUM504" s="44"/>
      <c r="QUN504" s="44"/>
      <c r="QUO504" s="44"/>
      <c r="QUP504" s="44"/>
      <c r="QUQ504" s="44"/>
      <c r="QUR504" s="44"/>
      <c r="QUS504" s="44"/>
      <c r="QUT504" s="44"/>
      <c r="QUU504" s="44"/>
      <c r="QUV504" s="44"/>
      <c r="QUW504" s="44"/>
      <c r="QUX504" s="44"/>
      <c r="QUY504" s="44"/>
      <c r="QUZ504" s="44"/>
      <c r="QVA504" s="44"/>
      <c r="QVB504" s="44"/>
      <c r="QVC504" s="44"/>
      <c r="QVD504" s="44"/>
      <c r="QVE504" s="44"/>
      <c r="QVF504" s="44"/>
      <c r="QVG504" s="44"/>
      <c r="QVH504" s="44"/>
      <c r="QVI504" s="44"/>
      <c r="QVJ504" s="44"/>
      <c r="QVK504" s="44"/>
      <c r="QVL504" s="44"/>
      <c r="QVM504" s="44"/>
      <c r="QVN504" s="44"/>
      <c r="QVO504" s="44"/>
      <c r="QVP504" s="44"/>
      <c r="QVQ504" s="44"/>
      <c r="QVR504" s="44"/>
      <c r="QVS504" s="44"/>
      <c r="QVT504" s="44"/>
      <c r="QVU504" s="44"/>
      <c r="QVV504" s="44"/>
      <c r="QVW504" s="44"/>
      <c r="QVX504" s="44"/>
      <c r="QVY504" s="44"/>
      <c r="QVZ504" s="44"/>
      <c r="QWA504" s="44"/>
      <c r="QWB504" s="44"/>
      <c r="QWC504" s="44"/>
      <c r="QWD504" s="44"/>
      <c r="QWE504" s="44"/>
      <c r="QWF504" s="44"/>
      <c r="QWG504" s="44"/>
      <c r="QWH504" s="44"/>
      <c r="QWI504" s="44"/>
      <c r="QWJ504" s="44"/>
      <c r="QWK504" s="44"/>
      <c r="QWL504" s="44"/>
      <c r="QWM504" s="44"/>
      <c r="QWN504" s="44"/>
      <c r="QWO504" s="44"/>
      <c r="QWP504" s="44"/>
      <c r="QWQ504" s="44"/>
      <c r="QWR504" s="44"/>
      <c r="QWS504" s="44"/>
      <c r="QWT504" s="44"/>
      <c r="QWU504" s="44"/>
      <c r="QWV504" s="44"/>
      <c r="QWW504" s="44"/>
      <c r="QWX504" s="44"/>
      <c r="QWY504" s="44"/>
      <c r="QWZ504" s="44"/>
      <c r="QXA504" s="44"/>
      <c r="QXB504" s="44"/>
      <c r="QXC504" s="44"/>
      <c r="QXD504" s="44"/>
      <c r="QXE504" s="44"/>
      <c r="QXF504" s="44"/>
      <c r="QXG504" s="44"/>
      <c r="QXH504" s="44"/>
      <c r="QXI504" s="44"/>
      <c r="QXJ504" s="44"/>
      <c r="QXK504" s="44"/>
      <c r="QXL504" s="44"/>
      <c r="QXM504" s="44"/>
      <c r="QXN504" s="44"/>
      <c r="QXO504" s="44"/>
      <c r="QXP504" s="44"/>
      <c r="QXQ504" s="44"/>
      <c r="QXR504" s="44"/>
      <c r="QXS504" s="44"/>
      <c r="QXT504" s="44"/>
      <c r="QXU504" s="44"/>
      <c r="QXV504" s="44"/>
      <c r="QXW504" s="44"/>
      <c r="QXX504" s="44"/>
      <c r="QXY504" s="44"/>
      <c r="QXZ504" s="44"/>
      <c r="QYA504" s="44"/>
      <c r="QYB504" s="44"/>
      <c r="QYC504" s="44"/>
      <c r="QYD504" s="44"/>
      <c r="QYE504" s="44"/>
      <c r="QYF504" s="44"/>
      <c r="QYG504" s="44"/>
      <c r="QYH504" s="44"/>
      <c r="QYI504" s="44"/>
      <c r="QYJ504" s="44"/>
      <c r="QYK504" s="44"/>
      <c r="QYL504" s="44"/>
      <c r="QYM504" s="44"/>
      <c r="QYN504" s="44"/>
      <c r="QYO504" s="44"/>
      <c r="QYP504" s="44"/>
      <c r="QYQ504" s="44"/>
      <c r="QYR504" s="44"/>
      <c r="QYS504" s="44"/>
      <c r="QYT504" s="44"/>
      <c r="QYU504" s="44"/>
      <c r="QYV504" s="44"/>
      <c r="QYW504" s="44"/>
      <c r="QYX504" s="44"/>
      <c r="QYY504" s="44"/>
      <c r="QYZ504" s="44"/>
      <c r="QZA504" s="44"/>
      <c r="QZB504" s="44"/>
      <c r="QZC504" s="44"/>
      <c r="QZD504" s="44"/>
      <c r="QZE504" s="44"/>
      <c r="QZF504" s="44"/>
      <c r="QZG504" s="44"/>
      <c r="QZH504" s="44"/>
      <c r="QZI504" s="44"/>
      <c r="QZJ504" s="44"/>
      <c r="QZK504" s="44"/>
      <c r="QZL504" s="44"/>
      <c r="QZM504" s="44"/>
      <c r="QZN504" s="44"/>
      <c r="QZO504" s="44"/>
      <c r="QZP504" s="44"/>
      <c r="QZQ504" s="44"/>
      <c r="QZR504" s="44"/>
      <c r="QZS504" s="44"/>
      <c r="QZT504" s="44"/>
      <c r="QZU504" s="44"/>
      <c r="QZV504" s="44"/>
      <c r="QZW504" s="44"/>
      <c r="QZX504" s="44"/>
      <c r="QZY504" s="44"/>
      <c r="QZZ504" s="44"/>
      <c r="RAA504" s="44"/>
      <c r="RAB504" s="44"/>
      <c r="RAC504" s="44"/>
      <c r="RAD504" s="44"/>
      <c r="RAE504" s="44"/>
      <c r="RAF504" s="44"/>
      <c r="RAG504" s="44"/>
      <c r="RAH504" s="44"/>
      <c r="RAI504" s="44"/>
      <c r="RAJ504" s="44"/>
      <c r="RAK504" s="44"/>
      <c r="RAL504" s="44"/>
      <c r="RAM504" s="44"/>
      <c r="RAN504" s="44"/>
      <c r="RAO504" s="44"/>
      <c r="RAP504" s="44"/>
      <c r="RAQ504" s="44"/>
      <c r="RAR504" s="44"/>
      <c r="RAS504" s="44"/>
      <c r="RAT504" s="44"/>
      <c r="RAU504" s="44"/>
      <c r="RAV504" s="44"/>
      <c r="RAW504" s="44"/>
      <c r="RAX504" s="44"/>
      <c r="RAY504" s="44"/>
      <c r="RAZ504" s="44"/>
      <c r="RBA504" s="44"/>
      <c r="RBB504" s="44"/>
      <c r="RBC504" s="44"/>
      <c r="RBD504" s="44"/>
      <c r="RBE504" s="44"/>
      <c r="RBF504" s="44"/>
      <c r="RBG504" s="44"/>
      <c r="RBH504" s="44"/>
      <c r="RBI504" s="44"/>
      <c r="RBJ504" s="44"/>
      <c r="RBK504" s="44"/>
      <c r="RBL504" s="44"/>
      <c r="RBM504" s="44"/>
      <c r="RBN504" s="44"/>
      <c r="RBO504" s="44"/>
      <c r="RBP504" s="44"/>
      <c r="RBQ504" s="44"/>
      <c r="RBR504" s="44"/>
      <c r="RBS504" s="44"/>
      <c r="RBT504" s="44"/>
      <c r="RBU504" s="44"/>
      <c r="RBV504" s="44"/>
      <c r="RBW504" s="44"/>
      <c r="RBX504" s="44"/>
      <c r="RBY504" s="44"/>
      <c r="RBZ504" s="44"/>
      <c r="RCA504" s="44"/>
      <c r="RCB504" s="44"/>
      <c r="RCC504" s="44"/>
      <c r="RCD504" s="44"/>
      <c r="RCE504" s="44"/>
      <c r="RCF504" s="44"/>
      <c r="RCG504" s="44"/>
      <c r="RCH504" s="44"/>
      <c r="RCI504" s="44"/>
      <c r="RCJ504" s="44"/>
      <c r="RCK504" s="44"/>
      <c r="RCL504" s="44"/>
      <c r="RCM504" s="44"/>
      <c r="RCN504" s="44"/>
      <c r="RCO504" s="44"/>
      <c r="RCP504" s="44"/>
      <c r="RCQ504" s="44"/>
      <c r="RCR504" s="44"/>
      <c r="RCS504" s="44"/>
      <c r="RCT504" s="44"/>
      <c r="RCU504" s="44"/>
      <c r="RCV504" s="44"/>
      <c r="RCW504" s="44"/>
      <c r="RCX504" s="44"/>
      <c r="RCY504" s="44"/>
      <c r="RCZ504" s="44"/>
      <c r="RDA504" s="44"/>
      <c r="RDB504" s="44"/>
      <c r="RDC504" s="44"/>
      <c r="RDD504" s="44"/>
      <c r="RDE504" s="44"/>
      <c r="RDF504" s="44"/>
      <c r="RDG504" s="44"/>
      <c r="RDH504" s="44"/>
      <c r="RDI504" s="44"/>
      <c r="RDJ504" s="44"/>
      <c r="RDK504" s="44"/>
      <c r="RDL504" s="44"/>
      <c r="RDM504" s="44"/>
      <c r="RDN504" s="44"/>
      <c r="RDO504" s="44"/>
      <c r="RDP504" s="44"/>
      <c r="RDQ504" s="44"/>
      <c r="RDR504" s="44"/>
      <c r="RDS504" s="44"/>
      <c r="RDT504" s="44"/>
      <c r="RDU504" s="44"/>
      <c r="RDV504" s="44"/>
      <c r="RDW504" s="44"/>
      <c r="RDX504" s="44"/>
      <c r="RDY504" s="44"/>
      <c r="RDZ504" s="44"/>
      <c r="REA504" s="44"/>
      <c r="REB504" s="44"/>
      <c r="REC504" s="44"/>
      <c r="RED504" s="44"/>
      <c r="REE504" s="44"/>
      <c r="REF504" s="44"/>
      <c r="REG504" s="44"/>
      <c r="REH504" s="44"/>
      <c r="REI504" s="44"/>
      <c r="REJ504" s="44"/>
      <c r="REK504" s="44"/>
      <c r="REL504" s="44"/>
      <c r="REM504" s="44"/>
      <c r="REN504" s="44"/>
      <c r="REO504" s="44"/>
      <c r="REP504" s="44"/>
      <c r="REQ504" s="44"/>
      <c r="RER504" s="44"/>
      <c r="RES504" s="44"/>
      <c r="RET504" s="44"/>
      <c r="REU504" s="44"/>
      <c r="REV504" s="44"/>
      <c r="REW504" s="44"/>
      <c r="REX504" s="44"/>
      <c r="REY504" s="44"/>
      <c r="REZ504" s="44"/>
      <c r="RFA504" s="44"/>
      <c r="RFB504" s="44"/>
      <c r="RFC504" s="44"/>
      <c r="RFD504" s="44"/>
      <c r="RFE504" s="44"/>
      <c r="RFF504" s="44"/>
      <c r="RFG504" s="44"/>
      <c r="RFH504" s="44"/>
      <c r="RFI504" s="44"/>
      <c r="RFJ504" s="44"/>
      <c r="RFK504" s="44"/>
      <c r="RFL504" s="44"/>
      <c r="RFM504" s="44"/>
      <c r="RFN504" s="44"/>
      <c r="RFO504" s="44"/>
      <c r="RFP504" s="44"/>
      <c r="RFQ504" s="44"/>
      <c r="RFR504" s="44"/>
      <c r="RFS504" s="44"/>
      <c r="RFT504" s="44"/>
      <c r="RFU504" s="44"/>
      <c r="RFV504" s="44"/>
      <c r="RFW504" s="44"/>
      <c r="RFX504" s="44"/>
      <c r="RFY504" s="44"/>
      <c r="RFZ504" s="44"/>
      <c r="RGA504" s="44"/>
      <c r="RGB504" s="44"/>
      <c r="RGC504" s="44"/>
      <c r="RGD504" s="44"/>
      <c r="RGE504" s="44"/>
      <c r="RGF504" s="44"/>
      <c r="RGG504" s="44"/>
      <c r="RGH504" s="44"/>
      <c r="RGI504" s="44"/>
      <c r="RGJ504" s="44"/>
      <c r="RGK504" s="44"/>
      <c r="RGL504" s="44"/>
      <c r="RGM504" s="44"/>
      <c r="RGN504" s="44"/>
      <c r="RGO504" s="44"/>
      <c r="RGP504" s="44"/>
      <c r="RGQ504" s="44"/>
      <c r="RGR504" s="44"/>
      <c r="RGS504" s="44"/>
      <c r="RGT504" s="44"/>
      <c r="RGU504" s="44"/>
      <c r="RGV504" s="44"/>
      <c r="RGW504" s="44"/>
      <c r="RGX504" s="44"/>
      <c r="RGY504" s="44"/>
      <c r="RGZ504" s="44"/>
      <c r="RHA504" s="44"/>
      <c r="RHB504" s="44"/>
      <c r="RHC504" s="44"/>
      <c r="RHD504" s="44"/>
      <c r="RHE504" s="44"/>
      <c r="RHF504" s="44"/>
      <c r="RHG504" s="44"/>
      <c r="RHH504" s="44"/>
      <c r="RHI504" s="44"/>
      <c r="RHJ504" s="44"/>
      <c r="RHK504" s="44"/>
      <c r="RHL504" s="44"/>
      <c r="RHM504" s="44"/>
      <c r="RHN504" s="44"/>
      <c r="RHO504" s="44"/>
      <c r="RHP504" s="44"/>
      <c r="RHQ504" s="44"/>
      <c r="RHR504" s="44"/>
      <c r="RHS504" s="44"/>
      <c r="RHT504" s="44"/>
      <c r="RHU504" s="44"/>
      <c r="RHV504" s="44"/>
      <c r="RHW504" s="44"/>
      <c r="RHX504" s="44"/>
      <c r="RHY504" s="44"/>
      <c r="RHZ504" s="44"/>
      <c r="RIA504" s="44"/>
      <c r="RIB504" s="44"/>
      <c r="RIC504" s="44"/>
      <c r="RID504" s="44"/>
      <c r="RIE504" s="44"/>
      <c r="RIF504" s="44"/>
      <c r="RIG504" s="44"/>
      <c r="RIH504" s="44"/>
      <c r="RII504" s="44"/>
      <c r="RIJ504" s="44"/>
      <c r="RIK504" s="44"/>
      <c r="RIL504" s="44"/>
      <c r="RIM504" s="44"/>
      <c r="RIN504" s="44"/>
      <c r="RIO504" s="44"/>
      <c r="RIP504" s="44"/>
      <c r="RIQ504" s="44"/>
      <c r="RIR504" s="44"/>
      <c r="RIS504" s="44"/>
      <c r="RIT504" s="44"/>
      <c r="RIU504" s="44"/>
      <c r="RIV504" s="44"/>
      <c r="RIW504" s="44"/>
      <c r="RIX504" s="44"/>
      <c r="RIY504" s="44"/>
      <c r="RIZ504" s="44"/>
      <c r="RJA504" s="44"/>
      <c r="RJB504" s="44"/>
      <c r="RJC504" s="44"/>
      <c r="RJD504" s="44"/>
      <c r="RJE504" s="44"/>
      <c r="RJF504" s="44"/>
      <c r="RJG504" s="44"/>
      <c r="RJH504" s="44"/>
      <c r="RJI504" s="44"/>
      <c r="RJJ504" s="44"/>
      <c r="RJK504" s="44"/>
      <c r="RJL504" s="44"/>
      <c r="RJM504" s="44"/>
      <c r="RJN504" s="44"/>
      <c r="RJO504" s="44"/>
      <c r="RJP504" s="44"/>
      <c r="RJQ504" s="44"/>
      <c r="RJR504" s="44"/>
      <c r="RJS504" s="44"/>
      <c r="RJT504" s="44"/>
      <c r="RJU504" s="44"/>
      <c r="RJV504" s="44"/>
      <c r="RJW504" s="44"/>
      <c r="RJX504" s="44"/>
      <c r="RJY504" s="44"/>
      <c r="RJZ504" s="44"/>
      <c r="RKA504" s="44"/>
      <c r="RKB504" s="44"/>
      <c r="RKC504" s="44"/>
      <c r="RKD504" s="44"/>
      <c r="RKE504" s="44"/>
      <c r="RKF504" s="44"/>
      <c r="RKG504" s="44"/>
      <c r="RKH504" s="44"/>
      <c r="RKI504" s="44"/>
      <c r="RKJ504" s="44"/>
      <c r="RKK504" s="44"/>
      <c r="RKL504" s="44"/>
      <c r="RKM504" s="44"/>
      <c r="RKN504" s="44"/>
      <c r="RKO504" s="44"/>
      <c r="RKP504" s="44"/>
      <c r="RKQ504" s="44"/>
      <c r="RKR504" s="44"/>
      <c r="RKS504" s="44"/>
      <c r="RKT504" s="44"/>
      <c r="RKU504" s="44"/>
      <c r="RKV504" s="44"/>
      <c r="RKW504" s="44"/>
      <c r="RKX504" s="44"/>
      <c r="RKY504" s="44"/>
      <c r="RKZ504" s="44"/>
      <c r="RLA504" s="44"/>
      <c r="RLB504" s="44"/>
      <c r="RLC504" s="44"/>
      <c r="RLD504" s="44"/>
      <c r="RLE504" s="44"/>
      <c r="RLF504" s="44"/>
      <c r="RLG504" s="44"/>
      <c r="RLH504" s="44"/>
      <c r="RLI504" s="44"/>
      <c r="RLJ504" s="44"/>
      <c r="RLK504" s="44"/>
      <c r="RLL504" s="44"/>
      <c r="RLM504" s="44"/>
      <c r="RLN504" s="44"/>
      <c r="RLO504" s="44"/>
      <c r="RLP504" s="44"/>
      <c r="RLQ504" s="44"/>
      <c r="RLR504" s="44"/>
      <c r="RLS504" s="44"/>
      <c r="RLT504" s="44"/>
      <c r="RLU504" s="44"/>
      <c r="RLV504" s="44"/>
      <c r="RLW504" s="44"/>
      <c r="RLX504" s="44"/>
      <c r="RLY504" s="44"/>
      <c r="RLZ504" s="44"/>
      <c r="RMA504" s="44"/>
      <c r="RMB504" s="44"/>
      <c r="RMC504" s="44"/>
      <c r="RMD504" s="44"/>
      <c r="RME504" s="44"/>
      <c r="RMF504" s="44"/>
      <c r="RMG504" s="44"/>
      <c r="RMH504" s="44"/>
      <c r="RMI504" s="44"/>
      <c r="RMJ504" s="44"/>
      <c r="RMK504" s="44"/>
      <c r="RML504" s="44"/>
      <c r="RMM504" s="44"/>
      <c r="RMN504" s="44"/>
      <c r="RMO504" s="44"/>
      <c r="RMP504" s="44"/>
      <c r="RMQ504" s="44"/>
      <c r="RMR504" s="44"/>
      <c r="RMS504" s="44"/>
      <c r="RMT504" s="44"/>
      <c r="RMU504" s="44"/>
      <c r="RMV504" s="44"/>
      <c r="RMW504" s="44"/>
      <c r="RMX504" s="44"/>
      <c r="RMY504" s="44"/>
      <c r="RMZ504" s="44"/>
      <c r="RNA504" s="44"/>
      <c r="RNB504" s="44"/>
      <c r="RNC504" s="44"/>
      <c r="RND504" s="44"/>
      <c r="RNE504" s="44"/>
      <c r="RNF504" s="44"/>
      <c r="RNG504" s="44"/>
      <c r="RNH504" s="44"/>
      <c r="RNI504" s="44"/>
      <c r="RNJ504" s="44"/>
      <c r="RNK504" s="44"/>
      <c r="RNL504" s="44"/>
      <c r="RNM504" s="44"/>
      <c r="RNN504" s="44"/>
      <c r="RNO504" s="44"/>
      <c r="RNP504" s="44"/>
      <c r="RNQ504" s="44"/>
      <c r="RNR504" s="44"/>
      <c r="RNS504" s="44"/>
      <c r="RNT504" s="44"/>
      <c r="RNU504" s="44"/>
      <c r="RNV504" s="44"/>
      <c r="RNW504" s="44"/>
      <c r="RNX504" s="44"/>
      <c r="RNY504" s="44"/>
      <c r="RNZ504" s="44"/>
      <c r="ROA504" s="44"/>
      <c r="ROB504" s="44"/>
      <c r="ROC504" s="44"/>
      <c r="ROD504" s="44"/>
      <c r="ROE504" s="44"/>
      <c r="ROF504" s="44"/>
      <c r="ROG504" s="44"/>
      <c r="ROH504" s="44"/>
      <c r="ROI504" s="44"/>
      <c r="ROJ504" s="44"/>
      <c r="ROK504" s="44"/>
      <c r="ROL504" s="44"/>
      <c r="ROM504" s="44"/>
      <c r="RON504" s="44"/>
      <c r="ROO504" s="44"/>
      <c r="ROP504" s="44"/>
      <c r="ROQ504" s="44"/>
      <c r="ROR504" s="44"/>
      <c r="ROS504" s="44"/>
      <c r="ROT504" s="44"/>
      <c r="ROU504" s="44"/>
      <c r="ROV504" s="44"/>
      <c r="ROW504" s="44"/>
      <c r="ROX504" s="44"/>
      <c r="ROY504" s="44"/>
      <c r="ROZ504" s="44"/>
      <c r="RPA504" s="44"/>
      <c r="RPB504" s="44"/>
      <c r="RPC504" s="44"/>
      <c r="RPD504" s="44"/>
      <c r="RPE504" s="44"/>
      <c r="RPF504" s="44"/>
      <c r="RPG504" s="44"/>
      <c r="RPH504" s="44"/>
      <c r="RPI504" s="44"/>
      <c r="RPJ504" s="44"/>
      <c r="RPK504" s="44"/>
      <c r="RPL504" s="44"/>
      <c r="RPM504" s="44"/>
      <c r="RPN504" s="44"/>
      <c r="RPO504" s="44"/>
      <c r="RPP504" s="44"/>
      <c r="RPQ504" s="44"/>
      <c r="RPR504" s="44"/>
      <c r="RPS504" s="44"/>
      <c r="RPT504" s="44"/>
      <c r="RPU504" s="44"/>
      <c r="RPV504" s="44"/>
      <c r="RPW504" s="44"/>
      <c r="RPX504" s="44"/>
      <c r="RPY504" s="44"/>
      <c r="RPZ504" s="44"/>
      <c r="RQA504" s="44"/>
      <c r="RQB504" s="44"/>
      <c r="RQC504" s="44"/>
      <c r="RQD504" s="44"/>
      <c r="RQE504" s="44"/>
      <c r="RQF504" s="44"/>
      <c r="RQG504" s="44"/>
      <c r="RQH504" s="44"/>
      <c r="RQI504" s="44"/>
      <c r="RQJ504" s="44"/>
      <c r="RQK504" s="44"/>
      <c r="RQL504" s="44"/>
      <c r="RQM504" s="44"/>
      <c r="RQN504" s="44"/>
      <c r="RQO504" s="44"/>
      <c r="RQP504" s="44"/>
      <c r="RQQ504" s="44"/>
      <c r="RQR504" s="44"/>
      <c r="RQS504" s="44"/>
      <c r="RQT504" s="44"/>
      <c r="RQU504" s="44"/>
      <c r="RQV504" s="44"/>
      <c r="RQW504" s="44"/>
      <c r="RQX504" s="44"/>
      <c r="RQY504" s="44"/>
      <c r="RQZ504" s="44"/>
      <c r="RRA504" s="44"/>
      <c r="RRB504" s="44"/>
      <c r="RRC504" s="44"/>
      <c r="RRD504" s="44"/>
      <c r="RRE504" s="44"/>
      <c r="RRF504" s="44"/>
      <c r="RRG504" s="44"/>
      <c r="RRH504" s="44"/>
      <c r="RRI504" s="44"/>
      <c r="RRJ504" s="44"/>
      <c r="RRK504" s="44"/>
      <c r="RRL504" s="44"/>
      <c r="RRM504" s="44"/>
      <c r="RRN504" s="44"/>
      <c r="RRO504" s="44"/>
      <c r="RRP504" s="44"/>
      <c r="RRQ504" s="44"/>
      <c r="RRR504" s="44"/>
      <c r="RRS504" s="44"/>
      <c r="RRT504" s="44"/>
      <c r="RRU504" s="44"/>
      <c r="RRV504" s="44"/>
      <c r="RRW504" s="44"/>
      <c r="RRX504" s="44"/>
      <c r="RRY504" s="44"/>
      <c r="RRZ504" s="44"/>
      <c r="RSA504" s="44"/>
      <c r="RSB504" s="44"/>
      <c r="RSC504" s="44"/>
      <c r="RSD504" s="44"/>
      <c r="RSE504" s="44"/>
      <c r="RSF504" s="44"/>
      <c r="RSG504" s="44"/>
      <c r="RSH504" s="44"/>
      <c r="RSI504" s="44"/>
      <c r="RSJ504" s="44"/>
      <c r="RSK504" s="44"/>
      <c r="RSL504" s="44"/>
      <c r="RSM504" s="44"/>
      <c r="RSN504" s="44"/>
      <c r="RSO504" s="44"/>
      <c r="RSP504" s="44"/>
      <c r="RSQ504" s="44"/>
      <c r="RSR504" s="44"/>
      <c r="RSS504" s="44"/>
      <c r="RST504" s="44"/>
      <c r="RSU504" s="44"/>
      <c r="RSV504" s="44"/>
      <c r="RSW504" s="44"/>
      <c r="RSX504" s="44"/>
      <c r="RSY504" s="44"/>
      <c r="RSZ504" s="44"/>
      <c r="RTA504" s="44"/>
      <c r="RTB504" s="44"/>
      <c r="RTC504" s="44"/>
      <c r="RTD504" s="44"/>
      <c r="RTE504" s="44"/>
      <c r="RTF504" s="44"/>
      <c r="RTG504" s="44"/>
      <c r="RTH504" s="44"/>
      <c r="RTI504" s="44"/>
      <c r="RTJ504" s="44"/>
      <c r="RTK504" s="44"/>
      <c r="RTL504" s="44"/>
      <c r="RTM504" s="44"/>
      <c r="RTN504" s="44"/>
      <c r="RTO504" s="44"/>
      <c r="RTP504" s="44"/>
      <c r="RTQ504" s="44"/>
      <c r="RTR504" s="44"/>
      <c r="RTS504" s="44"/>
      <c r="RTT504" s="44"/>
      <c r="RTU504" s="44"/>
      <c r="RTV504" s="44"/>
      <c r="RTW504" s="44"/>
      <c r="RTX504" s="44"/>
      <c r="RTY504" s="44"/>
      <c r="RTZ504" s="44"/>
      <c r="RUA504" s="44"/>
      <c r="RUB504" s="44"/>
      <c r="RUC504" s="44"/>
      <c r="RUD504" s="44"/>
      <c r="RUE504" s="44"/>
      <c r="RUF504" s="44"/>
      <c r="RUG504" s="44"/>
      <c r="RUH504" s="44"/>
      <c r="RUI504" s="44"/>
      <c r="RUJ504" s="44"/>
      <c r="RUK504" s="44"/>
      <c r="RUL504" s="44"/>
      <c r="RUM504" s="44"/>
      <c r="RUN504" s="44"/>
      <c r="RUO504" s="44"/>
      <c r="RUP504" s="44"/>
      <c r="RUQ504" s="44"/>
      <c r="RUR504" s="44"/>
      <c r="RUS504" s="44"/>
      <c r="RUT504" s="44"/>
      <c r="RUU504" s="44"/>
      <c r="RUV504" s="44"/>
      <c r="RUW504" s="44"/>
      <c r="RUX504" s="44"/>
      <c r="RUY504" s="44"/>
      <c r="RUZ504" s="44"/>
      <c r="RVA504" s="44"/>
      <c r="RVB504" s="44"/>
      <c r="RVC504" s="44"/>
      <c r="RVD504" s="44"/>
      <c r="RVE504" s="44"/>
      <c r="RVF504" s="44"/>
      <c r="RVG504" s="44"/>
      <c r="RVH504" s="44"/>
      <c r="RVI504" s="44"/>
      <c r="RVJ504" s="44"/>
      <c r="RVK504" s="44"/>
      <c r="RVL504" s="44"/>
      <c r="RVM504" s="44"/>
      <c r="RVN504" s="44"/>
      <c r="RVO504" s="44"/>
      <c r="RVP504" s="44"/>
      <c r="RVQ504" s="44"/>
      <c r="RVR504" s="44"/>
      <c r="RVS504" s="44"/>
      <c r="RVT504" s="44"/>
      <c r="RVU504" s="44"/>
      <c r="RVV504" s="44"/>
      <c r="RVW504" s="44"/>
      <c r="RVX504" s="44"/>
      <c r="RVY504" s="44"/>
      <c r="RVZ504" s="44"/>
      <c r="RWA504" s="44"/>
      <c r="RWB504" s="44"/>
      <c r="RWC504" s="44"/>
      <c r="RWD504" s="44"/>
      <c r="RWE504" s="44"/>
      <c r="RWF504" s="44"/>
      <c r="RWG504" s="44"/>
      <c r="RWH504" s="44"/>
      <c r="RWI504" s="44"/>
      <c r="RWJ504" s="44"/>
      <c r="RWK504" s="44"/>
      <c r="RWL504" s="44"/>
      <c r="RWM504" s="44"/>
      <c r="RWN504" s="44"/>
      <c r="RWO504" s="44"/>
      <c r="RWP504" s="44"/>
      <c r="RWQ504" s="44"/>
      <c r="RWR504" s="44"/>
      <c r="RWS504" s="44"/>
      <c r="RWT504" s="44"/>
      <c r="RWU504" s="44"/>
      <c r="RWV504" s="44"/>
      <c r="RWW504" s="44"/>
      <c r="RWX504" s="44"/>
      <c r="RWY504" s="44"/>
      <c r="RWZ504" s="44"/>
      <c r="RXA504" s="44"/>
      <c r="RXB504" s="44"/>
      <c r="RXC504" s="44"/>
      <c r="RXD504" s="44"/>
      <c r="RXE504" s="44"/>
      <c r="RXF504" s="44"/>
      <c r="RXG504" s="44"/>
      <c r="RXH504" s="44"/>
      <c r="RXI504" s="44"/>
      <c r="RXJ504" s="44"/>
      <c r="RXK504" s="44"/>
      <c r="RXL504" s="44"/>
      <c r="RXM504" s="44"/>
      <c r="RXN504" s="44"/>
      <c r="RXO504" s="44"/>
      <c r="RXP504" s="44"/>
      <c r="RXQ504" s="44"/>
      <c r="RXR504" s="44"/>
      <c r="RXS504" s="44"/>
      <c r="RXT504" s="44"/>
      <c r="RXU504" s="44"/>
      <c r="RXV504" s="44"/>
      <c r="RXW504" s="44"/>
      <c r="RXX504" s="44"/>
      <c r="RXY504" s="44"/>
      <c r="RXZ504" s="44"/>
      <c r="RYA504" s="44"/>
      <c r="RYB504" s="44"/>
      <c r="RYC504" s="44"/>
      <c r="RYD504" s="44"/>
      <c r="RYE504" s="44"/>
      <c r="RYF504" s="44"/>
      <c r="RYG504" s="44"/>
      <c r="RYH504" s="44"/>
      <c r="RYI504" s="44"/>
      <c r="RYJ504" s="44"/>
      <c r="RYK504" s="44"/>
      <c r="RYL504" s="44"/>
      <c r="RYM504" s="44"/>
      <c r="RYN504" s="44"/>
      <c r="RYO504" s="44"/>
      <c r="RYP504" s="44"/>
      <c r="RYQ504" s="44"/>
      <c r="RYR504" s="44"/>
      <c r="RYS504" s="44"/>
      <c r="RYT504" s="44"/>
      <c r="RYU504" s="44"/>
      <c r="RYV504" s="44"/>
      <c r="RYW504" s="44"/>
      <c r="RYX504" s="44"/>
      <c r="RYY504" s="44"/>
      <c r="RYZ504" s="44"/>
      <c r="RZA504" s="44"/>
      <c r="RZB504" s="44"/>
      <c r="RZC504" s="44"/>
      <c r="RZD504" s="44"/>
      <c r="RZE504" s="44"/>
      <c r="RZF504" s="44"/>
      <c r="RZG504" s="44"/>
      <c r="RZH504" s="44"/>
      <c r="RZI504" s="44"/>
      <c r="RZJ504" s="44"/>
      <c r="RZK504" s="44"/>
      <c r="RZL504" s="44"/>
      <c r="RZM504" s="44"/>
      <c r="RZN504" s="44"/>
      <c r="RZO504" s="44"/>
      <c r="RZP504" s="44"/>
      <c r="RZQ504" s="44"/>
      <c r="RZR504" s="44"/>
      <c r="RZS504" s="44"/>
      <c r="RZT504" s="44"/>
      <c r="RZU504" s="44"/>
      <c r="RZV504" s="44"/>
      <c r="RZW504" s="44"/>
      <c r="RZX504" s="44"/>
      <c r="RZY504" s="44"/>
      <c r="RZZ504" s="44"/>
      <c r="SAA504" s="44"/>
      <c r="SAB504" s="44"/>
      <c r="SAC504" s="44"/>
      <c r="SAD504" s="44"/>
      <c r="SAE504" s="44"/>
      <c r="SAF504" s="44"/>
      <c r="SAG504" s="44"/>
      <c r="SAH504" s="44"/>
      <c r="SAI504" s="44"/>
      <c r="SAJ504" s="44"/>
      <c r="SAK504" s="44"/>
      <c r="SAL504" s="44"/>
      <c r="SAM504" s="44"/>
      <c r="SAN504" s="44"/>
      <c r="SAO504" s="44"/>
      <c r="SAP504" s="44"/>
      <c r="SAQ504" s="44"/>
      <c r="SAR504" s="44"/>
      <c r="SAS504" s="44"/>
      <c r="SAT504" s="44"/>
      <c r="SAU504" s="44"/>
      <c r="SAV504" s="44"/>
      <c r="SAW504" s="44"/>
      <c r="SAX504" s="44"/>
      <c r="SAY504" s="44"/>
      <c r="SAZ504" s="44"/>
      <c r="SBA504" s="44"/>
      <c r="SBB504" s="44"/>
      <c r="SBC504" s="44"/>
      <c r="SBD504" s="44"/>
      <c r="SBE504" s="44"/>
      <c r="SBF504" s="44"/>
      <c r="SBG504" s="44"/>
      <c r="SBH504" s="44"/>
      <c r="SBI504" s="44"/>
      <c r="SBJ504" s="44"/>
      <c r="SBK504" s="44"/>
      <c r="SBL504" s="44"/>
      <c r="SBM504" s="44"/>
      <c r="SBN504" s="44"/>
      <c r="SBO504" s="44"/>
      <c r="SBP504" s="44"/>
      <c r="SBQ504" s="44"/>
      <c r="SBR504" s="44"/>
      <c r="SBS504" s="44"/>
      <c r="SBT504" s="44"/>
      <c r="SBU504" s="44"/>
      <c r="SBV504" s="44"/>
      <c r="SBW504" s="44"/>
      <c r="SBX504" s="44"/>
      <c r="SBY504" s="44"/>
      <c r="SBZ504" s="44"/>
      <c r="SCA504" s="44"/>
      <c r="SCB504" s="44"/>
      <c r="SCC504" s="44"/>
      <c r="SCD504" s="44"/>
      <c r="SCE504" s="44"/>
      <c r="SCF504" s="44"/>
      <c r="SCG504" s="44"/>
      <c r="SCH504" s="44"/>
      <c r="SCI504" s="44"/>
      <c r="SCJ504" s="44"/>
      <c r="SCK504" s="44"/>
      <c r="SCL504" s="44"/>
      <c r="SCM504" s="44"/>
      <c r="SCN504" s="44"/>
      <c r="SCO504" s="44"/>
      <c r="SCP504" s="44"/>
      <c r="SCQ504" s="44"/>
      <c r="SCR504" s="44"/>
      <c r="SCS504" s="44"/>
      <c r="SCT504" s="44"/>
      <c r="SCU504" s="44"/>
      <c r="SCV504" s="44"/>
      <c r="SCW504" s="44"/>
      <c r="SCX504" s="44"/>
      <c r="SCY504" s="44"/>
      <c r="SCZ504" s="44"/>
      <c r="SDA504" s="44"/>
      <c r="SDB504" s="44"/>
      <c r="SDC504" s="44"/>
      <c r="SDD504" s="44"/>
      <c r="SDE504" s="44"/>
      <c r="SDF504" s="44"/>
      <c r="SDG504" s="44"/>
      <c r="SDH504" s="44"/>
      <c r="SDI504" s="44"/>
      <c r="SDJ504" s="44"/>
      <c r="SDK504" s="44"/>
      <c r="SDL504" s="44"/>
      <c r="SDM504" s="44"/>
      <c r="SDN504" s="44"/>
      <c r="SDO504" s="44"/>
      <c r="SDP504" s="44"/>
      <c r="SDQ504" s="44"/>
      <c r="SDR504" s="44"/>
      <c r="SDS504" s="44"/>
      <c r="SDT504" s="44"/>
      <c r="SDU504" s="44"/>
      <c r="SDV504" s="44"/>
      <c r="SDW504" s="44"/>
      <c r="SDX504" s="44"/>
      <c r="SDY504" s="44"/>
      <c r="SDZ504" s="44"/>
      <c r="SEA504" s="44"/>
      <c r="SEB504" s="44"/>
      <c r="SEC504" s="44"/>
      <c r="SED504" s="44"/>
      <c r="SEE504" s="44"/>
      <c r="SEF504" s="44"/>
      <c r="SEG504" s="44"/>
      <c r="SEH504" s="44"/>
      <c r="SEI504" s="44"/>
      <c r="SEJ504" s="44"/>
      <c r="SEK504" s="44"/>
      <c r="SEL504" s="44"/>
      <c r="SEM504" s="44"/>
      <c r="SEN504" s="44"/>
      <c r="SEO504" s="44"/>
      <c r="SEP504" s="44"/>
      <c r="SEQ504" s="44"/>
      <c r="SER504" s="44"/>
      <c r="SES504" s="44"/>
      <c r="SET504" s="44"/>
      <c r="SEU504" s="44"/>
      <c r="SEV504" s="44"/>
      <c r="SEW504" s="44"/>
      <c r="SEX504" s="44"/>
      <c r="SEY504" s="44"/>
      <c r="SEZ504" s="44"/>
      <c r="SFA504" s="44"/>
      <c r="SFB504" s="44"/>
      <c r="SFC504" s="44"/>
      <c r="SFD504" s="44"/>
      <c r="SFE504" s="44"/>
      <c r="SFF504" s="44"/>
      <c r="SFG504" s="44"/>
      <c r="SFH504" s="44"/>
      <c r="SFI504" s="44"/>
      <c r="SFJ504" s="44"/>
      <c r="SFK504" s="44"/>
      <c r="SFL504" s="44"/>
      <c r="SFM504" s="44"/>
      <c r="SFN504" s="44"/>
      <c r="SFO504" s="44"/>
      <c r="SFP504" s="44"/>
      <c r="SFQ504" s="44"/>
      <c r="SFR504" s="44"/>
      <c r="SFS504" s="44"/>
      <c r="SFT504" s="44"/>
      <c r="SFU504" s="44"/>
      <c r="SFV504" s="44"/>
      <c r="SFW504" s="44"/>
      <c r="SFX504" s="44"/>
      <c r="SFY504" s="44"/>
      <c r="SFZ504" s="44"/>
      <c r="SGA504" s="44"/>
      <c r="SGB504" s="44"/>
      <c r="SGC504" s="44"/>
      <c r="SGD504" s="44"/>
      <c r="SGE504" s="44"/>
      <c r="SGF504" s="44"/>
      <c r="SGG504" s="44"/>
      <c r="SGH504" s="44"/>
      <c r="SGI504" s="44"/>
      <c r="SGJ504" s="44"/>
      <c r="SGK504" s="44"/>
      <c r="SGL504" s="44"/>
      <c r="SGM504" s="44"/>
      <c r="SGN504" s="44"/>
      <c r="SGO504" s="44"/>
      <c r="SGP504" s="44"/>
      <c r="SGQ504" s="44"/>
      <c r="SGR504" s="44"/>
      <c r="SGS504" s="44"/>
      <c r="SGT504" s="44"/>
      <c r="SGU504" s="44"/>
      <c r="SGV504" s="44"/>
      <c r="SGW504" s="44"/>
      <c r="SGX504" s="44"/>
      <c r="SGY504" s="44"/>
      <c r="SGZ504" s="44"/>
      <c r="SHA504" s="44"/>
      <c r="SHB504" s="44"/>
      <c r="SHC504" s="44"/>
      <c r="SHD504" s="44"/>
      <c r="SHE504" s="44"/>
      <c r="SHF504" s="44"/>
      <c r="SHG504" s="44"/>
      <c r="SHH504" s="44"/>
      <c r="SHI504" s="44"/>
      <c r="SHJ504" s="44"/>
      <c r="SHK504" s="44"/>
      <c r="SHL504" s="44"/>
      <c r="SHM504" s="44"/>
      <c r="SHN504" s="44"/>
      <c r="SHO504" s="44"/>
      <c r="SHP504" s="44"/>
      <c r="SHQ504" s="44"/>
      <c r="SHR504" s="44"/>
      <c r="SHS504" s="44"/>
      <c r="SHT504" s="44"/>
      <c r="SHU504" s="44"/>
      <c r="SHV504" s="44"/>
      <c r="SHW504" s="44"/>
      <c r="SHX504" s="44"/>
      <c r="SHY504" s="44"/>
      <c r="SHZ504" s="44"/>
      <c r="SIA504" s="44"/>
      <c r="SIB504" s="44"/>
      <c r="SIC504" s="44"/>
      <c r="SID504" s="44"/>
      <c r="SIE504" s="44"/>
      <c r="SIF504" s="44"/>
      <c r="SIG504" s="44"/>
      <c r="SIH504" s="44"/>
      <c r="SII504" s="44"/>
      <c r="SIJ504" s="44"/>
      <c r="SIK504" s="44"/>
      <c r="SIL504" s="44"/>
      <c r="SIM504" s="44"/>
      <c r="SIN504" s="44"/>
      <c r="SIO504" s="44"/>
      <c r="SIP504" s="44"/>
      <c r="SIQ504" s="44"/>
      <c r="SIR504" s="44"/>
      <c r="SIS504" s="44"/>
      <c r="SIT504" s="44"/>
      <c r="SIU504" s="44"/>
      <c r="SIV504" s="44"/>
      <c r="SIW504" s="44"/>
      <c r="SIX504" s="44"/>
      <c r="SIY504" s="44"/>
      <c r="SIZ504" s="44"/>
      <c r="SJA504" s="44"/>
      <c r="SJB504" s="44"/>
      <c r="SJC504" s="44"/>
      <c r="SJD504" s="44"/>
      <c r="SJE504" s="44"/>
      <c r="SJF504" s="44"/>
      <c r="SJG504" s="44"/>
      <c r="SJH504" s="44"/>
      <c r="SJI504" s="44"/>
      <c r="SJJ504" s="44"/>
      <c r="SJK504" s="44"/>
      <c r="SJL504" s="44"/>
      <c r="SJM504" s="44"/>
      <c r="SJN504" s="44"/>
      <c r="SJO504" s="44"/>
      <c r="SJP504" s="44"/>
      <c r="SJQ504" s="44"/>
      <c r="SJR504" s="44"/>
      <c r="SJS504" s="44"/>
      <c r="SJT504" s="44"/>
      <c r="SJU504" s="44"/>
      <c r="SJV504" s="44"/>
      <c r="SJW504" s="44"/>
      <c r="SJX504" s="44"/>
      <c r="SJY504" s="44"/>
      <c r="SJZ504" s="44"/>
      <c r="SKA504" s="44"/>
      <c r="SKB504" s="44"/>
      <c r="SKC504" s="44"/>
      <c r="SKD504" s="44"/>
      <c r="SKE504" s="44"/>
      <c r="SKF504" s="44"/>
      <c r="SKG504" s="44"/>
      <c r="SKH504" s="44"/>
      <c r="SKI504" s="44"/>
      <c r="SKJ504" s="44"/>
      <c r="SKK504" s="44"/>
      <c r="SKL504" s="44"/>
      <c r="SKM504" s="44"/>
      <c r="SKN504" s="44"/>
      <c r="SKO504" s="44"/>
      <c r="SKP504" s="44"/>
      <c r="SKQ504" s="44"/>
      <c r="SKR504" s="44"/>
      <c r="SKS504" s="44"/>
      <c r="SKT504" s="44"/>
      <c r="SKU504" s="44"/>
      <c r="SKV504" s="44"/>
      <c r="SKW504" s="44"/>
      <c r="SKX504" s="44"/>
      <c r="SKY504" s="44"/>
      <c r="SKZ504" s="44"/>
      <c r="SLA504" s="44"/>
      <c r="SLB504" s="44"/>
      <c r="SLC504" s="44"/>
      <c r="SLD504" s="44"/>
      <c r="SLE504" s="44"/>
      <c r="SLF504" s="44"/>
      <c r="SLG504" s="44"/>
      <c r="SLH504" s="44"/>
      <c r="SLI504" s="44"/>
      <c r="SLJ504" s="44"/>
      <c r="SLK504" s="44"/>
      <c r="SLL504" s="44"/>
      <c r="SLM504" s="44"/>
      <c r="SLN504" s="44"/>
      <c r="SLO504" s="44"/>
      <c r="SLP504" s="44"/>
      <c r="SLQ504" s="44"/>
      <c r="SLR504" s="44"/>
      <c r="SLS504" s="44"/>
      <c r="SLT504" s="44"/>
      <c r="SLU504" s="44"/>
      <c r="SLV504" s="44"/>
      <c r="SLW504" s="44"/>
      <c r="SLX504" s="44"/>
      <c r="SLY504" s="44"/>
      <c r="SLZ504" s="44"/>
      <c r="SMA504" s="44"/>
      <c r="SMB504" s="44"/>
      <c r="SMC504" s="44"/>
      <c r="SMD504" s="44"/>
      <c r="SME504" s="44"/>
      <c r="SMF504" s="44"/>
      <c r="SMG504" s="44"/>
      <c r="SMH504" s="44"/>
      <c r="SMI504" s="44"/>
      <c r="SMJ504" s="44"/>
      <c r="SMK504" s="44"/>
      <c r="SML504" s="44"/>
      <c r="SMM504" s="44"/>
      <c r="SMN504" s="44"/>
      <c r="SMO504" s="44"/>
      <c r="SMP504" s="44"/>
      <c r="SMQ504" s="44"/>
      <c r="SMR504" s="44"/>
      <c r="SMS504" s="44"/>
      <c r="SMT504" s="44"/>
      <c r="SMU504" s="44"/>
      <c r="SMV504" s="44"/>
      <c r="SMW504" s="44"/>
      <c r="SMX504" s="44"/>
      <c r="SMY504" s="44"/>
      <c r="SMZ504" s="44"/>
      <c r="SNA504" s="44"/>
      <c r="SNB504" s="44"/>
      <c r="SNC504" s="44"/>
      <c r="SND504" s="44"/>
      <c r="SNE504" s="44"/>
      <c r="SNF504" s="44"/>
      <c r="SNG504" s="44"/>
      <c r="SNH504" s="44"/>
      <c r="SNI504" s="44"/>
      <c r="SNJ504" s="44"/>
      <c r="SNK504" s="44"/>
      <c r="SNL504" s="44"/>
      <c r="SNM504" s="44"/>
      <c r="SNN504" s="44"/>
      <c r="SNO504" s="44"/>
      <c r="SNP504" s="44"/>
      <c r="SNQ504" s="44"/>
      <c r="SNR504" s="44"/>
      <c r="SNS504" s="44"/>
      <c r="SNT504" s="44"/>
      <c r="SNU504" s="44"/>
      <c r="SNV504" s="44"/>
      <c r="SNW504" s="44"/>
      <c r="SNX504" s="44"/>
      <c r="SNY504" s="44"/>
      <c r="SNZ504" s="44"/>
      <c r="SOA504" s="44"/>
      <c r="SOB504" s="44"/>
      <c r="SOC504" s="44"/>
      <c r="SOD504" s="44"/>
      <c r="SOE504" s="44"/>
      <c r="SOF504" s="44"/>
      <c r="SOG504" s="44"/>
      <c r="SOH504" s="44"/>
      <c r="SOI504" s="44"/>
      <c r="SOJ504" s="44"/>
      <c r="SOK504" s="44"/>
      <c r="SOL504" s="44"/>
      <c r="SOM504" s="44"/>
      <c r="SON504" s="44"/>
      <c r="SOO504" s="44"/>
      <c r="SOP504" s="44"/>
      <c r="SOQ504" s="44"/>
      <c r="SOR504" s="44"/>
      <c r="SOS504" s="44"/>
      <c r="SOT504" s="44"/>
      <c r="SOU504" s="44"/>
      <c r="SOV504" s="44"/>
      <c r="SOW504" s="44"/>
      <c r="SOX504" s="44"/>
      <c r="SOY504" s="44"/>
      <c r="SOZ504" s="44"/>
      <c r="SPA504" s="44"/>
      <c r="SPB504" s="44"/>
      <c r="SPC504" s="44"/>
      <c r="SPD504" s="44"/>
      <c r="SPE504" s="44"/>
      <c r="SPF504" s="44"/>
      <c r="SPG504" s="44"/>
      <c r="SPH504" s="44"/>
      <c r="SPI504" s="44"/>
      <c r="SPJ504" s="44"/>
      <c r="SPK504" s="44"/>
      <c r="SPL504" s="44"/>
      <c r="SPM504" s="44"/>
      <c r="SPN504" s="44"/>
      <c r="SPO504" s="44"/>
      <c r="SPP504" s="44"/>
      <c r="SPQ504" s="44"/>
      <c r="SPR504" s="44"/>
      <c r="SPS504" s="44"/>
      <c r="SPT504" s="44"/>
      <c r="SPU504" s="44"/>
      <c r="SPV504" s="44"/>
      <c r="SPW504" s="44"/>
      <c r="SPX504" s="44"/>
      <c r="SPY504" s="44"/>
      <c r="SPZ504" s="44"/>
      <c r="SQA504" s="44"/>
      <c r="SQB504" s="44"/>
      <c r="SQC504" s="44"/>
      <c r="SQD504" s="44"/>
      <c r="SQE504" s="44"/>
      <c r="SQF504" s="44"/>
      <c r="SQG504" s="44"/>
      <c r="SQH504" s="44"/>
      <c r="SQI504" s="44"/>
      <c r="SQJ504" s="44"/>
      <c r="SQK504" s="44"/>
      <c r="SQL504" s="44"/>
      <c r="SQM504" s="44"/>
      <c r="SQN504" s="44"/>
      <c r="SQO504" s="44"/>
      <c r="SQP504" s="44"/>
      <c r="SQQ504" s="44"/>
      <c r="SQR504" s="44"/>
      <c r="SQS504" s="44"/>
      <c r="SQT504" s="44"/>
      <c r="SQU504" s="44"/>
      <c r="SQV504" s="44"/>
      <c r="SQW504" s="44"/>
      <c r="SQX504" s="44"/>
      <c r="SQY504" s="44"/>
      <c r="SQZ504" s="44"/>
      <c r="SRA504" s="44"/>
      <c r="SRB504" s="44"/>
      <c r="SRC504" s="44"/>
      <c r="SRD504" s="44"/>
      <c r="SRE504" s="44"/>
      <c r="SRF504" s="44"/>
      <c r="SRG504" s="44"/>
      <c r="SRH504" s="44"/>
      <c r="SRI504" s="44"/>
      <c r="SRJ504" s="44"/>
      <c r="SRK504" s="44"/>
      <c r="SRL504" s="44"/>
      <c r="SRM504" s="44"/>
      <c r="SRN504" s="44"/>
      <c r="SRO504" s="44"/>
      <c r="SRP504" s="44"/>
      <c r="SRQ504" s="44"/>
      <c r="SRR504" s="44"/>
      <c r="SRS504" s="44"/>
      <c r="SRT504" s="44"/>
      <c r="SRU504" s="44"/>
      <c r="SRV504" s="44"/>
      <c r="SRW504" s="44"/>
      <c r="SRX504" s="44"/>
      <c r="SRY504" s="44"/>
      <c r="SRZ504" s="44"/>
      <c r="SSA504" s="44"/>
      <c r="SSB504" s="44"/>
      <c r="SSC504" s="44"/>
      <c r="SSD504" s="44"/>
      <c r="SSE504" s="44"/>
      <c r="SSF504" s="44"/>
      <c r="SSG504" s="44"/>
      <c r="SSH504" s="44"/>
      <c r="SSI504" s="44"/>
      <c r="SSJ504" s="44"/>
      <c r="SSK504" s="44"/>
      <c r="SSL504" s="44"/>
      <c r="SSM504" s="44"/>
      <c r="SSN504" s="44"/>
      <c r="SSO504" s="44"/>
      <c r="SSP504" s="44"/>
      <c r="SSQ504" s="44"/>
      <c r="SSR504" s="44"/>
      <c r="SSS504" s="44"/>
      <c r="SST504" s="44"/>
      <c r="SSU504" s="44"/>
      <c r="SSV504" s="44"/>
      <c r="SSW504" s="44"/>
      <c r="SSX504" s="44"/>
      <c r="SSY504" s="44"/>
      <c r="SSZ504" s="44"/>
      <c r="STA504" s="44"/>
      <c r="STB504" s="44"/>
      <c r="STC504" s="44"/>
      <c r="STD504" s="44"/>
      <c r="STE504" s="44"/>
      <c r="STF504" s="44"/>
      <c r="STG504" s="44"/>
      <c r="STH504" s="44"/>
      <c r="STI504" s="44"/>
      <c r="STJ504" s="44"/>
      <c r="STK504" s="44"/>
      <c r="STL504" s="44"/>
      <c r="STM504" s="44"/>
      <c r="STN504" s="44"/>
      <c r="STO504" s="44"/>
      <c r="STP504" s="44"/>
      <c r="STQ504" s="44"/>
      <c r="STR504" s="44"/>
      <c r="STS504" s="44"/>
      <c r="STT504" s="44"/>
      <c r="STU504" s="44"/>
      <c r="STV504" s="44"/>
      <c r="STW504" s="44"/>
      <c r="STX504" s="44"/>
      <c r="STY504" s="44"/>
      <c r="STZ504" s="44"/>
      <c r="SUA504" s="44"/>
      <c r="SUB504" s="44"/>
      <c r="SUC504" s="44"/>
      <c r="SUD504" s="44"/>
      <c r="SUE504" s="44"/>
      <c r="SUF504" s="44"/>
      <c r="SUG504" s="44"/>
      <c r="SUH504" s="44"/>
      <c r="SUI504" s="44"/>
      <c r="SUJ504" s="44"/>
      <c r="SUK504" s="44"/>
      <c r="SUL504" s="44"/>
      <c r="SUM504" s="44"/>
      <c r="SUN504" s="44"/>
      <c r="SUO504" s="44"/>
      <c r="SUP504" s="44"/>
      <c r="SUQ504" s="44"/>
      <c r="SUR504" s="44"/>
      <c r="SUS504" s="44"/>
      <c r="SUT504" s="44"/>
      <c r="SUU504" s="44"/>
      <c r="SUV504" s="44"/>
      <c r="SUW504" s="44"/>
      <c r="SUX504" s="44"/>
      <c r="SUY504" s="44"/>
      <c r="SUZ504" s="44"/>
      <c r="SVA504" s="44"/>
      <c r="SVB504" s="44"/>
      <c r="SVC504" s="44"/>
      <c r="SVD504" s="44"/>
      <c r="SVE504" s="44"/>
      <c r="SVF504" s="44"/>
      <c r="SVG504" s="44"/>
      <c r="SVH504" s="44"/>
      <c r="SVI504" s="44"/>
      <c r="SVJ504" s="44"/>
      <c r="SVK504" s="44"/>
      <c r="SVL504" s="44"/>
      <c r="SVM504" s="44"/>
      <c r="SVN504" s="44"/>
      <c r="SVO504" s="44"/>
      <c r="SVP504" s="44"/>
      <c r="SVQ504" s="44"/>
      <c r="SVR504" s="44"/>
      <c r="SVS504" s="44"/>
      <c r="SVT504" s="44"/>
      <c r="SVU504" s="44"/>
      <c r="SVV504" s="44"/>
      <c r="SVW504" s="44"/>
      <c r="SVX504" s="44"/>
      <c r="SVY504" s="44"/>
      <c r="SVZ504" s="44"/>
      <c r="SWA504" s="44"/>
      <c r="SWB504" s="44"/>
      <c r="SWC504" s="44"/>
      <c r="SWD504" s="44"/>
      <c r="SWE504" s="44"/>
      <c r="SWF504" s="44"/>
      <c r="SWG504" s="44"/>
      <c r="SWH504" s="44"/>
      <c r="SWI504" s="44"/>
      <c r="SWJ504" s="44"/>
      <c r="SWK504" s="44"/>
      <c r="SWL504" s="44"/>
      <c r="SWM504" s="44"/>
      <c r="SWN504" s="44"/>
      <c r="SWO504" s="44"/>
      <c r="SWP504" s="44"/>
      <c r="SWQ504" s="44"/>
      <c r="SWR504" s="44"/>
      <c r="SWS504" s="44"/>
      <c r="SWT504" s="44"/>
      <c r="SWU504" s="44"/>
      <c r="SWV504" s="44"/>
      <c r="SWW504" s="44"/>
      <c r="SWX504" s="44"/>
      <c r="SWY504" s="44"/>
      <c r="SWZ504" s="44"/>
      <c r="SXA504" s="44"/>
      <c r="SXB504" s="44"/>
      <c r="SXC504" s="44"/>
      <c r="SXD504" s="44"/>
      <c r="SXE504" s="44"/>
      <c r="SXF504" s="44"/>
      <c r="SXG504" s="44"/>
      <c r="SXH504" s="44"/>
      <c r="SXI504" s="44"/>
      <c r="SXJ504" s="44"/>
      <c r="SXK504" s="44"/>
      <c r="SXL504" s="44"/>
      <c r="SXM504" s="44"/>
      <c r="SXN504" s="44"/>
      <c r="SXO504" s="44"/>
      <c r="SXP504" s="44"/>
      <c r="SXQ504" s="44"/>
      <c r="SXR504" s="44"/>
      <c r="SXS504" s="44"/>
      <c r="SXT504" s="44"/>
      <c r="SXU504" s="44"/>
      <c r="SXV504" s="44"/>
      <c r="SXW504" s="44"/>
      <c r="SXX504" s="44"/>
      <c r="SXY504" s="44"/>
      <c r="SXZ504" s="44"/>
      <c r="SYA504" s="44"/>
      <c r="SYB504" s="44"/>
      <c r="SYC504" s="44"/>
      <c r="SYD504" s="44"/>
      <c r="SYE504" s="44"/>
      <c r="SYF504" s="44"/>
      <c r="SYG504" s="44"/>
      <c r="SYH504" s="44"/>
      <c r="SYI504" s="44"/>
      <c r="SYJ504" s="44"/>
      <c r="SYK504" s="44"/>
      <c r="SYL504" s="44"/>
      <c r="SYM504" s="44"/>
      <c r="SYN504" s="44"/>
      <c r="SYO504" s="44"/>
      <c r="SYP504" s="44"/>
      <c r="SYQ504" s="44"/>
      <c r="SYR504" s="44"/>
      <c r="SYS504" s="44"/>
      <c r="SYT504" s="44"/>
      <c r="SYU504" s="44"/>
      <c r="SYV504" s="44"/>
      <c r="SYW504" s="44"/>
      <c r="SYX504" s="44"/>
      <c r="SYY504" s="44"/>
      <c r="SYZ504" s="44"/>
      <c r="SZA504" s="44"/>
      <c r="SZB504" s="44"/>
      <c r="SZC504" s="44"/>
      <c r="SZD504" s="44"/>
      <c r="SZE504" s="44"/>
      <c r="SZF504" s="44"/>
      <c r="SZG504" s="44"/>
      <c r="SZH504" s="44"/>
      <c r="SZI504" s="44"/>
      <c r="SZJ504" s="44"/>
      <c r="SZK504" s="44"/>
      <c r="SZL504" s="44"/>
      <c r="SZM504" s="44"/>
      <c r="SZN504" s="44"/>
      <c r="SZO504" s="44"/>
      <c r="SZP504" s="44"/>
      <c r="SZQ504" s="44"/>
      <c r="SZR504" s="44"/>
      <c r="SZS504" s="44"/>
      <c r="SZT504" s="44"/>
      <c r="SZU504" s="44"/>
      <c r="SZV504" s="44"/>
      <c r="SZW504" s="44"/>
      <c r="SZX504" s="44"/>
      <c r="SZY504" s="44"/>
      <c r="SZZ504" s="44"/>
      <c r="TAA504" s="44"/>
      <c r="TAB504" s="44"/>
      <c r="TAC504" s="44"/>
      <c r="TAD504" s="44"/>
      <c r="TAE504" s="44"/>
      <c r="TAF504" s="44"/>
      <c r="TAG504" s="44"/>
      <c r="TAH504" s="44"/>
      <c r="TAI504" s="44"/>
      <c r="TAJ504" s="44"/>
      <c r="TAK504" s="44"/>
      <c r="TAL504" s="44"/>
      <c r="TAM504" s="44"/>
      <c r="TAN504" s="44"/>
      <c r="TAO504" s="44"/>
      <c r="TAP504" s="44"/>
      <c r="TAQ504" s="44"/>
      <c r="TAR504" s="44"/>
      <c r="TAS504" s="44"/>
      <c r="TAT504" s="44"/>
      <c r="TAU504" s="44"/>
      <c r="TAV504" s="44"/>
      <c r="TAW504" s="44"/>
      <c r="TAX504" s="44"/>
      <c r="TAY504" s="44"/>
      <c r="TAZ504" s="44"/>
      <c r="TBA504" s="44"/>
      <c r="TBB504" s="44"/>
      <c r="TBC504" s="44"/>
      <c r="TBD504" s="44"/>
      <c r="TBE504" s="44"/>
      <c r="TBF504" s="44"/>
      <c r="TBG504" s="44"/>
      <c r="TBH504" s="44"/>
      <c r="TBI504" s="44"/>
      <c r="TBJ504" s="44"/>
      <c r="TBK504" s="44"/>
      <c r="TBL504" s="44"/>
      <c r="TBM504" s="44"/>
      <c r="TBN504" s="44"/>
      <c r="TBO504" s="44"/>
      <c r="TBP504" s="44"/>
      <c r="TBQ504" s="44"/>
      <c r="TBR504" s="44"/>
      <c r="TBS504" s="44"/>
      <c r="TBT504" s="44"/>
      <c r="TBU504" s="44"/>
      <c r="TBV504" s="44"/>
      <c r="TBW504" s="44"/>
      <c r="TBX504" s="44"/>
      <c r="TBY504" s="44"/>
      <c r="TBZ504" s="44"/>
      <c r="TCA504" s="44"/>
      <c r="TCB504" s="44"/>
      <c r="TCC504" s="44"/>
      <c r="TCD504" s="44"/>
      <c r="TCE504" s="44"/>
      <c r="TCF504" s="44"/>
      <c r="TCG504" s="44"/>
      <c r="TCH504" s="44"/>
      <c r="TCI504" s="44"/>
      <c r="TCJ504" s="44"/>
      <c r="TCK504" s="44"/>
      <c r="TCL504" s="44"/>
      <c r="TCM504" s="44"/>
      <c r="TCN504" s="44"/>
      <c r="TCO504" s="44"/>
      <c r="TCP504" s="44"/>
      <c r="TCQ504" s="44"/>
      <c r="TCR504" s="44"/>
      <c r="TCS504" s="44"/>
      <c r="TCT504" s="44"/>
      <c r="TCU504" s="44"/>
      <c r="TCV504" s="44"/>
      <c r="TCW504" s="44"/>
      <c r="TCX504" s="44"/>
      <c r="TCY504" s="44"/>
      <c r="TCZ504" s="44"/>
      <c r="TDA504" s="44"/>
      <c r="TDB504" s="44"/>
      <c r="TDC504" s="44"/>
      <c r="TDD504" s="44"/>
      <c r="TDE504" s="44"/>
      <c r="TDF504" s="44"/>
      <c r="TDG504" s="44"/>
      <c r="TDH504" s="44"/>
      <c r="TDI504" s="44"/>
      <c r="TDJ504" s="44"/>
      <c r="TDK504" s="44"/>
      <c r="TDL504" s="44"/>
      <c r="TDM504" s="44"/>
      <c r="TDN504" s="44"/>
      <c r="TDO504" s="44"/>
      <c r="TDP504" s="44"/>
      <c r="TDQ504" s="44"/>
      <c r="TDR504" s="44"/>
      <c r="TDS504" s="44"/>
      <c r="TDT504" s="44"/>
      <c r="TDU504" s="44"/>
      <c r="TDV504" s="44"/>
      <c r="TDW504" s="44"/>
      <c r="TDX504" s="44"/>
      <c r="TDY504" s="44"/>
      <c r="TDZ504" s="44"/>
      <c r="TEA504" s="44"/>
      <c r="TEB504" s="44"/>
      <c r="TEC504" s="44"/>
      <c r="TED504" s="44"/>
      <c r="TEE504" s="44"/>
      <c r="TEF504" s="44"/>
      <c r="TEG504" s="44"/>
      <c r="TEH504" s="44"/>
      <c r="TEI504" s="44"/>
      <c r="TEJ504" s="44"/>
      <c r="TEK504" s="44"/>
      <c r="TEL504" s="44"/>
      <c r="TEM504" s="44"/>
      <c r="TEN504" s="44"/>
      <c r="TEO504" s="44"/>
      <c r="TEP504" s="44"/>
      <c r="TEQ504" s="44"/>
      <c r="TER504" s="44"/>
      <c r="TES504" s="44"/>
      <c r="TET504" s="44"/>
      <c r="TEU504" s="44"/>
      <c r="TEV504" s="44"/>
      <c r="TEW504" s="44"/>
      <c r="TEX504" s="44"/>
      <c r="TEY504" s="44"/>
      <c r="TEZ504" s="44"/>
      <c r="TFA504" s="44"/>
      <c r="TFB504" s="44"/>
      <c r="TFC504" s="44"/>
      <c r="TFD504" s="44"/>
      <c r="TFE504" s="44"/>
      <c r="TFF504" s="44"/>
      <c r="TFG504" s="44"/>
      <c r="TFH504" s="44"/>
      <c r="TFI504" s="44"/>
      <c r="TFJ504" s="44"/>
      <c r="TFK504" s="44"/>
      <c r="TFL504" s="44"/>
      <c r="TFM504" s="44"/>
      <c r="TFN504" s="44"/>
      <c r="TFO504" s="44"/>
      <c r="TFP504" s="44"/>
      <c r="TFQ504" s="44"/>
      <c r="TFR504" s="44"/>
      <c r="TFS504" s="44"/>
      <c r="TFT504" s="44"/>
      <c r="TFU504" s="44"/>
      <c r="TFV504" s="44"/>
      <c r="TFW504" s="44"/>
      <c r="TFX504" s="44"/>
      <c r="TFY504" s="44"/>
      <c r="TFZ504" s="44"/>
      <c r="TGA504" s="44"/>
      <c r="TGB504" s="44"/>
      <c r="TGC504" s="44"/>
      <c r="TGD504" s="44"/>
      <c r="TGE504" s="44"/>
      <c r="TGF504" s="44"/>
      <c r="TGG504" s="44"/>
      <c r="TGH504" s="44"/>
      <c r="TGI504" s="44"/>
      <c r="TGJ504" s="44"/>
      <c r="TGK504" s="44"/>
      <c r="TGL504" s="44"/>
      <c r="TGM504" s="44"/>
      <c r="TGN504" s="44"/>
      <c r="TGO504" s="44"/>
      <c r="TGP504" s="44"/>
      <c r="TGQ504" s="44"/>
      <c r="TGR504" s="44"/>
      <c r="TGS504" s="44"/>
      <c r="TGT504" s="44"/>
      <c r="TGU504" s="44"/>
      <c r="TGV504" s="44"/>
      <c r="TGW504" s="44"/>
      <c r="TGX504" s="44"/>
      <c r="TGY504" s="44"/>
      <c r="TGZ504" s="44"/>
      <c r="THA504" s="44"/>
      <c r="THB504" s="44"/>
      <c r="THC504" s="44"/>
      <c r="THD504" s="44"/>
      <c r="THE504" s="44"/>
      <c r="THF504" s="44"/>
      <c r="THG504" s="44"/>
      <c r="THH504" s="44"/>
      <c r="THI504" s="44"/>
      <c r="THJ504" s="44"/>
      <c r="THK504" s="44"/>
      <c r="THL504" s="44"/>
      <c r="THM504" s="44"/>
      <c r="THN504" s="44"/>
      <c r="THO504" s="44"/>
      <c r="THP504" s="44"/>
      <c r="THQ504" s="44"/>
      <c r="THR504" s="44"/>
      <c r="THS504" s="44"/>
      <c r="THT504" s="44"/>
      <c r="THU504" s="44"/>
      <c r="THV504" s="44"/>
      <c r="THW504" s="44"/>
      <c r="THX504" s="44"/>
      <c r="THY504" s="44"/>
      <c r="THZ504" s="44"/>
      <c r="TIA504" s="44"/>
      <c r="TIB504" s="44"/>
      <c r="TIC504" s="44"/>
      <c r="TID504" s="44"/>
      <c r="TIE504" s="44"/>
      <c r="TIF504" s="44"/>
      <c r="TIG504" s="44"/>
      <c r="TIH504" s="44"/>
      <c r="TII504" s="44"/>
      <c r="TIJ504" s="44"/>
      <c r="TIK504" s="44"/>
      <c r="TIL504" s="44"/>
      <c r="TIM504" s="44"/>
      <c r="TIN504" s="44"/>
      <c r="TIO504" s="44"/>
      <c r="TIP504" s="44"/>
      <c r="TIQ504" s="44"/>
      <c r="TIR504" s="44"/>
      <c r="TIS504" s="44"/>
      <c r="TIT504" s="44"/>
      <c r="TIU504" s="44"/>
      <c r="TIV504" s="44"/>
      <c r="TIW504" s="44"/>
      <c r="TIX504" s="44"/>
      <c r="TIY504" s="44"/>
      <c r="TIZ504" s="44"/>
      <c r="TJA504" s="44"/>
      <c r="TJB504" s="44"/>
      <c r="TJC504" s="44"/>
      <c r="TJD504" s="44"/>
      <c r="TJE504" s="44"/>
      <c r="TJF504" s="44"/>
      <c r="TJG504" s="44"/>
      <c r="TJH504" s="44"/>
      <c r="TJI504" s="44"/>
      <c r="TJJ504" s="44"/>
      <c r="TJK504" s="44"/>
      <c r="TJL504" s="44"/>
      <c r="TJM504" s="44"/>
      <c r="TJN504" s="44"/>
      <c r="TJO504" s="44"/>
      <c r="TJP504" s="44"/>
      <c r="TJQ504" s="44"/>
      <c r="TJR504" s="44"/>
      <c r="TJS504" s="44"/>
      <c r="TJT504" s="44"/>
      <c r="TJU504" s="44"/>
      <c r="TJV504" s="44"/>
      <c r="TJW504" s="44"/>
      <c r="TJX504" s="44"/>
      <c r="TJY504" s="44"/>
      <c r="TJZ504" s="44"/>
      <c r="TKA504" s="44"/>
      <c r="TKB504" s="44"/>
      <c r="TKC504" s="44"/>
      <c r="TKD504" s="44"/>
      <c r="TKE504" s="44"/>
      <c r="TKF504" s="44"/>
      <c r="TKG504" s="44"/>
      <c r="TKH504" s="44"/>
      <c r="TKI504" s="44"/>
      <c r="TKJ504" s="44"/>
      <c r="TKK504" s="44"/>
      <c r="TKL504" s="44"/>
      <c r="TKM504" s="44"/>
      <c r="TKN504" s="44"/>
      <c r="TKO504" s="44"/>
      <c r="TKP504" s="44"/>
      <c r="TKQ504" s="44"/>
      <c r="TKR504" s="44"/>
      <c r="TKS504" s="44"/>
      <c r="TKT504" s="44"/>
      <c r="TKU504" s="44"/>
      <c r="TKV504" s="44"/>
      <c r="TKW504" s="44"/>
      <c r="TKX504" s="44"/>
      <c r="TKY504" s="44"/>
      <c r="TKZ504" s="44"/>
      <c r="TLA504" s="44"/>
      <c r="TLB504" s="44"/>
      <c r="TLC504" s="44"/>
      <c r="TLD504" s="44"/>
      <c r="TLE504" s="44"/>
      <c r="TLF504" s="44"/>
      <c r="TLG504" s="44"/>
      <c r="TLH504" s="44"/>
      <c r="TLI504" s="44"/>
      <c r="TLJ504" s="44"/>
      <c r="TLK504" s="44"/>
      <c r="TLL504" s="44"/>
      <c r="TLM504" s="44"/>
      <c r="TLN504" s="44"/>
      <c r="TLO504" s="44"/>
      <c r="TLP504" s="44"/>
      <c r="TLQ504" s="44"/>
      <c r="TLR504" s="44"/>
      <c r="TLS504" s="44"/>
      <c r="TLT504" s="44"/>
      <c r="TLU504" s="44"/>
      <c r="TLV504" s="44"/>
      <c r="TLW504" s="44"/>
      <c r="TLX504" s="44"/>
      <c r="TLY504" s="44"/>
      <c r="TLZ504" s="44"/>
      <c r="TMA504" s="44"/>
      <c r="TMB504" s="44"/>
      <c r="TMC504" s="44"/>
      <c r="TMD504" s="44"/>
      <c r="TME504" s="44"/>
      <c r="TMF504" s="44"/>
      <c r="TMG504" s="44"/>
      <c r="TMH504" s="44"/>
      <c r="TMI504" s="44"/>
      <c r="TMJ504" s="44"/>
      <c r="TMK504" s="44"/>
      <c r="TML504" s="44"/>
      <c r="TMM504" s="44"/>
      <c r="TMN504" s="44"/>
      <c r="TMO504" s="44"/>
      <c r="TMP504" s="44"/>
      <c r="TMQ504" s="44"/>
      <c r="TMR504" s="44"/>
      <c r="TMS504" s="44"/>
      <c r="TMT504" s="44"/>
      <c r="TMU504" s="44"/>
      <c r="TMV504" s="44"/>
      <c r="TMW504" s="44"/>
      <c r="TMX504" s="44"/>
      <c r="TMY504" s="44"/>
      <c r="TMZ504" s="44"/>
      <c r="TNA504" s="44"/>
      <c r="TNB504" s="44"/>
      <c r="TNC504" s="44"/>
      <c r="TND504" s="44"/>
      <c r="TNE504" s="44"/>
      <c r="TNF504" s="44"/>
      <c r="TNG504" s="44"/>
      <c r="TNH504" s="44"/>
      <c r="TNI504" s="44"/>
      <c r="TNJ504" s="44"/>
      <c r="TNK504" s="44"/>
      <c r="TNL504" s="44"/>
      <c r="TNM504" s="44"/>
      <c r="TNN504" s="44"/>
      <c r="TNO504" s="44"/>
      <c r="TNP504" s="44"/>
      <c r="TNQ504" s="44"/>
      <c r="TNR504" s="44"/>
      <c r="TNS504" s="44"/>
      <c r="TNT504" s="44"/>
      <c r="TNU504" s="44"/>
      <c r="TNV504" s="44"/>
      <c r="TNW504" s="44"/>
      <c r="TNX504" s="44"/>
      <c r="TNY504" s="44"/>
      <c r="TNZ504" s="44"/>
      <c r="TOA504" s="44"/>
      <c r="TOB504" s="44"/>
      <c r="TOC504" s="44"/>
      <c r="TOD504" s="44"/>
      <c r="TOE504" s="44"/>
      <c r="TOF504" s="44"/>
      <c r="TOG504" s="44"/>
      <c r="TOH504" s="44"/>
      <c r="TOI504" s="44"/>
      <c r="TOJ504" s="44"/>
      <c r="TOK504" s="44"/>
      <c r="TOL504" s="44"/>
      <c r="TOM504" s="44"/>
      <c r="TON504" s="44"/>
      <c r="TOO504" s="44"/>
      <c r="TOP504" s="44"/>
      <c r="TOQ504" s="44"/>
      <c r="TOR504" s="44"/>
      <c r="TOS504" s="44"/>
      <c r="TOT504" s="44"/>
      <c r="TOU504" s="44"/>
      <c r="TOV504" s="44"/>
      <c r="TOW504" s="44"/>
      <c r="TOX504" s="44"/>
      <c r="TOY504" s="44"/>
      <c r="TOZ504" s="44"/>
      <c r="TPA504" s="44"/>
      <c r="TPB504" s="44"/>
      <c r="TPC504" s="44"/>
      <c r="TPD504" s="44"/>
      <c r="TPE504" s="44"/>
      <c r="TPF504" s="44"/>
      <c r="TPG504" s="44"/>
      <c r="TPH504" s="44"/>
      <c r="TPI504" s="44"/>
      <c r="TPJ504" s="44"/>
      <c r="TPK504" s="44"/>
      <c r="TPL504" s="44"/>
      <c r="TPM504" s="44"/>
      <c r="TPN504" s="44"/>
      <c r="TPO504" s="44"/>
      <c r="TPP504" s="44"/>
      <c r="TPQ504" s="44"/>
      <c r="TPR504" s="44"/>
      <c r="TPS504" s="44"/>
      <c r="TPT504" s="44"/>
      <c r="TPU504" s="44"/>
      <c r="TPV504" s="44"/>
      <c r="TPW504" s="44"/>
      <c r="TPX504" s="44"/>
      <c r="TPY504" s="44"/>
      <c r="TPZ504" s="44"/>
      <c r="TQA504" s="44"/>
      <c r="TQB504" s="44"/>
      <c r="TQC504" s="44"/>
      <c r="TQD504" s="44"/>
      <c r="TQE504" s="44"/>
      <c r="TQF504" s="44"/>
      <c r="TQG504" s="44"/>
      <c r="TQH504" s="44"/>
      <c r="TQI504" s="44"/>
      <c r="TQJ504" s="44"/>
      <c r="TQK504" s="44"/>
      <c r="TQL504" s="44"/>
      <c r="TQM504" s="44"/>
      <c r="TQN504" s="44"/>
      <c r="TQO504" s="44"/>
      <c r="TQP504" s="44"/>
      <c r="TQQ504" s="44"/>
      <c r="TQR504" s="44"/>
      <c r="TQS504" s="44"/>
      <c r="TQT504" s="44"/>
      <c r="TQU504" s="44"/>
      <c r="TQV504" s="44"/>
      <c r="TQW504" s="44"/>
      <c r="TQX504" s="44"/>
      <c r="TQY504" s="44"/>
      <c r="TQZ504" s="44"/>
      <c r="TRA504" s="44"/>
      <c r="TRB504" s="44"/>
      <c r="TRC504" s="44"/>
      <c r="TRD504" s="44"/>
      <c r="TRE504" s="44"/>
      <c r="TRF504" s="44"/>
      <c r="TRG504" s="44"/>
      <c r="TRH504" s="44"/>
      <c r="TRI504" s="44"/>
      <c r="TRJ504" s="44"/>
      <c r="TRK504" s="44"/>
      <c r="TRL504" s="44"/>
      <c r="TRM504" s="44"/>
      <c r="TRN504" s="44"/>
      <c r="TRO504" s="44"/>
      <c r="TRP504" s="44"/>
      <c r="TRQ504" s="44"/>
      <c r="TRR504" s="44"/>
      <c r="TRS504" s="44"/>
      <c r="TRT504" s="44"/>
      <c r="TRU504" s="44"/>
      <c r="TRV504" s="44"/>
      <c r="TRW504" s="44"/>
      <c r="TRX504" s="44"/>
      <c r="TRY504" s="44"/>
      <c r="TRZ504" s="44"/>
      <c r="TSA504" s="44"/>
      <c r="TSB504" s="44"/>
      <c r="TSC504" s="44"/>
      <c r="TSD504" s="44"/>
      <c r="TSE504" s="44"/>
      <c r="TSF504" s="44"/>
      <c r="TSG504" s="44"/>
      <c r="TSH504" s="44"/>
      <c r="TSI504" s="44"/>
      <c r="TSJ504" s="44"/>
      <c r="TSK504" s="44"/>
      <c r="TSL504" s="44"/>
      <c r="TSM504" s="44"/>
      <c r="TSN504" s="44"/>
      <c r="TSO504" s="44"/>
      <c r="TSP504" s="44"/>
      <c r="TSQ504" s="44"/>
      <c r="TSR504" s="44"/>
      <c r="TSS504" s="44"/>
      <c r="TST504" s="44"/>
      <c r="TSU504" s="44"/>
      <c r="TSV504" s="44"/>
      <c r="TSW504" s="44"/>
      <c r="TSX504" s="44"/>
      <c r="TSY504" s="44"/>
      <c r="TSZ504" s="44"/>
      <c r="TTA504" s="44"/>
      <c r="TTB504" s="44"/>
      <c r="TTC504" s="44"/>
      <c r="TTD504" s="44"/>
      <c r="TTE504" s="44"/>
      <c r="TTF504" s="44"/>
      <c r="TTG504" s="44"/>
      <c r="TTH504" s="44"/>
      <c r="TTI504" s="44"/>
      <c r="TTJ504" s="44"/>
      <c r="TTK504" s="44"/>
      <c r="TTL504" s="44"/>
      <c r="TTM504" s="44"/>
      <c r="TTN504" s="44"/>
      <c r="TTO504" s="44"/>
      <c r="TTP504" s="44"/>
      <c r="TTQ504" s="44"/>
      <c r="TTR504" s="44"/>
      <c r="TTS504" s="44"/>
      <c r="TTT504" s="44"/>
      <c r="TTU504" s="44"/>
      <c r="TTV504" s="44"/>
      <c r="TTW504" s="44"/>
      <c r="TTX504" s="44"/>
      <c r="TTY504" s="44"/>
      <c r="TTZ504" s="44"/>
      <c r="TUA504" s="44"/>
      <c r="TUB504" s="44"/>
      <c r="TUC504" s="44"/>
      <c r="TUD504" s="44"/>
      <c r="TUE504" s="44"/>
      <c r="TUF504" s="44"/>
      <c r="TUG504" s="44"/>
      <c r="TUH504" s="44"/>
      <c r="TUI504" s="44"/>
      <c r="TUJ504" s="44"/>
      <c r="TUK504" s="44"/>
      <c r="TUL504" s="44"/>
      <c r="TUM504" s="44"/>
      <c r="TUN504" s="44"/>
      <c r="TUO504" s="44"/>
      <c r="TUP504" s="44"/>
      <c r="TUQ504" s="44"/>
      <c r="TUR504" s="44"/>
      <c r="TUS504" s="44"/>
      <c r="TUT504" s="44"/>
      <c r="TUU504" s="44"/>
      <c r="TUV504" s="44"/>
      <c r="TUW504" s="44"/>
      <c r="TUX504" s="44"/>
      <c r="TUY504" s="44"/>
      <c r="TUZ504" s="44"/>
      <c r="TVA504" s="44"/>
      <c r="TVB504" s="44"/>
      <c r="TVC504" s="44"/>
      <c r="TVD504" s="44"/>
      <c r="TVE504" s="44"/>
      <c r="TVF504" s="44"/>
      <c r="TVG504" s="44"/>
      <c r="TVH504" s="44"/>
      <c r="TVI504" s="44"/>
      <c r="TVJ504" s="44"/>
      <c r="TVK504" s="44"/>
      <c r="TVL504" s="44"/>
      <c r="TVM504" s="44"/>
      <c r="TVN504" s="44"/>
      <c r="TVO504" s="44"/>
      <c r="TVP504" s="44"/>
      <c r="TVQ504" s="44"/>
      <c r="TVR504" s="44"/>
      <c r="TVS504" s="44"/>
      <c r="TVT504" s="44"/>
      <c r="TVU504" s="44"/>
      <c r="TVV504" s="44"/>
      <c r="TVW504" s="44"/>
      <c r="TVX504" s="44"/>
      <c r="TVY504" s="44"/>
      <c r="TVZ504" s="44"/>
      <c r="TWA504" s="44"/>
      <c r="TWB504" s="44"/>
      <c r="TWC504" s="44"/>
      <c r="TWD504" s="44"/>
      <c r="TWE504" s="44"/>
      <c r="TWF504" s="44"/>
      <c r="TWG504" s="44"/>
      <c r="TWH504" s="44"/>
      <c r="TWI504" s="44"/>
      <c r="TWJ504" s="44"/>
      <c r="TWK504" s="44"/>
      <c r="TWL504" s="44"/>
      <c r="TWM504" s="44"/>
      <c r="TWN504" s="44"/>
      <c r="TWO504" s="44"/>
      <c r="TWP504" s="44"/>
      <c r="TWQ504" s="44"/>
      <c r="TWR504" s="44"/>
      <c r="TWS504" s="44"/>
      <c r="TWT504" s="44"/>
      <c r="TWU504" s="44"/>
      <c r="TWV504" s="44"/>
      <c r="TWW504" s="44"/>
      <c r="TWX504" s="44"/>
      <c r="TWY504" s="44"/>
      <c r="TWZ504" s="44"/>
      <c r="TXA504" s="44"/>
      <c r="TXB504" s="44"/>
      <c r="TXC504" s="44"/>
      <c r="TXD504" s="44"/>
      <c r="TXE504" s="44"/>
      <c r="TXF504" s="44"/>
      <c r="TXG504" s="44"/>
      <c r="TXH504" s="44"/>
      <c r="TXI504" s="44"/>
      <c r="TXJ504" s="44"/>
      <c r="TXK504" s="44"/>
      <c r="TXL504" s="44"/>
      <c r="TXM504" s="44"/>
      <c r="TXN504" s="44"/>
      <c r="TXO504" s="44"/>
      <c r="TXP504" s="44"/>
      <c r="TXQ504" s="44"/>
      <c r="TXR504" s="44"/>
      <c r="TXS504" s="44"/>
      <c r="TXT504" s="44"/>
      <c r="TXU504" s="44"/>
      <c r="TXV504" s="44"/>
      <c r="TXW504" s="44"/>
      <c r="TXX504" s="44"/>
      <c r="TXY504" s="44"/>
      <c r="TXZ504" s="44"/>
      <c r="TYA504" s="44"/>
      <c r="TYB504" s="44"/>
      <c r="TYC504" s="44"/>
      <c r="TYD504" s="44"/>
      <c r="TYE504" s="44"/>
      <c r="TYF504" s="44"/>
      <c r="TYG504" s="44"/>
      <c r="TYH504" s="44"/>
      <c r="TYI504" s="44"/>
      <c r="TYJ504" s="44"/>
      <c r="TYK504" s="44"/>
      <c r="TYL504" s="44"/>
      <c r="TYM504" s="44"/>
      <c r="TYN504" s="44"/>
      <c r="TYO504" s="44"/>
      <c r="TYP504" s="44"/>
      <c r="TYQ504" s="44"/>
      <c r="TYR504" s="44"/>
      <c r="TYS504" s="44"/>
      <c r="TYT504" s="44"/>
      <c r="TYU504" s="44"/>
      <c r="TYV504" s="44"/>
      <c r="TYW504" s="44"/>
      <c r="TYX504" s="44"/>
      <c r="TYY504" s="44"/>
      <c r="TYZ504" s="44"/>
      <c r="TZA504" s="44"/>
      <c r="TZB504" s="44"/>
      <c r="TZC504" s="44"/>
      <c r="TZD504" s="44"/>
      <c r="TZE504" s="44"/>
      <c r="TZF504" s="44"/>
      <c r="TZG504" s="44"/>
      <c r="TZH504" s="44"/>
      <c r="TZI504" s="44"/>
      <c r="TZJ504" s="44"/>
      <c r="TZK504" s="44"/>
      <c r="TZL504" s="44"/>
      <c r="TZM504" s="44"/>
      <c r="TZN504" s="44"/>
      <c r="TZO504" s="44"/>
      <c r="TZP504" s="44"/>
      <c r="TZQ504" s="44"/>
      <c r="TZR504" s="44"/>
      <c r="TZS504" s="44"/>
      <c r="TZT504" s="44"/>
      <c r="TZU504" s="44"/>
      <c r="TZV504" s="44"/>
      <c r="TZW504" s="44"/>
      <c r="TZX504" s="44"/>
      <c r="TZY504" s="44"/>
      <c r="TZZ504" s="44"/>
      <c r="UAA504" s="44"/>
      <c r="UAB504" s="44"/>
      <c r="UAC504" s="44"/>
      <c r="UAD504" s="44"/>
      <c r="UAE504" s="44"/>
      <c r="UAF504" s="44"/>
      <c r="UAG504" s="44"/>
      <c r="UAH504" s="44"/>
      <c r="UAI504" s="44"/>
      <c r="UAJ504" s="44"/>
      <c r="UAK504" s="44"/>
      <c r="UAL504" s="44"/>
      <c r="UAM504" s="44"/>
      <c r="UAN504" s="44"/>
      <c r="UAO504" s="44"/>
      <c r="UAP504" s="44"/>
      <c r="UAQ504" s="44"/>
      <c r="UAR504" s="44"/>
      <c r="UAS504" s="44"/>
      <c r="UAT504" s="44"/>
      <c r="UAU504" s="44"/>
      <c r="UAV504" s="44"/>
      <c r="UAW504" s="44"/>
      <c r="UAX504" s="44"/>
      <c r="UAY504" s="44"/>
      <c r="UAZ504" s="44"/>
      <c r="UBA504" s="44"/>
      <c r="UBB504" s="44"/>
      <c r="UBC504" s="44"/>
      <c r="UBD504" s="44"/>
      <c r="UBE504" s="44"/>
      <c r="UBF504" s="44"/>
      <c r="UBG504" s="44"/>
      <c r="UBH504" s="44"/>
      <c r="UBI504" s="44"/>
      <c r="UBJ504" s="44"/>
      <c r="UBK504" s="44"/>
      <c r="UBL504" s="44"/>
      <c r="UBM504" s="44"/>
      <c r="UBN504" s="44"/>
      <c r="UBO504" s="44"/>
      <c r="UBP504" s="44"/>
      <c r="UBQ504" s="44"/>
      <c r="UBR504" s="44"/>
      <c r="UBS504" s="44"/>
      <c r="UBT504" s="44"/>
      <c r="UBU504" s="44"/>
      <c r="UBV504" s="44"/>
      <c r="UBW504" s="44"/>
      <c r="UBX504" s="44"/>
      <c r="UBY504" s="44"/>
      <c r="UBZ504" s="44"/>
      <c r="UCA504" s="44"/>
      <c r="UCB504" s="44"/>
      <c r="UCC504" s="44"/>
      <c r="UCD504" s="44"/>
      <c r="UCE504" s="44"/>
      <c r="UCF504" s="44"/>
      <c r="UCG504" s="44"/>
      <c r="UCH504" s="44"/>
      <c r="UCI504" s="44"/>
      <c r="UCJ504" s="44"/>
      <c r="UCK504" s="44"/>
      <c r="UCL504" s="44"/>
      <c r="UCM504" s="44"/>
      <c r="UCN504" s="44"/>
      <c r="UCO504" s="44"/>
      <c r="UCP504" s="44"/>
      <c r="UCQ504" s="44"/>
      <c r="UCR504" s="44"/>
      <c r="UCS504" s="44"/>
      <c r="UCT504" s="44"/>
      <c r="UCU504" s="44"/>
      <c r="UCV504" s="44"/>
      <c r="UCW504" s="44"/>
      <c r="UCX504" s="44"/>
      <c r="UCY504" s="44"/>
      <c r="UCZ504" s="44"/>
      <c r="UDA504" s="44"/>
      <c r="UDB504" s="44"/>
      <c r="UDC504" s="44"/>
      <c r="UDD504" s="44"/>
      <c r="UDE504" s="44"/>
      <c r="UDF504" s="44"/>
      <c r="UDG504" s="44"/>
      <c r="UDH504" s="44"/>
      <c r="UDI504" s="44"/>
      <c r="UDJ504" s="44"/>
      <c r="UDK504" s="44"/>
      <c r="UDL504" s="44"/>
      <c r="UDM504" s="44"/>
      <c r="UDN504" s="44"/>
      <c r="UDO504" s="44"/>
      <c r="UDP504" s="44"/>
      <c r="UDQ504" s="44"/>
      <c r="UDR504" s="44"/>
      <c r="UDS504" s="44"/>
      <c r="UDT504" s="44"/>
      <c r="UDU504" s="44"/>
      <c r="UDV504" s="44"/>
      <c r="UDW504" s="44"/>
      <c r="UDX504" s="44"/>
      <c r="UDY504" s="44"/>
      <c r="UDZ504" s="44"/>
      <c r="UEA504" s="44"/>
      <c r="UEB504" s="44"/>
      <c r="UEC504" s="44"/>
      <c r="UED504" s="44"/>
      <c r="UEE504" s="44"/>
      <c r="UEF504" s="44"/>
      <c r="UEG504" s="44"/>
      <c r="UEH504" s="44"/>
      <c r="UEI504" s="44"/>
      <c r="UEJ504" s="44"/>
      <c r="UEK504" s="44"/>
      <c r="UEL504" s="44"/>
      <c r="UEM504" s="44"/>
      <c r="UEN504" s="44"/>
      <c r="UEO504" s="44"/>
      <c r="UEP504" s="44"/>
      <c r="UEQ504" s="44"/>
      <c r="UER504" s="44"/>
      <c r="UES504" s="44"/>
      <c r="UET504" s="44"/>
      <c r="UEU504" s="44"/>
      <c r="UEV504" s="44"/>
      <c r="UEW504" s="44"/>
      <c r="UEX504" s="44"/>
      <c r="UEY504" s="44"/>
      <c r="UEZ504" s="44"/>
      <c r="UFA504" s="44"/>
      <c r="UFB504" s="44"/>
      <c r="UFC504" s="44"/>
      <c r="UFD504" s="44"/>
      <c r="UFE504" s="44"/>
      <c r="UFF504" s="44"/>
      <c r="UFG504" s="44"/>
      <c r="UFH504" s="44"/>
      <c r="UFI504" s="44"/>
      <c r="UFJ504" s="44"/>
      <c r="UFK504" s="44"/>
      <c r="UFL504" s="44"/>
      <c r="UFM504" s="44"/>
      <c r="UFN504" s="44"/>
      <c r="UFO504" s="44"/>
      <c r="UFP504" s="44"/>
      <c r="UFQ504" s="44"/>
      <c r="UFR504" s="44"/>
      <c r="UFS504" s="44"/>
      <c r="UFT504" s="44"/>
      <c r="UFU504" s="44"/>
      <c r="UFV504" s="44"/>
      <c r="UFW504" s="44"/>
      <c r="UFX504" s="44"/>
      <c r="UFY504" s="44"/>
      <c r="UFZ504" s="44"/>
      <c r="UGA504" s="44"/>
      <c r="UGB504" s="44"/>
      <c r="UGC504" s="44"/>
      <c r="UGD504" s="44"/>
      <c r="UGE504" s="44"/>
      <c r="UGF504" s="44"/>
      <c r="UGG504" s="44"/>
      <c r="UGH504" s="44"/>
      <c r="UGI504" s="44"/>
      <c r="UGJ504" s="44"/>
      <c r="UGK504" s="44"/>
      <c r="UGL504" s="44"/>
      <c r="UGM504" s="44"/>
      <c r="UGN504" s="44"/>
      <c r="UGO504" s="44"/>
      <c r="UGP504" s="44"/>
      <c r="UGQ504" s="44"/>
      <c r="UGR504" s="44"/>
      <c r="UGS504" s="44"/>
      <c r="UGT504" s="44"/>
      <c r="UGU504" s="44"/>
      <c r="UGV504" s="44"/>
      <c r="UGW504" s="44"/>
      <c r="UGX504" s="44"/>
      <c r="UGY504" s="44"/>
      <c r="UGZ504" s="44"/>
      <c r="UHA504" s="44"/>
      <c r="UHB504" s="44"/>
      <c r="UHC504" s="44"/>
      <c r="UHD504" s="44"/>
      <c r="UHE504" s="44"/>
      <c r="UHF504" s="44"/>
      <c r="UHG504" s="44"/>
      <c r="UHH504" s="44"/>
      <c r="UHI504" s="44"/>
      <c r="UHJ504" s="44"/>
      <c r="UHK504" s="44"/>
      <c r="UHL504" s="44"/>
      <c r="UHM504" s="44"/>
      <c r="UHN504" s="44"/>
      <c r="UHO504" s="44"/>
      <c r="UHP504" s="44"/>
      <c r="UHQ504" s="44"/>
      <c r="UHR504" s="44"/>
      <c r="UHS504" s="44"/>
      <c r="UHT504" s="44"/>
      <c r="UHU504" s="44"/>
      <c r="UHV504" s="44"/>
      <c r="UHW504" s="44"/>
      <c r="UHX504" s="44"/>
      <c r="UHY504" s="44"/>
      <c r="UHZ504" s="44"/>
      <c r="UIA504" s="44"/>
      <c r="UIB504" s="44"/>
      <c r="UIC504" s="44"/>
      <c r="UID504" s="44"/>
      <c r="UIE504" s="44"/>
      <c r="UIF504" s="44"/>
      <c r="UIG504" s="44"/>
      <c r="UIH504" s="44"/>
      <c r="UII504" s="44"/>
      <c r="UIJ504" s="44"/>
      <c r="UIK504" s="44"/>
      <c r="UIL504" s="44"/>
      <c r="UIM504" s="44"/>
      <c r="UIN504" s="44"/>
      <c r="UIO504" s="44"/>
      <c r="UIP504" s="44"/>
      <c r="UIQ504" s="44"/>
      <c r="UIR504" s="44"/>
      <c r="UIS504" s="44"/>
      <c r="UIT504" s="44"/>
      <c r="UIU504" s="44"/>
      <c r="UIV504" s="44"/>
      <c r="UIW504" s="44"/>
      <c r="UIX504" s="44"/>
      <c r="UIY504" s="44"/>
      <c r="UIZ504" s="44"/>
      <c r="UJA504" s="44"/>
      <c r="UJB504" s="44"/>
      <c r="UJC504" s="44"/>
      <c r="UJD504" s="44"/>
      <c r="UJE504" s="44"/>
      <c r="UJF504" s="44"/>
      <c r="UJG504" s="44"/>
      <c r="UJH504" s="44"/>
      <c r="UJI504" s="44"/>
      <c r="UJJ504" s="44"/>
      <c r="UJK504" s="44"/>
      <c r="UJL504" s="44"/>
      <c r="UJM504" s="44"/>
      <c r="UJN504" s="44"/>
      <c r="UJO504" s="44"/>
      <c r="UJP504" s="44"/>
      <c r="UJQ504" s="44"/>
      <c r="UJR504" s="44"/>
      <c r="UJS504" s="44"/>
      <c r="UJT504" s="44"/>
      <c r="UJU504" s="44"/>
      <c r="UJV504" s="44"/>
      <c r="UJW504" s="44"/>
      <c r="UJX504" s="44"/>
      <c r="UJY504" s="44"/>
      <c r="UJZ504" s="44"/>
      <c r="UKA504" s="44"/>
      <c r="UKB504" s="44"/>
      <c r="UKC504" s="44"/>
      <c r="UKD504" s="44"/>
      <c r="UKE504" s="44"/>
      <c r="UKF504" s="44"/>
      <c r="UKG504" s="44"/>
      <c r="UKH504" s="44"/>
      <c r="UKI504" s="44"/>
      <c r="UKJ504" s="44"/>
      <c r="UKK504" s="44"/>
      <c r="UKL504" s="44"/>
      <c r="UKM504" s="44"/>
      <c r="UKN504" s="44"/>
      <c r="UKO504" s="44"/>
      <c r="UKP504" s="44"/>
      <c r="UKQ504" s="44"/>
      <c r="UKR504" s="44"/>
      <c r="UKS504" s="44"/>
      <c r="UKT504" s="44"/>
      <c r="UKU504" s="44"/>
      <c r="UKV504" s="44"/>
      <c r="UKW504" s="44"/>
      <c r="UKX504" s="44"/>
      <c r="UKY504" s="44"/>
      <c r="UKZ504" s="44"/>
      <c r="ULA504" s="44"/>
      <c r="ULB504" s="44"/>
      <c r="ULC504" s="44"/>
      <c r="ULD504" s="44"/>
      <c r="ULE504" s="44"/>
      <c r="ULF504" s="44"/>
      <c r="ULG504" s="44"/>
      <c r="ULH504" s="44"/>
      <c r="ULI504" s="44"/>
      <c r="ULJ504" s="44"/>
      <c r="ULK504" s="44"/>
      <c r="ULL504" s="44"/>
      <c r="ULM504" s="44"/>
      <c r="ULN504" s="44"/>
      <c r="ULO504" s="44"/>
      <c r="ULP504" s="44"/>
      <c r="ULQ504" s="44"/>
      <c r="ULR504" s="44"/>
      <c r="ULS504" s="44"/>
      <c r="ULT504" s="44"/>
      <c r="ULU504" s="44"/>
      <c r="ULV504" s="44"/>
      <c r="ULW504" s="44"/>
      <c r="ULX504" s="44"/>
      <c r="ULY504" s="44"/>
      <c r="ULZ504" s="44"/>
      <c r="UMA504" s="44"/>
      <c r="UMB504" s="44"/>
      <c r="UMC504" s="44"/>
      <c r="UMD504" s="44"/>
      <c r="UME504" s="44"/>
      <c r="UMF504" s="44"/>
      <c r="UMG504" s="44"/>
      <c r="UMH504" s="44"/>
      <c r="UMI504" s="44"/>
      <c r="UMJ504" s="44"/>
      <c r="UMK504" s="44"/>
      <c r="UML504" s="44"/>
      <c r="UMM504" s="44"/>
      <c r="UMN504" s="44"/>
      <c r="UMO504" s="44"/>
      <c r="UMP504" s="44"/>
      <c r="UMQ504" s="44"/>
      <c r="UMR504" s="44"/>
      <c r="UMS504" s="44"/>
      <c r="UMT504" s="44"/>
      <c r="UMU504" s="44"/>
      <c r="UMV504" s="44"/>
      <c r="UMW504" s="44"/>
      <c r="UMX504" s="44"/>
      <c r="UMY504" s="44"/>
      <c r="UMZ504" s="44"/>
      <c r="UNA504" s="44"/>
      <c r="UNB504" s="44"/>
      <c r="UNC504" s="44"/>
      <c r="UND504" s="44"/>
      <c r="UNE504" s="44"/>
      <c r="UNF504" s="44"/>
      <c r="UNG504" s="44"/>
      <c r="UNH504" s="44"/>
      <c r="UNI504" s="44"/>
      <c r="UNJ504" s="44"/>
      <c r="UNK504" s="44"/>
      <c r="UNL504" s="44"/>
      <c r="UNM504" s="44"/>
      <c r="UNN504" s="44"/>
      <c r="UNO504" s="44"/>
      <c r="UNP504" s="44"/>
      <c r="UNQ504" s="44"/>
      <c r="UNR504" s="44"/>
      <c r="UNS504" s="44"/>
      <c r="UNT504" s="44"/>
      <c r="UNU504" s="44"/>
      <c r="UNV504" s="44"/>
      <c r="UNW504" s="44"/>
      <c r="UNX504" s="44"/>
      <c r="UNY504" s="44"/>
      <c r="UNZ504" s="44"/>
      <c r="UOA504" s="44"/>
      <c r="UOB504" s="44"/>
      <c r="UOC504" s="44"/>
      <c r="UOD504" s="44"/>
      <c r="UOE504" s="44"/>
      <c r="UOF504" s="44"/>
      <c r="UOG504" s="44"/>
      <c r="UOH504" s="44"/>
      <c r="UOI504" s="44"/>
      <c r="UOJ504" s="44"/>
      <c r="UOK504" s="44"/>
      <c r="UOL504" s="44"/>
      <c r="UOM504" s="44"/>
      <c r="UON504" s="44"/>
      <c r="UOO504" s="44"/>
      <c r="UOP504" s="44"/>
      <c r="UOQ504" s="44"/>
      <c r="UOR504" s="44"/>
      <c r="UOS504" s="44"/>
      <c r="UOT504" s="44"/>
      <c r="UOU504" s="44"/>
      <c r="UOV504" s="44"/>
      <c r="UOW504" s="44"/>
      <c r="UOX504" s="44"/>
      <c r="UOY504" s="44"/>
      <c r="UOZ504" s="44"/>
      <c r="UPA504" s="44"/>
      <c r="UPB504" s="44"/>
      <c r="UPC504" s="44"/>
      <c r="UPD504" s="44"/>
      <c r="UPE504" s="44"/>
      <c r="UPF504" s="44"/>
      <c r="UPG504" s="44"/>
      <c r="UPH504" s="44"/>
      <c r="UPI504" s="44"/>
      <c r="UPJ504" s="44"/>
      <c r="UPK504" s="44"/>
      <c r="UPL504" s="44"/>
      <c r="UPM504" s="44"/>
      <c r="UPN504" s="44"/>
      <c r="UPO504" s="44"/>
      <c r="UPP504" s="44"/>
      <c r="UPQ504" s="44"/>
      <c r="UPR504" s="44"/>
      <c r="UPS504" s="44"/>
      <c r="UPT504" s="44"/>
      <c r="UPU504" s="44"/>
      <c r="UPV504" s="44"/>
      <c r="UPW504" s="44"/>
      <c r="UPX504" s="44"/>
      <c r="UPY504" s="44"/>
      <c r="UPZ504" s="44"/>
      <c r="UQA504" s="44"/>
      <c r="UQB504" s="44"/>
      <c r="UQC504" s="44"/>
      <c r="UQD504" s="44"/>
      <c r="UQE504" s="44"/>
      <c r="UQF504" s="44"/>
      <c r="UQG504" s="44"/>
      <c r="UQH504" s="44"/>
      <c r="UQI504" s="44"/>
      <c r="UQJ504" s="44"/>
      <c r="UQK504" s="44"/>
      <c r="UQL504" s="44"/>
      <c r="UQM504" s="44"/>
      <c r="UQN504" s="44"/>
      <c r="UQO504" s="44"/>
      <c r="UQP504" s="44"/>
      <c r="UQQ504" s="44"/>
      <c r="UQR504" s="44"/>
      <c r="UQS504" s="44"/>
      <c r="UQT504" s="44"/>
      <c r="UQU504" s="44"/>
      <c r="UQV504" s="44"/>
      <c r="UQW504" s="44"/>
      <c r="UQX504" s="44"/>
      <c r="UQY504" s="44"/>
      <c r="UQZ504" s="44"/>
      <c r="URA504" s="44"/>
      <c r="URB504" s="44"/>
      <c r="URC504" s="44"/>
      <c r="URD504" s="44"/>
      <c r="URE504" s="44"/>
      <c r="URF504" s="44"/>
      <c r="URG504" s="44"/>
      <c r="URH504" s="44"/>
      <c r="URI504" s="44"/>
      <c r="URJ504" s="44"/>
      <c r="URK504" s="44"/>
      <c r="URL504" s="44"/>
      <c r="URM504" s="44"/>
      <c r="URN504" s="44"/>
      <c r="URO504" s="44"/>
      <c r="URP504" s="44"/>
      <c r="URQ504" s="44"/>
      <c r="URR504" s="44"/>
      <c r="URS504" s="44"/>
      <c r="URT504" s="44"/>
      <c r="URU504" s="44"/>
      <c r="URV504" s="44"/>
      <c r="URW504" s="44"/>
      <c r="URX504" s="44"/>
      <c r="URY504" s="44"/>
      <c r="URZ504" s="44"/>
      <c r="USA504" s="44"/>
      <c r="USB504" s="44"/>
      <c r="USC504" s="44"/>
      <c r="USD504" s="44"/>
      <c r="USE504" s="44"/>
      <c r="USF504" s="44"/>
      <c r="USG504" s="44"/>
      <c r="USH504" s="44"/>
      <c r="USI504" s="44"/>
      <c r="USJ504" s="44"/>
      <c r="USK504" s="44"/>
      <c r="USL504" s="44"/>
      <c r="USM504" s="44"/>
      <c r="USN504" s="44"/>
      <c r="USO504" s="44"/>
      <c r="USP504" s="44"/>
      <c r="USQ504" s="44"/>
      <c r="USR504" s="44"/>
      <c r="USS504" s="44"/>
      <c r="UST504" s="44"/>
      <c r="USU504" s="44"/>
      <c r="USV504" s="44"/>
      <c r="USW504" s="44"/>
      <c r="USX504" s="44"/>
      <c r="USY504" s="44"/>
      <c r="USZ504" s="44"/>
      <c r="UTA504" s="44"/>
      <c r="UTB504" s="44"/>
      <c r="UTC504" s="44"/>
      <c r="UTD504" s="44"/>
      <c r="UTE504" s="44"/>
      <c r="UTF504" s="44"/>
      <c r="UTG504" s="44"/>
      <c r="UTH504" s="44"/>
      <c r="UTI504" s="44"/>
      <c r="UTJ504" s="44"/>
      <c r="UTK504" s="44"/>
      <c r="UTL504" s="44"/>
      <c r="UTM504" s="44"/>
      <c r="UTN504" s="44"/>
      <c r="UTO504" s="44"/>
      <c r="UTP504" s="44"/>
      <c r="UTQ504" s="44"/>
      <c r="UTR504" s="44"/>
      <c r="UTS504" s="44"/>
      <c r="UTT504" s="44"/>
      <c r="UTU504" s="44"/>
      <c r="UTV504" s="44"/>
      <c r="UTW504" s="44"/>
      <c r="UTX504" s="44"/>
      <c r="UTY504" s="44"/>
      <c r="UTZ504" s="44"/>
      <c r="UUA504" s="44"/>
      <c r="UUB504" s="44"/>
      <c r="UUC504" s="44"/>
      <c r="UUD504" s="44"/>
      <c r="UUE504" s="44"/>
      <c r="UUF504" s="44"/>
      <c r="UUG504" s="44"/>
      <c r="UUH504" s="44"/>
      <c r="UUI504" s="44"/>
      <c r="UUJ504" s="44"/>
      <c r="UUK504" s="44"/>
      <c r="UUL504" s="44"/>
      <c r="UUM504" s="44"/>
      <c r="UUN504" s="44"/>
      <c r="UUO504" s="44"/>
      <c r="UUP504" s="44"/>
      <c r="UUQ504" s="44"/>
      <c r="UUR504" s="44"/>
      <c r="UUS504" s="44"/>
      <c r="UUT504" s="44"/>
      <c r="UUU504" s="44"/>
      <c r="UUV504" s="44"/>
      <c r="UUW504" s="44"/>
      <c r="UUX504" s="44"/>
      <c r="UUY504" s="44"/>
      <c r="UUZ504" s="44"/>
      <c r="UVA504" s="44"/>
      <c r="UVB504" s="44"/>
      <c r="UVC504" s="44"/>
      <c r="UVD504" s="44"/>
      <c r="UVE504" s="44"/>
      <c r="UVF504" s="44"/>
      <c r="UVG504" s="44"/>
      <c r="UVH504" s="44"/>
      <c r="UVI504" s="44"/>
      <c r="UVJ504" s="44"/>
      <c r="UVK504" s="44"/>
      <c r="UVL504" s="44"/>
      <c r="UVM504" s="44"/>
      <c r="UVN504" s="44"/>
      <c r="UVO504" s="44"/>
      <c r="UVP504" s="44"/>
      <c r="UVQ504" s="44"/>
      <c r="UVR504" s="44"/>
      <c r="UVS504" s="44"/>
      <c r="UVT504" s="44"/>
      <c r="UVU504" s="44"/>
      <c r="UVV504" s="44"/>
      <c r="UVW504" s="44"/>
      <c r="UVX504" s="44"/>
      <c r="UVY504" s="44"/>
      <c r="UVZ504" s="44"/>
      <c r="UWA504" s="44"/>
      <c r="UWB504" s="44"/>
      <c r="UWC504" s="44"/>
      <c r="UWD504" s="44"/>
      <c r="UWE504" s="44"/>
      <c r="UWF504" s="44"/>
      <c r="UWG504" s="44"/>
      <c r="UWH504" s="44"/>
      <c r="UWI504" s="44"/>
      <c r="UWJ504" s="44"/>
      <c r="UWK504" s="44"/>
      <c r="UWL504" s="44"/>
      <c r="UWM504" s="44"/>
      <c r="UWN504" s="44"/>
      <c r="UWO504" s="44"/>
      <c r="UWP504" s="44"/>
      <c r="UWQ504" s="44"/>
      <c r="UWR504" s="44"/>
      <c r="UWS504" s="44"/>
      <c r="UWT504" s="44"/>
      <c r="UWU504" s="44"/>
      <c r="UWV504" s="44"/>
      <c r="UWW504" s="44"/>
      <c r="UWX504" s="44"/>
      <c r="UWY504" s="44"/>
      <c r="UWZ504" s="44"/>
      <c r="UXA504" s="44"/>
      <c r="UXB504" s="44"/>
      <c r="UXC504" s="44"/>
      <c r="UXD504" s="44"/>
      <c r="UXE504" s="44"/>
      <c r="UXF504" s="44"/>
      <c r="UXG504" s="44"/>
      <c r="UXH504" s="44"/>
      <c r="UXI504" s="44"/>
      <c r="UXJ504" s="44"/>
      <c r="UXK504" s="44"/>
      <c r="UXL504" s="44"/>
      <c r="UXM504" s="44"/>
      <c r="UXN504" s="44"/>
      <c r="UXO504" s="44"/>
      <c r="UXP504" s="44"/>
      <c r="UXQ504" s="44"/>
      <c r="UXR504" s="44"/>
      <c r="UXS504" s="44"/>
      <c r="UXT504" s="44"/>
      <c r="UXU504" s="44"/>
      <c r="UXV504" s="44"/>
      <c r="UXW504" s="44"/>
      <c r="UXX504" s="44"/>
      <c r="UXY504" s="44"/>
      <c r="UXZ504" s="44"/>
      <c r="UYA504" s="44"/>
      <c r="UYB504" s="44"/>
      <c r="UYC504" s="44"/>
      <c r="UYD504" s="44"/>
      <c r="UYE504" s="44"/>
      <c r="UYF504" s="44"/>
      <c r="UYG504" s="44"/>
      <c r="UYH504" s="44"/>
      <c r="UYI504" s="44"/>
      <c r="UYJ504" s="44"/>
      <c r="UYK504" s="44"/>
      <c r="UYL504" s="44"/>
      <c r="UYM504" s="44"/>
      <c r="UYN504" s="44"/>
      <c r="UYO504" s="44"/>
      <c r="UYP504" s="44"/>
      <c r="UYQ504" s="44"/>
      <c r="UYR504" s="44"/>
      <c r="UYS504" s="44"/>
      <c r="UYT504" s="44"/>
      <c r="UYU504" s="44"/>
      <c r="UYV504" s="44"/>
      <c r="UYW504" s="44"/>
      <c r="UYX504" s="44"/>
      <c r="UYY504" s="44"/>
      <c r="UYZ504" s="44"/>
      <c r="UZA504" s="44"/>
      <c r="UZB504" s="44"/>
      <c r="UZC504" s="44"/>
      <c r="UZD504" s="44"/>
      <c r="UZE504" s="44"/>
      <c r="UZF504" s="44"/>
      <c r="UZG504" s="44"/>
      <c r="UZH504" s="44"/>
      <c r="UZI504" s="44"/>
      <c r="UZJ504" s="44"/>
      <c r="UZK504" s="44"/>
      <c r="UZL504" s="44"/>
      <c r="UZM504" s="44"/>
      <c r="UZN504" s="44"/>
      <c r="UZO504" s="44"/>
      <c r="UZP504" s="44"/>
      <c r="UZQ504" s="44"/>
      <c r="UZR504" s="44"/>
      <c r="UZS504" s="44"/>
      <c r="UZT504" s="44"/>
      <c r="UZU504" s="44"/>
      <c r="UZV504" s="44"/>
      <c r="UZW504" s="44"/>
      <c r="UZX504" s="44"/>
      <c r="UZY504" s="44"/>
      <c r="UZZ504" s="44"/>
      <c r="VAA504" s="44"/>
      <c r="VAB504" s="44"/>
      <c r="VAC504" s="44"/>
      <c r="VAD504" s="44"/>
      <c r="VAE504" s="44"/>
      <c r="VAF504" s="44"/>
      <c r="VAG504" s="44"/>
      <c r="VAH504" s="44"/>
      <c r="VAI504" s="44"/>
      <c r="VAJ504" s="44"/>
      <c r="VAK504" s="44"/>
      <c r="VAL504" s="44"/>
      <c r="VAM504" s="44"/>
      <c r="VAN504" s="44"/>
      <c r="VAO504" s="44"/>
      <c r="VAP504" s="44"/>
      <c r="VAQ504" s="44"/>
      <c r="VAR504" s="44"/>
      <c r="VAS504" s="44"/>
      <c r="VAT504" s="44"/>
      <c r="VAU504" s="44"/>
      <c r="VAV504" s="44"/>
      <c r="VAW504" s="44"/>
      <c r="VAX504" s="44"/>
      <c r="VAY504" s="44"/>
      <c r="VAZ504" s="44"/>
      <c r="VBA504" s="44"/>
      <c r="VBB504" s="44"/>
      <c r="VBC504" s="44"/>
      <c r="VBD504" s="44"/>
      <c r="VBE504" s="44"/>
      <c r="VBF504" s="44"/>
      <c r="VBG504" s="44"/>
      <c r="VBH504" s="44"/>
      <c r="VBI504" s="44"/>
      <c r="VBJ504" s="44"/>
      <c r="VBK504" s="44"/>
      <c r="VBL504" s="44"/>
      <c r="VBM504" s="44"/>
      <c r="VBN504" s="44"/>
      <c r="VBO504" s="44"/>
      <c r="VBP504" s="44"/>
      <c r="VBQ504" s="44"/>
      <c r="VBR504" s="44"/>
      <c r="VBS504" s="44"/>
      <c r="VBT504" s="44"/>
      <c r="VBU504" s="44"/>
      <c r="VBV504" s="44"/>
      <c r="VBW504" s="44"/>
      <c r="VBX504" s="44"/>
      <c r="VBY504" s="44"/>
      <c r="VBZ504" s="44"/>
      <c r="VCA504" s="44"/>
      <c r="VCB504" s="44"/>
      <c r="VCC504" s="44"/>
      <c r="VCD504" s="44"/>
      <c r="VCE504" s="44"/>
      <c r="VCF504" s="44"/>
      <c r="VCG504" s="44"/>
      <c r="VCH504" s="44"/>
      <c r="VCI504" s="44"/>
      <c r="VCJ504" s="44"/>
      <c r="VCK504" s="44"/>
      <c r="VCL504" s="44"/>
      <c r="VCM504" s="44"/>
      <c r="VCN504" s="44"/>
      <c r="VCO504" s="44"/>
      <c r="VCP504" s="44"/>
      <c r="VCQ504" s="44"/>
      <c r="VCR504" s="44"/>
      <c r="VCS504" s="44"/>
      <c r="VCT504" s="44"/>
      <c r="VCU504" s="44"/>
      <c r="VCV504" s="44"/>
      <c r="VCW504" s="44"/>
      <c r="VCX504" s="44"/>
      <c r="VCY504" s="44"/>
      <c r="VCZ504" s="44"/>
      <c r="VDA504" s="44"/>
      <c r="VDB504" s="44"/>
      <c r="VDC504" s="44"/>
      <c r="VDD504" s="44"/>
      <c r="VDE504" s="44"/>
      <c r="VDF504" s="44"/>
      <c r="VDG504" s="44"/>
      <c r="VDH504" s="44"/>
      <c r="VDI504" s="44"/>
      <c r="VDJ504" s="44"/>
      <c r="VDK504" s="44"/>
      <c r="VDL504" s="44"/>
      <c r="VDM504" s="44"/>
      <c r="VDN504" s="44"/>
      <c r="VDO504" s="44"/>
      <c r="VDP504" s="44"/>
      <c r="VDQ504" s="44"/>
      <c r="VDR504" s="44"/>
      <c r="VDS504" s="44"/>
      <c r="VDT504" s="44"/>
      <c r="VDU504" s="44"/>
      <c r="VDV504" s="44"/>
      <c r="VDW504" s="44"/>
      <c r="VDX504" s="44"/>
      <c r="VDY504" s="44"/>
      <c r="VDZ504" s="44"/>
      <c r="VEA504" s="44"/>
      <c r="VEB504" s="44"/>
      <c r="VEC504" s="44"/>
      <c r="VED504" s="44"/>
      <c r="VEE504" s="44"/>
      <c r="VEF504" s="44"/>
      <c r="VEG504" s="44"/>
      <c r="VEH504" s="44"/>
      <c r="VEI504" s="44"/>
      <c r="VEJ504" s="44"/>
      <c r="VEK504" s="44"/>
      <c r="VEL504" s="44"/>
      <c r="VEM504" s="44"/>
      <c r="VEN504" s="44"/>
      <c r="VEO504" s="44"/>
      <c r="VEP504" s="44"/>
      <c r="VEQ504" s="44"/>
      <c r="VER504" s="44"/>
      <c r="VES504" s="44"/>
      <c r="VET504" s="44"/>
      <c r="VEU504" s="44"/>
      <c r="VEV504" s="44"/>
      <c r="VEW504" s="44"/>
      <c r="VEX504" s="44"/>
      <c r="VEY504" s="44"/>
      <c r="VEZ504" s="44"/>
      <c r="VFA504" s="44"/>
      <c r="VFB504" s="44"/>
      <c r="VFC504" s="44"/>
      <c r="VFD504" s="44"/>
      <c r="VFE504" s="44"/>
      <c r="VFF504" s="44"/>
      <c r="VFG504" s="44"/>
      <c r="VFH504" s="44"/>
      <c r="VFI504" s="44"/>
      <c r="VFJ504" s="44"/>
      <c r="VFK504" s="44"/>
      <c r="VFL504" s="44"/>
      <c r="VFM504" s="44"/>
      <c r="VFN504" s="44"/>
      <c r="VFO504" s="44"/>
      <c r="VFP504" s="44"/>
      <c r="VFQ504" s="44"/>
      <c r="VFR504" s="44"/>
      <c r="VFS504" s="44"/>
      <c r="VFT504" s="44"/>
      <c r="VFU504" s="44"/>
      <c r="VFV504" s="44"/>
      <c r="VFW504" s="44"/>
      <c r="VFX504" s="44"/>
      <c r="VFY504" s="44"/>
      <c r="VFZ504" s="44"/>
      <c r="VGA504" s="44"/>
      <c r="VGB504" s="44"/>
      <c r="VGC504" s="44"/>
      <c r="VGD504" s="44"/>
      <c r="VGE504" s="44"/>
      <c r="VGF504" s="44"/>
      <c r="VGG504" s="44"/>
      <c r="VGH504" s="44"/>
      <c r="VGI504" s="44"/>
      <c r="VGJ504" s="44"/>
      <c r="VGK504" s="44"/>
      <c r="VGL504" s="44"/>
      <c r="VGM504" s="44"/>
      <c r="VGN504" s="44"/>
      <c r="VGO504" s="44"/>
      <c r="VGP504" s="44"/>
      <c r="VGQ504" s="44"/>
      <c r="VGR504" s="44"/>
      <c r="VGS504" s="44"/>
      <c r="VGT504" s="44"/>
      <c r="VGU504" s="44"/>
      <c r="VGV504" s="44"/>
      <c r="VGW504" s="44"/>
      <c r="VGX504" s="44"/>
      <c r="VGY504" s="44"/>
      <c r="VGZ504" s="44"/>
      <c r="VHA504" s="44"/>
      <c r="VHB504" s="44"/>
      <c r="VHC504" s="44"/>
      <c r="VHD504" s="44"/>
      <c r="VHE504" s="44"/>
      <c r="VHF504" s="44"/>
      <c r="VHG504" s="44"/>
      <c r="VHH504" s="44"/>
      <c r="VHI504" s="44"/>
      <c r="VHJ504" s="44"/>
      <c r="VHK504" s="44"/>
      <c r="VHL504" s="44"/>
      <c r="VHM504" s="44"/>
      <c r="VHN504" s="44"/>
      <c r="VHO504" s="44"/>
      <c r="VHP504" s="44"/>
      <c r="VHQ504" s="44"/>
      <c r="VHR504" s="44"/>
      <c r="VHS504" s="44"/>
      <c r="VHT504" s="44"/>
      <c r="VHU504" s="44"/>
      <c r="VHV504" s="44"/>
      <c r="VHW504" s="44"/>
      <c r="VHX504" s="44"/>
      <c r="VHY504" s="44"/>
      <c r="VHZ504" s="44"/>
      <c r="VIA504" s="44"/>
      <c r="VIB504" s="44"/>
      <c r="VIC504" s="44"/>
      <c r="VID504" s="44"/>
      <c r="VIE504" s="44"/>
      <c r="VIF504" s="44"/>
      <c r="VIG504" s="44"/>
      <c r="VIH504" s="44"/>
      <c r="VII504" s="44"/>
      <c r="VIJ504" s="44"/>
      <c r="VIK504" s="44"/>
      <c r="VIL504" s="44"/>
      <c r="VIM504" s="44"/>
      <c r="VIN504" s="44"/>
      <c r="VIO504" s="44"/>
      <c r="VIP504" s="44"/>
      <c r="VIQ504" s="44"/>
      <c r="VIR504" s="44"/>
      <c r="VIS504" s="44"/>
      <c r="VIT504" s="44"/>
      <c r="VIU504" s="44"/>
      <c r="VIV504" s="44"/>
      <c r="VIW504" s="44"/>
      <c r="VIX504" s="44"/>
      <c r="VIY504" s="44"/>
      <c r="VIZ504" s="44"/>
      <c r="VJA504" s="44"/>
      <c r="VJB504" s="44"/>
      <c r="VJC504" s="44"/>
      <c r="VJD504" s="44"/>
      <c r="VJE504" s="44"/>
      <c r="VJF504" s="44"/>
      <c r="VJG504" s="44"/>
      <c r="VJH504" s="44"/>
      <c r="VJI504" s="44"/>
      <c r="VJJ504" s="44"/>
      <c r="VJK504" s="44"/>
      <c r="VJL504" s="44"/>
      <c r="VJM504" s="44"/>
      <c r="VJN504" s="44"/>
      <c r="VJO504" s="44"/>
      <c r="VJP504" s="44"/>
      <c r="VJQ504" s="44"/>
      <c r="VJR504" s="44"/>
      <c r="VJS504" s="44"/>
      <c r="VJT504" s="44"/>
      <c r="VJU504" s="44"/>
      <c r="VJV504" s="44"/>
      <c r="VJW504" s="44"/>
      <c r="VJX504" s="44"/>
      <c r="VJY504" s="44"/>
      <c r="VJZ504" s="44"/>
      <c r="VKA504" s="44"/>
      <c r="VKB504" s="44"/>
      <c r="VKC504" s="44"/>
      <c r="VKD504" s="44"/>
      <c r="VKE504" s="44"/>
      <c r="VKF504" s="44"/>
      <c r="VKG504" s="44"/>
      <c r="VKH504" s="44"/>
      <c r="VKI504" s="44"/>
      <c r="VKJ504" s="44"/>
      <c r="VKK504" s="44"/>
      <c r="VKL504" s="44"/>
      <c r="VKM504" s="44"/>
      <c r="VKN504" s="44"/>
      <c r="VKO504" s="44"/>
      <c r="VKP504" s="44"/>
      <c r="VKQ504" s="44"/>
      <c r="VKR504" s="44"/>
      <c r="VKS504" s="44"/>
      <c r="VKT504" s="44"/>
      <c r="VKU504" s="44"/>
      <c r="VKV504" s="44"/>
      <c r="VKW504" s="44"/>
      <c r="VKX504" s="44"/>
      <c r="VKY504" s="44"/>
      <c r="VKZ504" s="44"/>
      <c r="VLA504" s="44"/>
      <c r="VLB504" s="44"/>
      <c r="VLC504" s="44"/>
      <c r="VLD504" s="44"/>
      <c r="VLE504" s="44"/>
      <c r="VLF504" s="44"/>
      <c r="VLG504" s="44"/>
      <c r="VLH504" s="44"/>
      <c r="VLI504" s="44"/>
      <c r="VLJ504" s="44"/>
      <c r="VLK504" s="44"/>
      <c r="VLL504" s="44"/>
      <c r="VLM504" s="44"/>
      <c r="VLN504" s="44"/>
      <c r="VLO504" s="44"/>
      <c r="VLP504" s="44"/>
      <c r="VLQ504" s="44"/>
      <c r="VLR504" s="44"/>
      <c r="VLS504" s="44"/>
      <c r="VLT504" s="44"/>
      <c r="VLU504" s="44"/>
      <c r="VLV504" s="44"/>
      <c r="VLW504" s="44"/>
      <c r="VLX504" s="44"/>
      <c r="VLY504" s="44"/>
      <c r="VLZ504" s="44"/>
      <c r="VMA504" s="44"/>
      <c r="VMB504" s="44"/>
      <c r="VMC504" s="44"/>
      <c r="VMD504" s="44"/>
      <c r="VME504" s="44"/>
      <c r="VMF504" s="44"/>
      <c r="VMG504" s="44"/>
      <c r="VMH504" s="44"/>
      <c r="VMI504" s="44"/>
      <c r="VMJ504" s="44"/>
      <c r="VMK504" s="44"/>
      <c r="VML504" s="44"/>
      <c r="VMM504" s="44"/>
      <c r="VMN504" s="44"/>
      <c r="VMO504" s="44"/>
      <c r="VMP504" s="44"/>
      <c r="VMQ504" s="44"/>
      <c r="VMR504" s="44"/>
      <c r="VMS504" s="44"/>
      <c r="VMT504" s="44"/>
      <c r="VMU504" s="44"/>
      <c r="VMV504" s="44"/>
      <c r="VMW504" s="44"/>
      <c r="VMX504" s="44"/>
      <c r="VMY504" s="44"/>
      <c r="VMZ504" s="44"/>
      <c r="VNA504" s="44"/>
      <c r="VNB504" s="44"/>
      <c r="VNC504" s="44"/>
      <c r="VND504" s="44"/>
      <c r="VNE504" s="44"/>
      <c r="VNF504" s="44"/>
      <c r="VNG504" s="44"/>
      <c r="VNH504" s="44"/>
      <c r="VNI504" s="44"/>
      <c r="VNJ504" s="44"/>
      <c r="VNK504" s="44"/>
      <c r="VNL504" s="44"/>
      <c r="VNM504" s="44"/>
      <c r="VNN504" s="44"/>
      <c r="VNO504" s="44"/>
      <c r="VNP504" s="44"/>
      <c r="VNQ504" s="44"/>
      <c r="VNR504" s="44"/>
      <c r="VNS504" s="44"/>
      <c r="VNT504" s="44"/>
      <c r="VNU504" s="44"/>
      <c r="VNV504" s="44"/>
      <c r="VNW504" s="44"/>
      <c r="VNX504" s="44"/>
      <c r="VNY504" s="44"/>
      <c r="VNZ504" s="44"/>
      <c r="VOA504" s="44"/>
      <c r="VOB504" s="44"/>
      <c r="VOC504" s="44"/>
      <c r="VOD504" s="44"/>
      <c r="VOE504" s="44"/>
      <c r="VOF504" s="44"/>
      <c r="VOG504" s="44"/>
      <c r="VOH504" s="44"/>
      <c r="VOI504" s="44"/>
      <c r="VOJ504" s="44"/>
      <c r="VOK504" s="44"/>
      <c r="VOL504" s="44"/>
      <c r="VOM504" s="44"/>
      <c r="VON504" s="44"/>
      <c r="VOO504" s="44"/>
      <c r="VOP504" s="44"/>
      <c r="VOQ504" s="44"/>
      <c r="VOR504" s="44"/>
      <c r="VOS504" s="44"/>
      <c r="VOT504" s="44"/>
      <c r="VOU504" s="44"/>
      <c r="VOV504" s="44"/>
      <c r="VOW504" s="44"/>
      <c r="VOX504" s="44"/>
      <c r="VOY504" s="44"/>
      <c r="VOZ504" s="44"/>
      <c r="VPA504" s="44"/>
      <c r="VPB504" s="44"/>
      <c r="VPC504" s="44"/>
      <c r="VPD504" s="44"/>
      <c r="VPE504" s="44"/>
      <c r="VPF504" s="44"/>
      <c r="VPG504" s="44"/>
      <c r="VPH504" s="44"/>
      <c r="VPI504" s="44"/>
      <c r="VPJ504" s="44"/>
      <c r="VPK504" s="44"/>
      <c r="VPL504" s="44"/>
      <c r="VPM504" s="44"/>
      <c r="VPN504" s="44"/>
      <c r="VPO504" s="44"/>
      <c r="VPP504" s="44"/>
      <c r="VPQ504" s="44"/>
      <c r="VPR504" s="44"/>
      <c r="VPS504" s="44"/>
      <c r="VPT504" s="44"/>
      <c r="VPU504" s="44"/>
      <c r="VPV504" s="44"/>
      <c r="VPW504" s="44"/>
      <c r="VPX504" s="44"/>
      <c r="VPY504" s="44"/>
      <c r="VPZ504" s="44"/>
      <c r="VQA504" s="44"/>
      <c r="VQB504" s="44"/>
      <c r="VQC504" s="44"/>
      <c r="VQD504" s="44"/>
      <c r="VQE504" s="44"/>
      <c r="VQF504" s="44"/>
      <c r="VQG504" s="44"/>
      <c r="VQH504" s="44"/>
      <c r="VQI504" s="44"/>
      <c r="VQJ504" s="44"/>
      <c r="VQK504" s="44"/>
      <c r="VQL504" s="44"/>
      <c r="VQM504" s="44"/>
      <c r="VQN504" s="44"/>
      <c r="VQO504" s="44"/>
      <c r="VQP504" s="44"/>
      <c r="VQQ504" s="44"/>
      <c r="VQR504" s="44"/>
      <c r="VQS504" s="44"/>
      <c r="VQT504" s="44"/>
      <c r="VQU504" s="44"/>
      <c r="VQV504" s="44"/>
      <c r="VQW504" s="44"/>
      <c r="VQX504" s="44"/>
      <c r="VQY504" s="44"/>
      <c r="VQZ504" s="44"/>
      <c r="VRA504" s="44"/>
      <c r="VRB504" s="44"/>
      <c r="VRC504" s="44"/>
      <c r="VRD504" s="44"/>
      <c r="VRE504" s="44"/>
      <c r="VRF504" s="44"/>
      <c r="VRG504" s="44"/>
      <c r="VRH504" s="44"/>
      <c r="VRI504" s="44"/>
      <c r="VRJ504" s="44"/>
      <c r="VRK504" s="44"/>
      <c r="VRL504" s="44"/>
      <c r="VRM504" s="44"/>
      <c r="VRN504" s="44"/>
      <c r="VRO504" s="44"/>
      <c r="VRP504" s="44"/>
      <c r="VRQ504" s="44"/>
      <c r="VRR504" s="44"/>
      <c r="VRS504" s="44"/>
      <c r="VRT504" s="44"/>
      <c r="VRU504" s="44"/>
      <c r="VRV504" s="44"/>
      <c r="VRW504" s="44"/>
      <c r="VRX504" s="44"/>
      <c r="VRY504" s="44"/>
      <c r="VRZ504" s="44"/>
      <c r="VSA504" s="44"/>
      <c r="VSB504" s="44"/>
      <c r="VSC504" s="44"/>
      <c r="VSD504" s="44"/>
      <c r="VSE504" s="44"/>
      <c r="VSF504" s="44"/>
      <c r="VSG504" s="44"/>
      <c r="VSH504" s="44"/>
      <c r="VSI504" s="44"/>
      <c r="VSJ504" s="44"/>
      <c r="VSK504" s="44"/>
      <c r="VSL504" s="44"/>
      <c r="VSM504" s="44"/>
      <c r="VSN504" s="44"/>
      <c r="VSO504" s="44"/>
      <c r="VSP504" s="44"/>
      <c r="VSQ504" s="44"/>
      <c r="VSR504" s="44"/>
      <c r="VSS504" s="44"/>
      <c r="VST504" s="44"/>
      <c r="VSU504" s="44"/>
      <c r="VSV504" s="44"/>
      <c r="VSW504" s="44"/>
      <c r="VSX504" s="44"/>
      <c r="VSY504" s="44"/>
      <c r="VSZ504" s="44"/>
      <c r="VTA504" s="44"/>
      <c r="VTB504" s="44"/>
      <c r="VTC504" s="44"/>
      <c r="VTD504" s="44"/>
      <c r="VTE504" s="44"/>
      <c r="VTF504" s="44"/>
      <c r="VTG504" s="44"/>
      <c r="VTH504" s="44"/>
      <c r="VTI504" s="44"/>
      <c r="VTJ504" s="44"/>
      <c r="VTK504" s="44"/>
      <c r="VTL504" s="44"/>
      <c r="VTM504" s="44"/>
      <c r="VTN504" s="44"/>
      <c r="VTO504" s="44"/>
      <c r="VTP504" s="44"/>
      <c r="VTQ504" s="44"/>
      <c r="VTR504" s="44"/>
      <c r="VTS504" s="44"/>
      <c r="VTT504" s="44"/>
      <c r="VTU504" s="44"/>
      <c r="VTV504" s="44"/>
      <c r="VTW504" s="44"/>
      <c r="VTX504" s="44"/>
      <c r="VTY504" s="44"/>
      <c r="VTZ504" s="44"/>
      <c r="VUA504" s="44"/>
      <c r="VUB504" s="44"/>
      <c r="VUC504" s="44"/>
      <c r="VUD504" s="44"/>
      <c r="VUE504" s="44"/>
      <c r="VUF504" s="44"/>
      <c r="VUG504" s="44"/>
      <c r="VUH504" s="44"/>
      <c r="VUI504" s="44"/>
      <c r="VUJ504" s="44"/>
      <c r="VUK504" s="44"/>
      <c r="VUL504" s="44"/>
      <c r="VUM504" s="44"/>
      <c r="VUN504" s="44"/>
      <c r="VUO504" s="44"/>
      <c r="VUP504" s="44"/>
      <c r="VUQ504" s="44"/>
      <c r="VUR504" s="44"/>
      <c r="VUS504" s="44"/>
      <c r="VUT504" s="44"/>
      <c r="VUU504" s="44"/>
      <c r="VUV504" s="44"/>
      <c r="VUW504" s="44"/>
      <c r="VUX504" s="44"/>
      <c r="VUY504" s="44"/>
      <c r="VUZ504" s="44"/>
      <c r="VVA504" s="44"/>
      <c r="VVB504" s="44"/>
      <c r="VVC504" s="44"/>
      <c r="VVD504" s="44"/>
      <c r="VVE504" s="44"/>
      <c r="VVF504" s="44"/>
      <c r="VVG504" s="44"/>
      <c r="VVH504" s="44"/>
      <c r="VVI504" s="44"/>
      <c r="VVJ504" s="44"/>
      <c r="VVK504" s="44"/>
      <c r="VVL504" s="44"/>
      <c r="VVM504" s="44"/>
      <c r="VVN504" s="44"/>
      <c r="VVO504" s="44"/>
      <c r="VVP504" s="44"/>
      <c r="VVQ504" s="44"/>
      <c r="VVR504" s="44"/>
      <c r="VVS504" s="44"/>
      <c r="VVT504" s="44"/>
      <c r="VVU504" s="44"/>
      <c r="VVV504" s="44"/>
      <c r="VVW504" s="44"/>
      <c r="VVX504" s="44"/>
      <c r="VVY504" s="44"/>
      <c r="VVZ504" s="44"/>
      <c r="VWA504" s="44"/>
      <c r="VWB504" s="44"/>
      <c r="VWC504" s="44"/>
      <c r="VWD504" s="44"/>
      <c r="VWE504" s="44"/>
      <c r="VWF504" s="44"/>
      <c r="VWG504" s="44"/>
      <c r="VWH504" s="44"/>
      <c r="VWI504" s="44"/>
      <c r="VWJ504" s="44"/>
      <c r="VWK504" s="44"/>
      <c r="VWL504" s="44"/>
      <c r="VWM504" s="44"/>
      <c r="VWN504" s="44"/>
      <c r="VWO504" s="44"/>
      <c r="VWP504" s="44"/>
      <c r="VWQ504" s="44"/>
      <c r="VWR504" s="44"/>
      <c r="VWS504" s="44"/>
      <c r="VWT504" s="44"/>
      <c r="VWU504" s="44"/>
      <c r="VWV504" s="44"/>
      <c r="VWW504" s="44"/>
      <c r="VWX504" s="44"/>
      <c r="VWY504" s="44"/>
      <c r="VWZ504" s="44"/>
      <c r="VXA504" s="44"/>
      <c r="VXB504" s="44"/>
      <c r="VXC504" s="44"/>
      <c r="VXD504" s="44"/>
      <c r="VXE504" s="44"/>
      <c r="VXF504" s="44"/>
      <c r="VXG504" s="44"/>
      <c r="VXH504" s="44"/>
      <c r="VXI504" s="44"/>
      <c r="VXJ504" s="44"/>
      <c r="VXK504" s="44"/>
      <c r="VXL504" s="44"/>
      <c r="VXM504" s="44"/>
      <c r="VXN504" s="44"/>
      <c r="VXO504" s="44"/>
      <c r="VXP504" s="44"/>
      <c r="VXQ504" s="44"/>
      <c r="VXR504" s="44"/>
      <c r="VXS504" s="44"/>
      <c r="VXT504" s="44"/>
      <c r="VXU504" s="44"/>
      <c r="VXV504" s="44"/>
      <c r="VXW504" s="44"/>
      <c r="VXX504" s="44"/>
      <c r="VXY504" s="44"/>
      <c r="VXZ504" s="44"/>
      <c r="VYA504" s="44"/>
      <c r="VYB504" s="44"/>
      <c r="VYC504" s="44"/>
      <c r="VYD504" s="44"/>
      <c r="VYE504" s="44"/>
      <c r="VYF504" s="44"/>
      <c r="VYG504" s="44"/>
      <c r="VYH504" s="44"/>
      <c r="VYI504" s="44"/>
      <c r="VYJ504" s="44"/>
      <c r="VYK504" s="44"/>
      <c r="VYL504" s="44"/>
      <c r="VYM504" s="44"/>
      <c r="VYN504" s="44"/>
      <c r="VYO504" s="44"/>
      <c r="VYP504" s="44"/>
      <c r="VYQ504" s="44"/>
      <c r="VYR504" s="44"/>
      <c r="VYS504" s="44"/>
      <c r="VYT504" s="44"/>
      <c r="VYU504" s="44"/>
      <c r="VYV504" s="44"/>
      <c r="VYW504" s="44"/>
      <c r="VYX504" s="44"/>
      <c r="VYY504" s="44"/>
      <c r="VYZ504" s="44"/>
      <c r="VZA504" s="44"/>
      <c r="VZB504" s="44"/>
      <c r="VZC504" s="44"/>
      <c r="VZD504" s="44"/>
      <c r="VZE504" s="44"/>
      <c r="VZF504" s="44"/>
      <c r="VZG504" s="44"/>
      <c r="VZH504" s="44"/>
      <c r="VZI504" s="44"/>
      <c r="VZJ504" s="44"/>
      <c r="VZK504" s="44"/>
      <c r="VZL504" s="44"/>
      <c r="VZM504" s="44"/>
      <c r="VZN504" s="44"/>
      <c r="VZO504" s="44"/>
      <c r="VZP504" s="44"/>
      <c r="VZQ504" s="44"/>
      <c r="VZR504" s="44"/>
      <c r="VZS504" s="44"/>
      <c r="VZT504" s="44"/>
      <c r="VZU504" s="44"/>
      <c r="VZV504" s="44"/>
      <c r="VZW504" s="44"/>
      <c r="VZX504" s="44"/>
      <c r="VZY504" s="44"/>
      <c r="VZZ504" s="44"/>
      <c r="WAA504" s="44"/>
      <c r="WAB504" s="44"/>
      <c r="WAC504" s="44"/>
      <c r="WAD504" s="44"/>
      <c r="WAE504" s="44"/>
      <c r="WAF504" s="44"/>
      <c r="WAG504" s="44"/>
      <c r="WAH504" s="44"/>
      <c r="WAI504" s="44"/>
      <c r="WAJ504" s="44"/>
      <c r="WAK504" s="44"/>
      <c r="WAL504" s="44"/>
      <c r="WAM504" s="44"/>
      <c r="WAN504" s="44"/>
      <c r="WAO504" s="44"/>
      <c r="WAP504" s="44"/>
      <c r="WAQ504" s="44"/>
      <c r="WAR504" s="44"/>
      <c r="WAS504" s="44"/>
      <c r="WAT504" s="44"/>
      <c r="WAU504" s="44"/>
      <c r="WAV504" s="44"/>
      <c r="WAW504" s="44"/>
      <c r="WAX504" s="44"/>
      <c r="WAY504" s="44"/>
      <c r="WAZ504" s="44"/>
      <c r="WBA504" s="44"/>
      <c r="WBB504" s="44"/>
      <c r="WBC504" s="44"/>
      <c r="WBD504" s="44"/>
      <c r="WBE504" s="44"/>
      <c r="WBF504" s="44"/>
      <c r="WBG504" s="44"/>
      <c r="WBH504" s="44"/>
      <c r="WBI504" s="44"/>
      <c r="WBJ504" s="44"/>
      <c r="WBK504" s="44"/>
      <c r="WBL504" s="44"/>
      <c r="WBM504" s="44"/>
      <c r="WBN504" s="44"/>
      <c r="WBO504" s="44"/>
      <c r="WBP504" s="44"/>
      <c r="WBQ504" s="44"/>
      <c r="WBR504" s="44"/>
      <c r="WBS504" s="44"/>
      <c r="WBT504" s="44"/>
      <c r="WBU504" s="44"/>
      <c r="WBV504" s="44"/>
      <c r="WBW504" s="44"/>
      <c r="WBX504" s="44"/>
      <c r="WBY504" s="44"/>
      <c r="WBZ504" s="44"/>
      <c r="WCA504" s="44"/>
      <c r="WCB504" s="44"/>
      <c r="WCC504" s="44"/>
      <c r="WCD504" s="44"/>
      <c r="WCE504" s="44"/>
      <c r="WCF504" s="44"/>
      <c r="WCG504" s="44"/>
      <c r="WCH504" s="44"/>
      <c r="WCI504" s="44"/>
      <c r="WCJ504" s="44"/>
      <c r="WCK504" s="44"/>
      <c r="WCL504" s="44"/>
      <c r="WCM504" s="44"/>
      <c r="WCN504" s="44"/>
      <c r="WCO504" s="44"/>
      <c r="WCP504" s="44"/>
      <c r="WCQ504" s="44"/>
      <c r="WCR504" s="44"/>
      <c r="WCS504" s="44"/>
      <c r="WCT504" s="44"/>
      <c r="WCU504" s="44"/>
      <c r="WCV504" s="44"/>
      <c r="WCW504" s="44"/>
      <c r="WCX504" s="44"/>
      <c r="WCY504" s="44"/>
      <c r="WCZ504" s="44"/>
      <c r="WDA504" s="44"/>
      <c r="WDB504" s="44"/>
      <c r="WDC504" s="44"/>
      <c r="WDD504" s="44"/>
      <c r="WDE504" s="44"/>
      <c r="WDF504" s="44"/>
      <c r="WDG504" s="44"/>
      <c r="WDH504" s="44"/>
      <c r="WDI504" s="44"/>
      <c r="WDJ504" s="44"/>
      <c r="WDK504" s="44"/>
      <c r="WDL504" s="44"/>
      <c r="WDM504" s="44"/>
      <c r="WDN504" s="44"/>
      <c r="WDO504" s="44"/>
      <c r="WDP504" s="44"/>
      <c r="WDQ504" s="44"/>
      <c r="WDR504" s="44"/>
      <c r="WDS504" s="44"/>
      <c r="WDT504" s="44"/>
      <c r="WDU504" s="44"/>
      <c r="WDV504" s="44"/>
      <c r="WDW504" s="44"/>
      <c r="WDX504" s="44"/>
      <c r="WDY504" s="44"/>
      <c r="WDZ504" s="44"/>
      <c r="WEA504" s="44"/>
      <c r="WEB504" s="44"/>
      <c r="WEC504" s="44"/>
      <c r="WED504" s="44"/>
      <c r="WEE504" s="44"/>
      <c r="WEF504" s="44"/>
      <c r="WEG504" s="44"/>
      <c r="WEH504" s="44"/>
      <c r="WEI504" s="44"/>
      <c r="WEJ504" s="44"/>
      <c r="WEK504" s="44"/>
      <c r="WEL504" s="44"/>
      <c r="WEM504" s="44"/>
      <c r="WEN504" s="44"/>
      <c r="WEO504" s="44"/>
      <c r="WEP504" s="44"/>
      <c r="WEQ504" s="44"/>
      <c r="WER504" s="44"/>
      <c r="WES504" s="44"/>
      <c r="WET504" s="44"/>
      <c r="WEU504" s="44"/>
      <c r="WEV504" s="44"/>
      <c r="WEW504" s="44"/>
      <c r="WEX504" s="44"/>
      <c r="WEY504" s="44"/>
      <c r="WEZ504" s="44"/>
      <c r="WFA504" s="44"/>
      <c r="WFB504" s="44"/>
      <c r="WFC504" s="44"/>
      <c r="WFD504" s="44"/>
      <c r="WFE504" s="44"/>
      <c r="WFF504" s="44"/>
      <c r="WFG504" s="44"/>
      <c r="WFH504" s="44"/>
      <c r="WFI504" s="44"/>
      <c r="WFJ504" s="44"/>
      <c r="WFK504" s="44"/>
      <c r="WFL504" s="44"/>
      <c r="WFM504" s="44"/>
      <c r="WFN504" s="44"/>
      <c r="WFO504" s="44"/>
      <c r="WFP504" s="44"/>
      <c r="WFQ504" s="44"/>
      <c r="WFR504" s="44"/>
      <c r="WFS504" s="44"/>
      <c r="WFT504" s="44"/>
      <c r="WFU504" s="44"/>
      <c r="WFV504" s="44"/>
      <c r="WFW504" s="44"/>
      <c r="WFX504" s="44"/>
      <c r="WFY504" s="44"/>
      <c r="WFZ504" s="44"/>
      <c r="WGA504" s="44"/>
      <c r="WGB504" s="44"/>
      <c r="WGC504" s="44"/>
      <c r="WGD504" s="44"/>
      <c r="WGE504" s="44"/>
      <c r="WGF504" s="44"/>
      <c r="WGG504" s="44"/>
      <c r="WGH504" s="44"/>
      <c r="WGI504" s="44"/>
      <c r="WGJ504" s="44"/>
      <c r="WGK504" s="44"/>
      <c r="WGL504" s="44"/>
      <c r="WGM504" s="44"/>
      <c r="WGN504" s="44"/>
      <c r="WGO504" s="44"/>
      <c r="WGP504" s="44"/>
      <c r="WGQ504" s="44"/>
      <c r="WGR504" s="44"/>
      <c r="WGS504" s="44"/>
      <c r="WGT504" s="44"/>
      <c r="WGU504" s="44"/>
      <c r="WGV504" s="44"/>
      <c r="WGW504" s="44"/>
      <c r="WGX504" s="44"/>
      <c r="WGY504" s="44"/>
      <c r="WGZ504" s="44"/>
      <c r="WHA504" s="44"/>
      <c r="WHB504" s="44"/>
      <c r="WHC504" s="44"/>
      <c r="WHD504" s="44"/>
      <c r="WHE504" s="44"/>
      <c r="WHF504" s="44"/>
      <c r="WHG504" s="44"/>
      <c r="WHH504" s="44"/>
      <c r="WHI504" s="44"/>
      <c r="WHJ504" s="44"/>
      <c r="WHK504" s="44"/>
      <c r="WHL504" s="44"/>
      <c r="WHM504" s="44"/>
      <c r="WHN504" s="44"/>
      <c r="WHO504" s="44"/>
      <c r="WHP504" s="44"/>
      <c r="WHQ504" s="44"/>
      <c r="WHR504" s="44"/>
      <c r="WHS504" s="44"/>
      <c r="WHT504" s="44"/>
      <c r="WHU504" s="44"/>
      <c r="WHV504" s="44"/>
      <c r="WHW504" s="44"/>
      <c r="WHX504" s="44"/>
      <c r="WHY504" s="44"/>
      <c r="WHZ504" s="44"/>
      <c r="WIA504" s="44"/>
      <c r="WIB504" s="44"/>
      <c r="WIC504" s="44"/>
      <c r="WID504" s="44"/>
      <c r="WIE504" s="44"/>
      <c r="WIF504" s="44"/>
      <c r="WIG504" s="44"/>
      <c r="WIH504" s="44"/>
      <c r="WII504" s="44"/>
      <c r="WIJ504" s="44"/>
      <c r="WIK504" s="44"/>
      <c r="WIL504" s="44"/>
      <c r="WIM504" s="44"/>
      <c r="WIN504" s="44"/>
      <c r="WIO504" s="44"/>
      <c r="WIP504" s="44"/>
      <c r="WIQ504" s="44"/>
      <c r="WIR504" s="44"/>
      <c r="WIS504" s="44"/>
      <c r="WIT504" s="44"/>
      <c r="WIU504" s="44"/>
      <c r="WIV504" s="44"/>
      <c r="WIW504" s="44"/>
      <c r="WIX504" s="44"/>
      <c r="WIY504" s="44"/>
      <c r="WIZ504" s="44"/>
      <c r="WJA504" s="44"/>
      <c r="WJB504" s="44"/>
      <c r="WJC504" s="44"/>
      <c r="WJD504" s="44"/>
      <c r="WJE504" s="44"/>
      <c r="WJF504" s="44"/>
      <c r="WJG504" s="44"/>
      <c r="WJH504" s="44"/>
      <c r="WJI504" s="44"/>
      <c r="WJJ504" s="44"/>
      <c r="WJK504" s="44"/>
      <c r="WJL504" s="44"/>
      <c r="WJM504" s="44"/>
      <c r="WJN504" s="44"/>
      <c r="WJO504" s="44"/>
      <c r="WJP504" s="44"/>
      <c r="WJQ504" s="44"/>
      <c r="WJR504" s="44"/>
      <c r="WJS504" s="44"/>
      <c r="WJT504" s="44"/>
      <c r="WJU504" s="44"/>
      <c r="WJV504" s="44"/>
      <c r="WJW504" s="44"/>
      <c r="WJX504" s="44"/>
      <c r="WJY504" s="44"/>
      <c r="WJZ504" s="44"/>
      <c r="WKA504" s="44"/>
      <c r="WKB504" s="44"/>
      <c r="WKC504" s="44"/>
      <c r="WKD504" s="44"/>
      <c r="WKE504" s="44"/>
      <c r="WKF504" s="44"/>
      <c r="WKG504" s="44"/>
      <c r="WKH504" s="44"/>
      <c r="WKI504" s="44"/>
      <c r="WKJ504" s="44"/>
      <c r="WKK504" s="44"/>
      <c r="WKL504" s="44"/>
      <c r="WKM504" s="44"/>
      <c r="WKN504" s="44"/>
      <c r="WKO504" s="44"/>
      <c r="WKP504" s="44"/>
      <c r="WKQ504" s="44"/>
      <c r="WKR504" s="44"/>
      <c r="WKS504" s="44"/>
      <c r="WKT504" s="44"/>
      <c r="WKU504" s="44"/>
      <c r="WKV504" s="44"/>
      <c r="WKW504" s="44"/>
      <c r="WKX504" s="44"/>
      <c r="WKY504" s="44"/>
      <c r="WKZ504" s="44"/>
      <c r="WLA504" s="44"/>
      <c r="WLB504" s="44"/>
      <c r="WLC504" s="44"/>
      <c r="WLD504" s="44"/>
      <c r="WLE504" s="44"/>
      <c r="WLF504" s="44"/>
      <c r="WLG504" s="44"/>
      <c r="WLH504" s="44"/>
      <c r="WLI504" s="44"/>
      <c r="WLJ504" s="44"/>
      <c r="WLK504" s="44"/>
      <c r="WLL504" s="44"/>
      <c r="WLM504" s="44"/>
      <c r="WLN504" s="44"/>
      <c r="WLO504" s="44"/>
      <c r="WLP504" s="44"/>
      <c r="WLQ504" s="44"/>
      <c r="WLR504" s="44"/>
      <c r="WLS504" s="44"/>
      <c r="WLT504" s="44"/>
      <c r="WLU504" s="44"/>
      <c r="WLV504" s="44"/>
      <c r="WLW504" s="44"/>
      <c r="WLX504" s="44"/>
      <c r="WLY504" s="44"/>
      <c r="WLZ504" s="44"/>
      <c r="WMA504" s="44"/>
      <c r="WMB504" s="44"/>
      <c r="WMC504" s="44"/>
      <c r="WMD504" s="44"/>
      <c r="WME504" s="44"/>
      <c r="WMF504" s="44"/>
      <c r="WMG504" s="44"/>
      <c r="WMH504" s="44"/>
      <c r="WMI504" s="44"/>
      <c r="WMJ504" s="44"/>
      <c r="WMK504" s="44"/>
      <c r="WML504" s="44"/>
      <c r="WMM504" s="44"/>
      <c r="WMN504" s="44"/>
      <c r="WMO504" s="44"/>
      <c r="WMP504" s="44"/>
      <c r="WMQ504" s="44"/>
      <c r="WMR504" s="44"/>
      <c r="WMS504" s="44"/>
      <c r="WMT504" s="44"/>
      <c r="WMU504" s="44"/>
      <c r="WMV504" s="44"/>
      <c r="WMW504" s="44"/>
      <c r="WMX504" s="44"/>
      <c r="WMY504" s="44"/>
      <c r="WMZ504" s="44"/>
      <c r="WNA504" s="44"/>
      <c r="WNB504" s="44"/>
      <c r="WNC504" s="44"/>
      <c r="WND504" s="44"/>
      <c r="WNE504" s="44"/>
      <c r="WNF504" s="44"/>
      <c r="WNG504" s="44"/>
      <c r="WNH504" s="44"/>
      <c r="WNI504" s="44"/>
      <c r="WNJ504" s="44"/>
      <c r="WNK504" s="44"/>
      <c r="WNL504" s="44"/>
      <c r="WNM504" s="44"/>
      <c r="WNN504" s="44"/>
      <c r="WNO504" s="44"/>
      <c r="WNP504" s="44"/>
      <c r="WNQ504" s="44"/>
      <c r="WNR504" s="44"/>
      <c r="WNS504" s="44"/>
      <c r="WNT504" s="44"/>
      <c r="WNU504" s="44"/>
      <c r="WNV504" s="44"/>
      <c r="WNW504" s="44"/>
      <c r="WNX504" s="44"/>
      <c r="WNY504" s="44"/>
      <c r="WNZ504" s="44"/>
      <c r="WOA504" s="44"/>
      <c r="WOB504" s="44"/>
      <c r="WOC504" s="44"/>
      <c r="WOD504" s="44"/>
      <c r="WOE504" s="44"/>
      <c r="WOF504" s="44"/>
      <c r="WOG504" s="44"/>
      <c r="WOH504" s="44"/>
      <c r="WOI504" s="44"/>
      <c r="WOJ504" s="44"/>
      <c r="WOK504" s="44"/>
      <c r="WOL504" s="44"/>
      <c r="WOM504" s="44"/>
      <c r="WON504" s="44"/>
      <c r="WOO504" s="44"/>
      <c r="WOP504" s="44"/>
      <c r="WOQ504" s="44"/>
      <c r="WOR504" s="44"/>
      <c r="WOS504" s="44"/>
      <c r="WOT504" s="44"/>
      <c r="WOU504" s="44"/>
      <c r="WOV504" s="44"/>
      <c r="WOW504" s="44"/>
      <c r="WOX504" s="44"/>
      <c r="WOY504" s="44"/>
      <c r="WOZ504" s="44"/>
      <c r="WPA504" s="44"/>
      <c r="WPB504" s="44"/>
      <c r="WPC504" s="44"/>
      <c r="WPD504" s="44"/>
      <c r="WPE504" s="44"/>
      <c r="WPF504" s="44"/>
      <c r="WPG504" s="44"/>
      <c r="WPH504" s="44"/>
      <c r="WPI504" s="44"/>
      <c r="WPJ504" s="44"/>
      <c r="WPK504" s="44"/>
      <c r="WPL504" s="44"/>
      <c r="WPM504" s="44"/>
      <c r="WPN504" s="44"/>
      <c r="WPO504" s="44"/>
      <c r="WPP504" s="44"/>
      <c r="WPQ504" s="44"/>
      <c r="WPR504" s="44"/>
      <c r="WPS504" s="44"/>
      <c r="WPT504" s="44"/>
      <c r="WPU504" s="44"/>
      <c r="WPV504" s="44"/>
      <c r="WPW504" s="44"/>
      <c r="WPX504" s="44"/>
      <c r="WPY504" s="44"/>
      <c r="WPZ504" s="44"/>
      <c r="WQA504" s="44"/>
      <c r="WQB504" s="44"/>
      <c r="WQC504" s="44"/>
      <c r="WQD504" s="44"/>
      <c r="WQE504" s="44"/>
      <c r="WQF504" s="44"/>
      <c r="WQG504" s="44"/>
      <c r="WQH504" s="44"/>
      <c r="WQI504" s="44"/>
      <c r="WQJ504" s="44"/>
      <c r="WQK504" s="44"/>
      <c r="WQL504" s="44"/>
      <c r="WQM504" s="44"/>
      <c r="WQN504" s="44"/>
      <c r="WQO504" s="44"/>
      <c r="WQP504" s="44"/>
      <c r="WQQ504" s="44"/>
      <c r="WQR504" s="44"/>
      <c r="WQS504" s="44"/>
      <c r="WQT504" s="44"/>
      <c r="WQU504" s="44"/>
      <c r="WQV504" s="44"/>
      <c r="WQW504" s="44"/>
      <c r="WQX504" s="44"/>
      <c r="WQY504" s="44"/>
      <c r="WQZ504" s="44"/>
      <c r="WRA504" s="44"/>
      <c r="WRB504" s="44"/>
      <c r="WRC504" s="44"/>
      <c r="WRD504" s="44"/>
      <c r="WRE504" s="44"/>
      <c r="WRF504" s="44"/>
      <c r="WRG504" s="44"/>
      <c r="WRH504" s="44"/>
      <c r="WRI504" s="44"/>
      <c r="WRJ504" s="44"/>
      <c r="WRK504" s="44"/>
      <c r="WRL504" s="44"/>
      <c r="WRM504" s="44"/>
      <c r="WRN504" s="44"/>
      <c r="WRO504" s="44"/>
      <c r="WRP504" s="44"/>
      <c r="WRQ504" s="44"/>
      <c r="WRR504" s="44"/>
      <c r="WRS504" s="44"/>
      <c r="WRT504" s="44"/>
      <c r="WRU504" s="44"/>
      <c r="WRV504" s="44"/>
      <c r="WRW504" s="44"/>
      <c r="WRX504" s="44"/>
      <c r="WRY504" s="44"/>
      <c r="WRZ504" s="44"/>
      <c r="WSA504" s="44"/>
      <c r="WSB504" s="44"/>
      <c r="WSC504" s="44"/>
      <c r="WSD504" s="44"/>
      <c r="WSE504" s="44"/>
      <c r="WSF504" s="44"/>
      <c r="WSG504" s="44"/>
      <c r="WSH504" s="44"/>
      <c r="WSI504" s="44"/>
      <c r="WSJ504" s="44"/>
      <c r="WSK504" s="44"/>
      <c r="WSL504" s="44"/>
      <c r="WSM504" s="44"/>
      <c r="WSN504" s="44"/>
      <c r="WSO504" s="44"/>
      <c r="WSP504" s="44"/>
      <c r="WSQ504" s="44"/>
      <c r="WSR504" s="44"/>
      <c r="WSS504" s="44"/>
      <c r="WST504" s="44"/>
      <c r="WSU504" s="44"/>
      <c r="WSV504" s="44"/>
      <c r="WSW504" s="44"/>
      <c r="WSX504" s="44"/>
      <c r="WSY504" s="44"/>
      <c r="WSZ504" s="44"/>
      <c r="WTA504" s="44"/>
      <c r="WTB504" s="44"/>
      <c r="WTC504" s="44"/>
      <c r="WTD504" s="44"/>
      <c r="WTE504" s="44"/>
      <c r="WTF504" s="44"/>
      <c r="WTG504" s="44"/>
      <c r="WTH504" s="44"/>
      <c r="WTI504" s="44"/>
      <c r="WTJ504" s="44"/>
      <c r="WTK504" s="44"/>
      <c r="WTL504" s="44"/>
      <c r="WTM504" s="44"/>
      <c r="WTN504" s="44"/>
      <c r="WTO504" s="44"/>
      <c r="WTP504" s="44"/>
      <c r="WTQ504" s="44"/>
      <c r="WTR504" s="44"/>
      <c r="WTS504" s="44"/>
      <c r="WTT504" s="44"/>
      <c r="WTU504" s="44"/>
      <c r="WTV504" s="44"/>
      <c r="WTW504" s="44"/>
      <c r="WTX504" s="44"/>
      <c r="WTY504" s="44"/>
      <c r="WTZ504" s="44"/>
      <c r="WUA504" s="44"/>
      <c r="WUB504" s="44"/>
      <c r="WUC504" s="44"/>
      <c r="WUD504" s="44"/>
      <c r="WUE504" s="44"/>
      <c r="WUF504" s="44"/>
      <c r="WUG504" s="44"/>
      <c r="WUH504" s="44"/>
      <c r="WUI504" s="44"/>
      <c r="WUJ504" s="44"/>
      <c r="WUK504" s="44"/>
      <c r="WUL504" s="44"/>
      <c r="WUM504" s="44"/>
      <c r="WUN504" s="44"/>
      <c r="WUO504" s="44"/>
      <c r="WUP504" s="44"/>
      <c r="WUQ504" s="44"/>
      <c r="WUR504" s="44"/>
      <c r="WUS504" s="44"/>
      <c r="WUT504" s="44"/>
      <c r="WUU504" s="44"/>
      <c r="WUV504" s="44"/>
      <c r="WUW504" s="44"/>
      <c r="WUX504" s="44"/>
      <c r="WUY504" s="44"/>
      <c r="WUZ504" s="44"/>
      <c r="WVA504" s="44"/>
      <c r="WVB504" s="44"/>
      <c r="WVC504" s="44"/>
      <c r="WVD504" s="44"/>
      <c r="WVE504" s="44"/>
      <c r="WVF504" s="44"/>
      <c r="WVG504" s="44"/>
      <c r="WVH504" s="44"/>
      <c r="WVI504" s="44"/>
      <c r="WVJ504" s="44"/>
      <c r="WVK504" s="44"/>
      <c r="WVL504" s="44"/>
      <c r="WVM504" s="44"/>
      <c r="WVN504" s="44"/>
      <c r="WVO504" s="44"/>
      <c r="WVP504" s="44"/>
      <c r="WVQ504" s="44"/>
      <c r="WVR504" s="44"/>
      <c r="WVS504" s="44"/>
      <c r="WVT504" s="44"/>
      <c r="WVU504" s="44"/>
      <c r="WVV504" s="44"/>
      <c r="WVW504" s="44"/>
      <c r="WVX504" s="44"/>
      <c r="WVY504" s="44"/>
      <c r="WVZ504" s="44"/>
      <c r="WWA504" s="44"/>
      <c r="WWB504" s="44"/>
      <c r="WWC504" s="44"/>
      <c r="WWD504" s="44"/>
      <c r="WWE504" s="44"/>
      <c r="WWF504" s="44"/>
      <c r="WWG504" s="44"/>
      <c r="WWH504" s="44"/>
      <c r="WWI504" s="44"/>
      <c r="WWJ504" s="44"/>
      <c r="WWK504" s="44"/>
      <c r="WWL504" s="44"/>
      <c r="WWM504" s="44"/>
      <c r="WWN504" s="44"/>
      <c r="WWO504" s="44"/>
      <c r="WWP504" s="44"/>
      <c r="WWQ504" s="44"/>
      <c r="WWR504" s="44"/>
      <c r="WWS504" s="44"/>
      <c r="WWT504" s="44"/>
      <c r="WWU504" s="44"/>
      <c r="WWV504" s="44"/>
      <c r="WWW504" s="44"/>
      <c r="WWX504" s="44"/>
      <c r="WWY504" s="44"/>
      <c r="WWZ504" s="44"/>
      <c r="WXA504" s="44"/>
      <c r="WXB504" s="44"/>
      <c r="WXC504" s="44"/>
      <c r="WXD504" s="44"/>
      <c r="WXE504" s="44"/>
      <c r="WXF504" s="44"/>
      <c r="WXG504" s="44"/>
      <c r="WXH504" s="44"/>
      <c r="WXI504" s="44"/>
      <c r="WXJ504" s="44"/>
      <c r="WXK504" s="44"/>
      <c r="WXL504" s="44"/>
      <c r="WXM504" s="44"/>
      <c r="WXN504" s="44"/>
      <c r="WXO504" s="44"/>
      <c r="WXP504" s="44"/>
      <c r="WXQ504" s="44"/>
      <c r="WXR504" s="44"/>
      <c r="WXS504" s="44"/>
      <c r="WXT504" s="44"/>
      <c r="WXU504" s="44"/>
      <c r="WXV504" s="44"/>
      <c r="WXW504" s="44"/>
      <c r="WXX504" s="44"/>
      <c r="WXY504" s="44"/>
      <c r="WXZ504" s="44"/>
      <c r="WYA504" s="44"/>
      <c r="WYB504" s="44"/>
      <c r="WYC504" s="44"/>
      <c r="WYD504" s="44"/>
      <c r="WYE504" s="44"/>
      <c r="WYF504" s="44"/>
      <c r="WYG504" s="44"/>
      <c r="WYH504" s="44"/>
      <c r="WYI504" s="44"/>
      <c r="WYJ504" s="44"/>
      <c r="WYK504" s="44"/>
      <c r="WYL504" s="44"/>
      <c r="WYM504" s="44"/>
      <c r="WYN504" s="44"/>
      <c r="WYO504" s="44"/>
      <c r="WYP504" s="44"/>
      <c r="WYQ504" s="44"/>
      <c r="WYR504" s="44"/>
      <c r="WYS504" s="44"/>
      <c r="WYT504" s="44"/>
      <c r="WYU504" s="44"/>
      <c r="WYV504" s="44"/>
      <c r="WYW504" s="44"/>
      <c r="WYX504" s="44"/>
      <c r="WYY504" s="44"/>
      <c r="WYZ504" s="44"/>
      <c r="WZA504" s="44"/>
      <c r="WZB504" s="44"/>
      <c r="WZC504" s="44"/>
      <c r="WZD504" s="44"/>
      <c r="WZE504" s="44"/>
      <c r="WZF504" s="44"/>
      <c r="WZG504" s="44"/>
      <c r="WZH504" s="44"/>
      <c r="WZI504" s="44"/>
      <c r="WZJ504" s="44"/>
      <c r="WZK504" s="44"/>
      <c r="WZL504" s="44"/>
      <c r="WZM504" s="44"/>
      <c r="WZN504" s="44"/>
      <c r="WZO504" s="44"/>
      <c r="WZP504" s="44"/>
      <c r="WZQ504" s="44"/>
      <c r="WZR504" s="44"/>
      <c r="WZS504" s="44"/>
      <c r="WZT504" s="44"/>
      <c r="WZU504" s="44"/>
      <c r="WZV504" s="44"/>
      <c r="WZW504" s="44"/>
      <c r="WZX504" s="44"/>
      <c r="WZY504" s="44"/>
      <c r="WZZ504" s="44"/>
      <c r="XAA504" s="44"/>
      <c r="XAB504" s="44"/>
      <c r="XAC504" s="44"/>
      <c r="XAD504" s="44"/>
      <c r="XAE504" s="44"/>
      <c r="XAF504" s="44"/>
      <c r="XAG504" s="44"/>
      <c r="XAH504" s="44"/>
      <c r="XAI504" s="44"/>
      <c r="XAJ504" s="44"/>
      <c r="XAK504" s="44"/>
      <c r="XAL504" s="44"/>
      <c r="XAM504" s="44"/>
      <c r="XAN504" s="44"/>
      <c r="XAO504" s="44"/>
      <c r="XAP504" s="44"/>
      <c r="XAQ504" s="44"/>
      <c r="XAR504" s="44"/>
      <c r="XAS504" s="44"/>
      <c r="XAT504" s="44"/>
      <c r="XAU504" s="44"/>
      <c r="XAV504" s="44"/>
      <c r="XAW504" s="44"/>
      <c r="XAX504" s="44"/>
      <c r="XAY504" s="44"/>
      <c r="XAZ504" s="44"/>
      <c r="XBA504" s="44"/>
      <c r="XBB504" s="44"/>
      <c r="XBC504" s="44"/>
      <c r="XBD504" s="44"/>
      <c r="XBE504" s="44"/>
      <c r="XBF504" s="44"/>
      <c r="XBG504" s="44"/>
      <c r="XBH504" s="44"/>
      <c r="XBI504" s="44"/>
      <c r="XBJ504" s="44"/>
      <c r="XBK504" s="44"/>
      <c r="XBL504" s="44"/>
      <c r="XBM504" s="44"/>
      <c r="XBN504" s="44"/>
      <c r="XBO504" s="44"/>
      <c r="XBP504" s="44"/>
      <c r="XBQ504" s="44"/>
      <c r="XBR504" s="44"/>
      <c r="XBS504" s="44"/>
      <c r="XBT504" s="44"/>
      <c r="XBU504" s="44"/>
      <c r="XBV504" s="44"/>
      <c r="XBW504" s="44"/>
      <c r="XBX504" s="44"/>
      <c r="XBY504" s="44"/>
      <c r="XBZ504" s="44"/>
      <c r="XCA504" s="44"/>
      <c r="XCB504" s="44"/>
      <c r="XCC504" s="44"/>
      <c r="XCD504" s="44"/>
      <c r="XCE504" s="44"/>
      <c r="XCF504" s="44"/>
      <c r="XCG504" s="44"/>
      <c r="XCH504" s="44"/>
      <c r="XCI504" s="44"/>
      <c r="XCJ504" s="44"/>
      <c r="XCK504" s="44"/>
      <c r="XCL504" s="44"/>
      <c r="XCM504" s="44"/>
      <c r="XCN504" s="44"/>
      <c r="XCO504" s="44"/>
      <c r="XCP504" s="44"/>
      <c r="XCQ504" s="44"/>
      <c r="XCR504" s="44"/>
      <c r="XCS504" s="44"/>
      <c r="XCT504" s="44"/>
      <c r="XCU504" s="44"/>
      <c r="XCV504" s="44"/>
      <c r="XCW504" s="44"/>
      <c r="XCX504" s="44"/>
      <c r="XCY504" s="44"/>
      <c r="XCZ504" s="44"/>
      <c r="XDA504" s="44"/>
      <c r="XDB504" s="44"/>
      <c r="XDC504" s="44"/>
      <c r="XDD504" s="44"/>
      <c r="XDE504" s="44"/>
      <c r="XDF504" s="44"/>
      <c r="XDG504" s="44"/>
      <c r="XDH504" s="44"/>
      <c r="XDI504" s="44"/>
      <c r="XDJ504" s="44"/>
      <c r="XDK504" s="44"/>
      <c r="XDL504" s="44"/>
      <c r="XDM504" s="44"/>
      <c r="XDN504" s="44"/>
      <c r="XDO504" s="44"/>
      <c r="XDP504" s="44"/>
      <c r="XDQ504" s="44"/>
      <c r="XDR504" s="44"/>
      <c r="XDS504" s="44"/>
      <c r="XDT504" s="44"/>
      <c r="XDU504" s="44"/>
      <c r="XDV504" s="44"/>
      <c r="XDW504" s="44"/>
      <c r="XDX504" s="44"/>
      <c r="XDY504" s="44"/>
      <c r="XDZ504" s="44"/>
      <c r="XEA504" s="44"/>
      <c r="XEB504" s="44"/>
      <c r="XEC504" s="44"/>
      <c r="XED504" s="44"/>
      <c r="XEE504" s="44"/>
      <c r="XEF504" s="44"/>
      <c r="XEG504" s="44"/>
      <c r="XEH504" s="44"/>
      <c r="XEI504" s="44"/>
      <c r="XEJ504" s="44"/>
      <c r="XEK504" s="44"/>
      <c r="XEL504" s="44"/>
      <c r="XEM504" s="44"/>
      <c r="XEN504" s="44"/>
      <c r="XEO504" s="44"/>
      <c r="XEP504" s="44"/>
      <c r="XEQ504" s="44"/>
      <c r="XER504" s="44"/>
      <c r="XES504" s="44"/>
      <c r="XET504" s="44"/>
      <c r="XEU504" s="44"/>
      <c r="XEV504" s="44"/>
      <c r="XEW504" s="44"/>
    </row>
    <row r="505" spans="1:16377">
      <c r="A505" s="1115">
        <v>5102106000</v>
      </c>
      <c r="B505" s="1116" t="s">
        <v>621</v>
      </c>
      <c r="C505" s="1312">
        <f>IFERROR(VLOOKUP(A505,'SAP '!$A$3:$C$14709,3,0),0)</f>
        <v>121106.8</v>
      </c>
      <c r="D505" s="1151">
        <f>IFERROR(VLOOKUP(A505,'SAP '!A:D,4,0),0)</f>
        <v>110674.47</v>
      </c>
      <c r="E505" s="125">
        <f>IFERROR(VLOOKUP($A505,'SAP '!$A$3:$D$391,3,0),0)</f>
        <v>121106.8</v>
      </c>
      <c r="F505" s="1310">
        <f t="shared" si="7"/>
        <v>0</v>
      </c>
    </row>
    <row r="506" spans="1:16377">
      <c r="A506" s="1115">
        <v>5102108000</v>
      </c>
      <c r="B506" s="1116" t="s">
        <v>622</v>
      </c>
      <c r="C506" s="1312">
        <f>IFERROR(VLOOKUP(A506,'SAP '!$A$3:$C$14709,3,0),0)</f>
        <v>2037979.41</v>
      </c>
      <c r="D506" s="1151">
        <f>IFERROR(VLOOKUP(A506,'SAP '!A:D,4,0),0)</f>
        <v>276081.78999999998</v>
      </c>
      <c r="E506" s="125">
        <f>IFERROR(VLOOKUP($A506,'SAP '!$A$3:$D$391,3,0),0)</f>
        <v>2037979.41</v>
      </c>
      <c r="F506" s="1310">
        <f t="shared" si="7"/>
        <v>0</v>
      </c>
    </row>
    <row r="507" spans="1:16377">
      <c r="A507" s="1115">
        <v>5102109000</v>
      </c>
      <c r="B507" s="1116" t="s">
        <v>623</v>
      </c>
      <c r="C507" s="1312">
        <f>IFERROR(VLOOKUP(A507,'SAP '!$A$3:$C$14709,3,0),0)</f>
        <v>4119948.8</v>
      </c>
      <c r="D507" s="1151">
        <f>IFERROR(VLOOKUP(A507,'SAP '!A:D,4,0),0)</f>
        <v>4281792.08</v>
      </c>
      <c r="E507" s="125">
        <f>IFERROR(VLOOKUP($A507,'SAP '!$A$3:$D$391,3,0),0)</f>
        <v>4119948.8</v>
      </c>
      <c r="F507" s="1310">
        <f t="shared" si="7"/>
        <v>0</v>
      </c>
    </row>
    <row r="508" spans="1:16377">
      <c r="A508" s="1115">
        <v>5103101000</v>
      </c>
      <c r="B508" s="1116" t="s">
        <v>639</v>
      </c>
      <c r="C508" s="1312">
        <f>IFERROR(VLOOKUP(A508,'SAP '!$A$3:$C$14709,3,0),0)</f>
        <v>21655</v>
      </c>
      <c r="D508" s="1151">
        <f>IFERROR(VLOOKUP(A508,'SAP '!A:D,4,0),0)</f>
        <v>60279</v>
      </c>
      <c r="E508" s="125">
        <f>IFERROR(VLOOKUP($A508,'SAP '!$A$3:$D$391,3,0),0)</f>
        <v>21655</v>
      </c>
      <c r="F508" s="1310">
        <f t="shared" si="7"/>
        <v>0</v>
      </c>
    </row>
    <row r="509" spans="1:16377">
      <c r="A509" s="1115">
        <v>5103101001</v>
      </c>
      <c r="B509" s="1116" t="s">
        <v>640</v>
      </c>
      <c r="C509" s="1312">
        <f>IFERROR(VLOOKUP(A509,'SAP '!$A$3:$C$14709,3,0),0)</f>
        <v>439093.02</v>
      </c>
      <c r="D509" s="1151">
        <f>IFERROR(VLOOKUP(A509,'SAP '!A:D,4,0),0)</f>
        <v>727045</v>
      </c>
      <c r="E509" s="125">
        <f>IFERROR(VLOOKUP($A509,'SAP '!$A$3:$D$391,3,0),0)</f>
        <v>439093.02</v>
      </c>
      <c r="F509" s="1310">
        <f t="shared" si="7"/>
        <v>0</v>
      </c>
    </row>
    <row r="510" spans="1:16377">
      <c r="A510" s="1115">
        <v>5103101002</v>
      </c>
      <c r="B510" s="1116" t="s">
        <v>641</v>
      </c>
      <c r="C510" s="1312">
        <f>IFERROR(VLOOKUP(A510,'SAP '!$A$3:$C$14709,3,0),0)</f>
        <v>0</v>
      </c>
      <c r="D510" s="1151">
        <f>IFERROR(VLOOKUP(A510,'SAP '!A:D,4,0),0)</f>
        <v>4645</v>
      </c>
      <c r="E510" s="125">
        <f>IFERROR(VLOOKUP($A510,'SAP '!$A$3:$D$391,3,0),0)</f>
        <v>0</v>
      </c>
      <c r="F510" s="1310">
        <f t="shared" si="7"/>
        <v>0</v>
      </c>
    </row>
    <row r="511" spans="1:16377">
      <c r="A511" s="1120">
        <v>5103101003</v>
      </c>
      <c r="B511" s="1120" t="s">
        <v>161</v>
      </c>
      <c r="C511" s="1312">
        <f>IFERROR(VLOOKUP(A511,'SAP '!$A$3:$C$14709,3,0),0)</f>
        <v>0</v>
      </c>
      <c r="D511" s="1151">
        <f>IFERROR(VLOOKUP(A511,'SAP '!A:D,4,0),0)</f>
        <v>0</v>
      </c>
      <c r="E511" s="125">
        <f>IFERROR(VLOOKUP($A511,'SAP '!$A$3:$D$391,3,0),0)</f>
        <v>0</v>
      </c>
      <c r="F511" s="1310">
        <f t="shared" si="7"/>
        <v>0</v>
      </c>
    </row>
    <row r="512" spans="1:16377">
      <c r="A512" s="1120">
        <v>5103101004</v>
      </c>
      <c r="B512" s="1120" t="s">
        <v>162</v>
      </c>
      <c r="C512" s="1312">
        <f>IFERROR(VLOOKUP(A512,'SAP '!$A$3:$C$14709,3,0),0)</f>
        <v>0</v>
      </c>
      <c r="D512" s="1151">
        <f>IFERROR(VLOOKUP(A512,'SAP '!A:D,4,0),0)</f>
        <v>0</v>
      </c>
      <c r="E512" s="125">
        <f>IFERROR(VLOOKUP($A512,'SAP '!$A$3:$D$391,3,0),0)</f>
        <v>0</v>
      </c>
      <c r="F512" s="1310">
        <f t="shared" si="7"/>
        <v>0</v>
      </c>
    </row>
    <row r="513" spans="1:6">
      <c r="A513" s="1115">
        <v>5103102000</v>
      </c>
      <c r="B513" s="1116" t="s">
        <v>642</v>
      </c>
      <c r="C513" s="1312">
        <f>IFERROR(VLOOKUP(A513,'SAP '!$A$3:$C$14709,3,0),0)</f>
        <v>7033.2</v>
      </c>
      <c r="D513" s="1151">
        <f>IFERROR(VLOOKUP(A513,'SAP '!A:D,4,0),0)</f>
        <v>6690</v>
      </c>
      <c r="E513" s="125">
        <f>IFERROR(VLOOKUP($A513,'SAP '!$A$3:$D$391,3,0),0)</f>
        <v>7033.2</v>
      </c>
      <c r="F513" s="1310">
        <f t="shared" si="7"/>
        <v>0</v>
      </c>
    </row>
    <row r="514" spans="1:6">
      <c r="A514" s="1115">
        <v>5103102001</v>
      </c>
      <c r="B514" s="1116" t="s">
        <v>643</v>
      </c>
      <c r="C514" s="1312">
        <f>IFERROR(VLOOKUP(A514,'SAP '!$A$3:$C$14709,3,0),0)</f>
        <v>8505863.8200000003</v>
      </c>
      <c r="D514" s="1151">
        <f>IFERROR(VLOOKUP(A514,'SAP '!A:D,4,0),0)</f>
        <v>2741667</v>
      </c>
      <c r="E514" s="125">
        <f>IFERROR(VLOOKUP($A514,'SAP '!$A$3:$D$391,3,0),0)</f>
        <v>8505863.8200000003</v>
      </c>
      <c r="F514" s="1310">
        <f t="shared" si="7"/>
        <v>0</v>
      </c>
    </row>
    <row r="515" spans="1:6">
      <c r="A515" s="1115">
        <v>5103103000</v>
      </c>
      <c r="B515" s="1116" t="s">
        <v>644</v>
      </c>
      <c r="C515" s="1312">
        <f>IFERROR(VLOOKUP(A515,'SAP '!$A$3:$C$14709,3,0),0)</f>
        <v>914026.63</v>
      </c>
      <c r="D515" s="1151">
        <f>IFERROR(VLOOKUP(A515,'SAP '!A:D,4,0),0)</f>
        <v>47205</v>
      </c>
      <c r="E515" s="125">
        <f>IFERROR(VLOOKUP($A515,'SAP '!$A$3:$D$391,3,0),0)</f>
        <v>914026.63</v>
      </c>
      <c r="F515" s="1310">
        <f t="shared" ref="F515:F578" si="8">C515-E515</f>
        <v>0</v>
      </c>
    </row>
    <row r="516" spans="1:6">
      <c r="A516" s="1115">
        <v>5103103001</v>
      </c>
      <c r="B516" s="1116" t="s">
        <v>645</v>
      </c>
      <c r="C516" s="1312">
        <f>IFERROR(VLOOKUP(A516,'SAP '!$A$3:$C$14709,3,0),0)</f>
        <v>5310</v>
      </c>
      <c r="D516" s="1151">
        <f>IFERROR(VLOOKUP(A516,'SAP '!A:D,4,0),0)</f>
        <v>14600</v>
      </c>
      <c r="E516" s="125">
        <f>IFERROR(VLOOKUP($A516,'SAP '!$A$3:$D$391,3,0),0)</f>
        <v>5310</v>
      </c>
      <c r="F516" s="1310">
        <f t="shared" si="8"/>
        <v>0</v>
      </c>
    </row>
    <row r="517" spans="1:6">
      <c r="A517" s="1115">
        <v>5103103002</v>
      </c>
      <c r="B517" s="1116" t="s">
        <v>1024</v>
      </c>
      <c r="C517" s="1312">
        <f>IFERROR(VLOOKUP(A517,'SAP '!$A$3:$C$14709,3,0),0)</f>
        <v>0</v>
      </c>
      <c r="D517" s="1151">
        <f>IFERROR(VLOOKUP(A517,'SAP '!A:D,4,0),0)</f>
        <v>0</v>
      </c>
      <c r="E517" s="125">
        <f>IFERROR(VLOOKUP($A517,'SAP '!$A$3:$D$391,3,0),0)</f>
        <v>0</v>
      </c>
      <c r="F517" s="1310">
        <f t="shared" si="8"/>
        <v>0</v>
      </c>
    </row>
    <row r="518" spans="1:6">
      <c r="A518" s="1115">
        <v>5103103003</v>
      </c>
      <c r="B518" s="1116" t="s">
        <v>646</v>
      </c>
      <c r="C518" s="1312">
        <f>IFERROR(VLOOKUP(A518,'SAP '!$A$3:$C$14709,3,0),0)</f>
        <v>0</v>
      </c>
      <c r="D518" s="1151">
        <f>IFERROR(VLOOKUP(A518,'SAP '!A:D,4,0),0)</f>
        <v>229890</v>
      </c>
      <c r="E518" s="125">
        <f>IFERROR(VLOOKUP($A518,'SAP '!$A$3:$D$391,3,0),0)</f>
        <v>0</v>
      </c>
      <c r="F518" s="1310">
        <f t="shared" si="8"/>
        <v>0</v>
      </c>
    </row>
    <row r="519" spans="1:6">
      <c r="A519" s="1115">
        <v>5103103004</v>
      </c>
      <c r="B519" s="1116" t="s">
        <v>647</v>
      </c>
      <c r="C519" s="1312">
        <f>IFERROR(VLOOKUP(A519,'SAP '!$A$3:$C$14709,3,0),0)</f>
        <v>23465</v>
      </c>
      <c r="D519" s="1151">
        <f>IFERROR(VLOOKUP(A519,'SAP '!A:D,4,0),0)</f>
        <v>27955</v>
      </c>
      <c r="E519" s="125">
        <f>IFERROR(VLOOKUP($A519,'SAP '!$A$3:$D$391,3,0),0)</f>
        <v>23465</v>
      </c>
      <c r="F519" s="1310">
        <f t="shared" si="8"/>
        <v>0</v>
      </c>
    </row>
    <row r="520" spans="1:6">
      <c r="A520" s="1120">
        <v>5103103005</v>
      </c>
      <c r="B520" s="1120" t="s">
        <v>163</v>
      </c>
      <c r="C520" s="1312">
        <f>IFERROR(VLOOKUP(A520,'SAP '!$A$3:$C$14709,3,0),0)</f>
        <v>0</v>
      </c>
      <c r="D520" s="1151">
        <f>IFERROR(VLOOKUP(A520,'SAP '!A:D,4,0),0)</f>
        <v>0</v>
      </c>
      <c r="E520" s="125">
        <f>IFERROR(VLOOKUP($A520,'SAP '!$A$3:$D$391,3,0),0)</f>
        <v>0</v>
      </c>
      <c r="F520" s="1310">
        <f t="shared" si="8"/>
        <v>0</v>
      </c>
    </row>
    <row r="521" spans="1:6">
      <c r="A521" s="1120">
        <v>5103103006</v>
      </c>
      <c r="B521" s="1120" t="s">
        <v>164</v>
      </c>
      <c r="C521" s="1312">
        <f>IFERROR(VLOOKUP(A521,'SAP '!$A$3:$C$14709,3,0),0)</f>
        <v>0</v>
      </c>
      <c r="D521" s="1151">
        <f>IFERROR(VLOOKUP(A521,'SAP '!A:D,4,0),0)</f>
        <v>0</v>
      </c>
      <c r="E521" s="125">
        <f>IFERROR(VLOOKUP($A521,'SAP '!$A$3:$D$391,3,0),0)</f>
        <v>0</v>
      </c>
      <c r="F521" s="1310">
        <f t="shared" si="8"/>
        <v>0</v>
      </c>
    </row>
    <row r="522" spans="1:6">
      <c r="A522" s="1115">
        <v>5103103007</v>
      </c>
      <c r="B522" s="1116" t="s">
        <v>648</v>
      </c>
      <c r="C522" s="1312">
        <f>IFERROR(VLOOKUP(A522,'SAP '!$A$3:$C$14709,3,0),0)</f>
        <v>0</v>
      </c>
      <c r="D522" s="1151">
        <f>IFERROR(VLOOKUP(A522,'SAP '!A:D,4,0),0)</f>
        <v>0</v>
      </c>
      <c r="E522" s="125">
        <f>IFERROR(VLOOKUP($A522,'SAP '!$A$3:$D$391,3,0),0)</f>
        <v>0</v>
      </c>
      <c r="F522" s="1310">
        <f t="shared" si="8"/>
        <v>0</v>
      </c>
    </row>
    <row r="523" spans="1:6">
      <c r="A523" s="1115">
        <v>5103103008</v>
      </c>
      <c r="B523" s="1116" t="s">
        <v>651</v>
      </c>
      <c r="C523" s="1312">
        <f>IFERROR(VLOOKUP(A523,'SAP '!$A$3:$C$14709,3,0),0)</f>
        <v>0</v>
      </c>
      <c r="D523" s="1151">
        <f>IFERROR(VLOOKUP(A523,'SAP '!A:D,4,0),0)</f>
        <v>144161.12</v>
      </c>
      <c r="E523" s="125">
        <f>IFERROR(VLOOKUP($A523,'SAP '!$A$3:$D$391,3,0),0)</f>
        <v>0</v>
      </c>
      <c r="F523" s="1310">
        <f t="shared" si="8"/>
        <v>0</v>
      </c>
    </row>
    <row r="524" spans="1:6">
      <c r="A524" s="1115">
        <v>5103104000</v>
      </c>
      <c r="B524" s="1116" t="s">
        <v>649</v>
      </c>
      <c r="C524" s="1312">
        <f>IFERROR(VLOOKUP(A524,'SAP '!$A$3:$C$14709,3,0),0)</f>
        <v>1209470.05</v>
      </c>
      <c r="D524" s="1151">
        <f>IFERROR(VLOOKUP(A524,'SAP '!A:D,4,0),0)</f>
        <v>795140.08</v>
      </c>
      <c r="E524" s="125">
        <f>IFERROR(VLOOKUP($A524,'SAP '!$A$3:$D$391,3,0),0)</f>
        <v>1209470.05</v>
      </c>
      <c r="F524" s="1310">
        <f t="shared" si="8"/>
        <v>0</v>
      </c>
    </row>
    <row r="525" spans="1:6">
      <c r="A525" s="1115">
        <v>5103104001</v>
      </c>
      <c r="B525" s="1116" t="s">
        <v>650</v>
      </c>
      <c r="C525" s="1312">
        <f>IFERROR(VLOOKUP(A525,'SAP '!$A$3:$C$14709,3,0),0)</f>
        <v>745237</v>
      </c>
      <c r="D525" s="1151">
        <f>IFERROR(VLOOKUP(A525,'SAP '!A:D,4,0),0)</f>
        <v>802885</v>
      </c>
      <c r="E525" s="125">
        <f>IFERROR(VLOOKUP($A525,'SAP '!$A$3:$D$391,3,0),0)</f>
        <v>745237</v>
      </c>
      <c r="F525" s="1310">
        <f t="shared" si="8"/>
        <v>0</v>
      </c>
    </row>
    <row r="526" spans="1:6">
      <c r="A526" s="1115">
        <v>5104101000</v>
      </c>
      <c r="B526" s="1116" t="s">
        <v>624</v>
      </c>
      <c r="C526" s="1312">
        <f>IFERROR(VLOOKUP(A526,'SAP '!$A$3:$C$14709,3,0),0)</f>
        <v>25023242.98</v>
      </c>
      <c r="D526" s="1151">
        <f>IFERROR(VLOOKUP(A526,'SAP '!A:D,4,0),0)</f>
        <v>23490576.030000001</v>
      </c>
      <c r="E526" s="125">
        <f>IFERROR(VLOOKUP($A526,'SAP '!$A$3:$D$391,3,0),0)</f>
        <v>25023242.98</v>
      </c>
      <c r="F526" s="1310">
        <f t="shared" si="8"/>
        <v>0</v>
      </c>
    </row>
    <row r="527" spans="1:6">
      <c r="A527" s="1115">
        <v>5104101001</v>
      </c>
      <c r="B527" s="1116" t="s">
        <v>625</v>
      </c>
      <c r="C527" s="1312">
        <f>IFERROR(VLOOKUP(A527,'SAP '!$A$3:$C$14709,3,0),0)</f>
        <v>0</v>
      </c>
      <c r="D527" s="1151">
        <f>IFERROR(VLOOKUP(A527,'SAP '!A:D,4,0),0)</f>
        <v>2000</v>
      </c>
      <c r="E527" s="125">
        <f>IFERROR(VLOOKUP($A527,'SAP '!$A$3:$D$391,3,0),0)</f>
        <v>0</v>
      </c>
      <c r="F527" s="1310">
        <f t="shared" si="8"/>
        <v>0</v>
      </c>
    </row>
    <row r="528" spans="1:6">
      <c r="A528" s="1115">
        <v>5104102000</v>
      </c>
      <c r="B528" s="1116" t="s">
        <v>626</v>
      </c>
      <c r="C528" s="1312">
        <f>IFERROR(VLOOKUP(A528,'SAP '!$A$3:$C$14709,3,0),0)</f>
        <v>6735936.0300000003</v>
      </c>
      <c r="D528" s="1151">
        <f>IFERROR(VLOOKUP(A528,'SAP '!A:D,4,0),0)</f>
        <v>6810570.2000000002</v>
      </c>
      <c r="E528" s="125">
        <f>IFERROR(VLOOKUP($A528,'SAP '!$A$3:$D$391,3,0),0)</f>
        <v>6735936.0300000003</v>
      </c>
      <c r="F528" s="1310">
        <f t="shared" si="8"/>
        <v>0</v>
      </c>
    </row>
    <row r="529" spans="1:6">
      <c r="A529" s="1115">
        <v>5104103000</v>
      </c>
      <c r="B529" s="1116" t="s">
        <v>865</v>
      </c>
      <c r="C529" s="1312">
        <f>IFERROR(VLOOKUP(A529,'SAP '!$A$3:$C$14709,3,0),0)</f>
        <v>0</v>
      </c>
      <c r="D529" s="1151">
        <f>IFERROR(VLOOKUP(A529,'SAP '!A:D,4,0),0)</f>
        <v>0</v>
      </c>
      <c r="E529" s="125">
        <f>IFERROR(VLOOKUP($A529,'SAP '!$A$3:$D$391,3,0),0)</f>
        <v>0</v>
      </c>
      <c r="F529" s="1310">
        <f t="shared" si="8"/>
        <v>0</v>
      </c>
    </row>
    <row r="530" spans="1:6">
      <c r="A530" s="1115">
        <v>5104104000</v>
      </c>
      <c r="B530" s="1116" t="s">
        <v>627</v>
      </c>
      <c r="C530" s="1312">
        <f>IFERROR(VLOOKUP(A530,'SAP '!$A$3:$C$14709,3,0),0)</f>
        <v>0</v>
      </c>
      <c r="D530" s="1151">
        <f>IFERROR(VLOOKUP(A530,'SAP '!A:D,4,0),0)</f>
        <v>0</v>
      </c>
      <c r="E530" s="125">
        <f>IFERROR(VLOOKUP($A530,'SAP '!$A$3:$D$391,3,0),0)</f>
        <v>0</v>
      </c>
      <c r="F530" s="1310">
        <f t="shared" si="8"/>
        <v>0</v>
      </c>
    </row>
    <row r="531" spans="1:6">
      <c r="A531" s="1115">
        <v>5104105000</v>
      </c>
      <c r="B531" s="1116" t="s">
        <v>628</v>
      </c>
      <c r="C531" s="1312">
        <f>IFERROR(VLOOKUP(A531,'SAP '!$A$3:$C$14709,3,0),0)</f>
        <v>0</v>
      </c>
      <c r="D531" s="1151">
        <f>IFERROR(VLOOKUP(A531,'SAP '!A:D,4,0),0)</f>
        <v>3685</v>
      </c>
      <c r="E531" s="125">
        <f>IFERROR(VLOOKUP($A531,'SAP '!$A$3:$D$391,3,0),0)</f>
        <v>0</v>
      </c>
      <c r="F531" s="1310">
        <f t="shared" si="8"/>
        <v>0</v>
      </c>
    </row>
    <row r="532" spans="1:6">
      <c r="A532" s="1115">
        <v>5104106000</v>
      </c>
      <c r="B532" s="1116" t="s">
        <v>629</v>
      </c>
      <c r="C532" s="1312">
        <f>IFERROR(VLOOKUP(A532,'SAP '!$A$3:$C$14709,3,0),0)</f>
        <v>38590</v>
      </c>
      <c r="D532" s="1151">
        <f>IFERROR(VLOOKUP(A532,'SAP '!A:D,4,0),0)</f>
        <v>140178.32999999999</v>
      </c>
      <c r="E532" s="125">
        <f>IFERROR(VLOOKUP($A532,'SAP '!$A$3:$D$391,3,0),0)</f>
        <v>38590</v>
      </c>
      <c r="F532" s="1310">
        <f t="shared" si="8"/>
        <v>0</v>
      </c>
    </row>
    <row r="533" spans="1:6">
      <c r="A533" s="1115">
        <v>5104106001</v>
      </c>
      <c r="B533" s="1116" t="s">
        <v>630</v>
      </c>
      <c r="C533" s="1312">
        <f>IFERROR(VLOOKUP(A533,'SAP '!$A$3:$C$14709,3,0),0)</f>
        <v>57190</v>
      </c>
      <c r="D533" s="1151">
        <f>IFERROR(VLOOKUP(A533,'SAP '!A:D,4,0),0)</f>
        <v>0</v>
      </c>
      <c r="E533" s="125">
        <f>IFERROR(VLOOKUP($A533,'SAP '!$A$3:$D$391,3,0),0)</f>
        <v>57190</v>
      </c>
      <c r="F533" s="1310">
        <f t="shared" si="8"/>
        <v>0</v>
      </c>
    </row>
    <row r="534" spans="1:6">
      <c r="A534" s="1120">
        <v>5104106002</v>
      </c>
      <c r="B534" s="1120" t="s">
        <v>165</v>
      </c>
      <c r="C534" s="1312">
        <f>IFERROR(VLOOKUP(A534,'SAP '!$A$3:$C$14709,3,0),0)</f>
        <v>0</v>
      </c>
      <c r="D534" s="1151">
        <f>IFERROR(VLOOKUP(A534,'SAP '!A:D,4,0),0)</f>
        <v>0</v>
      </c>
      <c r="E534" s="125">
        <f>IFERROR(VLOOKUP($A534,'SAP '!$A$3:$D$391,3,0),0)</f>
        <v>0</v>
      </c>
      <c r="F534" s="1310">
        <f t="shared" si="8"/>
        <v>0</v>
      </c>
    </row>
    <row r="535" spans="1:6">
      <c r="A535" s="1115">
        <v>5104108000</v>
      </c>
      <c r="B535" s="1116" t="s">
        <v>631</v>
      </c>
      <c r="C535" s="1312">
        <f>IFERROR(VLOOKUP(A535,'SAP '!$A$3:$C$14709,3,0),0)</f>
        <v>234160</v>
      </c>
      <c r="D535" s="1151">
        <f>IFERROR(VLOOKUP(A535,'SAP '!A:D,4,0),0)</f>
        <v>15660</v>
      </c>
      <c r="E535" s="125">
        <f>IFERROR(VLOOKUP($A535,'SAP '!$A$3:$D$391,3,0),0)</f>
        <v>234160</v>
      </c>
      <c r="F535" s="1310">
        <f t="shared" si="8"/>
        <v>0</v>
      </c>
    </row>
    <row r="536" spans="1:6">
      <c r="A536" s="1115">
        <v>5104108001</v>
      </c>
      <c r="B536" s="1116" t="s">
        <v>632</v>
      </c>
      <c r="C536" s="1312">
        <f>IFERROR(VLOOKUP(A536,'SAP '!$A$3:$C$14709,3,0),0)</f>
        <v>15000</v>
      </c>
      <c r="D536" s="1151">
        <f>IFERROR(VLOOKUP(A536,'SAP '!A:D,4,0),0)</f>
        <v>217126</v>
      </c>
      <c r="E536" s="125">
        <f>IFERROR(VLOOKUP($A536,'SAP '!$A$3:$D$391,3,0),0)</f>
        <v>15000</v>
      </c>
      <c r="F536" s="1310">
        <f t="shared" si="8"/>
        <v>0</v>
      </c>
    </row>
    <row r="537" spans="1:6">
      <c r="A537" s="1115">
        <v>5104108002</v>
      </c>
      <c r="B537" s="1116" t="s">
        <v>633</v>
      </c>
      <c r="C537" s="1312">
        <f>IFERROR(VLOOKUP(A537,'SAP '!$A$3:$C$14709,3,0),0)</f>
        <v>225051</v>
      </c>
      <c r="D537" s="1151">
        <f>IFERROR(VLOOKUP(A537,'SAP '!A:D,4,0),0)</f>
        <v>1014624</v>
      </c>
      <c r="E537" s="125">
        <f>IFERROR(VLOOKUP($A537,'SAP '!$A$3:$D$391,3,0),0)</f>
        <v>225051</v>
      </c>
      <c r="F537" s="1310">
        <f t="shared" si="8"/>
        <v>0</v>
      </c>
    </row>
    <row r="538" spans="1:6">
      <c r="A538" s="1115">
        <v>5104108003</v>
      </c>
      <c r="B538" s="1116" t="s">
        <v>1023</v>
      </c>
      <c r="C538" s="1312">
        <f>IFERROR(VLOOKUP(A538,'SAP '!$A$3:$C$14709,3,0),0)</f>
        <v>0</v>
      </c>
      <c r="D538" s="1151">
        <f>IFERROR(VLOOKUP(A538,'SAP '!A:D,4,0),0)</f>
        <v>0</v>
      </c>
      <c r="E538" s="125">
        <f>IFERROR(VLOOKUP($A538,'SAP '!$A$3:$D$391,3,0),0)</f>
        <v>0</v>
      </c>
      <c r="F538" s="1310">
        <f t="shared" si="8"/>
        <v>0</v>
      </c>
    </row>
    <row r="539" spans="1:6">
      <c r="A539" s="1120">
        <v>5104108004</v>
      </c>
      <c r="B539" s="1120" t="s">
        <v>166</v>
      </c>
      <c r="C539" s="1312">
        <f>IFERROR(VLOOKUP(A539,'SAP '!$A$3:$C$14709,3,0),0)</f>
        <v>0</v>
      </c>
      <c r="D539" s="1151">
        <f>IFERROR(VLOOKUP(A539,'SAP '!A:D,4,0),0)</f>
        <v>0</v>
      </c>
      <c r="E539" s="125">
        <f>IFERROR(VLOOKUP($A539,'SAP '!$A$3:$D$391,3,0),0)</f>
        <v>0</v>
      </c>
      <c r="F539" s="1310">
        <f t="shared" si="8"/>
        <v>0</v>
      </c>
    </row>
    <row r="540" spans="1:6">
      <c r="A540" s="1115">
        <v>5104108005</v>
      </c>
      <c r="B540" s="1116" t="s">
        <v>634</v>
      </c>
      <c r="C540" s="1312">
        <f>IFERROR(VLOOKUP(A540,'SAP '!$A$3:$C$14709,3,0),0)</f>
        <v>934077.74</v>
      </c>
      <c r="D540" s="1151">
        <f>IFERROR(VLOOKUP(A540,'SAP '!A:D,4,0),0)</f>
        <v>1179475.1100000001</v>
      </c>
      <c r="E540" s="125">
        <f>IFERROR(VLOOKUP($A540,'SAP '!$A$3:$D$391,3,0),0)</f>
        <v>934077.74</v>
      </c>
      <c r="F540" s="1310">
        <f t="shared" si="8"/>
        <v>0</v>
      </c>
    </row>
    <row r="541" spans="1:6">
      <c r="A541" s="1115">
        <v>5104108006</v>
      </c>
      <c r="B541" s="1116" t="s">
        <v>635</v>
      </c>
      <c r="C541" s="1312">
        <f>IFERROR(VLOOKUP(A541,'SAP '!$A$3:$C$14709,3,0),0)</f>
        <v>0</v>
      </c>
      <c r="D541" s="1151">
        <f>IFERROR(VLOOKUP(A541,'SAP '!A:D,4,0),0)</f>
        <v>1080</v>
      </c>
      <c r="E541" s="125">
        <f>IFERROR(VLOOKUP($A541,'SAP '!$A$3:$D$391,3,0),0)</f>
        <v>0</v>
      </c>
      <c r="F541" s="1310">
        <f t="shared" si="8"/>
        <v>0</v>
      </c>
    </row>
    <row r="542" spans="1:6">
      <c r="A542" s="1115">
        <v>5104202000</v>
      </c>
      <c r="B542" s="1116" t="s">
        <v>636</v>
      </c>
      <c r="C542" s="1312">
        <f>IFERROR(VLOOKUP(A542,'SAP '!$A$3:$C$14709,3,0),0)</f>
        <v>125939.8</v>
      </c>
      <c r="D542" s="1151">
        <f>IFERROR(VLOOKUP(A542,'SAP '!A:D,4,0),0)</f>
        <v>0</v>
      </c>
      <c r="E542" s="125">
        <f>IFERROR(VLOOKUP($A542,'SAP '!$A$3:$D$391,3,0),0)</f>
        <v>125939.8</v>
      </c>
      <c r="F542" s="1310">
        <f t="shared" si="8"/>
        <v>0</v>
      </c>
    </row>
    <row r="543" spans="1:6">
      <c r="A543" s="1115">
        <v>5104203000</v>
      </c>
      <c r="B543" s="1116" t="s">
        <v>637</v>
      </c>
      <c r="C543" s="1312">
        <f>IFERROR(VLOOKUP(A543,'SAP '!$A$3:$C$14709,3,0),0)</f>
        <v>4314824</v>
      </c>
      <c r="D543" s="1151">
        <f>IFERROR(VLOOKUP(A543,'SAP '!A:D,4,0),0)</f>
        <v>3427265</v>
      </c>
      <c r="E543" s="125">
        <f>IFERROR(VLOOKUP($A543,'SAP '!$A$3:$D$391,3,0),0)</f>
        <v>4314824</v>
      </c>
      <c r="F543" s="1310">
        <f t="shared" si="8"/>
        <v>0</v>
      </c>
    </row>
    <row r="544" spans="1:6">
      <c r="A544" s="1115">
        <v>5104204000</v>
      </c>
      <c r="B544" s="1116" t="s">
        <v>638</v>
      </c>
      <c r="C544" s="1312">
        <f>IFERROR(VLOOKUP(A544,'SAP '!$A$3:$C$14709,3,0),0)</f>
        <v>2666796</v>
      </c>
      <c r="D544" s="1151">
        <f>IFERROR(VLOOKUP(A544,'SAP '!A:D,4,0),0)</f>
        <v>2678447</v>
      </c>
      <c r="E544" s="125">
        <f>IFERROR(VLOOKUP($A544,'SAP '!$A$3:$D$391,3,0),0)</f>
        <v>2666796</v>
      </c>
      <c r="F544" s="1310">
        <f t="shared" si="8"/>
        <v>0</v>
      </c>
    </row>
    <row r="545" spans="1:6">
      <c r="A545" s="1120">
        <v>5104205000</v>
      </c>
      <c r="B545" s="1120" t="s">
        <v>167</v>
      </c>
      <c r="C545" s="1312">
        <f>IFERROR(VLOOKUP(A545,'SAP '!$A$3:$C$14709,3,0),0)</f>
        <v>0</v>
      </c>
      <c r="D545" s="1151">
        <f>IFERROR(VLOOKUP(A545,'SAP '!A:D,4,0),0)</f>
        <v>0</v>
      </c>
      <c r="E545" s="125">
        <f>IFERROR(VLOOKUP($A545,'SAP '!$A$3:$D$391,3,0),0)</f>
        <v>0</v>
      </c>
      <c r="F545" s="1310">
        <f t="shared" si="8"/>
        <v>0</v>
      </c>
    </row>
    <row r="546" spans="1:6">
      <c r="A546" s="1115">
        <v>5105101000</v>
      </c>
      <c r="B546" s="1116" t="s">
        <v>652</v>
      </c>
      <c r="C546" s="1312">
        <f>IFERROR(VLOOKUP(A546,'SAP '!$A$3:$C$14709,3,0),0)</f>
        <v>20495</v>
      </c>
      <c r="D546" s="1151">
        <f>IFERROR(VLOOKUP(A546,'SAP '!A:D,4,0),0)</f>
        <v>33250</v>
      </c>
      <c r="E546" s="125">
        <f>IFERROR(VLOOKUP($A546,'SAP '!$A$3:$D$391,3,0),0)</f>
        <v>20495</v>
      </c>
      <c r="F546" s="1310">
        <f t="shared" si="8"/>
        <v>0</v>
      </c>
    </row>
    <row r="547" spans="1:6">
      <c r="A547" s="1115">
        <v>5105101001</v>
      </c>
      <c r="B547" s="1116" t="s">
        <v>653</v>
      </c>
      <c r="C547" s="1312">
        <f>IFERROR(VLOOKUP(A547,'SAP '!$A$3:$C$14709,3,0),0)</f>
        <v>6000</v>
      </c>
      <c r="D547" s="1151">
        <f>IFERROR(VLOOKUP(A547,'SAP '!A:D,4,0),0)</f>
        <v>419127.7</v>
      </c>
      <c r="E547" s="125">
        <f>IFERROR(VLOOKUP($A547,'SAP '!$A$3:$D$391,3,0),0)</f>
        <v>6000</v>
      </c>
      <c r="F547" s="1310">
        <f t="shared" si="8"/>
        <v>0</v>
      </c>
    </row>
    <row r="548" spans="1:6">
      <c r="A548" s="1115">
        <v>5105104000</v>
      </c>
      <c r="B548" s="1116" t="s">
        <v>654</v>
      </c>
      <c r="C548" s="1312">
        <f>IFERROR(VLOOKUP(A548,'SAP '!$A$3:$C$14709,3,0),0)</f>
        <v>142000</v>
      </c>
      <c r="D548" s="1151">
        <f>IFERROR(VLOOKUP(A548,'SAP '!A:D,4,0),0)</f>
        <v>182000</v>
      </c>
      <c r="E548" s="125">
        <f>IFERROR(VLOOKUP($A548,'SAP '!$A$3:$D$391,3,0),0)</f>
        <v>142000</v>
      </c>
      <c r="F548" s="1310">
        <f t="shared" si="8"/>
        <v>0</v>
      </c>
    </row>
    <row r="549" spans="1:6">
      <c r="A549" s="1115">
        <v>5105104001</v>
      </c>
      <c r="B549" s="1116" t="s">
        <v>655</v>
      </c>
      <c r="C549" s="1312">
        <f>IFERROR(VLOOKUP(A549,'SAP '!$A$3:$C$14709,3,0),0)</f>
        <v>0</v>
      </c>
      <c r="D549" s="1151">
        <f>IFERROR(VLOOKUP(A549,'SAP '!A:D,4,0),0)</f>
        <v>0</v>
      </c>
      <c r="E549" s="125">
        <f>IFERROR(VLOOKUP($A549,'SAP '!$A$3:$D$391,3,0),0)</f>
        <v>0</v>
      </c>
      <c r="F549" s="1310">
        <f t="shared" si="8"/>
        <v>0</v>
      </c>
    </row>
    <row r="550" spans="1:6">
      <c r="A550" s="1115">
        <v>5105107000</v>
      </c>
      <c r="B550" s="1116" t="s">
        <v>656</v>
      </c>
      <c r="C550" s="1312">
        <f>IFERROR(VLOOKUP(A550,'SAP '!$A$3:$C$14709,3,0),0)</f>
        <v>409146</v>
      </c>
      <c r="D550" s="1151">
        <f>IFERROR(VLOOKUP(A550,'SAP '!A:D,4,0),0)</f>
        <v>651070</v>
      </c>
      <c r="E550" s="125">
        <f>IFERROR(VLOOKUP($A550,'SAP '!$A$3:$D$391,3,0),0)</f>
        <v>409146</v>
      </c>
      <c r="F550" s="1310">
        <f t="shared" si="8"/>
        <v>0</v>
      </c>
    </row>
    <row r="551" spans="1:6">
      <c r="A551" s="1115">
        <v>5105107001</v>
      </c>
      <c r="B551" s="1116" t="s">
        <v>686</v>
      </c>
      <c r="C551" s="1312">
        <f>IFERROR(VLOOKUP(A551,'SAP '!$A$3:$C$14709,3,0),0)</f>
        <v>129839.36</v>
      </c>
      <c r="D551" s="1151">
        <f>IFERROR(VLOOKUP(A551,'SAP '!A:D,4,0),0)</f>
        <v>458953.56</v>
      </c>
      <c r="E551" s="125">
        <f>IFERROR(VLOOKUP($A551,'SAP '!$A$3:$D$391,3,0),0)</f>
        <v>129839.36</v>
      </c>
      <c r="F551" s="1310">
        <f t="shared" si="8"/>
        <v>0</v>
      </c>
    </row>
    <row r="552" spans="1:6">
      <c r="A552" s="1115">
        <v>5105108000</v>
      </c>
      <c r="B552" s="1116" t="s">
        <v>657</v>
      </c>
      <c r="C552" s="1312">
        <f>IFERROR(VLOOKUP(A552,'SAP '!$A$3:$C$14709,3,0),0)</f>
        <v>1080</v>
      </c>
      <c r="D552" s="1151">
        <f>IFERROR(VLOOKUP(A552,'SAP '!A:D,4,0),0)</f>
        <v>0</v>
      </c>
      <c r="E552" s="125">
        <f>IFERROR(VLOOKUP($A552,'SAP '!$A$3:$D$391,3,0),0)</f>
        <v>1080</v>
      </c>
      <c r="F552" s="1310">
        <f t="shared" si="8"/>
        <v>0</v>
      </c>
    </row>
    <row r="553" spans="1:6">
      <c r="A553" s="1115">
        <v>5105109000</v>
      </c>
      <c r="B553" s="1116" t="s">
        <v>658</v>
      </c>
      <c r="C553" s="1312">
        <f>IFERROR(VLOOKUP(A553,'SAP '!$A$3:$C$14709,3,0),0)</f>
        <v>600893</v>
      </c>
      <c r="D553" s="1151">
        <f>IFERROR(VLOOKUP(A553,'SAP '!A:D,4,0),0)</f>
        <v>101425</v>
      </c>
      <c r="E553" s="125">
        <f>IFERROR(VLOOKUP($A553,'SAP '!$A$3:$D$391,3,0),0)</f>
        <v>600893</v>
      </c>
      <c r="F553" s="1310">
        <f t="shared" si="8"/>
        <v>0</v>
      </c>
    </row>
    <row r="554" spans="1:6">
      <c r="A554" s="1115">
        <v>5105113000</v>
      </c>
      <c r="B554" s="1116" t="s">
        <v>659</v>
      </c>
      <c r="C554" s="1312">
        <f>IFERROR(VLOOKUP(A554,'SAP '!$A$3:$C$14709,3,0),0)</f>
        <v>46189</v>
      </c>
      <c r="D554" s="1151">
        <f>IFERROR(VLOOKUP(A554,'SAP '!A:D,4,0),0)</f>
        <v>44850</v>
      </c>
      <c r="E554" s="125">
        <f>IFERROR(VLOOKUP($A554,'SAP '!$A$3:$D$391,3,0),0)</f>
        <v>46189</v>
      </c>
      <c r="F554" s="1310">
        <f t="shared" si="8"/>
        <v>0</v>
      </c>
    </row>
    <row r="555" spans="1:6">
      <c r="A555" s="1115">
        <v>5105113001</v>
      </c>
      <c r="B555" s="1116" t="s">
        <v>660</v>
      </c>
      <c r="C555" s="1312">
        <f>IFERROR(VLOOKUP(A555,'SAP '!$A$3:$C$14709,3,0),0)</f>
        <v>95927.89</v>
      </c>
      <c r="D555" s="1151">
        <f>IFERROR(VLOOKUP(A555,'SAP '!A:D,4,0),0)</f>
        <v>36270.92</v>
      </c>
      <c r="E555" s="125">
        <f>IFERROR(VLOOKUP($A555,'SAP '!$A$3:$D$391,3,0),0)</f>
        <v>95927.89</v>
      </c>
      <c r="F555" s="1310">
        <f t="shared" si="8"/>
        <v>0</v>
      </c>
    </row>
    <row r="556" spans="1:6">
      <c r="A556" s="1115">
        <v>5105113002</v>
      </c>
      <c r="B556" s="1116" t="s">
        <v>661</v>
      </c>
      <c r="C556" s="1312">
        <f>IFERROR(VLOOKUP(A556,'SAP '!$A$3:$C$14709,3,0),0)</f>
        <v>39198</v>
      </c>
      <c r="D556" s="1151">
        <f>IFERROR(VLOOKUP(A556,'SAP '!A:D,4,0),0)</f>
        <v>12901</v>
      </c>
      <c r="E556" s="125">
        <f>IFERROR(VLOOKUP($A556,'SAP '!$A$3:$D$391,3,0),0)</f>
        <v>39198</v>
      </c>
      <c r="F556" s="1310">
        <f t="shared" si="8"/>
        <v>0</v>
      </c>
    </row>
    <row r="557" spans="1:6">
      <c r="A557" s="1115">
        <v>5105114000</v>
      </c>
      <c r="B557" s="1116" t="s">
        <v>662</v>
      </c>
      <c r="C557" s="1312">
        <f>IFERROR(VLOOKUP(A557,'SAP '!$A$3:$C$14709,3,0),0)</f>
        <v>877995.22</v>
      </c>
      <c r="D557" s="1151">
        <f>IFERROR(VLOOKUP(A557,'SAP '!A:D,4,0),0)</f>
        <v>965852.83</v>
      </c>
      <c r="E557" s="125">
        <f>IFERROR(VLOOKUP($A557,'SAP '!$A$3:$D$391,3,0),0)</f>
        <v>877995.22</v>
      </c>
      <c r="F557" s="1310">
        <f t="shared" si="8"/>
        <v>0</v>
      </c>
    </row>
    <row r="558" spans="1:6">
      <c r="A558" s="1115">
        <v>5105114001</v>
      </c>
      <c r="B558" s="1116" t="s">
        <v>203</v>
      </c>
      <c r="C558" s="1312">
        <f>IFERROR(VLOOKUP(A558,'SAP '!$A$3:$C$14709,3,0),0)</f>
        <v>0</v>
      </c>
      <c r="D558" s="1151">
        <f>IFERROR(VLOOKUP(A558,'SAP '!A:D,4,0),0)</f>
        <v>0</v>
      </c>
      <c r="E558" s="125">
        <f>IFERROR(VLOOKUP($A558,'SAP '!$A$3:$D$391,3,0),0)</f>
        <v>0</v>
      </c>
      <c r="F558" s="1310">
        <f t="shared" si="8"/>
        <v>0</v>
      </c>
    </row>
    <row r="559" spans="1:6">
      <c r="A559" s="1115">
        <v>5105115000</v>
      </c>
      <c r="B559" s="1116" t="s">
        <v>663</v>
      </c>
      <c r="C559" s="1312">
        <f>IFERROR(VLOOKUP(A559,'SAP '!$A$3:$C$14709,3,0),0)</f>
        <v>0</v>
      </c>
      <c r="D559" s="1151">
        <f>IFERROR(VLOOKUP(A559,'SAP '!A:D,4,0),0)</f>
        <v>155020</v>
      </c>
      <c r="E559" s="125">
        <f>IFERROR(VLOOKUP($A559,'SAP '!$A$3:$D$391,3,0),0)</f>
        <v>0</v>
      </c>
      <c r="F559" s="1310">
        <f t="shared" si="8"/>
        <v>0</v>
      </c>
    </row>
    <row r="560" spans="1:6">
      <c r="A560" s="1115">
        <v>5105116000</v>
      </c>
      <c r="B560" s="1116" t="s">
        <v>664</v>
      </c>
      <c r="C560" s="1312">
        <f>IFERROR(VLOOKUP(A560,'SAP '!$A$3:$C$14709,3,0),0)</f>
        <v>1275650</v>
      </c>
      <c r="D560" s="1151">
        <f>IFERROR(VLOOKUP(A560,'SAP '!A:D,4,0),0)</f>
        <v>1106396</v>
      </c>
      <c r="E560" s="125">
        <f>IFERROR(VLOOKUP($A560,'SAP '!$A$3:$D$391,3,0),0)</f>
        <v>1275650</v>
      </c>
      <c r="F560" s="1310">
        <f t="shared" si="8"/>
        <v>0</v>
      </c>
    </row>
    <row r="561" spans="1:16377">
      <c r="A561" s="1115">
        <v>5105116001</v>
      </c>
      <c r="B561" s="1116" t="s">
        <v>665</v>
      </c>
      <c r="C561" s="1312">
        <f>IFERROR(VLOOKUP(A561,'SAP '!$A$3:$C$14709,3,0),0)</f>
        <v>160500</v>
      </c>
      <c r="D561" s="1151">
        <f>IFERROR(VLOOKUP(A561,'SAP '!A:D,4,0),0)</f>
        <v>192800</v>
      </c>
      <c r="E561" s="125">
        <f>IFERROR(VLOOKUP($A561,'SAP '!$A$3:$D$391,3,0),0)</f>
        <v>160500</v>
      </c>
      <c r="F561" s="1310">
        <f t="shared" si="8"/>
        <v>0</v>
      </c>
    </row>
    <row r="562" spans="1:16377">
      <c r="A562" s="1120">
        <v>5105116002</v>
      </c>
      <c r="B562" s="1120" t="s">
        <v>168</v>
      </c>
      <c r="C562" s="1312">
        <f>IFERROR(VLOOKUP(A562,'SAP '!$A$3:$C$14709,3,0),0)</f>
        <v>0</v>
      </c>
      <c r="D562" s="1151">
        <f>IFERROR(VLOOKUP(A562,'SAP '!A:D,4,0),0)</f>
        <v>0</v>
      </c>
      <c r="E562" s="125">
        <f>IFERROR(VLOOKUP($A562,'SAP '!$A$3:$D$391,3,0),0)</f>
        <v>0</v>
      </c>
      <c r="F562" s="1310">
        <f t="shared" si="8"/>
        <v>0</v>
      </c>
    </row>
    <row r="563" spans="1:16377">
      <c r="A563" s="1115">
        <v>5105117000</v>
      </c>
      <c r="B563" s="1116" t="s">
        <v>666</v>
      </c>
      <c r="C563" s="1312">
        <f>IFERROR(VLOOKUP(A563,'SAP '!$A$3:$C$14709,3,0),0)</f>
        <v>2500</v>
      </c>
      <c r="D563" s="1151">
        <f>IFERROR(VLOOKUP(A563,'SAP '!A:D,4,0),0)</f>
        <v>12231.6</v>
      </c>
      <c r="E563" s="125">
        <f>IFERROR(VLOOKUP($A563,'SAP '!$A$3:$D$391,3,0),0)</f>
        <v>2500</v>
      </c>
      <c r="F563" s="1310">
        <f t="shared" si="8"/>
        <v>0</v>
      </c>
    </row>
    <row r="564" spans="1:16377">
      <c r="A564" s="1115">
        <v>5105117001</v>
      </c>
      <c r="B564" s="1116" t="s">
        <v>1025</v>
      </c>
      <c r="C564" s="1312">
        <f>IFERROR(VLOOKUP(A564,'SAP '!$A$3:$C$14709,3,0),0)</f>
        <v>1400</v>
      </c>
      <c r="D564" s="1151">
        <f>IFERROR(VLOOKUP(A564,'SAP '!A:D,4,0),0)</f>
        <v>0</v>
      </c>
      <c r="E564" s="125">
        <f>IFERROR(VLOOKUP($A564,'SAP '!$A$3:$D$391,3,0),0)</f>
        <v>1400</v>
      </c>
      <c r="F564" s="1310">
        <f t="shared" si="8"/>
        <v>0</v>
      </c>
    </row>
    <row r="565" spans="1:16377">
      <c r="A565" s="1125">
        <v>5105117003</v>
      </c>
      <c r="B565" s="1125" t="s">
        <v>1039</v>
      </c>
      <c r="C565" s="1312">
        <f>IFERROR(VLOOKUP(A565,'SAP '!$A$3:$C$14709,3,0),0)</f>
        <v>0</v>
      </c>
      <c r="D565" s="1151">
        <f>IFERROR(VLOOKUP(A565,'SAP '!A:D,4,0),0)</f>
        <v>0</v>
      </c>
      <c r="E565" s="125">
        <f>IFERROR(VLOOKUP($A565,'SAP '!$A$3:$D$391,3,0),0)</f>
        <v>0</v>
      </c>
      <c r="F565" s="1310">
        <f t="shared" si="8"/>
        <v>0</v>
      </c>
    </row>
    <row r="566" spans="1:16377">
      <c r="A566" s="1115">
        <v>5105118000</v>
      </c>
      <c r="B566" s="1116" t="s">
        <v>667</v>
      </c>
      <c r="C566" s="1312">
        <f>IFERROR(VLOOKUP(A566,'SAP '!$A$3:$C$14709,3,0),0)</f>
        <v>30097</v>
      </c>
      <c r="D566" s="1151">
        <f>IFERROR(VLOOKUP(A566,'SAP '!A:D,4,0),0)</f>
        <v>18764</v>
      </c>
      <c r="E566" s="125">
        <f>IFERROR(VLOOKUP($A566,'SAP '!$A$3:$D$391,3,0),0)</f>
        <v>30097</v>
      </c>
      <c r="F566" s="1310">
        <f t="shared" si="8"/>
        <v>0</v>
      </c>
    </row>
    <row r="567" spans="1:16377">
      <c r="A567" s="1115">
        <v>5105119000</v>
      </c>
      <c r="B567" s="1116" t="s">
        <v>668</v>
      </c>
      <c r="C567" s="1312">
        <f>IFERROR(VLOOKUP(A567,'SAP '!$A$3:$C$14709,3,0),0)</f>
        <v>11537</v>
      </c>
      <c r="D567" s="1151">
        <f>IFERROR(VLOOKUP(A567,'SAP '!A:D,4,0),0)</f>
        <v>11062</v>
      </c>
      <c r="E567" s="125">
        <f>IFERROR(VLOOKUP($A567,'SAP '!$A$3:$D$391,3,0),0)</f>
        <v>11537</v>
      </c>
      <c r="F567" s="1310">
        <f t="shared" si="8"/>
        <v>0</v>
      </c>
    </row>
    <row r="568" spans="1:16377">
      <c r="A568" s="1120">
        <v>5105119003</v>
      </c>
      <c r="B568" s="1120" t="s">
        <v>169</v>
      </c>
      <c r="C568" s="1312">
        <f>IFERROR(VLOOKUP(A568,'SAP '!$A$3:$C$14709,3,0),0)</f>
        <v>0</v>
      </c>
      <c r="D568" s="1151">
        <f>IFERROR(VLOOKUP(A568,'SAP '!A:D,4,0),0)</f>
        <v>0</v>
      </c>
      <c r="E568" s="125">
        <f>IFERROR(VLOOKUP($A568,'SAP '!$A$3:$D$391,3,0),0)</f>
        <v>0</v>
      </c>
      <c r="F568" s="1310">
        <f t="shared" si="8"/>
        <v>0</v>
      </c>
    </row>
    <row r="569" spans="1:16377">
      <c r="A569" s="1115">
        <v>5105119005</v>
      </c>
      <c r="B569" s="1116" t="s">
        <v>669</v>
      </c>
      <c r="C569" s="1312">
        <f>IFERROR(VLOOKUP(A569,'SAP '!$A$3:$C$14709,3,0),0)</f>
        <v>13231253.74</v>
      </c>
      <c r="D569" s="1151">
        <f>IFERROR(VLOOKUP(A569,'SAP '!A:D,4,0),0)</f>
        <v>12924567.68</v>
      </c>
      <c r="E569" s="125">
        <f>IFERROR(VLOOKUP($A569,'SAP '!$A$3:$D$391,3,0),0)</f>
        <v>13231253.74</v>
      </c>
      <c r="F569" s="1310">
        <f t="shared" si="8"/>
        <v>0</v>
      </c>
    </row>
    <row r="570" spans="1:16377">
      <c r="A570" s="1115">
        <v>5105120000</v>
      </c>
      <c r="B570" s="1116" t="s">
        <v>670</v>
      </c>
      <c r="C570" s="1312">
        <f>IFERROR(VLOOKUP(A570,'SAP '!$A$3:$C$14709,3,0),0)</f>
        <v>28724353.609999999</v>
      </c>
      <c r="D570" s="1151">
        <f>IFERROR(VLOOKUP(A570,'SAP '!A:D,4,0),0)</f>
        <v>25644796.199999999</v>
      </c>
      <c r="E570" s="125">
        <f>IFERROR(VLOOKUP($A570,'SAP '!$A$3:$D$391,3,0),0)</f>
        <v>28724353.609999999</v>
      </c>
      <c r="F570" s="1310">
        <f t="shared" si="8"/>
        <v>0</v>
      </c>
    </row>
    <row r="571" spans="1:16377">
      <c r="A571" s="1115">
        <v>5105120001</v>
      </c>
      <c r="B571" s="1116" t="s">
        <v>671</v>
      </c>
      <c r="C571" s="1312">
        <f>IFERROR(VLOOKUP(A571,'SAP '!$A$3:$C$14709,3,0),0)</f>
        <v>36934.5</v>
      </c>
      <c r="D571" s="1151">
        <f>IFERROR(VLOOKUP(A571,'SAP '!A:D,4,0),0)</f>
        <v>53213.25</v>
      </c>
      <c r="E571" s="125">
        <f>IFERROR(VLOOKUP($A571,'SAP '!$A$3:$D$391,3,0),0)</f>
        <v>36934.5</v>
      </c>
      <c r="F571" s="1310">
        <f t="shared" si="8"/>
        <v>0</v>
      </c>
    </row>
    <row r="572" spans="1:16377">
      <c r="A572" s="1115">
        <v>5105120002</v>
      </c>
      <c r="B572" s="1116" t="s">
        <v>687</v>
      </c>
      <c r="C572" s="1312">
        <f>IFERROR(VLOOKUP(A572,'SAP '!$A$3:$C$14709,3,0),0)</f>
        <v>0</v>
      </c>
      <c r="D572" s="1151">
        <f>IFERROR(VLOOKUP(A572,'SAP '!A:D,4,0),0)</f>
        <v>449223.17</v>
      </c>
      <c r="E572" s="125">
        <f>IFERROR(VLOOKUP($A572,'SAP '!$A$3:$D$391,3,0),0)</f>
        <v>0</v>
      </c>
      <c r="F572" s="1310">
        <f t="shared" si="8"/>
        <v>0</v>
      </c>
    </row>
    <row r="573" spans="1:16377">
      <c r="A573" s="1115">
        <v>5105120003</v>
      </c>
      <c r="B573" s="1116" t="s">
        <v>688</v>
      </c>
      <c r="C573" s="1312">
        <f>IFERROR(VLOOKUP(A573,'SAP '!$A$3:$C$14709,3,0),0)</f>
        <v>17178603.48</v>
      </c>
      <c r="D573" s="1151">
        <f>IFERROR(VLOOKUP(A573,'SAP '!A:D,4,0),0)</f>
        <v>20277291.609999999</v>
      </c>
      <c r="E573" s="125">
        <f>IFERROR(VLOOKUP($A573,'SAP '!$A$3:$D$391,3,0),0)</f>
        <v>17178603.48</v>
      </c>
      <c r="F573" s="1310">
        <f t="shared" si="8"/>
        <v>0</v>
      </c>
    </row>
    <row r="574" spans="1:16377">
      <c r="A574" s="1117">
        <v>5105120004</v>
      </c>
      <c r="B574" s="1118" t="s">
        <v>689</v>
      </c>
      <c r="C574" s="1312">
        <f>IFERROR(VLOOKUP(A574,'SAP '!$A$3:$C$14709,3,0),0)</f>
        <v>642991.18000000005</v>
      </c>
      <c r="D574" s="1151">
        <f>IFERROR(VLOOKUP(A574,'SAP '!A:D,4,0),0)</f>
        <v>946318.82</v>
      </c>
      <c r="E574" s="125">
        <f>IFERROR(VLOOKUP($A574,'SAP '!$A$3:$D$391,3,0),0)</f>
        <v>642991.18000000005</v>
      </c>
      <c r="F574" s="1310">
        <f t="shared" si="8"/>
        <v>0</v>
      </c>
      <c r="G574" s="44"/>
      <c r="H574" s="44"/>
      <c r="I574" s="44"/>
      <c r="J574" s="44"/>
      <c r="K574" s="44"/>
      <c r="L574" s="44"/>
      <c r="M574" s="44"/>
      <c r="N574" s="44"/>
      <c r="O574" s="44"/>
      <c r="P574" s="44"/>
      <c r="Q574" s="44"/>
      <c r="R574" s="44"/>
      <c r="S574" s="44"/>
      <c r="T574" s="44"/>
      <c r="U574" s="44"/>
      <c r="V574" s="44"/>
      <c r="W574" s="44"/>
      <c r="X574" s="44"/>
      <c r="Y574" s="44"/>
      <c r="Z574" s="44"/>
      <c r="AA574" s="44"/>
      <c r="AB574" s="44"/>
      <c r="AC574" s="44"/>
      <c r="AD574" s="44"/>
      <c r="AE574" s="44"/>
      <c r="AF574" s="44"/>
      <c r="AG574" s="44"/>
      <c r="AH574" s="44"/>
      <c r="AI574" s="44"/>
      <c r="AJ574" s="44"/>
      <c r="AK574" s="44"/>
      <c r="AL574" s="44"/>
      <c r="AM574" s="44"/>
      <c r="AN574" s="44"/>
      <c r="AO574" s="44"/>
      <c r="AP574" s="44"/>
      <c r="AQ574" s="44"/>
      <c r="AR574" s="44"/>
      <c r="AS574" s="44"/>
      <c r="AT574" s="44"/>
      <c r="AU574" s="44"/>
      <c r="AV574" s="44"/>
      <c r="AW574" s="44"/>
      <c r="AX574" s="44"/>
      <c r="AY574" s="44"/>
      <c r="AZ574" s="44"/>
      <c r="BA574" s="44"/>
      <c r="BB574" s="44"/>
      <c r="BC574" s="44"/>
      <c r="BD574" s="44"/>
      <c r="BE574" s="44"/>
      <c r="BF574" s="44"/>
      <c r="BG574" s="44"/>
      <c r="BH574" s="44"/>
      <c r="BI574" s="44"/>
      <c r="BJ574" s="44"/>
      <c r="BK574" s="44"/>
      <c r="BL574" s="44"/>
      <c r="BM574" s="44"/>
      <c r="BN574" s="44"/>
      <c r="BO574" s="44"/>
      <c r="BP574" s="44"/>
      <c r="BQ574" s="44"/>
      <c r="BR574" s="44"/>
      <c r="BS574" s="44"/>
      <c r="BT574" s="44"/>
      <c r="BU574" s="44"/>
      <c r="BV574" s="44"/>
      <c r="BW574" s="44"/>
      <c r="BX574" s="44"/>
      <c r="BY574" s="44"/>
      <c r="BZ574" s="44"/>
      <c r="CA574" s="44"/>
      <c r="CB574" s="44"/>
      <c r="CC574" s="44"/>
      <c r="CD574" s="44"/>
      <c r="CE574" s="44"/>
      <c r="CF574" s="44"/>
      <c r="CG574" s="44"/>
      <c r="CH574" s="44"/>
      <c r="CI574" s="44"/>
      <c r="CJ574" s="44"/>
      <c r="CK574" s="44"/>
      <c r="CL574" s="44"/>
      <c r="CM574" s="44"/>
      <c r="CN574" s="44"/>
      <c r="CO574" s="44"/>
      <c r="CP574" s="44"/>
      <c r="CQ574" s="44"/>
      <c r="CR574" s="44"/>
      <c r="CS574" s="44"/>
      <c r="CT574" s="44"/>
      <c r="CU574" s="44"/>
      <c r="CV574" s="44"/>
      <c r="CW574" s="44"/>
      <c r="CX574" s="44"/>
      <c r="CY574" s="44"/>
      <c r="CZ574" s="44"/>
      <c r="DA574" s="44"/>
      <c r="DB574" s="44"/>
      <c r="DC574" s="44"/>
      <c r="DD574" s="44"/>
      <c r="DE574" s="44"/>
      <c r="DF574" s="44"/>
      <c r="DG574" s="44"/>
      <c r="DH574" s="44"/>
      <c r="DI574" s="44"/>
      <c r="DJ574" s="44"/>
      <c r="DK574" s="44"/>
      <c r="DL574" s="44"/>
      <c r="DM574" s="44"/>
      <c r="DN574" s="44"/>
      <c r="DO574" s="44"/>
      <c r="DP574" s="44"/>
      <c r="DQ574" s="44"/>
      <c r="DR574" s="44"/>
      <c r="DS574" s="44"/>
      <c r="DT574" s="44"/>
      <c r="DU574" s="44"/>
      <c r="DV574" s="44"/>
      <c r="DW574" s="44"/>
      <c r="DX574" s="44"/>
      <c r="DY574" s="44"/>
      <c r="DZ574" s="44"/>
      <c r="EA574" s="44"/>
      <c r="EB574" s="44"/>
      <c r="EC574" s="44"/>
      <c r="ED574" s="44"/>
      <c r="EE574" s="44"/>
      <c r="EF574" s="44"/>
      <c r="EG574" s="44"/>
      <c r="EH574" s="44"/>
      <c r="EI574" s="44"/>
      <c r="EJ574" s="44"/>
      <c r="EK574" s="44"/>
      <c r="EL574" s="44"/>
      <c r="EM574" s="44"/>
      <c r="EN574" s="44"/>
      <c r="EO574" s="44"/>
      <c r="EP574" s="44"/>
      <c r="EQ574" s="44"/>
      <c r="ER574" s="44"/>
      <c r="ES574" s="44"/>
      <c r="ET574" s="44"/>
      <c r="EU574" s="44"/>
      <c r="EV574" s="44"/>
      <c r="EW574" s="44"/>
      <c r="EX574" s="44"/>
      <c r="EY574" s="44"/>
      <c r="EZ574" s="44"/>
      <c r="FA574" s="44"/>
      <c r="FB574" s="44"/>
      <c r="FC574" s="44"/>
      <c r="FD574" s="44"/>
      <c r="FE574" s="44"/>
      <c r="FF574" s="44"/>
      <c r="FG574" s="44"/>
      <c r="FH574" s="44"/>
      <c r="FI574" s="44"/>
      <c r="FJ574" s="44"/>
      <c r="FK574" s="44"/>
      <c r="FL574" s="44"/>
      <c r="FM574" s="44"/>
      <c r="FN574" s="44"/>
      <c r="FO574" s="44"/>
      <c r="FP574" s="44"/>
      <c r="FQ574" s="44"/>
      <c r="FR574" s="44"/>
      <c r="FS574" s="44"/>
      <c r="FT574" s="44"/>
      <c r="FU574" s="44"/>
      <c r="FV574" s="44"/>
      <c r="FW574" s="44"/>
      <c r="FX574" s="44"/>
      <c r="FY574" s="44"/>
      <c r="FZ574" s="44"/>
      <c r="GA574" s="44"/>
      <c r="GB574" s="44"/>
      <c r="GC574" s="44"/>
      <c r="GD574" s="44"/>
      <c r="GE574" s="44"/>
      <c r="GF574" s="44"/>
      <c r="GG574" s="44"/>
      <c r="GH574" s="44"/>
      <c r="GI574" s="44"/>
      <c r="GJ574" s="44"/>
      <c r="GK574" s="44"/>
      <c r="GL574" s="44"/>
      <c r="GM574" s="44"/>
      <c r="GN574" s="44"/>
      <c r="GO574" s="44"/>
      <c r="GP574" s="44"/>
      <c r="GQ574" s="44"/>
      <c r="GR574" s="44"/>
      <c r="GS574" s="44"/>
      <c r="GT574" s="44"/>
      <c r="GU574" s="44"/>
      <c r="GV574" s="44"/>
      <c r="GW574" s="44"/>
      <c r="GX574" s="44"/>
      <c r="GY574" s="44"/>
      <c r="GZ574" s="44"/>
      <c r="HA574" s="44"/>
      <c r="HB574" s="44"/>
      <c r="HC574" s="44"/>
      <c r="HD574" s="44"/>
      <c r="HE574" s="44"/>
      <c r="HF574" s="44"/>
      <c r="HG574" s="44"/>
      <c r="HH574" s="44"/>
      <c r="HI574" s="44"/>
      <c r="HJ574" s="44"/>
      <c r="HK574" s="44"/>
      <c r="HL574" s="44"/>
      <c r="HM574" s="44"/>
      <c r="HN574" s="44"/>
      <c r="HO574" s="44"/>
      <c r="HP574" s="44"/>
      <c r="HQ574" s="44"/>
      <c r="HR574" s="44"/>
      <c r="HS574" s="44"/>
      <c r="HT574" s="44"/>
      <c r="HU574" s="44"/>
      <c r="HV574" s="44"/>
      <c r="HW574" s="44"/>
      <c r="HX574" s="44"/>
      <c r="HY574" s="44"/>
      <c r="HZ574" s="44"/>
      <c r="IA574" s="44"/>
      <c r="IB574" s="44"/>
      <c r="IC574" s="44"/>
      <c r="ID574" s="44"/>
      <c r="IE574" s="44"/>
      <c r="IF574" s="44"/>
      <c r="IG574" s="44"/>
      <c r="IH574" s="44"/>
      <c r="II574" s="44"/>
      <c r="IJ574" s="44"/>
      <c r="IK574" s="44"/>
      <c r="IL574" s="44"/>
      <c r="IM574" s="44"/>
      <c r="IN574" s="44"/>
      <c r="IO574" s="44"/>
      <c r="IP574" s="44"/>
      <c r="IQ574" s="44"/>
      <c r="IR574" s="44"/>
      <c r="IS574" s="44"/>
      <c r="IT574" s="44"/>
      <c r="IU574" s="44"/>
      <c r="IV574" s="44"/>
      <c r="IW574" s="44"/>
      <c r="IX574" s="44"/>
      <c r="IY574" s="44"/>
      <c r="IZ574" s="44"/>
      <c r="JA574" s="44"/>
      <c r="JB574" s="44"/>
      <c r="JC574" s="44"/>
      <c r="JD574" s="44"/>
      <c r="JE574" s="44"/>
      <c r="JF574" s="44"/>
      <c r="JG574" s="44"/>
      <c r="JH574" s="44"/>
      <c r="JI574" s="44"/>
      <c r="JJ574" s="44"/>
      <c r="JK574" s="44"/>
      <c r="JL574" s="44"/>
      <c r="JM574" s="44"/>
      <c r="JN574" s="44"/>
      <c r="JO574" s="44"/>
      <c r="JP574" s="44"/>
      <c r="JQ574" s="44"/>
      <c r="JR574" s="44"/>
      <c r="JS574" s="44"/>
      <c r="JT574" s="44"/>
      <c r="JU574" s="44"/>
      <c r="JV574" s="44"/>
      <c r="JW574" s="44"/>
      <c r="JX574" s="44"/>
      <c r="JY574" s="44"/>
      <c r="JZ574" s="44"/>
      <c r="KA574" s="44"/>
      <c r="KB574" s="44"/>
      <c r="KC574" s="44"/>
      <c r="KD574" s="44"/>
      <c r="KE574" s="44"/>
      <c r="KF574" s="44"/>
      <c r="KG574" s="44"/>
      <c r="KH574" s="44"/>
      <c r="KI574" s="44"/>
      <c r="KJ574" s="44"/>
      <c r="KK574" s="44"/>
      <c r="KL574" s="44"/>
      <c r="KM574" s="44"/>
      <c r="KN574" s="44"/>
      <c r="KO574" s="44"/>
      <c r="KP574" s="44"/>
      <c r="KQ574" s="44"/>
      <c r="KR574" s="44"/>
      <c r="KS574" s="44"/>
      <c r="KT574" s="44"/>
      <c r="KU574" s="44"/>
      <c r="KV574" s="44"/>
      <c r="KW574" s="44"/>
      <c r="KX574" s="44"/>
      <c r="KY574" s="44"/>
      <c r="KZ574" s="44"/>
      <c r="LA574" s="44"/>
      <c r="LB574" s="44"/>
      <c r="LC574" s="44"/>
      <c r="LD574" s="44"/>
      <c r="LE574" s="44"/>
      <c r="LF574" s="44"/>
      <c r="LG574" s="44"/>
      <c r="LH574" s="44"/>
      <c r="LI574" s="44"/>
      <c r="LJ574" s="44"/>
      <c r="LK574" s="44"/>
      <c r="LL574" s="44"/>
      <c r="LM574" s="44"/>
      <c r="LN574" s="44"/>
      <c r="LO574" s="44"/>
      <c r="LP574" s="44"/>
      <c r="LQ574" s="44"/>
      <c r="LR574" s="44"/>
      <c r="LS574" s="44"/>
      <c r="LT574" s="44"/>
      <c r="LU574" s="44"/>
      <c r="LV574" s="44"/>
      <c r="LW574" s="44"/>
      <c r="LX574" s="44"/>
      <c r="LY574" s="44"/>
      <c r="LZ574" s="44"/>
      <c r="MA574" s="44"/>
      <c r="MB574" s="44"/>
      <c r="MC574" s="44"/>
      <c r="MD574" s="44"/>
      <c r="ME574" s="44"/>
      <c r="MF574" s="44"/>
      <c r="MG574" s="44"/>
      <c r="MH574" s="44"/>
      <c r="MI574" s="44"/>
      <c r="MJ574" s="44"/>
      <c r="MK574" s="44"/>
      <c r="ML574" s="44"/>
      <c r="MM574" s="44"/>
      <c r="MN574" s="44"/>
      <c r="MO574" s="44"/>
      <c r="MP574" s="44"/>
      <c r="MQ574" s="44"/>
      <c r="MR574" s="44"/>
      <c r="MS574" s="44"/>
      <c r="MT574" s="44"/>
      <c r="MU574" s="44"/>
      <c r="MV574" s="44"/>
      <c r="MW574" s="44"/>
      <c r="MX574" s="44"/>
      <c r="MY574" s="44"/>
      <c r="MZ574" s="44"/>
      <c r="NA574" s="44"/>
      <c r="NB574" s="44"/>
      <c r="NC574" s="44"/>
      <c r="ND574" s="44"/>
      <c r="NE574" s="44"/>
      <c r="NF574" s="44"/>
      <c r="NG574" s="44"/>
      <c r="NH574" s="44"/>
      <c r="NI574" s="44"/>
      <c r="NJ574" s="44"/>
      <c r="NK574" s="44"/>
      <c r="NL574" s="44"/>
      <c r="NM574" s="44"/>
      <c r="NN574" s="44"/>
      <c r="NO574" s="44"/>
      <c r="NP574" s="44"/>
      <c r="NQ574" s="44"/>
      <c r="NR574" s="44"/>
      <c r="NS574" s="44"/>
      <c r="NT574" s="44"/>
      <c r="NU574" s="44"/>
      <c r="NV574" s="44"/>
      <c r="NW574" s="44"/>
      <c r="NX574" s="44"/>
      <c r="NY574" s="44"/>
      <c r="NZ574" s="44"/>
      <c r="OA574" s="44"/>
      <c r="OB574" s="44"/>
      <c r="OC574" s="44"/>
      <c r="OD574" s="44"/>
      <c r="OE574" s="44"/>
      <c r="OF574" s="44"/>
      <c r="OG574" s="44"/>
      <c r="OH574" s="44"/>
      <c r="OI574" s="44"/>
      <c r="OJ574" s="44"/>
      <c r="OK574" s="44"/>
      <c r="OL574" s="44"/>
      <c r="OM574" s="44"/>
      <c r="ON574" s="44"/>
      <c r="OO574" s="44"/>
      <c r="OP574" s="44"/>
      <c r="OQ574" s="44"/>
      <c r="OR574" s="44"/>
      <c r="OS574" s="44"/>
      <c r="OT574" s="44"/>
      <c r="OU574" s="44"/>
      <c r="OV574" s="44"/>
      <c r="OW574" s="44"/>
      <c r="OX574" s="44"/>
      <c r="OY574" s="44"/>
      <c r="OZ574" s="44"/>
      <c r="PA574" s="44"/>
      <c r="PB574" s="44"/>
      <c r="PC574" s="44"/>
      <c r="PD574" s="44"/>
      <c r="PE574" s="44"/>
      <c r="PF574" s="44"/>
      <c r="PG574" s="44"/>
      <c r="PH574" s="44"/>
      <c r="PI574" s="44"/>
      <c r="PJ574" s="44"/>
      <c r="PK574" s="44"/>
      <c r="PL574" s="44"/>
      <c r="PM574" s="44"/>
      <c r="PN574" s="44"/>
      <c r="PO574" s="44"/>
      <c r="PP574" s="44"/>
      <c r="PQ574" s="44"/>
      <c r="PR574" s="44"/>
      <c r="PS574" s="44"/>
      <c r="PT574" s="44"/>
      <c r="PU574" s="44"/>
      <c r="PV574" s="44"/>
      <c r="PW574" s="44"/>
      <c r="PX574" s="44"/>
      <c r="PY574" s="44"/>
      <c r="PZ574" s="44"/>
      <c r="QA574" s="44"/>
      <c r="QB574" s="44"/>
      <c r="QC574" s="44"/>
      <c r="QD574" s="44"/>
      <c r="QE574" s="44"/>
      <c r="QF574" s="44"/>
      <c r="QG574" s="44"/>
      <c r="QH574" s="44"/>
      <c r="QI574" s="44"/>
      <c r="QJ574" s="44"/>
      <c r="QK574" s="44"/>
      <c r="QL574" s="44"/>
      <c r="QM574" s="44"/>
      <c r="QN574" s="44"/>
      <c r="QO574" s="44"/>
      <c r="QP574" s="44"/>
      <c r="QQ574" s="44"/>
      <c r="QR574" s="44"/>
      <c r="QS574" s="44"/>
      <c r="QT574" s="44"/>
      <c r="QU574" s="44"/>
      <c r="QV574" s="44"/>
      <c r="QW574" s="44"/>
      <c r="QX574" s="44"/>
      <c r="QY574" s="44"/>
      <c r="QZ574" s="44"/>
      <c r="RA574" s="44"/>
      <c r="RB574" s="44"/>
      <c r="RC574" s="44"/>
      <c r="RD574" s="44"/>
      <c r="RE574" s="44"/>
      <c r="RF574" s="44"/>
      <c r="RG574" s="44"/>
      <c r="RH574" s="44"/>
      <c r="RI574" s="44"/>
      <c r="RJ574" s="44"/>
      <c r="RK574" s="44"/>
      <c r="RL574" s="44"/>
      <c r="RM574" s="44"/>
      <c r="RN574" s="44"/>
      <c r="RO574" s="44"/>
      <c r="RP574" s="44"/>
      <c r="RQ574" s="44"/>
      <c r="RR574" s="44"/>
      <c r="RS574" s="44"/>
      <c r="RT574" s="44"/>
      <c r="RU574" s="44"/>
      <c r="RV574" s="44"/>
      <c r="RW574" s="44"/>
      <c r="RX574" s="44"/>
      <c r="RY574" s="44"/>
      <c r="RZ574" s="44"/>
      <c r="SA574" s="44"/>
      <c r="SB574" s="44"/>
      <c r="SC574" s="44"/>
      <c r="SD574" s="44"/>
      <c r="SE574" s="44"/>
      <c r="SF574" s="44"/>
      <c r="SG574" s="44"/>
      <c r="SH574" s="44"/>
      <c r="SI574" s="44"/>
      <c r="SJ574" s="44"/>
      <c r="SK574" s="44"/>
      <c r="SL574" s="44"/>
      <c r="SM574" s="44"/>
      <c r="SN574" s="44"/>
      <c r="SO574" s="44"/>
      <c r="SP574" s="44"/>
      <c r="SQ574" s="44"/>
      <c r="SR574" s="44"/>
      <c r="SS574" s="44"/>
      <c r="ST574" s="44"/>
      <c r="SU574" s="44"/>
      <c r="SV574" s="44"/>
      <c r="SW574" s="44"/>
      <c r="SX574" s="44"/>
      <c r="SY574" s="44"/>
      <c r="SZ574" s="44"/>
      <c r="TA574" s="44"/>
      <c r="TB574" s="44"/>
      <c r="TC574" s="44"/>
      <c r="TD574" s="44"/>
      <c r="TE574" s="44"/>
      <c r="TF574" s="44"/>
      <c r="TG574" s="44"/>
      <c r="TH574" s="44"/>
      <c r="TI574" s="44"/>
      <c r="TJ574" s="44"/>
      <c r="TK574" s="44"/>
      <c r="TL574" s="44"/>
      <c r="TM574" s="44"/>
      <c r="TN574" s="44"/>
      <c r="TO574" s="44"/>
      <c r="TP574" s="44"/>
      <c r="TQ574" s="44"/>
      <c r="TR574" s="44"/>
      <c r="TS574" s="44"/>
      <c r="TT574" s="44"/>
      <c r="TU574" s="44"/>
      <c r="TV574" s="44"/>
      <c r="TW574" s="44"/>
      <c r="TX574" s="44"/>
      <c r="TY574" s="44"/>
      <c r="TZ574" s="44"/>
      <c r="UA574" s="44"/>
      <c r="UB574" s="44"/>
      <c r="UC574" s="44"/>
      <c r="UD574" s="44"/>
      <c r="UE574" s="44"/>
      <c r="UF574" s="44"/>
      <c r="UG574" s="44"/>
      <c r="UH574" s="44"/>
      <c r="UI574" s="44"/>
      <c r="UJ574" s="44"/>
      <c r="UK574" s="44"/>
      <c r="UL574" s="44"/>
      <c r="UM574" s="44"/>
      <c r="UN574" s="44"/>
      <c r="UO574" s="44"/>
      <c r="UP574" s="44"/>
      <c r="UQ574" s="44"/>
      <c r="UR574" s="44"/>
      <c r="US574" s="44"/>
      <c r="UT574" s="44"/>
      <c r="UU574" s="44"/>
      <c r="UV574" s="44"/>
      <c r="UW574" s="44"/>
      <c r="UX574" s="44"/>
      <c r="UY574" s="44"/>
      <c r="UZ574" s="44"/>
      <c r="VA574" s="44"/>
      <c r="VB574" s="44"/>
      <c r="VC574" s="44"/>
      <c r="VD574" s="44"/>
      <c r="VE574" s="44"/>
      <c r="VF574" s="44"/>
      <c r="VG574" s="44"/>
      <c r="VH574" s="44"/>
      <c r="VI574" s="44"/>
      <c r="VJ574" s="44"/>
      <c r="VK574" s="44"/>
      <c r="VL574" s="44"/>
      <c r="VM574" s="44"/>
      <c r="VN574" s="44"/>
      <c r="VO574" s="44"/>
      <c r="VP574" s="44"/>
      <c r="VQ574" s="44"/>
      <c r="VR574" s="44"/>
      <c r="VS574" s="44"/>
      <c r="VT574" s="44"/>
      <c r="VU574" s="44"/>
      <c r="VV574" s="44"/>
      <c r="VW574" s="44"/>
      <c r="VX574" s="44"/>
      <c r="VY574" s="44"/>
      <c r="VZ574" s="44"/>
      <c r="WA574" s="44"/>
      <c r="WB574" s="44"/>
      <c r="WC574" s="44"/>
      <c r="WD574" s="44"/>
      <c r="WE574" s="44"/>
      <c r="WF574" s="44"/>
      <c r="WG574" s="44"/>
      <c r="WH574" s="44"/>
      <c r="WI574" s="44"/>
      <c r="WJ574" s="44"/>
      <c r="WK574" s="44"/>
      <c r="WL574" s="44"/>
      <c r="WM574" s="44"/>
      <c r="WN574" s="44"/>
      <c r="WO574" s="44"/>
      <c r="WP574" s="44"/>
      <c r="WQ574" s="44"/>
      <c r="WR574" s="44"/>
      <c r="WS574" s="44"/>
      <c r="WT574" s="44"/>
      <c r="WU574" s="44"/>
      <c r="WV574" s="44"/>
      <c r="WW574" s="44"/>
      <c r="WX574" s="44"/>
      <c r="WY574" s="44"/>
      <c r="WZ574" s="44"/>
      <c r="XA574" s="44"/>
      <c r="XB574" s="44"/>
      <c r="XC574" s="44"/>
      <c r="XD574" s="44"/>
      <c r="XE574" s="44"/>
      <c r="XF574" s="44"/>
      <c r="XG574" s="44"/>
      <c r="XH574" s="44"/>
      <c r="XI574" s="44"/>
      <c r="XJ574" s="44"/>
      <c r="XK574" s="44"/>
      <c r="XL574" s="44"/>
      <c r="XM574" s="44"/>
      <c r="XN574" s="44"/>
      <c r="XO574" s="44"/>
      <c r="XP574" s="44"/>
      <c r="XQ574" s="44"/>
      <c r="XR574" s="44"/>
      <c r="XS574" s="44"/>
      <c r="XT574" s="44"/>
      <c r="XU574" s="44"/>
      <c r="XV574" s="44"/>
      <c r="XW574" s="44"/>
      <c r="XX574" s="44"/>
      <c r="XY574" s="44"/>
      <c r="XZ574" s="44"/>
      <c r="YA574" s="44"/>
      <c r="YB574" s="44"/>
      <c r="YC574" s="44"/>
      <c r="YD574" s="44"/>
      <c r="YE574" s="44"/>
      <c r="YF574" s="44"/>
      <c r="YG574" s="44"/>
      <c r="YH574" s="44"/>
      <c r="YI574" s="44"/>
      <c r="YJ574" s="44"/>
      <c r="YK574" s="44"/>
      <c r="YL574" s="44"/>
      <c r="YM574" s="44"/>
      <c r="YN574" s="44"/>
      <c r="YO574" s="44"/>
      <c r="YP574" s="44"/>
      <c r="YQ574" s="44"/>
      <c r="YR574" s="44"/>
      <c r="YS574" s="44"/>
      <c r="YT574" s="44"/>
      <c r="YU574" s="44"/>
      <c r="YV574" s="44"/>
      <c r="YW574" s="44"/>
      <c r="YX574" s="44"/>
      <c r="YY574" s="44"/>
      <c r="YZ574" s="44"/>
      <c r="ZA574" s="44"/>
      <c r="ZB574" s="44"/>
      <c r="ZC574" s="44"/>
      <c r="ZD574" s="44"/>
      <c r="ZE574" s="44"/>
      <c r="ZF574" s="44"/>
      <c r="ZG574" s="44"/>
      <c r="ZH574" s="44"/>
      <c r="ZI574" s="44"/>
      <c r="ZJ574" s="44"/>
      <c r="ZK574" s="44"/>
      <c r="ZL574" s="44"/>
      <c r="ZM574" s="44"/>
      <c r="ZN574" s="44"/>
      <c r="ZO574" s="44"/>
      <c r="ZP574" s="44"/>
      <c r="ZQ574" s="44"/>
      <c r="ZR574" s="44"/>
      <c r="ZS574" s="44"/>
      <c r="ZT574" s="44"/>
      <c r="ZU574" s="44"/>
      <c r="ZV574" s="44"/>
      <c r="ZW574" s="44"/>
      <c r="ZX574" s="44"/>
      <c r="ZY574" s="44"/>
      <c r="ZZ574" s="44"/>
      <c r="AAA574" s="44"/>
      <c r="AAB574" s="44"/>
      <c r="AAC574" s="44"/>
      <c r="AAD574" s="44"/>
      <c r="AAE574" s="44"/>
      <c r="AAF574" s="44"/>
      <c r="AAG574" s="44"/>
      <c r="AAH574" s="44"/>
      <c r="AAI574" s="44"/>
      <c r="AAJ574" s="44"/>
      <c r="AAK574" s="44"/>
      <c r="AAL574" s="44"/>
      <c r="AAM574" s="44"/>
      <c r="AAN574" s="44"/>
      <c r="AAO574" s="44"/>
      <c r="AAP574" s="44"/>
      <c r="AAQ574" s="44"/>
      <c r="AAR574" s="44"/>
      <c r="AAS574" s="44"/>
      <c r="AAT574" s="44"/>
      <c r="AAU574" s="44"/>
      <c r="AAV574" s="44"/>
      <c r="AAW574" s="44"/>
      <c r="AAX574" s="44"/>
      <c r="AAY574" s="44"/>
      <c r="AAZ574" s="44"/>
      <c r="ABA574" s="44"/>
      <c r="ABB574" s="44"/>
      <c r="ABC574" s="44"/>
      <c r="ABD574" s="44"/>
      <c r="ABE574" s="44"/>
      <c r="ABF574" s="44"/>
      <c r="ABG574" s="44"/>
      <c r="ABH574" s="44"/>
      <c r="ABI574" s="44"/>
      <c r="ABJ574" s="44"/>
      <c r="ABK574" s="44"/>
      <c r="ABL574" s="44"/>
      <c r="ABM574" s="44"/>
      <c r="ABN574" s="44"/>
      <c r="ABO574" s="44"/>
      <c r="ABP574" s="44"/>
      <c r="ABQ574" s="44"/>
      <c r="ABR574" s="44"/>
      <c r="ABS574" s="44"/>
      <c r="ABT574" s="44"/>
      <c r="ABU574" s="44"/>
      <c r="ABV574" s="44"/>
      <c r="ABW574" s="44"/>
      <c r="ABX574" s="44"/>
      <c r="ABY574" s="44"/>
      <c r="ABZ574" s="44"/>
      <c r="ACA574" s="44"/>
      <c r="ACB574" s="44"/>
      <c r="ACC574" s="44"/>
      <c r="ACD574" s="44"/>
      <c r="ACE574" s="44"/>
      <c r="ACF574" s="44"/>
      <c r="ACG574" s="44"/>
      <c r="ACH574" s="44"/>
      <c r="ACI574" s="44"/>
      <c r="ACJ574" s="44"/>
      <c r="ACK574" s="44"/>
      <c r="ACL574" s="44"/>
      <c r="ACM574" s="44"/>
      <c r="ACN574" s="44"/>
      <c r="ACO574" s="44"/>
      <c r="ACP574" s="44"/>
      <c r="ACQ574" s="44"/>
      <c r="ACR574" s="44"/>
      <c r="ACS574" s="44"/>
      <c r="ACT574" s="44"/>
      <c r="ACU574" s="44"/>
      <c r="ACV574" s="44"/>
      <c r="ACW574" s="44"/>
      <c r="ACX574" s="44"/>
      <c r="ACY574" s="44"/>
      <c r="ACZ574" s="44"/>
      <c r="ADA574" s="44"/>
      <c r="ADB574" s="44"/>
      <c r="ADC574" s="44"/>
      <c r="ADD574" s="44"/>
      <c r="ADE574" s="44"/>
      <c r="ADF574" s="44"/>
      <c r="ADG574" s="44"/>
      <c r="ADH574" s="44"/>
      <c r="ADI574" s="44"/>
      <c r="ADJ574" s="44"/>
      <c r="ADK574" s="44"/>
      <c r="ADL574" s="44"/>
      <c r="ADM574" s="44"/>
      <c r="ADN574" s="44"/>
      <c r="ADO574" s="44"/>
      <c r="ADP574" s="44"/>
      <c r="ADQ574" s="44"/>
      <c r="ADR574" s="44"/>
      <c r="ADS574" s="44"/>
      <c r="ADT574" s="44"/>
      <c r="ADU574" s="44"/>
      <c r="ADV574" s="44"/>
      <c r="ADW574" s="44"/>
      <c r="ADX574" s="44"/>
      <c r="ADY574" s="44"/>
      <c r="ADZ574" s="44"/>
      <c r="AEA574" s="44"/>
      <c r="AEB574" s="44"/>
      <c r="AEC574" s="44"/>
      <c r="AED574" s="44"/>
      <c r="AEE574" s="44"/>
      <c r="AEF574" s="44"/>
      <c r="AEG574" s="44"/>
      <c r="AEH574" s="44"/>
      <c r="AEI574" s="44"/>
      <c r="AEJ574" s="44"/>
      <c r="AEK574" s="44"/>
      <c r="AEL574" s="44"/>
      <c r="AEM574" s="44"/>
      <c r="AEN574" s="44"/>
      <c r="AEO574" s="44"/>
      <c r="AEP574" s="44"/>
      <c r="AEQ574" s="44"/>
      <c r="AER574" s="44"/>
      <c r="AES574" s="44"/>
      <c r="AET574" s="44"/>
      <c r="AEU574" s="44"/>
      <c r="AEV574" s="44"/>
      <c r="AEW574" s="44"/>
      <c r="AEX574" s="44"/>
      <c r="AEY574" s="44"/>
      <c r="AEZ574" s="44"/>
      <c r="AFA574" s="44"/>
      <c r="AFB574" s="44"/>
      <c r="AFC574" s="44"/>
      <c r="AFD574" s="44"/>
      <c r="AFE574" s="44"/>
      <c r="AFF574" s="44"/>
      <c r="AFG574" s="44"/>
      <c r="AFH574" s="44"/>
      <c r="AFI574" s="44"/>
      <c r="AFJ574" s="44"/>
      <c r="AFK574" s="44"/>
      <c r="AFL574" s="44"/>
      <c r="AFM574" s="44"/>
      <c r="AFN574" s="44"/>
      <c r="AFO574" s="44"/>
      <c r="AFP574" s="44"/>
      <c r="AFQ574" s="44"/>
      <c r="AFR574" s="44"/>
      <c r="AFS574" s="44"/>
      <c r="AFT574" s="44"/>
      <c r="AFU574" s="44"/>
      <c r="AFV574" s="44"/>
      <c r="AFW574" s="44"/>
      <c r="AFX574" s="44"/>
      <c r="AFY574" s="44"/>
      <c r="AFZ574" s="44"/>
      <c r="AGA574" s="44"/>
      <c r="AGB574" s="44"/>
      <c r="AGC574" s="44"/>
      <c r="AGD574" s="44"/>
      <c r="AGE574" s="44"/>
      <c r="AGF574" s="44"/>
      <c r="AGG574" s="44"/>
      <c r="AGH574" s="44"/>
      <c r="AGI574" s="44"/>
      <c r="AGJ574" s="44"/>
      <c r="AGK574" s="44"/>
      <c r="AGL574" s="44"/>
      <c r="AGM574" s="44"/>
      <c r="AGN574" s="44"/>
      <c r="AGO574" s="44"/>
      <c r="AGP574" s="44"/>
      <c r="AGQ574" s="44"/>
      <c r="AGR574" s="44"/>
      <c r="AGS574" s="44"/>
      <c r="AGT574" s="44"/>
      <c r="AGU574" s="44"/>
      <c r="AGV574" s="44"/>
      <c r="AGW574" s="44"/>
      <c r="AGX574" s="44"/>
      <c r="AGY574" s="44"/>
      <c r="AGZ574" s="44"/>
      <c r="AHA574" s="44"/>
      <c r="AHB574" s="44"/>
      <c r="AHC574" s="44"/>
      <c r="AHD574" s="44"/>
      <c r="AHE574" s="44"/>
      <c r="AHF574" s="44"/>
      <c r="AHG574" s="44"/>
      <c r="AHH574" s="44"/>
      <c r="AHI574" s="44"/>
      <c r="AHJ574" s="44"/>
      <c r="AHK574" s="44"/>
      <c r="AHL574" s="44"/>
      <c r="AHM574" s="44"/>
      <c r="AHN574" s="44"/>
      <c r="AHO574" s="44"/>
      <c r="AHP574" s="44"/>
      <c r="AHQ574" s="44"/>
      <c r="AHR574" s="44"/>
      <c r="AHS574" s="44"/>
      <c r="AHT574" s="44"/>
      <c r="AHU574" s="44"/>
      <c r="AHV574" s="44"/>
      <c r="AHW574" s="44"/>
      <c r="AHX574" s="44"/>
      <c r="AHY574" s="44"/>
      <c r="AHZ574" s="44"/>
      <c r="AIA574" s="44"/>
      <c r="AIB574" s="44"/>
      <c r="AIC574" s="44"/>
      <c r="AID574" s="44"/>
      <c r="AIE574" s="44"/>
      <c r="AIF574" s="44"/>
      <c r="AIG574" s="44"/>
      <c r="AIH574" s="44"/>
      <c r="AII574" s="44"/>
      <c r="AIJ574" s="44"/>
      <c r="AIK574" s="44"/>
      <c r="AIL574" s="44"/>
      <c r="AIM574" s="44"/>
      <c r="AIN574" s="44"/>
      <c r="AIO574" s="44"/>
      <c r="AIP574" s="44"/>
      <c r="AIQ574" s="44"/>
      <c r="AIR574" s="44"/>
      <c r="AIS574" s="44"/>
      <c r="AIT574" s="44"/>
      <c r="AIU574" s="44"/>
      <c r="AIV574" s="44"/>
      <c r="AIW574" s="44"/>
      <c r="AIX574" s="44"/>
      <c r="AIY574" s="44"/>
      <c r="AIZ574" s="44"/>
      <c r="AJA574" s="44"/>
      <c r="AJB574" s="44"/>
      <c r="AJC574" s="44"/>
      <c r="AJD574" s="44"/>
      <c r="AJE574" s="44"/>
      <c r="AJF574" s="44"/>
      <c r="AJG574" s="44"/>
      <c r="AJH574" s="44"/>
      <c r="AJI574" s="44"/>
      <c r="AJJ574" s="44"/>
      <c r="AJK574" s="44"/>
      <c r="AJL574" s="44"/>
      <c r="AJM574" s="44"/>
      <c r="AJN574" s="44"/>
      <c r="AJO574" s="44"/>
      <c r="AJP574" s="44"/>
      <c r="AJQ574" s="44"/>
      <c r="AJR574" s="44"/>
      <c r="AJS574" s="44"/>
      <c r="AJT574" s="44"/>
      <c r="AJU574" s="44"/>
      <c r="AJV574" s="44"/>
      <c r="AJW574" s="44"/>
      <c r="AJX574" s="44"/>
      <c r="AJY574" s="44"/>
      <c r="AJZ574" s="44"/>
      <c r="AKA574" s="44"/>
      <c r="AKB574" s="44"/>
      <c r="AKC574" s="44"/>
      <c r="AKD574" s="44"/>
      <c r="AKE574" s="44"/>
      <c r="AKF574" s="44"/>
      <c r="AKG574" s="44"/>
      <c r="AKH574" s="44"/>
      <c r="AKI574" s="44"/>
      <c r="AKJ574" s="44"/>
      <c r="AKK574" s="44"/>
      <c r="AKL574" s="44"/>
      <c r="AKM574" s="44"/>
      <c r="AKN574" s="44"/>
      <c r="AKO574" s="44"/>
      <c r="AKP574" s="44"/>
      <c r="AKQ574" s="44"/>
      <c r="AKR574" s="44"/>
      <c r="AKS574" s="44"/>
      <c r="AKT574" s="44"/>
      <c r="AKU574" s="44"/>
      <c r="AKV574" s="44"/>
      <c r="AKW574" s="44"/>
      <c r="AKX574" s="44"/>
      <c r="AKY574" s="44"/>
      <c r="AKZ574" s="44"/>
      <c r="ALA574" s="44"/>
      <c r="ALB574" s="44"/>
      <c r="ALC574" s="44"/>
      <c r="ALD574" s="44"/>
      <c r="ALE574" s="44"/>
      <c r="ALF574" s="44"/>
      <c r="ALG574" s="44"/>
      <c r="ALH574" s="44"/>
      <c r="ALI574" s="44"/>
      <c r="ALJ574" s="44"/>
      <c r="ALK574" s="44"/>
      <c r="ALL574" s="44"/>
      <c r="ALM574" s="44"/>
      <c r="ALN574" s="44"/>
      <c r="ALO574" s="44"/>
      <c r="ALP574" s="44"/>
      <c r="ALQ574" s="44"/>
      <c r="ALR574" s="44"/>
      <c r="ALS574" s="44"/>
      <c r="ALT574" s="44"/>
      <c r="ALU574" s="44"/>
      <c r="ALV574" s="44"/>
      <c r="ALW574" s="44"/>
      <c r="ALX574" s="44"/>
      <c r="ALY574" s="44"/>
      <c r="ALZ574" s="44"/>
      <c r="AMA574" s="44"/>
      <c r="AMB574" s="44"/>
      <c r="AMC574" s="44"/>
      <c r="AMD574" s="44"/>
      <c r="AME574" s="44"/>
      <c r="AMF574" s="44"/>
      <c r="AMG574" s="44"/>
      <c r="AMH574" s="44"/>
      <c r="AMI574" s="44"/>
      <c r="AMJ574" s="44"/>
      <c r="AMK574" s="44"/>
      <c r="AML574" s="44"/>
      <c r="AMM574" s="44"/>
      <c r="AMN574" s="44"/>
      <c r="AMO574" s="44"/>
      <c r="AMP574" s="44"/>
      <c r="AMQ574" s="44"/>
      <c r="AMR574" s="44"/>
      <c r="AMS574" s="44"/>
      <c r="AMT574" s="44"/>
      <c r="AMU574" s="44"/>
      <c r="AMV574" s="44"/>
      <c r="AMW574" s="44"/>
      <c r="AMX574" s="44"/>
      <c r="AMY574" s="44"/>
      <c r="AMZ574" s="44"/>
      <c r="ANA574" s="44"/>
      <c r="ANB574" s="44"/>
      <c r="ANC574" s="44"/>
      <c r="AND574" s="44"/>
      <c r="ANE574" s="44"/>
      <c r="ANF574" s="44"/>
      <c r="ANG574" s="44"/>
      <c r="ANH574" s="44"/>
      <c r="ANI574" s="44"/>
      <c r="ANJ574" s="44"/>
      <c r="ANK574" s="44"/>
      <c r="ANL574" s="44"/>
      <c r="ANM574" s="44"/>
      <c r="ANN574" s="44"/>
      <c r="ANO574" s="44"/>
      <c r="ANP574" s="44"/>
      <c r="ANQ574" s="44"/>
      <c r="ANR574" s="44"/>
      <c r="ANS574" s="44"/>
      <c r="ANT574" s="44"/>
      <c r="ANU574" s="44"/>
      <c r="ANV574" s="44"/>
      <c r="ANW574" s="44"/>
      <c r="ANX574" s="44"/>
      <c r="ANY574" s="44"/>
      <c r="ANZ574" s="44"/>
      <c r="AOA574" s="44"/>
      <c r="AOB574" s="44"/>
      <c r="AOC574" s="44"/>
      <c r="AOD574" s="44"/>
      <c r="AOE574" s="44"/>
      <c r="AOF574" s="44"/>
      <c r="AOG574" s="44"/>
      <c r="AOH574" s="44"/>
      <c r="AOI574" s="44"/>
      <c r="AOJ574" s="44"/>
      <c r="AOK574" s="44"/>
      <c r="AOL574" s="44"/>
      <c r="AOM574" s="44"/>
      <c r="AON574" s="44"/>
      <c r="AOO574" s="44"/>
      <c r="AOP574" s="44"/>
      <c r="AOQ574" s="44"/>
      <c r="AOR574" s="44"/>
      <c r="AOS574" s="44"/>
      <c r="AOT574" s="44"/>
      <c r="AOU574" s="44"/>
      <c r="AOV574" s="44"/>
      <c r="AOW574" s="44"/>
      <c r="AOX574" s="44"/>
      <c r="AOY574" s="44"/>
      <c r="AOZ574" s="44"/>
      <c r="APA574" s="44"/>
      <c r="APB574" s="44"/>
      <c r="APC574" s="44"/>
      <c r="APD574" s="44"/>
      <c r="APE574" s="44"/>
      <c r="APF574" s="44"/>
      <c r="APG574" s="44"/>
      <c r="APH574" s="44"/>
      <c r="API574" s="44"/>
      <c r="APJ574" s="44"/>
      <c r="APK574" s="44"/>
      <c r="APL574" s="44"/>
      <c r="APM574" s="44"/>
      <c r="APN574" s="44"/>
      <c r="APO574" s="44"/>
      <c r="APP574" s="44"/>
      <c r="APQ574" s="44"/>
      <c r="APR574" s="44"/>
      <c r="APS574" s="44"/>
      <c r="APT574" s="44"/>
      <c r="APU574" s="44"/>
      <c r="APV574" s="44"/>
      <c r="APW574" s="44"/>
      <c r="APX574" s="44"/>
      <c r="APY574" s="44"/>
      <c r="APZ574" s="44"/>
      <c r="AQA574" s="44"/>
      <c r="AQB574" s="44"/>
      <c r="AQC574" s="44"/>
      <c r="AQD574" s="44"/>
      <c r="AQE574" s="44"/>
      <c r="AQF574" s="44"/>
      <c r="AQG574" s="44"/>
      <c r="AQH574" s="44"/>
      <c r="AQI574" s="44"/>
      <c r="AQJ574" s="44"/>
      <c r="AQK574" s="44"/>
      <c r="AQL574" s="44"/>
      <c r="AQM574" s="44"/>
      <c r="AQN574" s="44"/>
      <c r="AQO574" s="44"/>
      <c r="AQP574" s="44"/>
      <c r="AQQ574" s="44"/>
      <c r="AQR574" s="44"/>
      <c r="AQS574" s="44"/>
      <c r="AQT574" s="44"/>
      <c r="AQU574" s="44"/>
      <c r="AQV574" s="44"/>
      <c r="AQW574" s="44"/>
      <c r="AQX574" s="44"/>
      <c r="AQY574" s="44"/>
      <c r="AQZ574" s="44"/>
      <c r="ARA574" s="44"/>
      <c r="ARB574" s="44"/>
      <c r="ARC574" s="44"/>
      <c r="ARD574" s="44"/>
      <c r="ARE574" s="44"/>
      <c r="ARF574" s="44"/>
      <c r="ARG574" s="44"/>
      <c r="ARH574" s="44"/>
      <c r="ARI574" s="44"/>
      <c r="ARJ574" s="44"/>
      <c r="ARK574" s="44"/>
      <c r="ARL574" s="44"/>
      <c r="ARM574" s="44"/>
      <c r="ARN574" s="44"/>
      <c r="ARO574" s="44"/>
      <c r="ARP574" s="44"/>
      <c r="ARQ574" s="44"/>
      <c r="ARR574" s="44"/>
      <c r="ARS574" s="44"/>
      <c r="ART574" s="44"/>
      <c r="ARU574" s="44"/>
      <c r="ARV574" s="44"/>
      <c r="ARW574" s="44"/>
      <c r="ARX574" s="44"/>
      <c r="ARY574" s="44"/>
      <c r="ARZ574" s="44"/>
      <c r="ASA574" s="44"/>
      <c r="ASB574" s="44"/>
      <c r="ASC574" s="44"/>
      <c r="ASD574" s="44"/>
      <c r="ASE574" s="44"/>
      <c r="ASF574" s="44"/>
      <c r="ASG574" s="44"/>
      <c r="ASH574" s="44"/>
      <c r="ASI574" s="44"/>
      <c r="ASJ574" s="44"/>
      <c r="ASK574" s="44"/>
      <c r="ASL574" s="44"/>
      <c r="ASM574" s="44"/>
      <c r="ASN574" s="44"/>
      <c r="ASO574" s="44"/>
      <c r="ASP574" s="44"/>
      <c r="ASQ574" s="44"/>
      <c r="ASR574" s="44"/>
      <c r="ASS574" s="44"/>
      <c r="AST574" s="44"/>
      <c r="ASU574" s="44"/>
      <c r="ASV574" s="44"/>
      <c r="ASW574" s="44"/>
      <c r="ASX574" s="44"/>
      <c r="ASY574" s="44"/>
      <c r="ASZ574" s="44"/>
      <c r="ATA574" s="44"/>
      <c r="ATB574" s="44"/>
      <c r="ATC574" s="44"/>
      <c r="ATD574" s="44"/>
      <c r="ATE574" s="44"/>
      <c r="ATF574" s="44"/>
      <c r="ATG574" s="44"/>
      <c r="ATH574" s="44"/>
      <c r="ATI574" s="44"/>
      <c r="ATJ574" s="44"/>
      <c r="ATK574" s="44"/>
      <c r="ATL574" s="44"/>
      <c r="ATM574" s="44"/>
      <c r="ATN574" s="44"/>
      <c r="ATO574" s="44"/>
      <c r="ATP574" s="44"/>
      <c r="ATQ574" s="44"/>
      <c r="ATR574" s="44"/>
      <c r="ATS574" s="44"/>
      <c r="ATT574" s="44"/>
      <c r="ATU574" s="44"/>
      <c r="ATV574" s="44"/>
      <c r="ATW574" s="44"/>
      <c r="ATX574" s="44"/>
      <c r="ATY574" s="44"/>
      <c r="ATZ574" s="44"/>
      <c r="AUA574" s="44"/>
      <c r="AUB574" s="44"/>
      <c r="AUC574" s="44"/>
      <c r="AUD574" s="44"/>
      <c r="AUE574" s="44"/>
      <c r="AUF574" s="44"/>
      <c r="AUG574" s="44"/>
      <c r="AUH574" s="44"/>
      <c r="AUI574" s="44"/>
      <c r="AUJ574" s="44"/>
      <c r="AUK574" s="44"/>
      <c r="AUL574" s="44"/>
      <c r="AUM574" s="44"/>
      <c r="AUN574" s="44"/>
      <c r="AUO574" s="44"/>
      <c r="AUP574" s="44"/>
      <c r="AUQ574" s="44"/>
      <c r="AUR574" s="44"/>
      <c r="AUS574" s="44"/>
      <c r="AUT574" s="44"/>
      <c r="AUU574" s="44"/>
      <c r="AUV574" s="44"/>
      <c r="AUW574" s="44"/>
      <c r="AUX574" s="44"/>
      <c r="AUY574" s="44"/>
      <c r="AUZ574" s="44"/>
      <c r="AVA574" s="44"/>
      <c r="AVB574" s="44"/>
      <c r="AVC574" s="44"/>
      <c r="AVD574" s="44"/>
      <c r="AVE574" s="44"/>
      <c r="AVF574" s="44"/>
      <c r="AVG574" s="44"/>
      <c r="AVH574" s="44"/>
      <c r="AVI574" s="44"/>
      <c r="AVJ574" s="44"/>
      <c r="AVK574" s="44"/>
      <c r="AVL574" s="44"/>
      <c r="AVM574" s="44"/>
      <c r="AVN574" s="44"/>
      <c r="AVO574" s="44"/>
      <c r="AVP574" s="44"/>
      <c r="AVQ574" s="44"/>
      <c r="AVR574" s="44"/>
      <c r="AVS574" s="44"/>
      <c r="AVT574" s="44"/>
      <c r="AVU574" s="44"/>
      <c r="AVV574" s="44"/>
      <c r="AVW574" s="44"/>
      <c r="AVX574" s="44"/>
      <c r="AVY574" s="44"/>
      <c r="AVZ574" s="44"/>
      <c r="AWA574" s="44"/>
      <c r="AWB574" s="44"/>
      <c r="AWC574" s="44"/>
      <c r="AWD574" s="44"/>
      <c r="AWE574" s="44"/>
      <c r="AWF574" s="44"/>
      <c r="AWG574" s="44"/>
      <c r="AWH574" s="44"/>
      <c r="AWI574" s="44"/>
      <c r="AWJ574" s="44"/>
      <c r="AWK574" s="44"/>
      <c r="AWL574" s="44"/>
      <c r="AWM574" s="44"/>
      <c r="AWN574" s="44"/>
      <c r="AWO574" s="44"/>
      <c r="AWP574" s="44"/>
      <c r="AWQ574" s="44"/>
      <c r="AWR574" s="44"/>
      <c r="AWS574" s="44"/>
      <c r="AWT574" s="44"/>
      <c r="AWU574" s="44"/>
      <c r="AWV574" s="44"/>
      <c r="AWW574" s="44"/>
      <c r="AWX574" s="44"/>
      <c r="AWY574" s="44"/>
      <c r="AWZ574" s="44"/>
      <c r="AXA574" s="44"/>
      <c r="AXB574" s="44"/>
      <c r="AXC574" s="44"/>
      <c r="AXD574" s="44"/>
      <c r="AXE574" s="44"/>
      <c r="AXF574" s="44"/>
      <c r="AXG574" s="44"/>
      <c r="AXH574" s="44"/>
      <c r="AXI574" s="44"/>
      <c r="AXJ574" s="44"/>
      <c r="AXK574" s="44"/>
      <c r="AXL574" s="44"/>
      <c r="AXM574" s="44"/>
      <c r="AXN574" s="44"/>
      <c r="AXO574" s="44"/>
      <c r="AXP574" s="44"/>
      <c r="AXQ574" s="44"/>
      <c r="AXR574" s="44"/>
      <c r="AXS574" s="44"/>
      <c r="AXT574" s="44"/>
      <c r="AXU574" s="44"/>
      <c r="AXV574" s="44"/>
      <c r="AXW574" s="44"/>
      <c r="AXX574" s="44"/>
      <c r="AXY574" s="44"/>
      <c r="AXZ574" s="44"/>
      <c r="AYA574" s="44"/>
      <c r="AYB574" s="44"/>
      <c r="AYC574" s="44"/>
      <c r="AYD574" s="44"/>
      <c r="AYE574" s="44"/>
      <c r="AYF574" s="44"/>
      <c r="AYG574" s="44"/>
      <c r="AYH574" s="44"/>
      <c r="AYI574" s="44"/>
      <c r="AYJ574" s="44"/>
      <c r="AYK574" s="44"/>
      <c r="AYL574" s="44"/>
      <c r="AYM574" s="44"/>
      <c r="AYN574" s="44"/>
      <c r="AYO574" s="44"/>
      <c r="AYP574" s="44"/>
      <c r="AYQ574" s="44"/>
      <c r="AYR574" s="44"/>
      <c r="AYS574" s="44"/>
      <c r="AYT574" s="44"/>
      <c r="AYU574" s="44"/>
      <c r="AYV574" s="44"/>
      <c r="AYW574" s="44"/>
      <c r="AYX574" s="44"/>
      <c r="AYY574" s="44"/>
      <c r="AYZ574" s="44"/>
      <c r="AZA574" s="44"/>
      <c r="AZB574" s="44"/>
      <c r="AZC574" s="44"/>
      <c r="AZD574" s="44"/>
      <c r="AZE574" s="44"/>
      <c r="AZF574" s="44"/>
      <c r="AZG574" s="44"/>
      <c r="AZH574" s="44"/>
      <c r="AZI574" s="44"/>
      <c r="AZJ574" s="44"/>
      <c r="AZK574" s="44"/>
      <c r="AZL574" s="44"/>
      <c r="AZM574" s="44"/>
      <c r="AZN574" s="44"/>
      <c r="AZO574" s="44"/>
      <c r="AZP574" s="44"/>
      <c r="AZQ574" s="44"/>
      <c r="AZR574" s="44"/>
      <c r="AZS574" s="44"/>
      <c r="AZT574" s="44"/>
      <c r="AZU574" s="44"/>
      <c r="AZV574" s="44"/>
      <c r="AZW574" s="44"/>
      <c r="AZX574" s="44"/>
      <c r="AZY574" s="44"/>
      <c r="AZZ574" s="44"/>
      <c r="BAA574" s="44"/>
      <c r="BAB574" s="44"/>
      <c r="BAC574" s="44"/>
      <c r="BAD574" s="44"/>
      <c r="BAE574" s="44"/>
      <c r="BAF574" s="44"/>
      <c r="BAG574" s="44"/>
      <c r="BAH574" s="44"/>
      <c r="BAI574" s="44"/>
      <c r="BAJ574" s="44"/>
      <c r="BAK574" s="44"/>
      <c r="BAL574" s="44"/>
      <c r="BAM574" s="44"/>
      <c r="BAN574" s="44"/>
      <c r="BAO574" s="44"/>
      <c r="BAP574" s="44"/>
      <c r="BAQ574" s="44"/>
      <c r="BAR574" s="44"/>
      <c r="BAS574" s="44"/>
      <c r="BAT574" s="44"/>
      <c r="BAU574" s="44"/>
      <c r="BAV574" s="44"/>
      <c r="BAW574" s="44"/>
      <c r="BAX574" s="44"/>
      <c r="BAY574" s="44"/>
      <c r="BAZ574" s="44"/>
      <c r="BBA574" s="44"/>
      <c r="BBB574" s="44"/>
      <c r="BBC574" s="44"/>
      <c r="BBD574" s="44"/>
      <c r="BBE574" s="44"/>
      <c r="BBF574" s="44"/>
      <c r="BBG574" s="44"/>
      <c r="BBH574" s="44"/>
      <c r="BBI574" s="44"/>
      <c r="BBJ574" s="44"/>
      <c r="BBK574" s="44"/>
      <c r="BBL574" s="44"/>
      <c r="BBM574" s="44"/>
      <c r="BBN574" s="44"/>
      <c r="BBO574" s="44"/>
      <c r="BBP574" s="44"/>
      <c r="BBQ574" s="44"/>
      <c r="BBR574" s="44"/>
      <c r="BBS574" s="44"/>
      <c r="BBT574" s="44"/>
      <c r="BBU574" s="44"/>
      <c r="BBV574" s="44"/>
      <c r="BBW574" s="44"/>
      <c r="BBX574" s="44"/>
      <c r="BBY574" s="44"/>
      <c r="BBZ574" s="44"/>
      <c r="BCA574" s="44"/>
      <c r="BCB574" s="44"/>
      <c r="BCC574" s="44"/>
      <c r="BCD574" s="44"/>
      <c r="BCE574" s="44"/>
      <c r="BCF574" s="44"/>
      <c r="BCG574" s="44"/>
      <c r="BCH574" s="44"/>
      <c r="BCI574" s="44"/>
      <c r="BCJ574" s="44"/>
      <c r="BCK574" s="44"/>
      <c r="BCL574" s="44"/>
      <c r="BCM574" s="44"/>
      <c r="BCN574" s="44"/>
      <c r="BCO574" s="44"/>
      <c r="BCP574" s="44"/>
      <c r="BCQ574" s="44"/>
      <c r="BCR574" s="44"/>
      <c r="BCS574" s="44"/>
      <c r="BCT574" s="44"/>
      <c r="BCU574" s="44"/>
      <c r="BCV574" s="44"/>
      <c r="BCW574" s="44"/>
      <c r="BCX574" s="44"/>
      <c r="BCY574" s="44"/>
      <c r="BCZ574" s="44"/>
      <c r="BDA574" s="44"/>
      <c r="BDB574" s="44"/>
      <c r="BDC574" s="44"/>
      <c r="BDD574" s="44"/>
      <c r="BDE574" s="44"/>
      <c r="BDF574" s="44"/>
      <c r="BDG574" s="44"/>
      <c r="BDH574" s="44"/>
      <c r="BDI574" s="44"/>
      <c r="BDJ574" s="44"/>
      <c r="BDK574" s="44"/>
      <c r="BDL574" s="44"/>
      <c r="BDM574" s="44"/>
      <c r="BDN574" s="44"/>
      <c r="BDO574" s="44"/>
      <c r="BDP574" s="44"/>
      <c r="BDQ574" s="44"/>
      <c r="BDR574" s="44"/>
      <c r="BDS574" s="44"/>
      <c r="BDT574" s="44"/>
      <c r="BDU574" s="44"/>
      <c r="BDV574" s="44"/>
      <c r="BDW574" s="44"/>
      <c r="BDX574" s="44"/>
      <c r="BDY574" s="44"/>
      <c r="BDZ574" s="44"/>
      <c r="BEA574" s="44"/>
      <c r="BEB574" s="44"/>
      <c r="BEC574" s="44"/>
      <c r="BED574" s="44"/>
      <c r="BEE574" s="44"/>
      <c r="BEF574" s="44"/>
      <c r="BEG574" s="44"/>
      <c r="BEH574" s="44"/>
      <c r="BEI574" s="44"/>
      <c r="BEJ574" s="44"/>
      <c r="BEK574" s="44"/>
      <c r="BEL574" s="44"/>
      <c r="BEM574" s="44"/>
      <c r="BEN574" s="44"/>
      <c r="BEO574" s="44"/>
      <c r="BEP574" s="44"/>
      <c r="BEQ574" s="44"/>
      <c r="BER574" s="44"/>
      <c r="BES574" s="44"/>
      <c r="BET574" s="44"/>
      <c r="BEU574" s="44"/>
      <c r="BEV574" s="44"/>
      <c r="BEW574" s="44"/>
      <c r="BEX574" s="44"/>
      <c r="BEY574" s="44"/>
      <c r="BEZ574" s="44"/>
      <c r="BFA574" s="44"/>
      <c r="BFB574" s="44"/>
      <c r="BFC574" s="44"/>
      <c r="BFD574" s="44"/>
      <c r="BFE574" s="44"/>
      <c r="BFF574" s="44"/>
      <c r="BFG574" s="44"/>
      <c r="BFH574" s="44"/>
      <c r="BFI574" s="44"/>
      <c r="BFJ574" s="44"/>
      <c r="BFK574" s="44"/>
      <c r="BFL574" s="44"/>
      <c r="BFM574" s="44"/>
      <c r="BFN574" s="44"/>
      <c r="BFO574" s="44"/>
      <c r="BFP574" s="44"/>
      <c r="BFQ574" s="44"/>
      <c r="BFR574" s="44"/>
      <c r="BFS574" s="44"/>
      <c r="BFT574" s="44"/>
      <c r="BFU574" s="44"/>
      <c r="BFV574" s="44"/>
      <c r="BFW574" s="44"/>
      <c r="BFX574" s="44"/>
      <c r="BFY574" s="44"/>
      <c r="BFZ574" s="44"/>
      <c r="BGA574" s="44"/>
      <c r="BGB574" s="44"/>
      <c r="BGC574" s="44"/>
      <c r="BGD574" s="44"/>
      <c r="BGE574" s="44"/>
      <c r="BGF574" s="44"/>
      <c r="BGG574" s="44"/>
      <c r="BGH574" s="44"/>
      <c r="BGI574" s="44"/>
      <c r="BGJ574" s="44"/>
      <c r="BGK574" s="44"/>
      <c r="BGL574" s="44"/>
      <c r="BGM574" s="44"/>
      <c r="BGN574" s="44"/>
      <c r="BGO574" s="44"/>
      <c r="BGP574" s="44"/>
      <c r="BGQ574" s="44"/>
      <c r="BGR574" s="44"/>
      <c r="BGS574" s="44"/>
      <c r="BGT574" s="44"/>
      <c r="BGU574" s="44"/>
      <c r="BGV574" s="44"/>
      <c r="BGW574" s="44"/>
      <c r="BGX574" s="44"/>
      <c r="BGY574" s="44"/>
      <c r="BGZ574" s="44"/>
      <c r="BHA574" s="44"/>
      <c r="BHB574" s="44"/>
      <c r="BHC574" s="44"/>
      <c r="BHD574" s="44"/>
      <c r="BHE574" s="44"/>
      <c r="BHF574" s="44"/>
      <c r="BHG574" s="44"/>
      <c r="BHH574" s="44"/>
      <c r="BHI574" s="44"/>
      <c r="BHJ574" s="44"/>
      <c r="BHK574" s="44"/>
      <c r="BHL574" s="44"/>
      <c r="BHM574" s="44"/>
      <c r="BHN574" s="44"/>
      <c r="BHO574" s="44"/>
      <c r="BHP574" s="44"/>
      <c r="BHQ574" s="44"/>
      <c r="BHR574" s="44"/>
      <c r="BHS574" s="44"/>
      <c r="BHT574" s="44"/>
      <c r="BHU574" s="44"/>
      <c r="BHV574" s="44"/>
      <c r="BHW574" s="44"/>
      <c r="BHX574" s="44"/>
      <c r="BHY574" s="44"/>
      <c r="BHZ574" s="44"/>
      <c r="BIA574" s="44"/>
      <c r="BIB574" s="44"/>
      <c r="BIC574" s="44"/>
      <c r="BID574" s="44"/>
      <c r="BIE574" s="44"/>
      <c r="BIF574" s="44"/>
      <c r="BIG574" s="44"/>
      <c r="BIH574" s="44"/>
      <c r="BII574" s="44"/>
      <c r="BIJ574" s="44"/>
      <c r="BIK574" s="44"/>
      <c r="BIL574" s="44"/>
      <c r="BIM574" s="44"/>
      <c r="BIN574" s="44"/>
      <c r="BIO574" s="44"/>
      <c r="BIP574" s="44"/>
      <c r="BIQ574" s="44"/>
      <c r="BIR574" s="44"/>
      <c r="BIS574" s="44"/>
      <c r="BIT574" s="44"/>
      <c r="BIU574" s="44"/>
      <c r="BIV574" s="44"/>
      <c r="BIW574" s="44"/>
      <c r="BIX574" s="44"/>
      <c r="BIY574" s="44"/>
      <c r="BIZ574" s="44"/>
      <c r="BJA574" s="44"/>
      <c r="BJB574" s="44"/>
      <c r="BJC574" s="44"/>
      <c r="BJD574" s="44"/>
      <c r="BJE574" s="44"/>
      <c r="BJF574" s="44"/>
      <c r="BJG574" s="44"/>
      <c r="BJH574" s="44"/>
      <c r="BJI574" s="44"/>
      <c r="BJJ574" s="44"/>
      <c r="BJK574" s="44"/>
      <c r="BJL574" s="44"/>
      <c r="BJM574" s="44"/>
      <c r="BJN574" s="44"/>
      <c r="BJO574" s="44"/>
      <c r="BJP574" s="44"/>
      <c r="BJQ574" s="44"/>
      <c r="BJR574" s="44"/>
      <c r="BJS574" s="44"/>
      <c r="BJT574" s="44"/>
      <c r="BJU574" s="44"/>
      <c r="BJV574" s="44"/>
      <c r="BJW574" s="44"/>
      <c r="BJX574" s="44"/>
      <c r="BJY574" s="44"/>
      <c r="BJZ574" s="44"/>
      <c r="BKA574" s="44"/>
      <c r="BKB574" s="44"/>
      <c r="BKC574" s="44"/>
      <c r="BKD574" s="44"/>
      <c r="BKE574" s="44"/>
      <c r="BKF574" s="44"/>
      <c r="BKG574" s="44"/>
      <c r="BKH574" s="44"/>
      <c r="BKI574" s="44"/>
      <c r="BKJ574" s="44"/>
      <c r="BKK574" s="44"/>
      <c r="BKL574" s="44"/>
      <c r="BKM574" s="44"/>
      <c r="BKN574" s="44"/>
      <c r="BKO574" s="44"/>
      <c r="BKP574" s="44"/>
      <c r="BKQ574" s="44"/>
      <c r="BKR574" s="44"/>
      <c r="BKS574" s="44"/>
      <c r="BKT574" s="44"/>
      <c r="BKU574" s="44"/>
      <c r="BKV574" s="44"/>
      <c r="BKW574" s="44"/>
      <c r="BKX574" s="44"/>
      <c r="BKY574" s="44"/>
      <c r="BKZ574" s="44"/>
      <c r="BLA574" s="44"/>
      <c r="BLB574" s="44"/>
      <c r="BLC574" s="44"/>
      <c r="BLD574" s="44"/>
      <c r="BLE574" s="44"/>
      <c r="BLF574" s="44"/>
      <c r="BLG574" s="44"/>
      <c r="BLH574" s="44"/>
      <c r="BLI574" s="44"/>
      <c r="BLJ574" s="44"/>
      <c r="BLK574" s="44"/>
      <c r="BLL574" s="44"/>
      <c r="BLM574" s="44"/>
      <c r="BLN574" s="44"/>
      <c r="BLO574" s="44"/>
      <c r="BLP574" s="44"/>
      <c r="BLQ574" s="44"/>
      <c r="BLR574" s="44"/>
      <c r="BLS574" s="44"/>
      <c r="BLT574" s="44"/>
      <c r="BLU574" s="44"/>
      <c r="BLV574" s="44"/>
      <c r="BLW574" s="44"/>
      <c r="BLX574" s="44"/>
      <c r="BLY574" s="44"/>
      <c r="BLZ574" s="44"/>
      <c r="BMA574" s="44"/>
      <c r="BMB574" s="44"/>
      <c r="BMC574" s="44"/>
      <c r="BMD574" s="44"/>
      <c r="BME574" s="44"/>
      <c r="BMF574" s="44"/>
      <c r="BMG574" s="44"/>
      <c r="BMH574" s="44"/>
      <c r="BMI574" s="44"/>
      <c r="BMJ574" s="44"/>
      <c r="BMK574" s="44"/>
      <c r="BML574" s="44"/>
      <c r="BMM574" s="44"/>
      <c r="BMN574" s="44"/>
      <c r="BMO574" s="44"/>
      <c r="BMP574" s="44"/>
      <c r="BMQ574" s="44"/>
      <c r="BMR574" s="44"/>
      <c r="BMS574" s="44"/>
      <c r="BMT574" s="44"/>
      <c r="BMU574" s="44"/>
      <c r="BMV574" s="44"/>
      <c r="BMW574" s="44"/>
      <c r="BMX574" s="44"/>
      <c r="BMY574" s="44"/>
      <c r="BMZ574" s="44"/>
      <c r="BNA574" s="44"/>
      <c r="BNB574" s="44"/>
      <c r="BNC574" s="44"/>
      <c r="BND574" s="44"/>
      <c r="BNE574" s="44"/>
      <c r="BNF574" s="44"/>
      <c r="BNG574" s="44"/>
      <c r="BNH574" s="44"/>
      <c r="BNI574" s="44"/>
      <c r="BNJ574" s="44"/>
      <c r="BNK574" s="44"/>
      <c r="BNL574" s="44"/>
      <c r="BNM574" s="44"/>
      <c r="BNN574" s="44"/>
      <c r="BNO574" s="44"/>
      <c r="BNP574" s="44"/>
      <c r="BNQ574" s="44"/>
      <c r="BNR574" s="44"/>
      <c r="BNS574" s="44"/>
      <c r="BNT574" s="44"/>
      <c r="BNU574" s="44"/>
      <c r="BNV574" s="44"/>
      <c r="BNW574" s="44"/>
      <c r="BNX574" s="44"/>
      <c r="BNY574" s="44"/>
      <c r="BNZ574" s="44"/>
      <c r="BOA574" s="44"/>
      <c r="BOB574" s="44"/>
      <c r="BOC574" s="44"/>
      <c r="BOD574" s="44"/>
      <c r="BOE574" s="44"/>
      <c r="BOF574" s="44"/>
      <c r="BOG574" s="44"/>
      <c r="BOH574" s="44"/>
      <c r="BOI574" s="44"/>
      <c r="BOJ574" s="44"/>
      <c r="BOK574" s="44"/>
      <c r="BOL574" s="44"/>
      <c r="BOM574" s="44"/>
      <c r="BON574" s="44"/>
      <c r="BOO574" s="44"/>
      <c r="BOP574" s="44"/>
      <c r="BOQ574" s="44"/>
      <c r="BOR574" s="44"/>
      <c r="BOS574" s="44"/>
      <c r="BOT574" s="44"/>
      <c r="BOU574" s="44"/>
      <c r="BOV574" s="44"/>
      <c r="BOW574" s="44"/>
      <c r="BOX574" s="44"/>
      <c r="BOY574" s="44"/>
      <c r="BOZ574" s="44"/>
      <c r="BPA574" s="44"/>
      <c r="BPB574" s="44"/>
      <c r="BPC574" s="44"/>
      <c r="BPD574" s="44"/>
      <c r="BPE574" s="44"/>
      <c r="BPF574" s="44"/>
      <c r="BPG574" s="44"/>
      <c r="BPH574" s="44"/>
      <c r="BPI574" s="44"/>
      <c r="BPJ574" s="44"/>
      <c r="BPK574" s="44"/>
      <c r="BPL574" s="44"/>
      <c r="BPM574" s="44"/>
      <c r="BPN574" s="44"/>
      <c r="BPO574" s="44"/>
      <c r="BPP574" s="44"/>
      <c r="BPQ574" s="44"/>
      <c r="BPR574" s="44"/>
      <c r="BPS574" s="44"/>
      <c r="BPT574" s="44"/>
      <c r="BPU574" s="44"/>
      <c r="BPV574" s="44"/>
      <c r="BPW574" s="44"/>
      <c r="BPX574" s="44"/>
      <c r="BPY574" s="44"/>
      <c r="BPZ574" s="44"/>
      <c r="BQA574" s="44"/>
      <c r="BQB574" s="44"/>
      <c r="BQC574" s="44"/>
      <c r="BQD574" s="44"/>
      <c r="BQE574" s="44"/>
      <c r="BQF574" s="44"/>
      <c r="BQG574" s="44"/>
      <c r="BQH574" s="44"/>
      <c r="BQI574" s="44"/>
      <c r="BQJ574" s="44"/>
      <c r="BQK574" s="44"/>
      <c r="BQL574" s="44"/>
      <c r="BQM574" s="44"/>
      <c r="BQN574" s="44"/>
      <c r="BQO574" s="44"/>
      <c r="BQP574" s="44"/>
      <c r="BQQ574" s="44"/>
      <c r="BQR574" s="44"/>
      <c r="BQS574" s="44"/>
      <c r="BQT574" s="44"/>
      <c r="BQU574" s="44"/>
      <c r="BQV574" s="44"/>
      <c r="BQW574" s="44"/>
      <c r="BQX574" s="44"/>
      <c r="BQY574" s="44"/>
      <c r="BQZ574" s="44"/>
      <c r="BRA574" s="44"/>
      <c r="BRB574" s="44"/>
      <c r="BRC574" s="44"/>
      <c r="BRD574" s="44"/>
      <c r="BRE574" s="44"/>
      <c r="BRF574" s="44"/>
      <c r="BRG574" s="44"/>
      <c r="BRH574" s="44"/>
      <c r="BRI574" s="44"/>
      <c r="BRJ574" s="44"/>
      <c r="BRK574" s="44"/>
      <c r="BRL574" s="44"/>
      <c r="BRM574" s="44"/>
      <c r="BRN574" s="44"/>
      <c r="BRO574" s="44"/>
      <c r="BRP574" s="44"/>
      <c r="BRQ574" s="44"/>
      <c r="BRR574" s="44"/>
      <c r="BRS574" s="44"/>
      <c r="BRT574" s="44"/>
      <c r="BRU574" s="44"/>
      <c r="BRV574" s="44"/>
      <c r="BRW574" s="44"/>
      <c r="BRX574" s="44"/>
      <c r="BRY574" s="44"/>
      <c r="BRZ574" s="44"/>
      <c r="BSA574" s="44"/>
      <c r="BSB574" s="44"/>
      <c r="BSC574" s="44"/>
      <c r="BSD574" s="44"/>
      <c r="BSE574" s="44"/>
      <c r="BSF574" s="44"/>
      <c r="BSG574" s="44"/>
      <c r="BSH574" s="44"/>
      <c r="BSI574" s="44"/>
      <c r="BSJ574" s="44"/>
      <c r="BSK574" s="44"/>
      <c r="BSL574" s="44"/>
      <c r="BSM574" s="44"/>
      <c r="BSN574" s="44"/>
      <c r="BSO574" s="44"/>
      <c r="BSP574" s="44"/>
      <c r="BSQ574" s="44"/>
      <c r="BSR574" s="44"/>
      <c r="BSS574" s="44"/>
      <c r="BST574" s="44"/>
      <c r="BSU574" s="44"/>
      <c r="BSV574" s="44"/>
      <c r="BSW574" s="44"/>
      <c r="BSX574" s="44"/>
      <c r="BSY574" s="44"/>
      <c r="BSZ574" s="44"/>
      <c r="BTA574" s="44"/>
      <c r="BTB574" s="44"/>
      <c r="BTC574" s="44"/>
      <c r="BTD574" s="44"/>
      <c r="BTE574" s="44"/>
      <c r="BTF574" s="44"/>
      <c r="BTG574" s="44"/>
      <c r="BTH574" s="44"/>
      <c r="BTI574" s="44"/>
      <c r="BTJ574" s="44"/>
      <c r="BTK574" s="44"/>
      <c r="BTL574" s="44"/>
      <c r="BTM574" s="44"/>
      <c r="BTN574" s="44"/>
      <c r="BTO574" s="44"/>
      <c r="BTP574" s="44"/>
      <c r="BTQ574" s="44"/>
      <c r="BTR574" s="44"/>
      <c r="BTS574" s="44"/>
      <c r="BTT574" s="44"/>
      <c r="BTU574" s="44"/>
      <c r="BTV574" s="44"/>
      <c r="BTW574" s="44"/>
      <c r="BTX574" s="44"/>
      <c r="BTY574" s="44"/>
      <c r="BTZ574" s="44"/>
      <c r="BUA574" s="44"/>
      <c r="BUB574" s="44"/>
      <c r="BUC574" s="44"/>
      <c r="BUD574" s="44"/>
      <c r="BUE574" s="44"/>
      <c r="BUF574" s="44"/>
      <c r="BUG574" s="44"/>
      <c r="BUH574" s="44"/>
      <c r="BUI574" s="44"/>
      <c r="BUJ574" s="44"/>
      <c r="BUK574" s="44"/>
      <c r="BUL574" s="44"/>
      <c r="BUM574" s="44"/>
      <c r="BUN574" s="44"/>
      <c r="BUO574" s="44"/>
      <c r="BUP574" s="44"/>
      <c r="BUQ574" s="44"/>
      <c r="BUR574" s="44"/>
      <c r="BUS574" s="44"/>
      <c r="BUT574" s="44"/>
      <c r="BUU574" s="44"/>
      <c r="BUV574" s="44"/>
      <c r="BUW574" s="44"/>
      <c r="BUX574" s="44"/>
      <c r="BUY574" s="44"/>
      <c r="BUZ574" s="44"/>
      <c r="BVA574" s="44"/>
      <c r="BVB574" s="44"/>
      <c r="BVC574" s="44"/>
      <c r="BVD574" s="44"/>
      <c r="BVE574" s="44"/>
      <c r="BVF574" s="44"/>
      <c r="BVG574" s="44"/>
      <c r="BVH574" s="44"/>
      <c r="BVI574" s="44"/>
      <c r="BVJ574" s="44"/>
      <c r="BVK574" s="44"/>
      <c r="BVL574" s="44"/>
      <c r="BVM574" s="44"/>
      <c r="BVN574" s="44"/>
      <c r="BVO574" s="44"/>
      <c r="BVP574" s="44"/>
      <c r="BVQ574" s="44"/>
      <c r="BVR574" s="44"/>
      <c r="BVS574" s="44"/>
      <c r="BVT574" s="44"/>
      <c r="BVU574" s="44"/>
      <c r="BVV574" s="44"/>
      <c r="BVW574" s="44"/>
      <c r="BVX574" s="44"/>
      <c r="BVY574" s="44"/>
      <c r="BVZ574" s="44"/>
      <c r="BWA574" s="44"/>
      <c r="BWB574" s="44"/>
      <c r="BWC574" s="44"/>
      <c r="BWD574" s="44"/>
      <c r="BWE574" s="44"/>
      <c r="BWF574" s="44"/>
      <c r="BWG574" s="44"/>
      <c r="BWH574" s="44"/>
      <c r="BWI574" s="44"/>
      <c r="BWJ574" s="44"/>
      <c r="BWK574" s="44"/>
      <c r="BWL574" s="44"/>
      <c r="BWM574" s="44"/>
      <c r="BWN574" s="44"/>
      <c r="BWO574" s="44"/>
      <c r="BWP574" s="44"/>
      <c r="BWQ574" s="44"/>
      <c r="BWR574" s="44"/>
      <c r="BWS574" s="44"/>
      <c r="BWT574" s="44"/>
      <c r="BWU574" s="44"/>
      <c r="BWV574" s="44"/>
      <c r="BWW574" s="44"/>
      <c r="BWX574" s="44"/>
      <c r="BWY574" s="44"/>
      <c r="BWZ574" s="44"/>
      <c r="BXA574" s="44"/>
      <c r="BXB574" s="44"/>
      <c r="BXC574" s="44"/>
      <c r="BXD574" s="44"/>
      <c r="BXE574" s="44"/>
      <c r="BXF574" s="44"/>
      <c r="BXG574" s="44"/>
      <c r="BXH574" s="44"/>
      <c r="BXI574" s="44"/>
      <c r="BXJ574" s="44"/>
      <c r="BXK574" s="44"/>
      <c r="BXL574" s="44"/>
      <c r="BXM574" s="44"/>
      <c r="BXN574" s="44"/>
      <c r="BXO574" s="44"/>
      <c r="BXP574" s="44"/>
      <c r="BXQ574" s="44"/>
      <c r="BXR574" s="44"/>
      <c r="BXS574" s="44"/>
      <c r="BXT574" s="44"/>
      <c r="BXU574" s="44"/>
      <c r="BXV574" s="44"/>
      <c r="BXW574" s="44"/>
      <c r="BXX574" s="44"/>
      <c r="BXY574" s="44"/>
      <c r="BXZ574" s="44"/>
      <c r="BYA574" s="44"/>
      <c r="BYB574" s="44"/>
      <c r="BYC574" s="44"/>
      <c r="BYD574" s="44"/>
      <c r="BYE574" s="44"/>
      <c r="BYF574" s="44"/>
      <c r="BYG574" s="44"/>
      <c r="BYH574" s="44"/>
      <c r="BYI574" s="44"/>
      <c r="BYJ574" s="44"/>
      <c r="BYK574" s="44"/>
      <c r="BYL574" s="44"/>
      <c r="BYM574" s="44"/>
      <c r="BYN574" s="44"/>
      <c r="BYO574" s="44"/>
      <c r="BYP574" s="44"/>
      <c r="BYQ574" s="44"/>
      <c r="BYR574" s="44"/>
      <c r="BYS574" s="44"/>
      <c r="BYT574" s="44"/>
      <c r="BYU574" s="44"/>
      <c r="BYV574" s="44"/>
      <c r="BYW574" s="44"/>
      <c r="BYX574" s="44"/>
      <c r="BYY574" s="44"/>
      <c r="BYZ574" s="44"/>
      <c r="BZA574" s="44"/>
      <c r="BZB574" s="44"/>
      <c r="BZC574" s="44"/>
      <c r="BZD574" s="44"/>
      <c r="BZE574" s="44"/>
      <c r="BZF574" s="44"/>
      <c r="BZG574" s="44"/>
      <c r="BZH574" s="44"/>
      <c r="BZI574" s="44"/>
      <c r="BZJ574" s="44"/>
      <c r="BZK574" s="44"/>
      <c r="BZL574" s="44"/>
      <c r="BZM574" s="44"/>
      <c r="BZN574" s="44"/>
      <c r="BZO574" s="44"/>
      <c r="BZP574" s="44"/>
      <c r="BZQ574" s="44"/>
      <c r="BZR574" s="44"/>
      <c r="BZS574" s="44"/>
      <c r="BZT574" s="44"/>
      <c r="BZU574" s="44"/>
      <c r="BZV574" s="44"/>
      <c r="BZW574" s="44"/>
      <c r="BZX574" s="44"/>
      <c r="BZY574" s="44"/>
      <c r="BZZ574" s="44"/>
      <c r="CAA574" s="44"/>
      <c r="CAB574" s="44"/>
      <c r="CAC574" s="44"/>
      <c r="CAD574" s="44"/>
      <c r="CAE574" s="44"/>
      <c r="CAF574" s="44"/>
      <c r="CAG574" s="44"/>
      <c r="CAH574" s="44"/>
      <c r="CAI574" s="44"/>
      <c r="CAJ574" s="44"/>
      <c r="CAK574" s="44"/>
      <c r="CAL574" s="44"/>
      <c r="CAM574" s="44"/>
      <c r="CAN574" s="44"/>
      <c r="CAO574" s="44"/>
      <c r="CAP574" s="44"/>
      <c r="CAQ574" s="44"/>
      <c r="CAR574" s="44"/>
      <c r="CAS574" s="44"/>
      <c r="CAT574" s="44"/>
      <c r="CAU574" s="44"/>
      <c r="CAV574" s="44"/>
      <c r="CAW574" s="44"/>
      <c r="CAX574" s="44"/>
      <c r="CAY574" s="44"/>
      <c r="CAZ574" s="44"/>
      <c r="CBA574" s="44"/>
      <c r="CBB574" s="44"/>
      <c r="CBC574" s="44"/>
      <c r="CBD574" s="44"/>
      <c r="CBE574" s="44"/>
      <c r="CBF574" s="44"/>
      <c r="CBG574" s="44"/>
      <c r="CBH574" s="44"/>
      <c r="CBI574" s="44"/>
      <c r="CBJ574" s="44"/>
      <c r="CBK574" s="44"/>
      <c r="CBL574" s="44"/>
      <c r="CBM574" s="44"/>
      <c r="CBN574" s="44"/>
      <c r="CBO574" s="44"/>
      <c r="CBP574" s="44"/>
      <c r="CBQ574" s="44"/>
      <c r="CBR574" s="44"/>
      <c r="CBS574" s="44"/>
      <c r="CBT574" s="44"/>
      <c r="CBU574" s="44"/>
      <c r="CBV574" s="44"/>
      <c r="CBW574" s="44"/>
      <c r="CBX574" s="44"/>
      <c r="CBY574" s="44"/>
      <c r="CBZ574" s="44"/>
      <c r="CCA574" s="44"/>
      <c r="CCB574" s="44"/>
      <c r="CCC574" s="44"/>
      <c r="CCD574" s="44"/>
      <c r="CCE574" s="44"/>
      <c r="CCF574" s="44"/>
      <c r="CCG574" s="44"/>
      <c r="CCH574" s="44"/>
      <c r="CCI574" s="44"/>
      <c r="CCJ574" s="44"/>
      <c r="CCK574" s="44"/>
      <c r="CCL574" s="44"/>
      <c r="CCM574" s="44"/>
      <c r="CCN574" s="44"/>
      <c r="CCO574" s="44"/>
      <c r="CCP574" s="44"/>
      <c r="CCQ574" s="44"/>
      <c r="CCR574" s="44"/>
      <c r="CCS574" s="44"/>
      <c r="CCT574" s="44"/>
      <c r="CCU574" s="44"/>
      <c r="CCV574" s="44"/>
      <c r="CCW574" s="44"/>
      <c r="CCX574" s="44"/>
      <c r="CCY574" s="44"/>
      <c r="CCZ574" s="44"/>
      <c r="CDA574" s="44"/>
      <c r="CDB574" s="44"/>
      <c r="CDC574" s="44"/>
      <c r="CDD574" s="44"/>
      <c r="CDE574" s="44"/>
      <c r="CDF574" s="44"/>
      <c r="CDG574" s="44"/>
      <c r="CDH574" s="44"/>
      <c r="CDI574" s="44"/>
      <c r="CDJ574" s="44"/>
      <c r="CDK574" s="44"/>
      <c r="CDL574" s="44"/>
      <c r="CDM574" s="44"/>
      <c r="CDN574" s="44"/>
      <c r="CDO574" s="44"/>
      <c r="CDP574" s="44"/>
      <c r="CDQ574" s="44"/>
      <c r="CDR574" s="44"/>
      <c r="CDS574" s="44"/>
      <c r="CDT574" s="44"/>
      <c r="CDU574" s="44"/>
      <c r="CDV574" s="44"/>
      <c r="CDW574" s="44"/>
      <c r="CDX574" s="44"/>
      <c r="CDY574" s="44"/>
      <c r="CDZ574" s="44"/>
      <c r="CEA574" s="44"/>
      <c r="CEB574" s="44"/>
      <c r="CEC574" s="44"/>
      <c r="CED574" s="44"/>
      <c r="CEE574" s="44"/>
      <c r="CEF574" s="44"/>
      <c r="CEG574" s="44"/>
      <c r="CEH574" s="44"/>
      <c r="CEI574" s="44"/>
      <c r="CEJ574" s="44"/>
      <c r="CEK574" s="44"/>
      <c r="CEL574" s="44"/>
      <c r="CEM574" s="44"/>
      <c r="CEN574" s="44"/>
      <c r="CEO574" s="44"/>
      <c r="CEP574" s="44"/>
      <c r="CEQ574" s="44"/>
      <c r="CER574" s="44"/>
      <c r="CES574" s="44"/>
      <c r="CET574" s="44"/>
      <c r="CEU574" s="44"/>
      <c r="CEV574" s="44"/>
      <c r="CEW574" s="44"/>
      <c r="CEX574" s="44"/>
      <c r="CEY574" s="44"/>
      <c r="CEZ574" s="44"/>
      <c r="CFA574" s="44"/>
      <c r="CFB574" s="44"/>
      <c r="CFC574" s="44"/>
      <c r="CFD574" s="44"/>
      <c r="CFE574" s="44"/>
      <c r="CFF574" s="44"/>
      <c r="CFG574" s="44"/>
      <c r="CFH574" s="44"/>
      <c r="CFI574" s="44"/>
      <c r="CFJ574" s="44"/>
      <c r="CFK574" s="44"/>
      <c r="CFL574" s="44"/>
      <c r="CFM574" s="44"/>
      <c r="CFN574" s="44"/>
      <c r="CFO574" s="44"/>
      <c r="CFP574" s="44"/>
      <c r="CFQ574" s="44"/>
      <c r="CFR574" s="44"/>
      <c r="CFS574" s="44"/>
      <c r="CFT574" s="44"/>
      <c r="CFU574" s="44"/>
      <c r="CFV574" s="44"/>
      <c r="CFW574" s="44"/>
      <c r="CFX574" s="44"/>
      <c r="CFY574" s="44"/>
      <c r="CFZ574" s="44"/>
      <c r="CGA574" s="44"/>
      <c r="CGB574" s="44"/>
      <c r="CGC574" s="44"/>
      <c r="CGD574" s="44"/>
      <c r="CGE574" s="44"/>
      <c r="CGF574" s="44"/>
      <c r="CGG574" s="44"/>
      <c r="CGH574" s="44"/>
      <c r="CGI574" s="44"/>
      <c r="CGJ574" s="44"/>
      <c r="CGK574" s="44"/>
      <c r="CGL574" s="44"/>
      <c r="CGM574" s="44"/>
      <c r="CGN574" s="44"/>
      <c r="CGO574" s="44"/>
      <c r="CGP574" s="44"/>
      <c r="CGQ574" s="44"/>
      <c r="CGR574" s="44"/>
      <c r="CGS574" s="44"/>
      <c r="CGT574" s="44"/>
      <c r="CGU574" s="44"/>
      <c r="CGV574" s="44"/>
      <c r="CGW574" s="44"/>
      <c r="CGX574" s="44"/>
      <c r="CGY574" s="44"/>
      <c r="CGZ574" s="44"/>
      <c r="CHA574" s="44"/>
      <c r="CHB574" s="44"/>
      <c r="CHC574" s="44"/>
      <c r="CHD574" s="44"/>
      <c r="CHE574" s="44"/>
      <c r="CHF574" s="44"/>
      <c r="CHG574" s="44"/>
      <c r="CHH574" s="44"/>
      <c r="CHI574" s="44"/>
      <c r="CHJ574" s="44"/>
      <c r="CHK574" s="44"/>
      <c r="CHL574" s="44"/>
      <c r="CHM574" s="44"/>
      <c r="CHN574" s="44"/>
      <c r="CHO574" s="44"/>
      <c r="CHP574" s="44"/>
      <c r="CHQ574" s="44"/>
      <c r="CHR574" s="44"/>
      <c r="CHS574" s="44"/>
      <c r="CHT574" s="44"/>
      <c r="CHU574" s="44"/>
      <c r="CHV574" s="44"/>
      <c r="CHW574" s="44"/>
      <c r="CHX574" s="44"/>
      <c r="CHY574" s="44"/>
      <c r="CHZ574" s="44"/>
      <c r="CIA574" s="44"/>
      <c r="CIB574" s="44"/>
      <c r="CIC574" s="44"/>
      <c r="CID574" s="44"/>
      <c r="CIE574" s="44"/>
      <c r="CIF574" s="44"/>
      <c r="CIG574" s="44"/>
      <c r="CIH574" s="44"/>
      <c r="CII574" s="44"/>
      <c r="CIJ574" s="44"/>
      <c r="CIK574" s="44"/>
      <c r="CIL574" s="44"/>
      <c r="CIM574" s="44"/>
      <c r="CIN574" s="44"/>
      <c r="CIO574" s="44"/>
      <c r="CIP574" s="44"/>
      <c r="CIQ574" s="44"/>
      <c r="CIR574" s="44"/>
      <c r="CIS574" s="44"/>
      <c r="CIT574" s="44"/>
      <c r="CIU574" s="44"/>
      <c r="CIV574" s="44"/>
      <c r="CIW574" s="44"/>
      <c r="CIX574" s="44"/>
      <c r="CIY574" s="44"/>
      <c r="CIZ574" s="44"/>
      <c r="CJA574" s="44"/>
      <c r="CJB574" s="44"/>
      <c r="CJC574" s="44"/>
      <c r="CJD574" s="44"/>
      <c r="CJE574" s="44"/>
      <c r="CJF574" s="44"/>
      <c r="CJG574" s="44"/>
      <c r="CJH574" s="44"/>
      <c r="CJI574" s="44"/>
      <c r="CJJ574" s="44"/>
      <c r="CJK574" s="44"/>
      <c r="CJL574" s="44"/>
      <c r="CJM574" s="44"/>
      <c r="CJN574" s="44"/>
      <c r="CJO574" s="44"/>
      <c r="CJP574" s="44"/>
      <c r="CJQ574" s="44"/>
      <c r="CJR574" s="44"/>
      <c r="CJS574" s="44"/>
      <c r="CJT574" s="44"/>
      <c r="CJU574" s="44"/>
      <c r="CJV574" s="44"/>
      <c r="CJW574" s="44"/>
      <c r="CJX574" s="44"/>
      <c r="CJY574" s="44"/>
      <c r="CJZ574" s="44"/>
      <c r="CKA574" s="44"/>
      <c r="CKB574" s="44"/>
      <c r="CKC574" s="44"/>
      <c r="CKD574" s="44"/>
      <c r="CKE574" s="44"/>
      <c r="CKF574" s="44"/>
      <c r="CKG574" s="44"/>
      <c r="CKH574" s="44"/>
      <c r="CKI574" s="44"/>
      <c r="CKJ574" s="44"/>
      <c r="CKK574" s="44"/>
      <c r="CKL574" s="44"/>
      <c r="CKM574" s="44"/>
      <c r="CKN574" s="44"/>
      <c r="CKO574" s="44"/>
      <c r="CKP574" s="44"/>
      <c r="CKQ574" s="44"/>
      <c r="CKR574" s="44"/>
      <c r="CKS574" s="44"/>
      <c r="CKT574" s="44"/>
      <c r="CKU574" s="44"/>
      <c r="CKV574" s="44"/>
      <c r="CKW574" s="44"/>
      <c r="CKX574" s="44"/>
      <c r="CKY574" s="44"/>
      <c r="CKZ574" s="44"/>
      <c r="CLA574" s="44"/>
      <c r="CLB574" s="44"/>
      <c r="CLC574" s="44"/>
      <c r="CLD574" s="44"/>
      <c r="CLE574" s="44"/>
      <c r="CLF574" s="44"/>
      <c r="CLG574" s="44"/>
      <c r="CLH574" s="44"/>
      <c r="CLI574" s="44"/>
      <c r="CLJ574" s="44"/>
      <c r="CLK574" s="44"/>
      <c r="CLL574" s="44"/>
      <c r="CLM574" s="44"/>
      <c r="CLN574" s="44"/>
      <c r="CLO574" s="44"/>
      <c r="CLP574" s="44"/>
      <c r="CLQ574" s="44"/>
      <c r="CLR574" s="44"/>
      <c r="CLS574" s="44"/>
      <c r="CLT574" s="44"/>
      <c r="CLU574" s="44"/>
      <c r="CLV574" s="44"/>
      <c r="CLW574" s="44"/>
      <c r="CLX574" s="44"/>
      <c r="CLY574" s="44"/>
      <c r="CLZ574" s="44"/>
      <c r="CMA574" s="44"/>
      <c r="CMB574" s="44"/>
      <c r="CMC574" s="44"/>
      <c r="CMD574" s="44"/>
      <c r="CME574" s="44"/>
      <c r="CMF574" s="44"/>
      <c r="CMG574" s="44"/>
      <c r="CMH574" s="44"/>
      <c r="CMI574" s="44"/>
      <c r="CMJ574" s="44"/>
      <c r="CMK574" s="44"/>
      <c r="CML574" s="44"/>
      <c r="CMM574" s="44"/>
      <c r="CMN574" s="44"/>
      <c r="CMO574" s="44"/>
      <c r="CMP574" s="44"/>
      <c r="CMQ574" s="44"/>
      <c r="CMR574" s="44"/>
      <c r="CMS574" s="44"/>
      <c r="CMT574" s="44"/>
      <c r="CMU574" s="44"/>
      <c r="CMV574" s="44"/>
      <c r="CMW574" s="44"/>
      <c r="CMX574" s="44"/>
      <c r="CMY574" s="44"/>
      <c r="CMZ574" s="44"/>
      <c r="CNA574" s="44"/>
      <c r="CNB574" s="44"/>
      <c r="CNC574" s="44"/>
      <c r="CND574" s="44"/>
      <c r="CNE574" s="44"/>
      <c r="CNF574" s="44"/>
      <c r="CNG574" s="44"/>
      <c r="CNH574" s="44"/>
      <c r="CNI574" s="44"/>
      <c r="CNJ574" s="44"/>
      <c r="CNK574" s="44"/>
      <c r="CNL574" s="44"/>
      <c r="CNM574" s="44"/>
      <c r="CNN574" s="44"/>
      <c r="CNO574" s="44"/>
      <c r="CNP574" s="44"/>
      <c r="CNQ574" s="44"/>
      <c r="CNR574" s="44"/>
      <c r="CNS574" s="44"/>
      <c r="CNT574" s="44"/>
      <c r="CNU574" s="44"/>
      <c r="CNV574" s="44"/>
      <c r="CNW574" s="44"/>
      <c r="CNX574" s="44"/>
      <c r="CNY574" s="44"/>
      <c r="CNZ574" s="44"/>
      <c r="COA574" s="44"/>
      <c r="COB574" s="44"/>
      <c r="COC574" s="44"/>
      <c r="COD574" s="44"/>
      <c r="COE574" s="44"/>
      <c r="COF574" s="44"/>
      <c r="COG574" s="44"/>
      <c r="COH574" s="44"/>
      <c r="COI574" s="44"/>
      <c r="COJ574" s="44"/>
      <c r="COK574" s="44"/>
      <c r="COL574" s="44"/>
      <c r="COM574" s="44"/>
      <c r="CON574" s="44"/>
      <c r="COO574" s="44"/>
      <c r="COP574" s="44"/>
      <c r="COQ574" s="44"/>
      <c r="COR574" s="44"/>
      <c r="COS574" s="44"/>
      <c r="COT574" s="44"/>
      <c r="COU574" s="44"/>
      <c r="COV574" s="44"/>
      <c r="COW574" s="44"/>
      <c r="COX574" s="44"/>
      <c r="COY574" s="44"/>
      <c r="COZ574" s="44"/>
      <c r="CPA574" s="44"/>
      <c r="CPB574" s="44"/>
      <c r="CPC574" s="44"/>
      <c r="CPD574" s="44"/>
      <c r="CPE574" s="44"/>
      <c r="CPF574" s="44"/>
      <c r="CPG574" s="44"/>
      <c r="CPH574" s="44"/>
      <c r="CPI574" s="44"/>
      <c r="CPJ574" s="44"/>
      <c r="CPK574" s="44"/>
      <c r="CPL574" s="44"/>
      <c r="CPM574" s="44"/>
      <c r="CPN574" s="44"/>
      <c r="CPO574" s="44"/>
      <c r="CPP574" s="44"/>
      <c r="CPQ574" s="44"/>
      <c r="CPR574" s="44"/>
      <c r="CPS574" s="44"/>
      <c r="CPT574" s="44"/>
      <c r="CPU574" s="44"/>
      <c r="CPV574" s="44"/>
      <c r="CPW574" s="44"/>
      <c r="CPX574" s="44"/>
      <c r="CPY574" s="44"/>
      <c r="CPZ574" s="44"/>
      <c r="CQA574" s="44"/>
      <c r="CQB574" s="44"/>
      <c r="CQC574" s="44"/>
      <c r="CQD574" s="44"/>
      <c r="CQE574" s="44"/>
      <c r="CQF574" s="44"/>
      <c r="CQG574" s="44"/>
      <c r="CQH574" s="44"/>
      <c r="CQI574" s="44"/>
      <c r="CQJ574" s="44"/>
      <c r="CQK574" s="44"/>
      <c r="CQL574" s="44"/>
      <c r="CQM574" s="44"/>
      <c r="CQN574" s="44"/>
      <c r="CQO574" s="44"/>
      <c r="CQP574" s="44"/>
      <c r="CQQ574" s="44"/>
      <c r="CQR574" s="44"/>
      <c r="CQS574" s="44"/>
      <c r="CQT574" s="44"/>
      <c r="CQU574" s="44"/>
      <c r="CQV574" s="44"/>
      <c r="CQW574" s="44"/>
      <c r="CQX574" s="44"/>
      <c r="CQY574" s="44"/>
      <c r="CQZ574" s="44"/>
      <c r="CRA574" s="44"/>
      <c r="CRB574" s="44"/>
      <c r="CRC574" s="44"/>
      <c r="CRD574" s="44"/>
      <c r="CRE574" s="44"/>
      <c r="CRF574" s="44"/>
      <c r="CRG574" s="44"/>
      <c r="CRH574" s="44"/>
      <c r="CRI574" s="44"/>
      <c r="CRJ574" s="44"/>
      <c r="CRK574" s="44"/>
      <c r="CRL574" s="44"/>
      <c r="CRM574" s="44"/>
      <c r="CRN574" s="44"/>
      <c r="CRO574" s="44"/>
      <c r="CRP574" s="44"/>
      <c r="CRQ574" s="44"/>
      <c r="CRR574" s="44"/>
      <c r="CRS574" s="44"/>
      <c r="CRT574" s="44"/>
      <c r="CRU574" s="44"/>
      <c r="CRV574" s="44"/>
      <c r="CRW574" s="44"/>
      <c r="CRX574" s="44"/>
      <c r="CRY574" s="44"/>
      <c r="CRZ574" s="44"/>
      <c r="CSA574" s="44"/>
      <c r="CSB574" s="44"/>
      <c r="CSC574" s="44"/>
      <c r="CSD574" s="44"/>
      <c r="CSE574" s="44"/>
      <c r="CSF574" s="44"/>
      <c r="CSG574" s="44"/>
      <c r="CSH574" s="44"/>
      <c r="CSI574" s="44"/>
      <c r="CSJ574" s="44"/>
      <c r="CSK574" s="44"/>
      <c r="CSL574" s="44"/>
      <c r="CSM574" s="44"/>
      <c r="CSN574" s="44"/>
      <c r="CSO574" s="44"/>
      <c r="CSP574" s="44"/>
      <c r="CSQ574" s="44"/>
      <c r="CSR574" s="44"/>
      <c r="CSS574" s="44"/>
      <c r="CST574" s="44"/>
      <c r="CSU574" s="44"/>
      <c r="CSV574" s="44"/>
      <c r="CSW574" s="44"/>
      <c r="CSX574" s="44"/>
      <c r="CSY574" s="44"/>
      <c r="CSZ574" s="44"/>
      <c r="CTA574" s="44"/>
      <c r="CTB574" s="44"/>
      <c r="CTC574" s="44"/>
      <c r="CTD574" s="44"/>
      <c r="CTE574" s="44"/>
      <c r="CTF574" s="44"/>
      <c r="CTG574" s="44"/>
      <c r="CTH574" s="44"/>
      <c r="CTI574" s="44"/>
      <c r="CTJ574" s="44"/>
      <c r="CTK574" s="44"/>
      <c r="CTL574" s="44"/>
      <c r="CTM574" s="44"/>
      <c r="CTN574" s="44"/>
      <c r="CTO574" s="44"/>
      <c r="CTP574" s="44"/>
      <c r="CTQ574" s="44"/>
      <c r="CTR574" s="44"/>
      <c r="CTS574" s="44"/>
      <c r="CTT574" s="44"/>
      <c r="CTU574" s="44"/>
      <c r="CTV574" s="44"/>
      <c r="CTW574" s="44"/>
      <c r="CTX574" s="44"/>
      <c r="CTY574" s="44"/>
      <c r="CTZ574" s="44"/>
      <c r="CUA574" s="44"/>
      <c r="CUB574" s="44"/>
      <c r="CUC574" s="44"/>
      <c r="CUD574" s="44"/>
      <c r="CUE574" s="44"/>
      <c r="CUF574" s="44"/>
      <c r="CUG574" s="44"/>
      <c r="CUH574" s="44"/>
      <c r="CUI574" s="44"/>
      <c r="CUJ574" s="44"/>
      <c r="CUK574" s="44"/>
      <c r="CUL574" s="44"/>
      <c r="CUM574" s="44"/>
      <c r="CUN574" s="44"/>
      <c r="CUO574" s="44"/>
      <c r="CUP574" s="44"/>
      <c r="CUQ574" s="44"/>
      <c r="CUR574" s="44"/>
      <c r="CUS574" s="44"/>
      <c r="CUT574" s="44"/>
      <c r="CUU574" s="44"/>
      <c r="CUV574" s="44"/>
      <c r="CUW574" s="44"/>
      <c r="CUX574" s="44"/>
      <c r="CUY574" s="44"/>
      <c r="CUZ574" s="44"/>
      <c r="CVA574" s="44"/>
      <c r="CVB574" s="44"/>
      <c r="CVC574" s="44"/>
      <c r="CVD574" s="44"/>
      <c r="CVE574" s="44"/>
      <c r="CVF574" s="44"/>
      <c r="CVG574" s="44"/>
      <c r="CVH574" s="44"/>
      <c r="CVI574" s="44"/>
      <c r="CVJ574" s="44"/>
      <c r="CVK574" s="44"/>
      <c r="CVL574" s="44"/>
      <c r="CVM574" s="44"/>
      <c r="CVN574" s="44"/>
      <c r="CVO574" s="44"/>
      <c r="CVP574" s="44"/>
      <c r="CVQ574" s="44"/>
      <c r="CVR574" s="44"/>
      <c r="CVS574" s="44"/>
      <c r="CVT574" s="44"/>
      <c r="CVU574" s="44"/>
      <c r="CVV574" s="44"/>
      <c r="CVW574" s="44"/>
      <c r="CVX574" s="44"/>
      <c r="CVY574" s="44"/>
      <c r="CVZ574" s="44"/>
      <c r="CWA574" s="44"/>
      <c r="CWB574" s="44"/>
      <c r="CWC574" s="44"/>
      <c r="CWD574" s="44"/>
      <c r="CWE574" s="44"/>
      <c r="CWF574" s="44"/>
      <c r="CWG574" s="44"/>
      <c r="CWH574" s="44"/>
      <c r="CWI574" s="44"/>
      <c r="CWJ574" s="44"/>
      <c r="CWK574" s="44"/>
      <c r="CWL574" s="44"/>
      <c r="CWM574" s="44"/>
      <c r="CWN574" s="44"/>
      <c r="CWO574" s="44"/>
      <c r="CWP574" s="44"/>
      <c r="CWQ574" s="44"/>
      <c r="CWR574" s="44"/>
      <c r="CWS574" s="44"/>
      <c r="CWT574" s="44"/>
      <c r="CWU574" s="44"/>
      <c r="CWV574" s="44"/>
      <c r="CWW574" s="44"/>
      <c r="CWX574" s="44"/>
      <c r="CWY574" s="44"/>
      <c r="CWZ574" s="44"/>
      <c r="CXA574" s="44"/>
      <c r="CXB574" s="44"/>
      <c r="CXC574" s="44"/>
      <c r="CXD574" s="44"/>
      <c r="CXE574" s="44"/>
      <c r="CXF574" s="44"/>
      <c r="CXG574" s="44"/>
      <c r="CXH574" s="44"/>
      <c r="CXI574" s="44"/>
      <c r="CXJ574" s="44"/>
      <c r="CXK574" s="44"/>
      <c r="CXL574" s="44"/>
      <c r="CXM574" s="44"/>
      <c r="CXN574" s="44"/>
      <c r="CXO574" s="44"/>
      <c r="CXP574" s="44"/>
      <c r="CXQ574" s="44"/>
      <c r="CXR574" s="44"/>
      <c r="CXS574" s="44"/>
      <c r="CXT574" s="44"/>
      <c r="CXU574" s="44"/>
      <c r="CXV574" s="44"/>
      <c r="CXW574" s="44"/>
      <c r="CXX574" s="44"/>
      <c r="CXY574" s="44"/>
      <c r="CXZ574" s="44"/>
      <c r="CYA574" s="44"/>
      <c r="CYB574" s="44"/>
      <c r="CYC574" s="44"/>
      <c r="CYD574" s="44"/>
      <c r="CYE574" s="44"/>
      <c r="CYF574" s="44"/>
      <c r="CYG574" s="44"/>
      <c r="CYH574" s="44"/>
      <c r="CYI574" s="44"/>
      <c r="CYJ574" s="44"/>
      <c r="CYK574" s="44"/>
      <c r="CYL574" s="44"/>
      <c r="CYM574" s="44"/>
      <c r="CYN574" s="44"/>
      <c r="CYO574" s="44"/>
      <c r="CYP574" s="44"/>
      <c r="CYQ574" s="44"/>
      <c r="CYR574" s="44"/>
      <c r="CYS574" s="44"/>
      <c r="CYT574" s="44"/>
      <c r="CYU574" s="44"/>
      <c r="CYV574" s="44"/>
      <c r="CYW574" s="44"/>
      <c r="CYX574" s="44"/>
      <c r="CYY574" s="44"/>
      <c r="CYZ574" s="44"/>
      <c r="CZA574" s="44"/>
      <c r="CZB574" s="44"/>
      <c r="CZC574" s="44"/>
      <c r="CZD574" s="44"/>
      <c r="CZE574" s="44"/>
      <c r="CZF574" s="44"/>
      <c r="CZG574" s="44"/>
      <c r="CZH574" s="44"/>
      <c r="CZI574" s="44"/>
      <c r="CZJ574" s="44"/>
      <c r="CZK574" s="44"/>
      <c r="CZL574" s="44"/>
      <c r="CZM574" s="44"/>
      <c r="CZN574" s="44"/>
      <c r="CZO574" s="44"/>
      <c r="CZP574" s="44"/>
      <c r="CZQ574" s="44"/>
      <c r="CZR574" s="44"/>
      <c r="CZS574" s="44"/>
      <c r="CZT574" s="44"/>
      <c r="CZU574" s="44"/>
      <c r="CZV574" s="44"/>
      <c r="CZW574" s="44"/>
      <c r="CZX574" s="44"/>
      <c r="CZY574" s="44"/>
      <c r="CZZ574" s="44"/>
      <c r="DAA574" s="44"/>
      <c r="DAB574" s="44"/>
      <c r="DAC574" s="44"/>
      <c r="DAD574" s="44"/>
      <c r="DAE574" s="44"/>
      <c r="DAF574" s="44"/>
      <c r="DAG574" s="44"/>
      <c r="DAH574" s="44"/>
      <c r="DAI574" s="44"/>
      <c r="DAJ574" s="44"/>
      <c r="DAK574" s="44"/>
      <c r="DAL574" s="44"/>
      <c r="DAM574" s="44"/>
      <c r="DAN574" s="44"/>
      <c r="DAO574" s="44"/>
      <c r="DAP574" s="44"/>
      <c r="DAQ574" s="44"/>
      <c r="DAR574" s="44"/>
      <c r="DAS574" s="44"/>
      <c r="DAT574" s="44"/>
      <c r="DAU574" s="44"/>
      <c r="DAV574" s="44"/>
      <c r="DAW574" s="44"/>
      <c r="DAX574" s="44"/>
      <c r="DAY574" s="44"/>
      <c r="DAZ574" s="44"/>
      <c r="DBA574" s="44"/>
      <c r="DBB574" s="44"/>
      <c r="DBC574" s="44"/>
      <c r="DBD574" s="44"/>
      <c r="DBE574" s="44"/>
      <c r="DBF574" s="44"/>
      <c r="DBG574" s="44"/>
      <c r="DBH574" s="44"/>
      <c r="DBI574" s="44"/>
      <c r="DBJ574" s="44"/>
      <c r="DBK574" s="44"/>
      <c r="DBL574" s="44"/>
      <c r="DBM574" s="44"/>
      <c r="DBN574" s="44"/>
      <c r="DBO574" s="44"/>
      <c r="DBP574" s="44"/>
      <c r="DBQ574" s="44"/>
      <c r="DBR574" s="44"/>
      <c r="DBS574" s="44"/>
      <c r="DBT574" s="44"/>
      <c r="DBU574" s="44"/>
      <c r="DBV574" s="44"/>
      <c r="DBW574" s="44"/>
      <c r="DBX574" s="44"/>
      <c r="DBY574" s="44"/>
      <c r="DBZ574" s="44"/>
      <c r="DCA574" s="44"/>
      <c r="DCB574" s="44"/>
      <c r="DCC574" s="44"/>
      <c r="DCD574" s="44"/>
      <c r="DCE574" s="44"/>
      <c r="DCF574" s="44"/>
      <c r="DCG574" s="44"/>
      <c r="DCH574" s="44"/>
      <c r="DCI574" s="44"/>
      <c r="DCJ574" s="44"/>
      <c r="DCK574" s="44"/>
      <c r="DCL574" s="44"/>
      <c r="DCM574" s="44"/>
      <c r="DCN574" s="44"/>
      <c r="DCO574" s="44"/>
      <c r="DCP574" s="44"/>
      <c r="DCQ574" s="44"/>
      <c r="DCR574" s="44"/>
      <c r="DCS574" s="44"/>
      <c r="DCT574" s="44"/>
      <c r="DCU574" s="44"/>
      <c r="DCV574" s="44"/>
      <c r="DCW574" s="44"/>
      <c r="DCX574" s="44"/>
      <c r="DCY574" s="44"/>
      <c r="DCZ574" s="44"/>
      <c r="DDA574" s="44"/>
      <c r="DDB574" s="44"/>
      <c r="DDC574" s="44"/>
      <c r="DDD574" s="44"/>
      <c r="DDE574" s="44"/>
      <c r="DDF574" s="44"/>
      <c r="DDG574" s="44"/>
      <c r="DDH574" s="44"/>
      <c r="DDI574" s="44"/>
      <c r="DDJ574" s="44"/>
      <c r="DDK574" s="44"/>
      <c r="DDL574" s="44"/>
      <c r="DDM574" s="44"/>
      <c r="DDN574" s="44"/>
      <c r="DDO574" s="44"/>
      <c r="DDP574" s="44"/>
      <c r="DDQ574" s="44"/>
      <c r="DDR574" s="44"/>
      <c r="DDS574" s="44"/>
      <c r="DDT574" s="44"/>
      <c r="DDU574" s="44"/>
      <c r="DDV574" s="44"/>
      <c r="DDW574" s="44"/>
      <c r="DDX574" s="44"/>
      <c r="DDY574" s="44"/>
      <c r="DDZ574" s="44"/>
      <c r="DEA574" s="44"/>
      <c r="DEB574" s="44"/>
      <c r="DEC574" s="44"/>
      <c r="DED574" s="44"/>
      <c r="DEE574" s="44"/>
      <c r="DEF574" s="44"/>
      <c r="DEG574" s="44"/>
      <c r="DEH574" s="44"/>
      <c r="DEI574" s="44"/>
      <c r="DEJ574" s="44"/>
      <c r="DEK574" s="44"/>
      <c r="DEL574" s="44"/>
      <c r="DEM574" s="44"/>
      <c r="DEN574" s="44"/>
      <c r="DEO574" s="44"/>
      <c r="DEP574" s="44"/>
      <c r="DEQ574" s="44"/>
      <c r="DER574" s="44"/>
      <c r="DES574" s="44"/>
      <c r="DET574" s="44"/>
      <c r="DEU574" s="44"/>
      <c r="DEV574" s="44"/>
      <c r="DEW574" s="44"/>
      <c r="DEX574" s="44"/>
      <c r="DEY574" s="44"/>
      <c r="DEZ574" s="44"/>
      <c r="DFA574" s="44"/>
      <c r="DFB574" s="44"/>
      <c r="DFC574" s="44"/>
      <c r="DFD574" s="44"/>
      <c r="DFE574" s="44"/>
      <c r="DFF574" s="44"/>
      <c r="DFG574" s="44"/>
      <c r="DFH574" s="44"/>
      <c r="DFI574" s="44"/>
      <c r="DFJ574" s="44"/>
      <c r="DFK574" s="44"/>
      <c r="DFL574" s="44"/>
      <c r="DFM574" s="44"/>
      <c r="DFN574" s="44"/>
      <c r="DFO574" s="44"/>
      <c r="DFP574" s="44"/>
      <c r="DFQ574" s="44"/>
      <c r="DFR574" s="44"/>
      <c r="DFS574" s="44"/>
      <c r="DFT574" s="44"/>
      <c r="DFU574" s="44"/>
      <c r="DFV574" s="44"/>
      <c r="DFW574" s="44"/>
      <c r="DFX574" s="44"/>
      <c r="DFY574" s="44"/>
      <c r="DFZ574" s="44"/>
      <c r="DGA574" s="44"/>
      <c r="DGB574" s="44"/>
      <c r="DGC574" s="44"/>
      <c r="DGD574" s="44"/>
      <c r="DGE574" s="44"/>
      <c r="DGF574" s="44"/>
      <c r="DGG574" s="44"/>
      <c r="DGH574" s="44"/>
      <c r="DGI574" s="44"/>
      <c r="DGJ574" s="44"/>
      <c r="DGK574" s="44"/>
      <c r="DGL574" s="44"/>
      <c r="DGM574" s="44"/>
      <c r="DGN574" s="44"/>
      <c r="DGO574" s="44"/>
      <c r="DGP574" s="44"/>
      <c r="DGQ574" s="44"/>
      <c r="DGR574" s="44"/>
      <c r="DGS574" s="44"/>
      <c r="DGT574" s="44"/>
      <c r="DGU574" s="44"/>
      <c r="DGV574" s="44"/>
      <c r="DGW574" s="44"/>
      <c r="DGX574" s="44"/>
      <c r="DGY574" s="44"/>
      <c r="DGZ574" s="44"/>
      <c r="DHA574" s="44"/>
      <c r="DHB574" s="44"/>
      <c r="DHC574" s="44"/>
      <c r="DHD574" s="44"/>
      <c r="DHE574" s="44"/>
      <c r="DHF574" s="44"/>
      <c r="DHG574" s="44"/>
      <c r="DHH574" s="44"/>
      <c r="DHI574" s="44"/>
      <c r="DHJ574" s="44"/>
      <c r="DHK574" s="44"/>
      <c r="DHL574" s="44"/>
      <c r="DHM574" s="44"/>
      <c r="DHN574" s="44"/>
      <c r="DHO574" s="44"/>
      <c r="DHP574" s="44"/>
      <c r="DHQ574" s="44"/>
      <c r="DHR574" s="44"/>
      <c r="DHS574" s="44"/>
      <c r="DHT574" s="44"/>
      <c r="DHU574" s="44"/>
      <c r="DHV574" s="44"/>
      <c r="DHW574" s="44"/>
      <c r="DHX574" s="44"/>
      <c r="DHY574" s="44"/>
      <c r="DHZ574" s="44"/>
      <c r="DIA574" s="44"/>
      <c r="DIB574" s="44"/>
      <c r="DIC574" s="44"/>
      <c r="DID574" s="44"/>
      <c r="DIE574" s="44"/>
      <c r="DIF574" s="44"/>
      <c r="DIG574" s="44"/>
      <c r="DIH574" s="44"/>
      <c r="DII574" s="44"/>
      <c r="DIJ574" s="44"/>
      <c r="DIK574" s="44"/>
      <c r="DIL574" s="44"/>
      <c r="DIM574" s="44"/>
      <c r="DIN574" s="44"/>
      <c r="DIO574" s="44"/>
      <c r="DIP574" s="44"/>
      <c r="DIQ574" s="44"/>
      <c r="DIR574" s="44"/>
      <c r="DIS574" s="44"/>
      <c r="DIT574" s="44"/>
      <c r="DIU574" s="44"/>
      <c r="DIV574" s="44"/>
      <c r="DIW574" s="44"/>
      <c r="DIX574" s="44"/>
      <c r="DIY574" s="44"/>
      <c r="DIZ574" s="44"/>
      <c r="DJA574" s="44"/>
      <c r="DJB574" s="44"/>
      <c r="DJC574" s="44"/>
      <c r="DJD574" s="44"/>
      <c r="DJE574" s="44"/>
      <c r="DJF574" s="44"/>
      <c r="DJG574" s="44"/>
      <c r="DJH574" s="44"/>
      <c r="DJI574" s="44"/>
      <c r="DJJ574" s="44"/>
      <c r="DJK574" s="44"/>
      <c r="DJL574" s="44"/>
      <c r="DJM574" s="44"/>
      <c r="DJN574" s="44"/>
      <c r="DJO574" s="44"/>
      <c r="DJP574" s="44"/>
      <c r="DJQ574" s="44"/>
      <c r="DJR574" s="44"/>
      <c r="DJS574" s="44"/>
      <c r="DJT574" s="44"/>
      <c r="DJU574" s="44"/>
      <c r="DJV574" s="44"/>
      <c r="DJW574" s="44"/>
      <c r="DJX574" s="44"/>
      <c r="DJY574" s="44"/>
      <c r="DJZ574" s="44"/>
      <c r="DKA574" s="44"/>
      <c r="DKB574" s="44"/>
      <c r="DKC574" s="44"/>
      <c r="DKD574" s="44"/>
      <c r="DKE574" s="44"/>
      <c r="DKF574" s="44"/>
      <c r="DKG574" s="44"/>
      <c r="DKH574" s="44"/>
      <c r="DKI574" s="44"/>
      <c r="DKJ574" s="44"/>
      <c r="DKK574" s="44"/>
      <c r="DKL574" s="44"/>
      <c r="DKM574" s="44"/>
      <c r="DKN574" s="44"/>
      <c r="DKO574" s="44"/>
      <c r="DKP574" s="44"/>
      <c r="DKQ574" s="44"/>
      <c r="DKR574" s="44"/>
      <c r="DKS574" s="44"/>
      <c r="DKT574" s="44"/>
      <c r="DKU574" s="44"/>
      <c r="DKV574" s="44"/>
      <c r="DKW574" s="44"/>
      <c r="DKX574" s="44"/>
      <c r="DKY574" s="44"/>
      <c r="DKZ574" s="44"/>
      <c r="DLA574" s="44"/>
      <c r="DLB574" s="44"/>
      <c r="DLC574" s="44"/>
      <c r="DLD574" s="44"/>
      <c r="DLE574" s="44"/>
      <c r="DLF574" s="44"/>
      <c r="DLG574" s="44"/>
      <c r="DLH574" s="44"/>
      <c r="DLI574" s="44"/>
      <c r="DLJ574" s="44"/>
      <c r="DLK574" s="44"/>
      <c r="DLL574" s="44"/>
      <c r="DLM574" s="44"/>
      <c r="DLN574" s="44"/>
      <c r="DLO574" s="44"/>
      <c r="DLP574" s="44"/>
      <c r="DLQ574" s="44"/>
      <c r="DLR574" s="44"/>
      <c r="DLS574" s="44"/>
      <c r="DLT574" s="44"/>
      <c r="DLU574" s="44"/>
      <c r="DLV574" s="44"/>
      <c r="DLW574" s="44"/>
      <c r="DLX574" s="44"/>
      <c r="DLY574" s="44"/>
      <c r="DLZ574" s="44"/>
      <c r="DMA574" s="44"/>
      <c r="DMB574" s="44"/>
      <c r="DMC574" s="44"/>
      <c r="DMD574" s="44"/>
      <c r="DME574" s="44"/>
      <c r="DMF574" s="44"/>
      <c r="DMG574" s="44"/>
      <c r="DMH574" s="44"/>
      <c r="DMI574" s="44"/>
      <c r="DMJ574" s="44"/>
      <c r="DMK574" s="44"/>
      <c r="DML574" s="44"/>
      <c r="DMM574" s="44"/>
      <c r="DMN574" s="44"/>
      <c r="DMO574" s="44"/>
      <c r="DMP574" s="44"/>
      <c r="DMQ574" s="44"/>
      <c r="DMR574" s="44"/>
      <c r="DMS574" s="44"/>
      <c r="DMT574" s="44"/>
      <c r="DMU574" s="44"/>
      <c r="DMV574" s="44"/>
      <c r="DMW574" s="44"/>
      <c r="DMX574" s="44"/>
      <c r="DMY574" s="44"/>
      <c r="DMZ574" s="44"/>
      <c r="DNA574" s="44"/>
      <c r="DNB574" s="44"/>
      <c r="DNC574" s="44"/>
      <c r="DND574" s="44"/>
      <c r="DNE574" s="44"/>
      <c r="DNF574" s="44"/>
      <c r="DNG574" s="44"/>
      <c r="DNH574" s="44"/>
      <c r="DNI574" s="44"/>
      <c r="DNJ574" s="44"/>
      <c r="DNK574" s="44"/>
      <c r="DNL574" s="44"/>
      <c r="DNM574" s="44"/>
      <c r="DNN574" s="44"/>
      <c r="DNO574" s="44"/>
      <c r="DNP574" s="44"/>
      <c r="DNQ574" s="44"/>
      <c r="DNR574" s="44"/>
      <c r="DNS574" s="44"/>
      <c r="DNT574" s="44"/>
      <c r="DNU574" s="44"/>
      <c r="DNV574" s="44"/>
      <c r="DNW574" s="44"/>
      <c r="DNX574" s="44"/>
      <c r="DNY574" s="44"/>
      <c r="DNZ574" s="44"/>
      <c r="DOA574" s="44"/>
      <c r="DOB574" s="44"/>
      <c r="DOC574" s="44"/>
      <c r="DOD574" s="44"/>
      <c r="DOE574" s="44"/>
      <c r="DOF574" s="44"/>
      <c r="DOG574" s="44"/>
      <c r="DOH574" s="44"/>
      <c r="DOI574" s="44"/>
      <c r="DOJ574" s="44"/>
      <c r="DOK574" s="44"/>
      <c r="DOL574" s="44"/>
      <c r="DOM574" s="44"/>
      <c r="DON574" s="44"/>
      <c r="DOO574" s="44"/>
      <c r="DOP574" s="44"/>
      <c r="DOQ574" s="44"/>
      <c r="DOR574" s="44"/>
      <c r="DOS574" s="44"/>
      <c r="DOT574" s="44"/>
      <c r="DOU574" s="44"/>
      <c r="DOV574" s="44"/>
      <c r="DOW574" s="44"/>
      <c r="DOX574" s="44"/>
      <c r="DOY574" s="44"/>
      <c r="DOZ574" s="44"/>
      <c r="DPA574" s="44"/>
      <c r="DPB574" s="44"/>
      <c r="DPC574" s="44"/>
      <c r="DPD574" s="44"/>
      <c r="DPE574" s="44"/>
      <c r="DPF574" s="44"/>
      <c r="DPG574" s="44"/>
      <c r="DPH574" s="44"/>
      <c r="DPI574" s="44"/>
      <c r="DPJ574" s="44"/>
      <c r="DPK574" s="44"/>
      <c r="DPL574" s="44"/>
      <c r="DPM574" s="44"/>
      <c r="DPN574" s="44"/>
      <c r="DPO574" s="44"/>
      <c r="DPP574" s="44"/>
      <c r="DPQ574" s="44"/>
      <c r="DPR574" s="44"/>
      <c r="DPS574" s="44"/>
      <c r="DPT574" s="44"/>
      <c r="DPU574" s="44"/>
      <c r="DPV574" s="44"/>
      <c r="DPW574" s="44"/>
      <c r="DPX574" s="44"/>
      <c r="DPY574" s="44"/>
      <c r="DPZ574" s="44"/>
      <c r="DQA574" s="44"/>
      <c r="DQB574" s="44"/>
      <c r="DQC574" s="44"/>
      <c r="DQD574" s="44"/>
      <c r="DQE574" s="44"/>
      <c r="DQF574" s="44"/>
      <c r="DQG574" s="44"/>
      <c r="DQH574" s="44"/>
      <c r="DQI574" s="44"/>
      <c r="DQJ574" s="44"/>
      <c r="DQK574" s="44"/>
      <c r="DQL574" s="44"/>
      <c r="DQM574" s="44"/>
      <c r="DQN574" s="44"/>
      <c r="DQO574" s="44"/>
      <c r="DQP574" s="44"/>
      <c r="DQQ574" s="44"/>
      <c r="DQR574" s="44"/>
      <c r="DQS574" s="44"/>
      <c r="DQT574" s="44"/>
      <c r="DQU574" s="44"/>
      <c r="DQV574" s="44"/>
      <c r="DQW574" s="44"/>
      <c r="DQX574" s="44"/>
      <c r="DQY574" s="44"/>
      <c r="DQZ574" s="44"/>
      <c r="DRA574" s="44"/>
      <c r="DRB574" s="44"/>
      <c r="DRC574" s="44"/>
      <c r="DRD574" s="44"/>
      <c r="DRE574" s="44"/>
      <c r="DRF574" s="44"/>
      <c r="DRG574" s="44"/>
      <c r="DRH574" s="44"/>
      <c r="DRI574" s="44"/>
      <c r="DRJ574" s="44"/>
      <c r="DRK574" s="44"/>
      <c r="DRL574" s="44"/>
      <c r="DRM574" s="44"/>
      <c r="DRN574" s="44"/>
      <c r="DRO574" s="44"/>
      <c r="DRP574" s="44"/>
      <c r="DRQ574" s="44"/>
      <c r="DRR574" s="44"/>
      <c r="DRS574" s="44"/>
      <c r="DRT574" s="44"/>
      <c r="DRU574" s="44"/>
      <c r="DRV574" s="44"/>
      <c r="DRW574" s="44"/>
      <c r="DRX574" s="44"/>
      <c r="DRY574" s="44"/>
      <c r="DRZ574" s="44"/>
      <c r="DSA574" s="44"/>
      <c r="DSB574" s="44"/>
      <c r="DSC574" s="44"/>
      <c r="DSD574" s="44"/>
      <c r="DSE574" s="44"/>
      <c r="DSF574" s="44"/>
      <c r="DSG574" s="44"/>
      <c r="DSH574" s="44"/>
      <c r="DSI574" s="44"/>
      <c r="DSJ574" s="44"/>
      <c r="DSK574" s="44"/>
      <c r="DSL574" s="44"/>
      <c r="DSM574" s="44"/>
      <c r="DSN574" s="44"/>
      <c r="DSO574" s="44"/>
      <c r="DSP574" s="44"/>
      <c r="DSQ574" s="44"/>
      <c r="DSR574" s="44"/>
      <c r="DSS574" s="44"/>
      <c r="DST574" s="44"/>
      <c r="DSU574" s="44"/>
      <c r="DSV574" s="44"/>
      <c r="DSW574" s="44"/>
      <c r="DSX574" s="44"/>
      <c r="DSY574" s="44"/>
      <c r="DSZ574" s="44"/>
      <c r="DTA574" s="44"/>
      <c r="DTB574" s="44"/>
      <c r="DTC574" s="44"/>
      <c r="DTD574" s="44"/>
      <c r="DTE574" s="44"/>
      <c r="DTF574" s="44"/>
      <c r="DTG574" s="44"/>
      <c r="DTH574" s="44"/>
      <c r="DTI574" s="44"/>
      <c r="DTJ574" s="44"/>
      <c r="DTK574" s="44"/>
      <c r="DTL574" s="44"/>
      <c r="DTM574" s="44"/>
      <c r="DTN574" s="44"/>
      <c r="DTO574" s="44"/>
      <c r="DTP574" s="44"/>
      <c r="DTQ574" s="44"/>
      <c r="DTR574" s="44"/>
      <c r="DTS574" s="44"/>
      <c r="DTT574" s="44"/>
      <c r="DTU574" s="44"/>
      <c r="DTV574" s="44"/>
      <c r="DTW574" s="44"/>
      <c r="DTX574" s="44"/>
      <c r="DTY574" s="44"/>
      <c r="DTZ574" s="44"/>
      <c r="DUA574" s="44"/>
      <c r="DUB574" s="44"/>
      <c r="DUC574" s="44"/>
      <c r="DUD574" s="44"/>
      <c r="DUE574" s="44"/>
      <c r="DUF574" s="44"/>
      <c r="DUG574" s="44"/>
      <c r="DUH574" s="44"/>
      <c r="DUI574" s="44"/>
      <c r="DUJ574" s="44"/>
      <c r="DUK574" s="44"/>
      <c r="DUL574" s="44"/>
      <c r="DUM574" s="44"/>
      <c r="DUN574" s="44"/>
      <c r="DUO574" s="44"/>
      <c r="DUP574" s="44"/>
      <c r="DUQ574" s="44"/>
      <c r="DUR574" s="44"/>
      <c r="DUS574" s="44"/>
      <c r="DUT574" s="44"/>
      <c r="DUU574" s="44"/>
      <c r="DUV574" s="44"/>
      <c r="DUW574" s="44"/>
      <c r="DUX574" s="44"/>
      <c r="DUY574" s="44"/>
      <c r="DUZ574" s="44"/>
      <c r="DVA574" s="44"/>
      <c r="DVB574" s="44"/>
      <c r="DVC574" s="44"/>
      <c r="DVD574" s="44"/>
      <c r="DVE574" s="44"/>
      <c r="DVF574" s="44"/>
      <c r="DVG574" s="44"/>
      <c r="DVH574" s="44"/>
      <c r="DVI574" s="44"/>
      <c r="DVJ574" s="44"/>
      <c r="DVK574" s="44"/>
      <c r="DVL574" s="44"/>
      <c r="DVM574" s="44"/>
      <c r="DVN574" s="44"/>
      <c r="DVO574" s="44"/>
      <c r="DVP574" s="44"/>
      <c r="DVQ574" s="44"/>
      <c r="DVR574" s="44"/>
      <c r="DVS574" s="44"/>
      <c r="DVT574" s="44"/>
      <c r="DVU574" s="44"/>
      <c r="DVV574" s="44"/>
      <c r="DVW574" s="44"/>
      <c r="DVX574" s="44"/>
      <c r="DVY574" s="44"/>
      <c r="DVZ574" s="44"/>
      <c r="DWA574" s="44"/>
      <c r="DWB574" s="44"/>
      <c r="DWC574" s="44"/>
      <c r="DWD574" s="44"/>
      <c r="DWE574" s="44"/>
      <c r="DWF574" s="44"/>
      <c r="DWG574" s="44"/>
      <c r="DWH574" s="44"/>
      <c r="DWI574" s="44"/>
      <c r="DWJ574" s="44"/>
      <c r="DWK574" s="44"/>
      <c r="DWL574" s="44"/>
      <c r="DWM574" s="44"/>
      <c r="DWN574" s="44"/>
      <c r="DWO574" s="44"/>
      <c r="DWP574" s="44"/>
      <c r="DWQ574" s="44"/>
      <c r="DWR574" s="44"/>
      <c r="DWS574" s="44"/>
      <c r="DWT574" s="44"/>
      <c r="DWU574" s="44"/>
      <c r="DWV574" s="44"/>
      <c r="DWW574" s="44"/>
      <c r="DWX574" s="44"/>
      <c r="DWY574" s="44"/>
      <c r="DWZ574" s="44"/>
      <c r="DXA574" s="44"/>
      <c r="DXB574" s="44"/>
      <c r="DXC574" s="44"/>
      <c r="DXD574" s="44"/>
      <c r="DXE574" s="44"/>
      <c r="DXF574" s="44"/>
      <c r="DXG574" s="44"/>
      <c r="DXH574" s="44"/>
      <c r="DXI574" s="44"/>
      <c r="DXJ574" s="44"/>
      <c r="DXK574" s="44"/>
      <c r="DXL574" s="44"/>
      <c r="DXM574" s="44"/>
      <c r="DXN574" s="44"/>
      <c r="DXO574" s="44"/>
      <c r="DXP574" s="44"/>
      <c r="DXQ574" s="44"/>
      <c r="DXR574" s="44"/>
      <c r="DXS574" s="44"/>
      <c r="DXT574" s="44"/>
      <c r="DXU574" s="44"/>
      <c r="DXV574" s="44"/>
      <c r="DXW574" s="44"/>
      <c r="DXX574" s="44"/>
      <c r="DXY574" s="44"/>
      <c r="DXZ574" s="44"/>
      <c r="DYA574" s="44"/>
      <c r="DYB574" s="44"/>
      <c r="DYC574" s="44"/>
      <c r="DYD574" s="44"/>
      <c r="DYE574" s="44"/>
      <c r="DYF574" s="44"/>
      <c r="DYG574" s="44"/>
      <c r="DYH574" s="44"/>
      <c r="DYI574" s="44"/>
      <c r="DYJ574" s="44"/>
      <c r="DYK574" s="44"/>
      <c r="DYL574" s="44"/>
      <c r="DYM574" s="44"/>
      <c r="DYN574" s="44"/>
      <c r="DYO574" s="44"/>
      <c r="DYP574" s="44"/>
      <c r="DYQ574" s="44"/>
      <c r="DYR574" s="44"/>
      <c r="DYS574" s="44"/>
      <c r="DYT574" s="44"/>
      <c r="DYU574" s="44"/>
      <c r="DYV574" s="44"/>
      <c r="DYW574" s="44"/>
      <c r="DYX574" s="44"/>
      <c r="DYY574" s="44"/>
      <c r="DYZ574" s="44"/>
      <c r="DZA574" s="44"/>
      <c r="DZB574" s="44"/>
      <c r="DZC574" s="44"/>
      <c r="DZD574" s="44"/>
      <c r="DZE574" s="44"/>
      <c r="DZF574" s="44"/>
      <c r="DZG574" s="44"/>
      <c r="DZH574" s="44"/>
      <c r="DZI574" s="44"/>
      <c r="DZJ574" s="44"/>
      <c r="DZK574" s="44"/>
      <c r="DZL574" s="44"/>
      <c r="DZM574" s="44"/>
      <c r="DZN574" s="44"/>
      <c r="DZO574" s="44"/>
      <c r="DZP574" s="44"/>
      <c r="DZQ574" s="44"/>
      <c r="DZR574" s="44"/>
      <c r="DZS574" s="44"/>
      <c r="DZT574" s="44"/>
      <c r="DZU574" s="44"/>
      <c r="DZV574" s="44"/>
      <c r="DZW574" s="44"/>
      <c r="DZX574" s="44"/>
      <c r="DZY574" s="44"/>
      <c r="DZZ574" s="44"/>
      <c r="EAA574" s="44"/>
      <c r="EAB574" s="44"/>
      <c r="EAC574" s="44"/>
      <c r="EAD574" s="44"/>
      <c r="EAE574" s="44"/>
      <c r="EAF574" s="44"/>
      <c r="EAG574" s="44"/>
      <c r="EAH574" s="44"/>
      <c r="EAI574" s="44"/>
      <c r="EAJ574" s="44"/>
      <c r="EAK574" s="44"/>
      <c r="EAL574" s="44"/>
      <c r="EAM574" s="44"/>
      <c r="EAN574" s="44"/>
      <c r="EAO574" s="44"/>
      <c r="EAP574" s="44"/>
      <c r="EAQ574" s="44"/>
      <c r="EAR574" s="44"/>
      <c r="EAS574" s="44"/>
      <c r="EAT574" s="44"/>
      <c r="EAU574" s="44"/>
      <c r="EAV574" s="44"/>
      <c r="EAW574" s="44"/>
      <c r="EAX574" s="44"/>
      <c r="EAY574" s="44"/>
      <c r="EAZ574" s="44"/>
      <c r="EBA574" s="44"/>
      <c r="EBB574" s="44"/>
      <c r="EBC574" s="44"/>
      <c r="EBD574" s="44"/>
      <c r="EBE574" s="44"/>
      <c r="EBF574" s="44"/>
      <c r="EBG574" s="44"/>
      <c r="EBH574" s="44"/>
      <c r="EBI574" s="44"/>
      <c r="EBJ574" s="44"/>
      <c r="EBK574" s="44"/>
      <c r="EBL574" s="44"/>
      <c r="EBM574" s="44"/>
      <c r="EBN574" s="44"/>
      <c r="EBO574" s="44"/>
      <c r="EBP574" s="44"/>
      <c r="EBQ574" s="44"/>
      <c r="EBR574" s="44"/>
      <c r="EBS574" s="44"/>
      <c r="EBT574" s="44"/>
      <c r="EBU574" s="44"/>
      <c r="EBV574" s="44"/>
      <c r="EBW574" s="44"/>
      <c r="EBX574" s="44"/>
      <c r="EBY574" s="44"/>
      <c r="EBZ574" s="44"/>
      <c r="ECA574" s="44"/>
      <c r="ECB574" s="44"/>
      <c r="ECC574" s="44"/>
      <c r="ECD574" s="44"/>
      <c r="ECE574" s="44"/>
      <c r="ECF574" s="44"/>
      <c r="ECG574" s="44"/>
      <c r="ECH574" s="44"/>
      <c r="ECI574" s="44"/>
      <c r="ECJ574" s="44"/>
      <c r="ECK574" s="44"/>
      <c r="ECL574" s="44"/>
      <c r="ECM574" s="44"/>
      <c r="ECN574" s="44"/>
      <c r="ECO574" s="44"/>
      <c r="ECP574" s="44"/>
      <c r="ECQ574" s="44"/>
      <c r="ECR574" s="44"/>
      <c r="ECS574" s="44"/>
      <c r="ECT574" s="44"/>
      <c r="ECU574" s="44"/>
      <c r="ECV574" s="44"/>
      <c r="ECW574" s="44"/>
      <c r="ECX574" s="44"/>
      <c r="ECY574" s="44"/>
      <c r="ECZ574" s="44"/>
      <c r="EDA574" s="44"/>
      <c r="EDB574" s="44"/>
      <c r="EDC574" s="44"/>
      <c r="EDD574" s="44"/>
      <c r="EDE574" s="44"/>
      <c r="EDF574" s="44"/>
      <c r="EDG574" s="44"/>
      <c r="EDH574" s="44"/>
      <c r="EDI574" s="44"/>
      <c r="EDJ574" s="44"/>
      <c r="EDK574" s="44"/>
      <c r="EDL574" s="44"/>
      <c r="EDM574" s="44"/>
      <c r="EDN574" s="44"/>
      <c r="EDO574" s="44"/>
      <c r="EDP574" s="44"/>
      <c r="EDQ574" s="44"/>
      <c r="EDR574" s="44"/>
      <c r="EDS574" s="44"/>
      <c r="EDT574" s="44"/>
      <c r="EDU574" s="44"/>
      <c r="EDV574" s="44"/>
      <c r="EDW574" s="44"/>
      <c r="EDX574" s="44"/>
      <c r="EDY574" s="44"/>
      <c r="EDZ574" s="44"/>
      <c r="EEA574" s="44"/>
      <c r="EEB574" s="44"/>
      <c r="EEC574" s="44"/>
      <c r="EED574" s="44"/>
      <c r="EEE574" s="44"/>
      <c r="EEF574" s="44"/>
      <c r="EEG574" s="44"/>
      <c r="EEH574" s="44"/>
      <c r="EEI574" s="44"/>
      <c r="EEJ574" s="44"/>
      <c r="EEK574" s="44"/>
      <c r="EEL574" s="44"/>
      <c r="EEM574" s="44"/>
      <c r="EEN574" s="44"/>
      <c r="EEO574" s="44"/>
      <c r="EEP574" s="44"/>
      <c r="EEQ574" s="44"/>
      <c r="EER574" s="44"/>
      <c r="EES574" s="44"/>
      <c r="EET574" s="44"/>
      <c r="EEU574" s="44"/>
      <c r="EEV574" s="44"/>
      <c r="EEW574" s="44"/>
      <c r="EEX574" s="44"/>
      <c r="EEY574" s="44"/>
      <c r="EEZ574" s="44"/>
      <c r="EFA574" s="44"/>
      <c r="EFB574" s="44"/>
      <c r="EFC574" s="44"/>
      <c r="EFD574" s="44"/>
      <c r="EFE574" s="44"/>
      <c r="EFF574" s="44"/>
      <c r="EFG574" s="44"/>
      <c r="EFH574" s="44"/>
      <c r="EFI574" s="44"/>
      <c r="EFJ574" s="44"/>
      <c r="EFK574" s="44"/>
      <c r="EFL574" s="44"/>
      <c r="EFM574" s="44"/>
      <c r="EFN574" s="44"/>
      <c r="EFO574" s="44"/>
      <c r="EFP574" s="44"/>
      <c r="EFQ574" s="44"/>
      <c r="EFR574" s="44"/>
      <c r="EFS574" s="44"/>
      <c r="EFT574" s="44"/>
      <c r="EFU574" s="44"/>
      <c r="EFV574" s="44"/>
      <c r="EFW574" s="44"/>
      <c r="EFX574" s="44"/>
      <c r="EFY574" s="44"/>
      <c r="EFZ574" s="44"/>
      <c r="EGA574" s="44"/>
      <c r="EGB574" s="44"/>
      <c r="EGC574" s="44"/>
      <c r="EGD574" s="44"/>
      <c r="EGE574" s="44"/>
      <c r="EGF574" s="44"/>
      <c r="EGG574" s="44"/>
      <c r="EGH574" s="44"/>
      <c r="EGI574" s="44"/>
      <c r="EGJ574" s="44"/>
      <c r="EGK574" s="44"/>
      <c r="EGL574" s="44"/>
      <c r="EGM574" s="44"/>
      <c r="EGN574" s="44"/>
      <c r="EGO574" s="44"/>
      <c r="EGP574" s="44"/>
      <c r="EGQ574" s="44"/>
      <c r="EGR574" s="44"/>
      <c r="EGS574" s="44"/>
      <c r="EGT574" s="44"/>
      <c r="EGU574" s="44"/>
      <c r="EGV574" s="44"/>
      <c r="EGW574" s="44"/>
      <c r="EGX574" s="44"/>
      <c r="EGY574" s="44"/>
      <c r="EGZ574" s="44"/>
      <c r="EHA574" s="44"/>
      <c r="EHB574" s="44"/>
      <c r="EHC574" s="44"/>
      <c r="EHD574" s="44"/>
      <c r="EHE574" s="44"/>
      <c r="EHF574" s="44"/>
      <c r="EHG574" s="44"/>
      <c r="EHH574" s="44"/>
      <c r="EHI574" s="44"/>
      <c r="EHJ574" s="44"/>
      <c r="EHK574" s="44"/>
      <c r="EHL574" s="44"/>
      <c r="EHM574" s="44"/>
      <c r="EHN574" s="44"/>
      <c r="EHO574" s="44"/>
      <c r="EHP574" s="44"/>
      <c r="EHQ574" s="44"/>
      <c r="EHR574" s="44"/>
      <c r="EHS574" s="44"/>
      <c r="EHT574" s="44"/>
      <c r="EHU574" s="44"/>
      <c r="EHV574" s="44"/>
      <c r="EHW574" s="44"/>
      <c r="EHX574" s="44"/>
      <c r="EHY574" s="44"/>
      <c r="EHZ574" s="44"/>
      <c r="EIA574" s="44"/>
      <c r="EIB574" s="44"/>
      <c r="EIC574" s="44"/>
      <c r="EID574" s="44"/>
      <c r="EIE574" s="44"/>
      <c r="EIF574" s="44"/>
      <c r="EIG574" s="44"/>
      <c r="EIH574" s="44"/>
      <c r="EII574" s="44"/>
      <c r="EIJ574" s="44"/>
      <c r="EIK574" s="44"/>
      <c r="EIL574" s="44"/>
      <c r="EIM574" s="44"/>
      <c r="EIN574" s="44"/>
      <c r="EIO574" s="44"/>
      <c r="EIP574" s="44"/>
      <c r="EIQ574" s="44"/>
      <c r="EIR574" s="44"/>
      <c r="EIS574" s="44"/>
      <c r="EIT574" s="44"/>
      <c r="EIU574" s="44"/>
      <c r="EIV574" s="44"/>
      <c r="EIW574" s="44"/>
      <c r="EIX574" s="44"/>
      <c r="EIY574" s="44"/>
      <c r="EIZ574" s="44"/>
      <c r="EJA574" s="44"/>
      <c r="EJB574" s="44"/>
      <c r="EJC574" s="44"/>
      <c r="EJD574" s="44"/>
      <c r="EJE574" s="44"/>
      <c r="EJF574" s="44"/>
      <c r="EJG574" s="44"/>
      <c r="EJH574" s="44"/>
      <c r="EJI574" s="44"/>
      <c r="EJJ574" s="44"/>
      <c r="EJK574" s="44"/>
      <c r="EJL574" s="44"/>
      <c r="EJM574" s="44"/>
      <c r="EJN574" s="44"/>
      <c r="EJO574" s="44"/>
      <c r="EJP574" s="44"/>
      <c r="EJQ574" s="44"/>
      <c r="EJR574" s="44"/>
      <c r="EJS574" s="44"/>
      <c r="EJT574" s="44"/>
      <c r="EJU574" s="44"/>
      <c r="EJV574" s="44"/>
      <c r="EJW574" s="44"/>
      <c r="EJX574" s="44"/>
      <c r="EJY574" s="44"/>
      <c r="EJZ574" s="44"/>
      <c r="EKA574" s="44"/>
      <c r="EKB574" s="44"/>
      <c r="EKC574" s="44"/>
      <c r="EKD574" s="44"/>
      <c r="EKE574" s="44"/>
      <c r="EKF574" s="44"/>
      <c r="EKG574" s="44"/>
      <c r="EKH574" s="44"/>
      <c r="EKI574" s="44"/>
      <c r="EKJ574" s="44"/>
      <c r="EKK574" s="44"/>
      <c r="EKL574" s="44"/>
      <c r="EKM574" s="44"/>
      <c r="EKN574" s="44"/>
      <c r="EKO574" s="44"/>
      <c r="EKP574" s="44"/>
      <c r="EKQ574" s="44"/>
      <c r="EKR574" s="44"/>
      <c r="EKS574" s="44"/>
      <c r="EKT574" s="44"/>
      <c r="EKU574" s="44"/>
      <c r="EKV574" s="44"/>
      <c r="EKW574" s="44"/>
      <c r="EKX574" s="44"/>
      <c r="EKY574" s="44"/>
      <c r="EKZ574" s="44"/>
      <c r="ELA574" s="44"/>
      <c r="ELB574" s="44"/>
      <c r="ELC574" s="44"/>
      <c r="ELD574" s="44"/>
      <c r="ELE574" s="44"/>
      <c r="ELF574" s="44"/>
      <c r="ELG574" s="44"/>
      <c r="ELH574" s="44"/>
      <c r="ELI574" s="44"/>
      <c r="ELJ574" s="44"/>
      <c r="ELK574" s="44"/>
      <c r="ELL574" s="44"/>
      <c r="ELM574" s="44"/>
      <c r="ELN574" s="44"/>
      <c r="ELO574" s="44"/>
      <c r="ELP574" s="44"/>
      <c r="ELQ574" s="44"/>
      <c r="ELR574" s="44"/>
      <c r="ELS574" s="44"/>
      <c r="ELT574" s="44"/>
      <c r="ELU574" s="44"/>
      <c r="ELV574" s="44"/>
      <c r="ELW574" s="44"/>
      <c r="ELX574" s="44"/>
      <c r="ELY574" s="44"/>
      <c r="ELZ574" s="44"/>
      <c r="EMA574" s="44"/>
      <c r="EMB574" s="44"/>
      <c r="EMC574" s="44"/>
      <c r="EMD574" s="44"/>
      <c r="EME574" s="44"/>
      <c r="EMF574" s="44"/>
      <c r="EMG574" s="44"/>
      <c r="EMH574" s="44"/>
      <c r="EMI574" s="44"/>
      <c r="EMJ574" s="44"/>
      <c r="EMK574" s="44"/>
      <c r="EML574" s="44"/>
      <c r="EMM574" s="44"/>
      <c r="EMN574" s="44"/>
      <c r="EMO574" s="44"/>
      <c r="EMP574" s="44"/>
      <c r="EMQ574" s="44"/>
      <c r="EMR574" s="44"/>
      <c r="EMS574" s="44"/>
      <c r="EMT574" s="44"/>
      <c r="EMU574" s="44"/>
      <c r="EMV574" s="44"/>
      <c r="EMW574" s="44"/>
      <c r="EMX574" s="44"/>
      <c r="EMY574" s="44"/>
      <c r="EMZ574" s="44"/>
      <c r="ENA574" s="44"/>
      <c r="ENB574" s="44"/>
      <c r="ENC574" s="44"/>
      <c r="END574" s="44"/>
      <c r="ENE574" s="44"/>
      <c r="ENF574" s="44"/>
      <c r="ENG574" s="44"/>
      <c r="ENH574" s="44"/>
      <c r="ENI574" s="44"/>
      <c r="ENJ574" s="44"/>
      <c r="ENK574" s="44"/>
      <c r="ENL574" s="44"/>
      <c r="ENM574" s="44"/>
      <c r="ENN574" s="44"/>
      <c r="ENO574" s="44"/>
      <c r="ENP574" s="44"/>
      <c r="ENQ574" s="44"/>
      <c r="ENR574" s="44"/>
      <c r="ENS574" s="44"/>
      <c r="ENT574" s="44"/>
      <c r="ENU574" s="44"/>
      <c r="ENV574" s="44"/>
      <c r="ENW574" s="44"/>
      <c r="ENX574" s="44"/>
      <c r="ENY574" s="44"/>
      <c r="ENZ574" s="44"/>
      <c r="EOA574" s="44"/>
      <c r="EOB574" s="44"/>
      <c r="EOC574" s="44"/>
      <c r="EOD574" s="44"/>
      <c r="EOE574" s="44"/>
      <c r="EOF574" s="44"/>
      <c r="EOG574" s="44"/>
      <c r="EOH574" s="44"/>
      <c r="EOI574" s="44"/>
      <c r="EOJ574" s="44"/>
      <c r="EOK574" s="44"/>
      <c r="EOL574" s="44"/>
      <c r="EOM574" s="44"/>
      <c r="EON574" s="44"/>
      <c r="EOO574" s="44"/>
      <c r="EOP574" s="44"/>
      <c r="EOQ574" s="44"/>
      <c r="EOR574" s="44"/>
      <c r="EOS574" s="44"/>
      <c r="EOT574" s="44"/>
      <c r="EOU574" s="44"/>
      <c r="EOV574" s="44"/>
      <c r="EOW574" s="44"/>
      <c r="EOX574" s="44"/>
      <c r="EOY574" s="44"/>
      <c r="EOZ574" s="44"/>
      <c r="EPA574" s="44"/>
      <c r="EPB574" s="44"/>
      <c r="EPC574" s="44"/>
      <c r="EPD574" s="44"/>
      <c r="EPE574" s="44"/>
      <c r="EPF574" s="44"/>
      <c r="EPG574" s="44"/>
      <c r="EPH574" s="44"/>
      <c r="EPI574" s="44"/>
      <c r="EPJ574" s="44"/>
      <c r="EPK574" s="44"/>
      <c r="EPL574" s="44"/>
      <c r="EPM574" s="44"/>
      <c r="EPN574" s="44"/>
      <c r="EPO574" s="44"/>
      <c r="EPP574" s="44"/>
      <c r="EPQ574" s="44"/>
      <c r="EPR574" s="44"/>
      <c r="EPS574" s="44"/>
      <c r="EPT574" s="44"/>
      <c r="EPU574" s="44"/>
      <c r="EPV574" s="44"/>
      <c r="EPW574" s="44"/>
      <c r="EPX574" s="44"/>
      <c r="EPY574" s="44"/>
      <c r="EPZ574" s="44"/>
      <c r="EQA574" s="44"/>
      <c r="EQB574" s="44"/>
      <c r="EQC574" s="44"/>
      <c r="EQD574" s="44"/>
      <c r="EQE574" s="44"/>
      <c r="EQF574" s="44"/>
      <c r="EQG574" s="44"/>
      <c r="EQH574" s="44"/>
      <c r="EQI574" s="44"/>
      <c r="EQJ574" s="44"/>
      <c r="EQK574" s="44"/>
      <c r="EQL574" s="44"/>
      <c r="EQM574" s="44"/>
      <c r="EQN574" s="44"/>
      <c r="EQO574" s="44"/>
      <c r="EQP574" s="44"/>
      <c r="EQQ574" s="44"/>
      <c r="EQR574" s="44"/>
      <c r="EQS574" s="44"/>
      <c r="EQT574" s="44"/>
      <c r="EQU574" s="44"/>
      <c r="EQV574" s="44"/>
      <c r="EQW574" s="44"/>
      <c r="EQX574" s="44"/>
      <c r="EQY574" s="44"/>
      <c r="EQZ574" s="44"/>
      <c r="ERA574" s="44"/>
      <c r="ERB574" s="44"/>
      <c r="ERC574" s="44"/>
      <c r="ERD574" s="44"/>
      <c r="ERE574" s="44"/>
      <c r="ERF574" s="44"/>
      <c r="ERG574" s="44"/>
      <c r="ERH574" s="44"/>
      <c r="ERI574" s="44"/>
      <c r="ERJ574" s="44"/>
      <c r="ERK574" s="44"/>
      <c r="ERL574" s="44"/>
      <c r="ERM574" s="44"/>
      <c r="ERN574" s="44"/>
      <c r="ERO574" s="44"/>
      <c r="ERP574" s="44"/>
      <c r="ERQ574" s="44"/>
      <c r="ERR574" s="44"/>
      <c r="ERS574" s="44"/>
      <c r="ERT574" s="44"/>
      <c r="ERU574" s="44"/>
      <c r="ERV574" s="44"/>
      <c r="ERW574" s="44"/>
      <c r="ERX574" s="44"/>
      <c r="ERY574" s="44"/>
      <c r="ERZ574" s="44"/>
      <c r="ESA574" s="44"/>
      <c r="ESB574" s="44"/>
      <c r="ESC574" s="44"/>
      <c r="ESD574" s="44"/>
      <c r="ESE574" s="44"/>
      <c r="ESF574" s="44"/>
      <c r="ESG574" s="44"/>
      <c r="ESH574" s="44"/>
      <c r="ESI574" s="44"/>
      <c r="ESJ574" s="44"/>
      <c r="ESK574" s="44"/>
      <c r="ESL574" s="44"/>
      <c r="ESM574" s="44"/>
      <c r="ESN574" s="44"/>
      <c r="ESO574" s="44"/>
      <c r="ESP574" s="44"/>
      <c r="ESQ574" s="44"/>
      <c r="ESR574" s="44"/>
      <c r="ESS574" s="44"/>
      <c r="EST574" s="44"/>
      <c r="ESU574" s="44"/>
      <c r="ESV574" s="44"/>
      <c r="ESW574" s="44"/>
      <c r="ESX574" s="44"/>
      <c r="ESY574" s="44"/>
      <c r="ESZ574" s="44"/>
      <c r="ETA574" s="44"/>
      <c r="ETB574" s="44"/>
      <c r="ETC574" s="44"/>
      <c r="ETD574" s="44"/>
      <c r="ETE574" s="44"/>
      <c r="ETF574" s="44"/>
      <c r="ETG574" s="44"/>
      <c r="ETH574" s="44"/>
      <c r="ETI574" s="44"/>
      <c r="ETJ574" s="44"/>
      <c r="ETK574" s="44"/>
      <c r="ETL574" s="44"/>
      <c r="ETM574" s="44"/>
      <c r="ETN574" s="44"/>
      <c r="ETO574" s="44"/>
      <c r="ETP574" s="44"/>
      <c r="ETQ574" s="44"/>
      <c r="ETR574" s="44"/>
      <c r="ETS574" s="44"/>
      <c r="ETT574" s="44"/>
      <c r="ETU574" s="44"/>
      <c r="ETV574" s="44"/>
      <c r="ETW574" s="44"/>
      <c r="ETX574" s="44"/>
      <c r="ETY574" s="44"/>
      <c r="ETZ574" s="44"/>
      <c r="EUA574" s="44"/>
      <c r="EUB574" s="44"/>
      <c r="EUC574" s="44"/>
      <c r="EUD574" s="44"/>
      <c r="EUE574" s="44"/>
      <c r="EUF574" s="44"/>
      <c r="EUG574" s="44"/>
      <c r="EUH574" s="44"/>
      <c r="EUI574" s="44"/>
      <c r="EUJ574" s="44"/>
      <c r="EUK574" s="44"/>
      <c r="EUL574" s="44"/>
      <c r="EUM574" s="44"/>
      <c r="EUN574" s="44"/>
      <c r="EUO574" s="44"/>
      <c r="EUP574" s="44"/>
      <c r="EUQ574" s="44"/>
      <c r="EUR574" s="44"/>
      <c r="EUS574" s="44"/>
      <c r="EUT574" s="44"/>
      <c r="EUU574" s="44"/>
      <c r="EUV574" s="44"/>
      <c r="EUW574" s="44"/>
      <c r="EUX574" s="44"/>
      <c r="EUY574" s="44"/>
      <c r="EUZ574" s="44"/>
      <c r="EVA574" s="44"/>
      <c r="EVB574" s="44"/>
      <c r="EVC574" s="44"/>
      <c r="EVD574" s="44"/>
      <c r="EVE574" s="44"/>
      <c r="EVF574" s="44"/>
      <c r="EVG574" s="44"/>
      <c r="EVH574" s="44"/>
      <c r="EVI574" s="44"/>
      <c r="EVJ574" s="44"/>
      <c r="EVK574" s="44"/>
      <c r="EVL574" s="44"/>
      <c r="EVM574" s="44"/>
      <c r="EVN574" s="44"/>
      <c r="EVO574" s="44"/>
      <c r="EVP574" s="44"/>
      <c r="EVQ574" s="44"/>
      <c r="EVR574" s="44"/>
      <c r="EVS574" s="44"/>
      <c r="EVT574" s="44"/>
      <c r="EVU574" s="44"/>
      <c r="EVV574" s="44"/>
      <c r="EVW574" s="44"/>
      <c r="EVX574" s="44"/>
      <c r="EVY574" s="44"/>
      <c r="EVZ574" s="44"/>
      <c r="EWA574" s="44"/>
      <c r="EWB574" s="44"/>
      <c r="EWC574" s="44"/>
      <c r="EWD574" s="44"/>
      <c r="EWE574" s="44"/>
      <c r="EWF574" s="44"/>
      <c r="EWG574" s="44"/>
      <c r="EWH574" s="44"/>
      <c r="EWI574" s="44"/>
      <c r="EWJ574" s="44"/>
      <c r="EWK574" s="44"/>
      <c r="EWL574" s="44"/>
      <c r="EWM574" s="44"/>
      <c r="EWN574" s="44"/>
      <c r="EWO574" s="44"/>
      <c r="EWP574" s="44"/>
      <c r="EWQ574" s="44"/>
      <c r="EWR574" s="44"/>
      <c r="EWS574" s="44"/>
      <c r="EWT574" s="44"/>
      <c r="EWU574" s="44"/>
      <c r="EWV574" s="44"/>
      <c r="EWW574" s="44"/>
      <c r="EWX574" s="44"/>
      <c r="EWY574" s="44"/>
      <c r="EWZ574" s="44"/>
      <c r="EXA574" s="44"/>
      <c r="EXB574" s="44"/>
      <c r="EXC574" s="44"/>
      <c r="EXD574" s="44"/>
      <c r="EXE574" s="44"/>
      <c r="EXF574" s="44"/>
      <c r="EXG574" s="44"/>
      <c r="EXH574" s="44"/>
      <c r="EXI574" s="44"/>
      <c r="EXJ574" s="44"/>
      <c r="EXK574" s="44"/>
      <c r="EXL574" s="44"/>
      <c r="EXM574" s="44"/>
      <c r="EXN574" s="44"/>
      <c r="EXO574" s="44"/>
      <c r="EXP574" s="44"/>
      <c r="EXQ574" s="44"/>
      <c r="EXR574" s="44"/>
      <c r="EXS574" s="44"/>
      <c r="EXT574" s="44"/>
      <c r="EXU574" s="44"/>
      <c r="EXV574" s="44"/>
      <c r="EXW574" s="44"/>
      <c r="EXX574" s="44"/>
      <c r="EXY574" s="44"/>
      <c r="EXZ574" s="44"/>
      <c r="EYA574" s="44"/>
      <c r="EYB574" s="44"/>
      <c r="EYC574" s="44"/>
      <c r="EYD574" s="44"/>
      <c r="EYE574" s="44"/>
      <c r="EYF574" s="44"/>
      <c r="EYG574" s="44"/>
      <c r="EYH574" s="44"/>
      <c r="EYI574" s="44"/>
      <c r="EYJ574" s="44"/>
      <c r="EYK574" s="44"/>
      <c r="EYL574" s="44"/>
      <c r="EYM574" s="44"/>
      <c r="EYN574" s="44"/>
      <c r="EYO574" s="44"/>
      <c r="EYP574" s="44"/>
      <c r="EYQ574" s="44"/>
      <c r="EYR574" s="44"/>
      <c r="EYS574" s="44"/>
      <c r="EYT574" s="44"/>
      <c r="EYU574" s="44"/>
      <c r="EYV574" s="44"/>
      <c r="EYW574" s="44"/>
      <c r="EYX574" s="44"/>
      <c r="EYY574" s="44"/>
      <c r="EYZ574" s="44"/>
      <c r="EZA574" s="44"/>
      <c r="EZB574" s="44"/>
      <c r="EZC574" s="44"/>
      <c r="EZD574" s="44"/>
      <c r="EZE574" s="44"/>
      <c r="EZF574" s="44"/>
      <c r="EZG574" s="44"/>
      <c r="EZH574" s="44"/>
      <c r="EZI574" s="44"/>
      <c r="EZJ574" s="44"/>
      <c r="EZK574" s="44"/>
      <c r="EZL574" s="44"/>
      <c r="EZM574" s="44"/>
      <c r="EZN574" s="44"/>
      <c r="EZO574" s="44"/>
      <c r="EZP574" s="44"/>
      <c r="EZQ574" s="44"/>
      <c r="EZR574" s="44"/>
      <c r="EZS574" s="44"/>
      <c r="EZT574" s="44"/>
      <c r="EZU574" s="44"/>
      <c r="EZV574" s="44"/>
      <c r="EZW574" s="44"/>
      <c r="EZX574" s="44"/>
      <c r="EZY574" s="44"/>
      <c r="EZZ574" s="44"/>
      <c r="FAA574" s="44"/>
      <c r="FAB574" s="44"/>
      <c r="FAC574" s="44"/>
      <c r="FAD574" s="44"/>
      <c r="FAE574" s="44"/>
      <c r="FAF574" s="44"/>
      <c r="FAG574" s="44"/>
      <c r="FAH574" s="44"/>
      <c r="FAI574" s="44"/>
      <c r="FAJ574" s="44"/>
      <c r="FAK574" s="44"/>
      <c r="FAL574" s="44"/>
      <c r="FAM574" s="44"/>
      <c r="FAN574" s="44"/>
      <c r="FAO574" s="44"/>
      <c r="FAP574" s="44"/>
      <c r="FAQ574" s="44"/>
      <c r="FAR574" s="44"/>
      <c r="FAS574" s="44"/>
      <c r="FAT574" s="44"/>
      <c r="FAU574" s="44"/>
      <c r="FAV574" s="44"/>
      <c r="FAW574" s="44"/>
      <c r="FAX574" s="44"/>
      <c r="FAY574" s="44"/>
      <c r="FAZ574" s="44"/>
      <c r="FBA574" s="44"/>
      <c r="FBB574" s="44"/>
      <c r="FBC574" s="44"/>
      <c r="FBD574" s="44"/>
      <c r="FBE574" s="44"/>
      <c r="FBF574" s="44"/>
      <c r="FBG574" s="44"/>
      <c r="FBH574" s="44"/>
      <c r="FBI574" s="44"/>
      <c r="FBJ574" s="44"/>
      <c r="FBK574" s="44"/>
      <c r="FBL574" s="44"/>
      <c r="FBM574" s="44"/>
      <c r="FBN574" s="44"/>
      <c r="FBO574" s="44"/>
      <c r="FBP574" s="44"/>
      <c r="FBQ574" s="44"/>
      <c r="FBR574" s="44"/>
      <c r="FBS574" s="44"/>
      <c r="FBT574" s="44"/>
      <c r="FBU574" s="44"/>
      <c r="FBV574" s="44"/>
      <c r="FBW574" s="44"/>
      <c r="FBX574" s="44"/>
      <c r="FBY574" s="44"/>
      <c r="FBZ574" s="44"/>
      <c r="FCA574" s="44"/>
      <c r="FCB574" s="44"/>
      <c r="FCC574" s="44"/>
      <c r="FCD574" s="44"/>
      <c r="FCE574" s="44"/>
      <c r="FCF574" s="44"/>
      <c r="FCG574" s="44"/>
      <c r="FCH574" s="44"/>
      <c r="FCI574" s="44"/>
      <c r="FCJ574" s="44"/>
      <c r="FCK574" s="44"/>
      <c r="FCL574" s="44"/>
      <c r="FCM574" s="44"/>
      <c r="FCN574" s="44"/>
      <c r="FCO574" s="44"/>
      <c r="FCP574" s="44"/>
      <c r="FCQ574" s="44"/>
      <c r="FCR574" s="44"/>
      <c r="FCS574" s="44"/>
      <c r="FCT574" s="44"/>
      <c r="FCU574" s="44"/>
      <c r="FCV574" s="44"/>
      <c r="FCW574" s="44"/>
      <c r="FCX574" s="44"/>
      <c r="FCY574" s="44"/>
      <c r="FCZ574" s="44"/>
      <c r="FDA574" s="44"/>
      <c r="FDB574" s="44"/>
      <c r="FDC574" s="44"/>
      <c r="FDD574" s="44"/>
      <c r="FDE574" s="44"/>
      <c r="FDF574" s="44"/>
      <c r="FDG574" s="44"/>
      <c r="FDH574" s="44"/>
      <c r="FDI574" s="44"/>
      <c r="FDJ574" s="44"/>
      <c r="FDK574" s="44"/>
      <c r="FDL574" s="44"/>
      <c r="FDM574" s="44"/>
      <c r="FDN574" s="44"/>
      <c r="FDO574" s="44"/>
      <c r="FDP574" s="44"/>
      <c r="FDQ574" s="44"/>
      <c r="FDR574" s="44"/>
      <c r="FDS574" s="44"/>
      <c r="FDT574" s="44"/>
      <c r="FDU574" s="44"/>
      <c r="FDV574" s="44"/>
      <c r="FDW574" s="44"/>
      <c r="FDX574" s="44"/>
      <c r="FDY574" s="44"/>
      <c r="FDZ574" s="44"/>
      <c r="FEA574" s="44"/>
      <c r="FEB574" s="44"/>
      <c r="FEC574" s="44"/>
      <c r="FED574" s="44"/>
      <c r="FEE574" s="44"/>
      <c r="FEF574" s="44"/>
      <c r="FEG574" s="44"/>
      <c r="FEH574" s="44"/>
      <c r="FEI574" s="44"/>
      <c r="FEJ574" s="44"/>
      <c r="FEK574" s="44"/>
      <c r="FEL574" s="44"/>
      <c r="FEM574" s="44"/>
      <c r="FEN574" s="44"/>
      <c r="FEO574" s="44"/>
      <c r="FEP574" s="44"/>
      <c r="FEQ574" s="44"/>
      <c r="FER574" s="44"/>
      <c r="FES574" s="44"/>
      <c r="FET574" s="44"/>
      <c r="FEU574" s="44"/>
      <c r="FEV574" s="44"/>
      <c r="FEW574" s="44"/>
      <c r="FEX574" s="44"/>
      <c r="FEY574" s="44"/>
      <c r="FEZ574" s="44"/>
      <c r="FFA574" s="44"/>
      <c r="FFB574" s="44"/>
      <c r="FFC574" s="44"/>
      <c r="FFD574" s="44"/>
      <c r="FFE574" s="44"/>
      <c r="FFF574" s="44"/>
      <c r="FFG574" s="44"/>
      <c r="FFH574" s="44"/>
      <c r="FFI574" s="44"/>
      <c r="FFJ574" s="44"/>
      <c r="FFK574" s="44"/>
      <c r="FFL574" s="44"/>
      <c r="FFM574" s="44"/>
      <c r="FFN574" s="44"/>
      <c r="FFO574" s="44"/>
      <c r="FFP574" s="44"/>
      <c r="FFQ574" s="44"/>
      <c r="FFR574" s="44"/>
      <c r="FFS574" s="44"/>
      <c r="FFT574" s="44"/>
      <c r="FFU574" s="44"/>
      <c r="FFV574" s="44"/>
      <c r="FFW574" s="44"/>
      <c r="FFX574" s="44"/>
      <c r="FFY574" s="44"/>
      <c r="FFZ574" s="44"/>
      <c r="FGA574" s="44"/>
      <c r="FGB574" s="44"/>
      <c r="FGC574" s="44"/>
      <c r="FGD574" s="44"/>
      <c r="FGE574" s="44"/>
      <c r="FGF574" s="44"/>
      <c r="FGG574" s="44"/>
      <c r="FGH574" s="44"/>
      <c r="FGI574" s="44"/>
      <c r="FGJ574" s="44"/>
      <c r="FGK574" s="44"/>
      <c r="FGL574" s="44"/>
      <c r="FGM574" s="44"/>
      <c r="FGN574" s="44"/>
      <c r="FGO574" s="44"/>
      <c r="FGP574" s="44"/>
      <c r="FGQ574" s="44"/>
      <c r="FGR574" s="44"/>
      <c r="FGS574" s="44"/>
      <c r="FGT574" s="44"/>
      <c r="FGU574" s="44"/>
      <c r="FGV574" s="44"/>
      <c r="FGW574" s="44"/>
      <c r="FGX574" s="44"/>
      <c r="FGY574" s="44"/>
      <c r="FGZ574" s="44"/>
      <c r="FHA574" s="44"/>
      <c r="FHB574" s="44"/>
      <c r="FHC574" s="44"/>
      <c r="FHD574" s="44"/>
      <c r="FHE574" s="44"/>
      <c r="FHF574" s="44"/>
      <c r="FHG574" s="44"/>
      <c r="FHH574" s="44"/>
      <c r="FHI574" s="44"/>
      <c r="FHJ574" s="44"/>
      <c r="FHK574" s="44"/>
      <c r="FHL574" s="44"/>
      <c r="FHM574" s="44"/>
      <c r="FHN574" s="44"/>
      <c r="FHO574" s="44"/>
      <c r="FHP574" s="44"/>
      <c r="FHQ574" s="44"/>
      <c r="FHR574" s="44"/>
      <c r="FHS574" s="44"/>
      <c r="FHT574" s="44"/>
      <c r="FHU574" s="44"/>
      <c r="FHV574" s="44"/>
      <c r="FHW574" s="44"/>
      <c r="FHX574" s="44"/>
      <c r="FHY574" s="44"/>
      <c r="FHZ574" s="44"/>
      <c r="FIA574" s="44"/>
      <c r="FIB574" s="44"/>
      <c r="FIC574" s="44"/>
      <c r="FID574" s="44"/>
      <c r="FIE574" s="44"/>
      <c r="FIF574" s="44"/>
      <c r="FIG574" s="44"/>
      <c r="FIH574" s="44"/>
      <c r="FII574" s="44"/>
      <c r="FIJ574" s="44"/>
      <c r="FIK574" s="44"/>
      <c r="FIL574" s="44"/>
      <c r="FIM574" s="44"/>
      <c r="FIN574" s="44"/>
      <c r="FIO574" s="44"/>
      <c r="FIP574" s="44"/>
      <c r="FIQ574" s="44"/>
      <c r="FIR574" s="44"/>
      <c r="FIS574" s="44"/>
      <c r="FIT574" s="44"/>
      <c r="FIU574" s="44"/>
      <c r="FIV574" s="44"/>
      <c r="FIW574" s="44"/>
      <c r="FIX574" s="44"/>
      <c r="FIY574" s="44"/>
      <c r="FIZ574" s="44"/>
      <c r="FJA574" s="44"/>
      <c r="FJB574" s="44"/>
      <c r="FJC574" s="44"/>
      <c r="FJD574" s="44"/>
      <c r="FJE574" s="44"/>
      <c r="FJF574" s="44"/>
      <c r="FJG574" s="44"/>
      <c r="FJH574" s="44"/>
      <c r="FJI574" s="44"/>
      <c r="FJJ574" s="44"/>
      <c r="FJK574" s="44"/>
      <c r="FJL574" s="44"/>
      <c r="FJM574" s="44"/>
      <c r="FJN574" s="44"/>
      <c r="FJO574" s="44"/>
      <c r="FJP574" s="44"/>
      <c r="FJQ574" s="44"/>
      <c r="FJR574" s="44"/>
      <c r="FJS574" s="44"/>
      <c r="FJT574" s="44"/>
      <c r="FJU574" s="44"/>
      <c r="FJV574" s="44"/>
      <c r="FJW574" s="44"/>
      <c r="FJX574" s="44"/>
      <c r="FJY574" s="44"/>
      <c r="FJZ574" s="44"/>
      <c r="FKA574" s="44"/>
      <c r="FKB574" s="44"/>
      <c r="FKC574" s="44"/>
      <c r="FKD574" s="44"/>
      <c r="FKE574" s="44"/>
      <c r="FKF574" s="44"/>
      <c r="FKG574" s="44"/>
      <c r="FKH574" s="44"/>
      <c r="FKI574" s="44"/>
      <c r="FKJ574" s="44"/>
      <c r="FKK574" s="44"/>
      <c r="FKL574" s="44"/>
      <c r="FKM574" s="44"/>
      <c r="FKN574" s="44"/>
      <c r="FKO574" s="44"/>
      <c r="FKP574" s="44"/>
      <c r="FKQ574" s="44"/>
      <c r="FKR574" s="44"/>
      <c r="FKS574" s="44"/>
      <c r="FKT574" s="44"/>
      <c r="FKU574" s="44"/>
      <c r="FKV574" s="44"/>
      <c r="FKW574" s="44"/>
      <c r="FKX574" s="44"/>
      <c r="FKY574" s="44"/>
      <c r="FKZ574" s="44"/>
      <c r="FLA574" s="44"/>
      <c r="FLB574" s="44"/>
      <c r="FLC574" s="44"/>
      <c r="FLD574" s="44"/>
      <c r="FLE574" s="44"/>
      <c r="FLF574" s="44"/>
      <c r="FLG574" s="44"/>
      <c r="FLH574" s="44"/>
      <c r="FLI574" s="44"/>
      <c r="FLJ574" s="44"/>
      <c r="FLK574" s="44"/>
      <c r="FLL574" s="44"/>
      <c r="FLM574" s="44"/>
      <c r="FLN574" s="44"/>
      <c r="FLO574" s="44"/>
      <c r="FLP574" s="44"/>
      <c r="FLQ574" s="44"/>
      <c r="FLR574" s="44"/>
      <c r="FLS574" s="44"/>
      <c r="FLT574" s="44"/>
      <c r="FLU574" s="44"/>
      <c r="FLV574" s="44"/>
      <c r="FLW574" s="44"/>
      <c r="FLX574" s="44"/>
      <c r="FLY574" s="44"/>
      <c r="FLZ574" s="44"/>
      <c r="FMA574" s="44"/>
      <c r="FMB574" s="44"/>
      <c r="FMC574" s="44"/>
      <c r="FMD574" s="44"/>
      <c r="FME574" s="44"/>
      <c r="FMF574" s="44"/>
      <c r="FMG574" s="44"/>
      <c r="FMH574" s="44"/>
      <c r="FMI574" s="44"/>
      <c r="FMJ574" s="44"/>
      <c r="FMK574" s="44"/>
      <c r="FML574" s="44"/>
      <c r="FMM574" s="44"/>
      <c r="FMN574" s="44"/>
      <c r="FMO574" s="44"/>
      <c r="FMP574" s="44"/>
      <c r="FMQ574" s="44"/>
      <c r="FMR574" s="44"/>
      <c r="FMS574" s="44"/>
      <c r="FMT574" s="44"/>
      <c r="FMU574" s="44"/>
      <c r="FMV574" s="44"/>
      <c r="FMW574" s="44"/>
      <c r="FMX574" s="44"/>
      <c r="FMY574" s="44"/>
      <c r="FMZ574" s="44"/>
      <c r="FNA574" s="44"/>
      <c r="FNB574" s="44"/>
      <c r="FNC574" s="44"/>
      <c r="FND574" s="44"/>
      <c r="FNE574" s="44"/>
      <c r="FNF574" s="44"/>
      <c r="FNG574" s="44"/>
      <c r="FNH574" s="44"/>
      <c r="FNI574" s="44"/>
      <c r="FNJ574" s="44"/>
      <c r="FNK574" s="44"/>
      <c r="FNL574" s="44"/>
      <c r="FNM574" s="44"/>
      <c r="FNN574" s="44"/>
      <c r="FNO574" s="44"/>
      <c r="FNP574" s="44"/>
      <c r="FNQ574" s="44"/>
      <c r="FNR574" s="44"/>
      <c r="FNS574" s="44"/>
      <c r="FNT574" s="44"/>
      <c r="FNU574" s="44"/>
      <c r="FNV574" s="44"/>
      <c r="FNW574" s="44"/>
      <c r="FNX574" s="44"/>
      <c r="FNY574" s="44"/>
      <c r="FNZ574" s="44"/>
      <c r="FOA574" s="44"/>
      <c r="FOB574" s="44"/>
      <c r="FOC574" s="44"/>
      <c r="FOD574" s="44"/>
      <c r="FOE574" s="44"/>
      <c r="FOF574" s="44"/>
      <c r="FOG574" s="44"/>
      <c r="FOH574" s="44"/>
      <c r="FOI574" s="44"/>
      <c r="FOJ574" s="44"/>
      <c r="FOK574" s="44"/>
      <c r="FOL574" s="44"/>
      <c r="FOM574" s="44"/>
      <c r="FON574" s="44"/>
      <c r="FOO574" s="44"/>
      <c r="FOP574" s="44"/>
      <c r="FOQ574" s="44"/>
      <c r="FOR574" s="44"/>
      <c r="FOS574" s="44"/>
      <c r="FOT574" s="44"/>
      <c r="FOU574" s="44"/>
      <c r="FOV574" s="44"/>
      <c r="FOW574" s="44"/>
      <c r="FOX574" s="44"/>
      <c r="FOY574" s="44"/>
      <c r="FOZ574" s="44"/>
      <c r="FPA574" s="44"/>
      <c r="FPB574" s="44"/>
      <c r="FPC574" s="44"/>
      <c r="FPD574" s="44"/>
      <c r="FPE574" s="44"/>
      <c r="FPF574" s="44"/>
      <c r="FPG574" s="44"/>
      <c r="FPH574" s="44"/>
      <c r="FPI574" s="44"/>
      <c r="FPJ574" s="44"/>
      <c r="FPK574" s="44"/>
      <c r="FPL574" s="44"/>
      <c r="FPM574" s="44"/>
      <c r="FPN574" s="44"/>
      <c r="FPO574" s="44"/>
      <c r="FPP574" s="44"/>
      <c r="FPQ574" s="44"/>
      <c r="FPR574" s="44"/>
      <c r="FPS574" s="44"/>
      <c r="FPT574" s="44"/>
      <c r="FPU574" s="44"/>
      <c r="FPV574" s="44"/>
      <c r="FPW574" s="44"/>
      <c r="FPX574" s="44"/>
      <c r="FPY574" s="44"/>
      <c r="FPZ574" s="44"/>
      <c r="FQA574" s="44"/>
      <c r="FQB574" s="44"/>
      <c r="FQC574" s="44"/>
      <c r="FQD574" s="44"/>
      <c r="FQE574" s="44"/>
      <c r="FQF574" s="44"/>
      <c r="FQG574" s="44"/>
      <c r="FQH574" s="44"/>
      <c r="FQI574" s="44"/>
      <c r="FQJ574" s="44"/>
      <c r="FQK574" s="44"/>
      <c r="FQL574" s="44"/>
      <c r="FQM574" s="44"/>
      <c r="FQN574" s="44"/>
      <c r="FQO574" s="44"/>
      <c r="FQP574" s="44"/>
      <c r="FQQ574" s="44"/>
      <c r="FQR574" s="44"/>
      <c r="FQS574" s="44"/>
      <c r="FQT574" s="44"/>
      <c r="FQU574" s="44"/>
      <c r="FQV574" s="44"/>
      <c r="FQW574" s="44"/>
      <c r="FQX574" s="44"/>
      <c r="FQY574" s="44"/>
      <c r="FQZ574" s="44"/>
      <c r="FRA574" s="44"/>
      <c r="FRB574" s="44"/>
      <c r="FRC574" s="44"/>
      <c r="FRD574" s="44"/>
      <c r="FRE574" s="44"/>
      <c r="FRF574" s="44"/>
      <c r="FRG574" s="44"/>
      <c r="FRH574" s="44"/>
      <c r="FRI574" s="44"/>
      <c r="FRJ574" s="44"/>
      <c r="FRK574" s="44"/>
      <c r="FRL574" s="44"/>
      <c r="FRM574" s="44"/>
      <c r="FRN574" s="44"/>
      <c r="FRO574" s="44"/>
      <c r="FRP574" s="44"/>
      <c r="FRQ574" s="44"/>
      <c r="FRR574" s="44"/>
      <c r="FRS574" s="44"/>
      <c r="FRT574" s="44"/>
      <c r="FRU574" s="44"/>
      <c r="FRV574" s="44"/>
      <c r="FRW574" s="44"/>
      <c r="FRX574" s="44"/>
      <c r="FRY574" s="44"/>
      <c r="FRZ574" s="44"/>
      <c r="FSA574" s="44"/>
      <c r="FSB574" s="44"/>
      <c r="FSC574" s="44"/>
      <c r="FSD574" s="44"/>
      <c r="FSE574" s="44"/>
      <c r="FSF574" s="44"/>
      <c r="FSG574" s="44"/>
      <c r="FSH574" s="44"/>
      <c r="FSI574" s="44"/>
      <c r="FSJ574" s="44"/>
      <c r="FSK574" s="44"/>
      <c r="FSL574" s="44"/>
      <c r="FSM574" s="44"/>
      <c r="FSN574" s="44"/>
      <c r="FSO574" s="44"/>
      <c r="FSP574" s="44"/>
      <c r="FSQ574" s="44"/>
      <c r="FSR574" s="44"/>
      <c r="FSS574" s="44"/>
      <c r="FST574" s="44"/>
      <c r="FSU574" s="44"/>
      <c r="FSV574" s="44"/>
      <c r="FSW574" s="44"/>
      <c r="FSX574" s="44"/>
      <c r="FSY574" s="44"/>
      <c r="FSZ574" s="44"/>
      <c r="FTA574" s="44"/>
      <c r="FTB574" s="44"/>
      <c r="FTC574" s="44"/>
      <c r="FTD574" s="44"/>
      <c r="FTE574" s="44"/>
      <c r="FTF574" s="44"/>
      <c r="FTG574" s="44"/>
      <c r="FTH574" s="44"/>
      <c r="FTI574" s="44"/>
      <c r="FTJ574" s="44"/>
      <c r="FTK574" s="44"/>
      <c r="FTL574" s="44"/>
      <c r="FTM574" s="44"/>
      <c r="FTN574" s="44"/>
      <c r="FTO574" s="44"/>
      <c r="FTP574" s="44"/>
      <c r="FTQ574" s="44"/>
      <c r="FTR574" s="44"/>
      <c r="FTS574" s="44"/>
      <c r="FTT574" s="44"/>
      <c r="FTU574" s="44"/>
      <c r="FTV574" s="44"/>
      <c r="FTW574" s="44"/>
      <c r="FTX574" s="44"/>
      <c r="FTY574" s="44"/>
      <c r="FTZ574" s="44"/>
      <c r="FUA574" s="44"/>
      <c r="FUB574" s="44"/>
      <c r="FUC574" s="44"/>
      <c r="FUD574" s="44"/>
      <c r="FUE574" s="44"/>
      <c r="FUF574" s="44"/>
      <c r="FUG574" s="44"/>
      <c r="FUH574" s="44"/>
      <c r="FUI574" s="44"/>
      <c r="FUJ574" s="44"/>
      <c r="FUK574" s="44"/>
      <c r="FUL574" s="44"/>
      <c r="FUM574" s="44"/>
      <c r="FUN574" s="44"/>
      <c r="FUO574" s="44"/>
      <c r="FUP574" s="44"/>
      <c r="FUQ574" s="44"/>
      <c r="FUR574" s="44"/>
      <c r="FUS574" s="44"/>
      <c r="FUT574" s="44"/>
      <c r="FUU574" s="44"/>
      <c r="FUV574" s="44"/>
      <c r="FUW574" s="44"/>
      <c r="FUX574" s="44"/>
      <c r="FUY574" s="44"/>
      <c r="FUZ574" s="44"/>
      <c r="FVA574" s="44"/>
      <c r="FVB574" s="44"/>
      <c r="FVC574" s="44"/>
      <c r="FVD574" s="44"/>
      <c r="FVE574" s="44"/>
      <c r="FVF574" s="44"/>
      <c r="FVG574" s="44"/>
      <c r="FVH574" s="44"/>
      <c r="FVI574" s="44"/>
      <c r="FVJ574" s="44"/>
      <c r="FVK574" s="44"/>
      <c r="FVL574" s="44"/>
      <c r="FVM574" s="44"/>
      <c r="FVN574" s="44"/>
      <c r="FVO574" s="44"/>
      <c r="FVP574" s="44"/>
      <c r="FVQ574" s="44"/>
      <c r="FVR574" s="44"/>
      <c r="FVS574" s="44"/>
      <c r="FVT574" s="44"/>
      <c r="FVU574" s="44"/>
      <c r="FVV574" s="44"/>
      <c r="FVW574" s="44"/>
      <c r="FVX574" s="44"/>
      <c r="FVY574" s="44"/>
      <c r="FVZ574" s="44"/>
      <c r="FWA574" s="44"/>
      <c r="FWB574" s="44"/>
      <c r="FWC574" s="44"/>
      <c r="FWD574" s="44"/>
      <c r="FWE574" s="44"/>
      <c r="FWF574" s="44"/>
      <c r="FWG574" s="44"/>
      <c r="FWH574" s="44"/>
      <c r="FWI574" s="44"/>
      <c r="FWJ574" s="44"/>
      <c r="FWK574" s="44"/>
      <c r="FWL574" s="44"/>
      <c r="FWM574" s="44"/>
      <c r="FWN574" s="44"/>
      <c r="FWO574" s="44"/>
      <c r="FWP574" s="44"/>
      <c r="FWQ574" s="44"/>
      <c r="FWR574" s="44"/>
      <c r="FWS574" s="44"/>
      <c r="FWT574" s="44"/>
      <c r="FWU574" s="44"/>
      <c r="FWV574" s="44"/>
      <c r="FWW574" s="44"/>
      <c r="FWX574" s="44"/>
      <c r="FWY574" s="44"/>
      <c r="FWZ574" s="44"/>
      <c r="FXA574" s="44"/>
      <c r="FXB574" s="44"/>
      <c r="FXC574" s="44"/>
      <c r="FXD574" s="44"/>
      <c r="FXE574" s="44"/>
      <c r="FXF574" s="44"/>
      <c r="FXG574" s="44"/>
      <c r="FXH574" s="44"/>
      <c r="FXI574" s="44"/>
      <c r="FXJ574" s="44"/>
      <c r="FXK574" s="44"/>
      <c r="FXL574" s="44"/>
      <c r="FXM574" s="44"/>
      <c r="FXN574" s="44"/>
      <c r="FXO574" s="44"/>
      <c r="FXP574" s="44"/>
      <c r="FXQ574" s="44"/>
      <c r="FXR574" s="44"/>
      <c r="FXS574" s="44"/>
      <c r="FXT574" s="44"/>
      <c r="FXU574" s="44"/>
      <c r="FXV574" s="44"/>
      <c r="FXW574" s="44"/>
      <c r="FXX574" s="44"/>
      <c r="FXY574" s="44"/>
      <c r="FXZ574" s="44"/>
      <c r="FYA574" s="44"/>
      <c r="FYB574" s="44"/>
      <c r="FYC574" s="44"/>
      <c r="FYD574" s="44"/>
      <c r="FYE574" s="44"/>
      <c r="FYF574" s="44"/>
      <c r="FYG574" s="44"/>
      <c r="FYH574" s="44"/>
      <c r="FYI574" s="44"/>
      <c r="FYJ574" s="44"/>
      <c r="FYK574" s="44"/>
      <c r="FYL574" s="44"/>
      <c r="FYM574" s="44"/>
      <c r="FYN574" s="44"/>
      <c r="FYO574" s="44"/>
      <c r="FYP574" s="44"/>
      <c r="FYQ574" s="44"/>
      <c r="FYR574" s="44"/>
      <c r="FYS574" s="44"/>
      <c r="FYT574" s="44"/>
      <c r="FYU574" s="44"/>
      <c r="FYV574" s="44"/>
      <c r="FYW574" s="44"/>
      <c r="FYX574" s="44"/>
      <c r="FYY574" s="44"/>
      <c r="FYZ574" s="44"/>
      <c r="FZA574" s="44"/>
      <c r="FZB574" s="44"/>
      <c r="FZC574" s="44"/>
      <c r="FZD574" s="44"/>
      <c r="FZE574" s="44"/>
      <c r="FZF574" s="44"/>
      <c r="FZG574" s="44"/>
      <c r="FZH574" s="44"/>
      <c r="FZI574" s="44"/>
      <c r="FZJ574" s="44"/>
      <c r="FZK574" s="44"/>
      <c r="FZL574" s="44"/>
      <c r="FZM574" s="44"/>
      <c r="FZN574" s="44"/>
      <c r="FZO574" s="44"/>
      <c r="FZP574" s="44"/>
      <c r="FZQ574" s="44"/>
      <c r="FZR574" s="44"/>
      <c r="FZS574" s="44"/>
      <c r="FZT574" s="44"/>
      <c r="FZU574" s="44"/>
      <c r="FZV574" s="44"/>
      <c r="FZW574" s="44"/>
      <c r="FZX574" s="44"/>
      <c r="FZY574" s="44"/>
      <c r="FZZ574" s="44"/>
      <c r="GAA574" s="44"/>
      <c r="GAB574" s="44"/>
      <c r="GAC574" s="44"/>
      <c r="GAD574" s="44"/>
      <c r="GAE574" s="44"/>
      <c r="GAF574" s="44"/>
      <c r="GAG574" s="44"/>
      <c r="GAH574" s="44"/>
      <c r="GAI574" s="44"/>
      <c r="GAJ574" s="44"/>
      <c r="GAK574" s="44"/>
      <c r="GAL574" s="44"/>
      <c r="GAM574" s="44"/>
      <c r="GAN574" s="44"/>
      <c r="GAO574" s="44"/>
      <c r="GAP574" s="44"/>
      <c r="GAQ574" s="44"/>
      <c r="GAR574" s="44"/>
      <c r="GAS574" s="44"/>
      <c r="GAT574" s="44"/>
      <c r="GAU574" s="44"/>
      <c r="GAV574" s="44"/>
      <c r="GAW574" s="44"/>
      <c r="GAX574" s="44"/>
      <c r="GAY574" s="44"/>
      <c r="GAZ574" s="44"/>
      <c r="GBA574" s="44"/>
      <c r="GBB574" s="44"/>
      <c r="GBC574" s="44"/>
      <c r="GBD574" s="44"/>
      <c r="GBE574" s="44"/>
      <c r="GBF574" s="44"/>
      <c r="GBG574" s="44"/>
      <c r="GBH574" s="44"/>
      <c r="GBI574" s="44"/>
      <c r="GBJ574" s="44"/>
      <c r="GBK574" s="44"/>
      <c r="GBL574" s="44"/>
      <c r="GBM574" s="44"/>
      <c r="GBN574" s="44"/>
      <c r="GBO574" s="44"/>
      <c r="GBP574" s="44"/>
      <c r="GBQ574" s="44"/>
      <c r="GBR574" s="44"/>
      <c r="GBS574" s="44"/>
      <c r="GBT574" s="44"/>
      <c r="GBU574" s="44"/>
      <c r="GBV574" s="44"/>
      <c r="GBW574" s="44"/>
      <c r="GBX574" s="44"/>
      <c r="GBY574" s="44"/>
      <c r="GBZ574" s="44"/>
      <c r="GCA574" s="44"/>
      <c r="GCB574" s="44"/>
      <c r="GCC574" s="44"/>
      <c r="GCD574" s="44"/>
      <c r="GCE574" s="44"/>
      <c r="GCF574" s="44"/>
      <c r="GCG574" s="44"/>
      <c r="GCH574" s="44"/>
      <c r="GCI574" s="44"/>
      <c r="GCJ574" s="44"/>
      <c r="GCK574" s="44"/>
      <c r="GCL574" s="44"/>
      <c r="GCM574" s="44"/>
      <c r="GCN574" s="44"/>
      <c r="GCO574" s="44"/>
      <c r="GCP574" s="44"/>
      <c r="GCQ574" s="44"/>
      <c r="GCR574" s="44"/>
      <c r="GCS574" s="44"/>
      <c r="GCT574" s="44"/>
      <c r="GCU574" s="44"/>
      <c r="GCV574" s="44"/>
      <c r="GCW574" s="44"/>
      <c r="GCX574" s="44"/>
      <c r="GCY574" s="44"/>
      <c r="GCZ574" s="44"/>
      <c r="GDA574" s="44"/>
      <c r="GDB574" s="44"/>
      <c r="GDC574" s="44"/>
      <c r="GDD574" s="44"/>
      <c r="GDE574" s="44"/>
      <c r="GDF574" s="44"/>
      <c r="GDG574" s="44"/>
      <c r="GDH574" s="44"/>
      <c r="GDI574" s="44"/>
      <c r="GDJ574" s="44"/>
      <c r="GDK574" s="44"/>
      <c r="GDL574" s="44"/>
      <c r="GDM574" s="44"/>
      <c r="GDN574" s="44"/>
      <c r="GDO574" s="44"/>
      <c r="GDP574" s="44"/>
      <c r="GDQ574" s="44"/>
      <c r="GDR574" s="44"/>
      <c r="GDS574" s="44"/>
      <c r="GDT574" s="44"/>
      <c r="GDU574" s="44"/>
      <c r="GDV574" s="44"/>
      <c r="GDW574" s="44"/>
      <c r="GDX574" s="44"/>
      <c r="GDY574" s="44"/>
      <c r="GDZ574" s="44"/>
      <c r="GEA574" s="44"/>
      <c r="GEB574" s="44"/>
      <c r="GEC574" s="44"/>
      <c r="GED574" s="44"/>
      <c r="GEE574" s="44"/>
      <c r="GEF574" s="44"/>
      <c r="GEG574" s="44"/>
      <c r="GEH574" s="44"/>
      <c r="GEI574" s="44"/>
      <c r="GEJ574" s="44"/>
      <c r="GEK574" s="44"/>
      <c r="GEL574" s="44"/>
      <c r="GEM574" s="44"/>
      <c r="GEN574" s="44"/>
      <c r="GEO574" s="44"/>
      <c r="GEP574" s="44"/>
      <c r="GEQ574" s="44"/>
      <c r="GER574" s="44"/>
      <c r="GES574" s="44"/>
      <c r="GET574" s="44"/>
      <c r="GEU574" s="44"/>
      <c r="GEV574" s="44"/>
      <c r="GEW574" s="44"/>
      <c r="GEX574" s="44"/>
      <c r="GEY574" s="44"/>
      <c r="GEZ574" s="44"/>
      <c r="GFA574" s="44"/>
      <c r="GFB574" s="44"/>
      <c r="GFC574" s="44"/>
      <c r="GFD574" s="44"/>
      <c r="GFE574" s="44"/>
      <c r="GFF574" s="44"/>
      <c r="GFG574" s="44"/>
      <c r="GFH574" s="44"/>
      <c r="GFI574" s="44"/>
      <c r="GFJ574" s="44"/>
      <c r="GFK574" s="44"/>
      <c r="GFL574" s="44"/>
      <c r="GFM574" s="44"/>
      <c r="GFN574" s="44"/>
      <c r="GFO574" s="44"/>
      <c r="GFP574" s="44"/>
      <c r="GFQ574" s="44"/>
      <c r="GFR574" s="44"/>
      <c r="GFS574" s="44"/>
      <c r="GFT574" s="44"/>
      <c r="GFU574" s="44"/>
      <c r="GFV574" s="44"/>
      <c r="GFW574" s="44"/>
      <c r="GFX574" s="44"/>
      <c r="GFY574" s="44"/>
      <c r="GFZ574" s="44"/>
      <c r="GGA574" s="44"/>
      <c r="GGB574" s="44"/>
      <c r="GGC574" s="44"/>
      <c r="GGD574" s="44"/>
      <c r="GGE574" s="44"/>
      <c r="GGF574" s="44"/>
      <c r="GGG574" s="44"/>
      <c r="GGH574" s="44"/>
      <c r="GGI574" s="44"/>
      <c r="GGJ574" s="44"/>
      <c r="GGK574" s="44"/>
      <c r="GGL574" s="44"/>
      <c r="GGM574" s="44"/>
      <c r="GGN574" s="44"/>
      <c r="GGO574" s="44"/>
      <c r="GGP574" s="44"/>
      <c r="GGQ574" s="44"/>
      <c r="GGR574" s="44"/>
      <c r="GGS574" s="44"/>
      <c r="GGT574" s="44"/>
      <c r="GGU574" s="44"/>
      <c r="GGV574" s="44"/>
      <c r="GGW574" s="44"/>
      <c r="GGX574" s="44"/>
      <c r="GGY574" s="44"/>
      <c r="GGZ574" s="44"/>
      <c r="GHA574" s="44"/>
      <c r="GHB574" s="44"/>
      <c r="GHC574" s="44"/>
      <c r="GHD574" s="44"/>
      <c r="GHE574" s="44"/>
      <c r="GHF574" s="44"/>
      <c r="GHG574" s="44"/>
      <c r="GHH574" s="44"/>
      <c r="GHI574" s="44"/>
      <c r="GHJ574" s="44"/>
      <c r="GHK574" s="44"/>
      <c r="GHL574" s="44"/>
      <c r="GHM574" s="44"/>
      <c r="GHN574" s="44"/>
      <c r="GHO574" s="44"/>
      <c r="GHP574" s="44"/>
      <c r="GHQ574" s="44"/>
      <c r="GHR574" s="44"/>
      <c r="GHS574" s="44"/>
      <c r="GHT574" s="44"/>
      <c r="GHU574" s="44"/>
      <c r="GHV574" s="44"/>
      <c r="GHW574" s="44"/>
      <c r="GHX574" s="44"/>
      <c r="GHY574" s="44"/>
      <c r="GHZ574" s="44"/>
      <c r="GIA574" s="44"/>
      <c r="GIB574" s="44"/>
      <c r="GIC574" s="44"/>
      <c r="GID574" s="44"/>
      <c r="GIE574" s="44"/>
      <c r="GIF574" s="44"/>
      <c r="GIG574" s="44"/>
      <c r="GIH574" s="44"/>
      <c r="GII574" s="44"/>
      <c r="GIJ574" s="44"/>
      <c r="GIK574" s="44"/>
      <c r="GIL574" s="44"/>
      <c r="GIM574" s="44"/>
      <c r="GIN574" s="44"/>
      <c r="GIO574" s="44"/>
      <c r="GIP574" s="44"/>
      <c r="GIQ574" s="44"/>
      <c r="GIR574" s="44"/>
      <c r="GIS574" s="44"/>
      <c r="GIT574" s="44"/>
      <c r="GIU574" s="44"/>
      <c r="GIV574" s="44"/>
      <c r="GIW574" s="44"/>
      <c r="GIX574" s="44"/>
      <c r="GIY574" s="44"/>
      <c r="GIZ574" s="44"/>
      <c r="GJA574" s="44"/>
      <c r="GJB574" s="44"/>
      <c r="GJC574" s="44"/>
      <c r="GJD574" s="44"/>
      <c r="GJE574" s="44"/>
      <c r="GJF574" s="44"/>
      <c r="GJG574" s="44"/>
      <c r="GJH574" s="44"/>
      <c r="GJI574" s="44"/>
      <c r="GJJ574" s="44"/>
      <c r="GJK574" s="44"/>
      <c r="GJL574" s="44"/>
      <c r="GJM574" s="44"/>
      <c r="GJN574" s="44"/>
      <c r="GJO574" s="44"/>
      <c r="GJP574" s="44"/>
      <c r="GJQ574" s="44"/>
      <c r="GJR574" s="44"/>
      <c r="GJS574" s="44"/>
      <c r="GJT574" s="44"/>
      <c r="GJU574" s="44"/>
      <c r="GJV574" s="44"/>
      <c r="GJW574" s="44"/>
      <c r="GJX574" s="44"/>
      <c r="GJY574" s="44"/>
      <c r="GJZ574" s="44"/>
      <c r="GKA574" s="44"/>
      <c r="GKB574" s="44"/>
      <c r="GKC574" s="44"/>
      <c r="GKD574" s="44"/>
      <c r="GKE574" s="44"/>
      <c r="GKF574" s="44"/>
      <c r="GKG574" s="44"/>
      <c r="GKH574" s="44"/>
      <c r="GKI574" s="44"/>
      <c r="GKJ574" s="44"/>
      <c r="GKK574" s="44"/>
      <c r="GKL574" s="44"/>
      <c r="GKM574" s="44"/>
      <c r="GKN574" s="44"/>
      <c r="GKO574" s="44"/>
      <c r="GKP574" s="44"/>
      <c r="GKQ574" s="44"/>
      <c r="GKR574" s="44"/>
      <c r="GKS574" s="44"/>
      <c r="GKT574" s="44"/>
      <c r="GKU574" s="44"/>
      <c r="GKV574" s="44"/>
      <c r="GKW574" s="44"/>
      <c r="GKX574" s="44"/>
      <c r="GKY574" s="44"/>
      <c r="GKZ574" s="44"/>
      <c r="GLA574" s="44"/>
      <c r="GLB574" s="44"/>
      <c r="GLC574" s="44"/>
      <c r="GLD574" s="44"/>
      <c r="GLE574" s="44"/>
      <c r="GLF574" s="44"/>
      <c r="GLG574" s="44"/>
      <c r="GLH574" s="44"/>
      <c r="GLI574" s="44"/>
      <c r="GLJ574" s="44"/>
      <c r="GLK574" s="44"/>
      <c r="GLL574" s="44"/>
      <c r="GLM574" s="44"/>
      <c r="GLN574" s="44"/>
      <c r="GLO574" s="44"/>
      <c r="GLP574" s="44"/>
      <c r="GLQ574" s="44"/>
      <c r="GLR574" s="44"/>
      <c r="GLS574" s="44"/>
      <c r="GLT574" s="44"/>
      <c r="GLU574" s="44"/>
      <c r="GLV574" s="44"/>
      <c r="GLW574" s="44"/>
      <c r="GLX574" s="44"/>
      <c r="GLY574" s="44"/>
      <c r="GLZ574" s="44"/>
      <c r="GMA574" s="44"/>
      <c r="GMB574" s="44"/>
      <c r="GMC574" s="44"/>
      <c r="GMD574" s="44"/>
      <c r="GME574" s="44"/>
      <c r="GMF574" s="44"/>
      <c r="GMG574" s="44"/>
      <c r="GMH574" s="44"/>
      <c r="GMI574" s="44"/>
      <c r="GMJ574" s="44"/>
      <c r="GMK574" s="44"/>
      <c r="GML574" s="44"/>
      <c r="GMM574" s="44"/>
      <c r="GMN574" s="44"/>
      <c r="GMO574" s="44"/>
      <c r="GMP574" s="44"/>
      <c r="GMQ574" s="44"/>
      <c r="GMR574" s="44"/>
      <c r="GMS574" s="44"/>
      <c r="GMT574" s="44"/>
      <c r="GMU574" s="44"/>
      <c r="GMV574" s="44"/>
      <c r="GMW574" s="44"/>
      <c r="GMX574" s="44"/>
      <c r="GMY574" s="44"/>
      <c r="GMZ574" s="44"/>
      <c r="GNA574" s="44"/>
      <c r="GNB574" s="44"/>
      <c r="GNC574" s="44"/>
      <c r="GND574" s="44"/>
      <c r="GNE574" s="44"/>
      <c r="GNF574" s="44"/>
      <c r="GNG574" s="44"/>
      <c r="GNH574" s="44"/>
      <c r="GNI574" s="44"/>
      <c r="GNJ574" s="44"/>
      <c r="GNK574" s="44"/>
      <c r="GNL574" s="44"/>
      <c r="GNM574" s="44"/>
      <c r="GNN574" s="44"/>
      <c r="GNO574" s="44"/>
      <c r="GNP574" s="44"/>
      <c r="GNQ574" s="44"/>
      <c r="GNR574" s="44"/>
      <c r="GNS574" s="44"/>
      <c r="GNT574" s="44"/>
      <c r="GNU574" s="44"/>
      <c r="GNV574" s="44"/>
      <c r="GNW574" s="44"/>
      <c r="GNX574" s="44"/>
      <c r="GNY574" s="44"/>
      <c r="GNZ574" s="44"/>
      <c r="GOA574" s="44"/>
      <c r="GOB574" s="44"/>
      <c r="GOC574" s="44"/>
      <c r="GOD574" s="44"/>
      <c r="GOE574" s="44"/>
      <c r="GOF574" s="44"/>
      <c r="GOG574" s="44"/>
      <c r="GOH574" s="44"/>
      <c r="GOI574" s="44"/>
      <c r="GOJ574" s="44"/>
      <c r="GOK574" s="44"/>
      <c r="GOL574" s="44"/>
      <c r="GOM574" s="44"/>
      <c r="GON574" s="44"/>
      <c r="GOO574" s="44"/>
      <c r="GOP574" s="44"/>
      <c r="GOQ574" s="44"/>
      <c r="GOR574" s="44"/>
      <c r="GOS574" s="44"/>
      <c r="GOT574" s="44"/>
      <c r="GOU574" s="44"/>
      <c r="GOV574" s="44"/>
      <c r="GOW574" s="44"/>
      <c r="GOX574" s="44"/>
      <c r="GOY574" s="44"/>
      <c r="GOZ574" s="44"/>
      <c r="GPA574" s="44"/>
      <c r="GPB574" s="44"/>
      <c r="GPC574" s="44"/>
      <c r="GPD574" s="44"/>
      <c r="GPE574" s="44"/>
      <c r="GPF574" s="44"/>
      <c r="GPG574" s="44"/>
      <c r="GPH574" s="44"/>
      <c r="GPI574" s="44"/>
      <c r="GPJ574" s="44"/>
      <c r="GPK574" s="44"/>
      <c r="GPL574" s="44"/>
      <c r="GPM574" s="44"/>
      <c r="GPN574" s="44"/>
      <c r="GPO574" s="44"/>
      <c r="GPP574" s="44"/>
      <c r="GPQ574" s="44"/>
      <c r="GPR574" s="44"/>
      <c r="GPS574" s="44"/>
      <c r="GPT574" s="44"/>
      <c r="GPU574" s="44"/>
      <c r="GPV574" s="44"/>
      <c r="GPW574" s="44"/>
      <c r="GPX574" s="44"/>
      <c r="GPY574" s="44"/>
      <c r="GPZ574" s="44"/>
      <c r="GQA574" s="44"/>
      <c r="GQB574" s="44"/>
      <c r="GQC574" s="44"/>
      <c r="GQD574" s="44"/>
      <c r="GQE574" s="44"/>
      <c r="GQF574" s="44"/>
      <c r="GQG574" s="44"/>
      <c r="GQH574" s="44"/>
      <c r="GQI574" s="44"/>
      <c r="GQJ574" s="44"/>
      <c r="GQK574" s="44"/>
      <c r="GQL574" s="44"/>
      <c r="GQM574" s="44"/>
      <c r="GQN574" s="44"/>
      <c r="GQO574" s="44"/>
      <c r="GQP574" s="44"/>
      <c r="GQQ574" s="44"/>
      <c r="GQR574" s="44"/>
      <c r="GQS574" s="44"/>
      <c r="GQT574" s="44"/>
      <c r="GQU574" s="44"/>
      <c r="GQV574" s="44"/>
      <c r="GQW574" s="44"/>
      <c r="GQX574" s="44"/>
      <c r="GQY574" s="44"/>
      <c r="GQZ574" s="44"/>
      <c r="GRA574" s="44"/>
      <c r="GRB574" s="44"/>
      <c r="GRC574" s="44"/>
      <c r="GRD574" s="44"/>
      <c r="GRE574" s="44"/>
      <c r="GRF574" s="44"/>
      <c r="GRG574" s="44"/>
      <c r="GRH574" s="44"/>
      <c r="GRI574" s="44"/>
      <c r="GRJ574" s="44"/>
      <c r="GRK574" s="44"/>
      <c r="GRL574" s="44"/>
      <c r="GRM574" s="44"/>
      <c r="GRN574" s="44"/>
      <c r="GRO574" s="44"/>
      <c r="GRP574" s="44"/>
      <c r="GRQ574" s="44"/>
      <c r="GRR574" s="44"/>
      <c r="GRS574" s="44"/>
      <c r="GRT574" s="44"/>
      <c r="GRU574" s="44"/>
      <c r="GRV574" s="44"/>
      <c r="GRW574" s="44"/>
      <c r="GRX574" s="44"/>
      <c r="GRY574" s="44"/>
      <c r="GRZ574" s="44"/>
      <c r="GSA574" s="44"/>
      <c r="GSB574" s="44"/>
      <c r="GSC574" s="44"/>
      <c r="GSD574" s="44"/>
      <c r="GSE574" s="44"/>
      <c r="GSF574" s="44"/>
      <c r="GSG574" s="44"/>
      <c r="GSH574" s="44"/>
      <c r="GSI574" s="44"/>
      <c r="GSJ574" s="44"/>
      <c r="GSK574" s="44"/>
      <c r="GSL574" s="44"/>
      <c r="GSM574" s="44"/>
      <c r="GSN574" s="44"/>
      <c r="GSO574" s="44"/>
      <c r="GSP574" s="44"/>
      <c r="GSQ574" s="44"/>
      <c r="GSR574" s="44"/>
      <c r="GSS574" s="44"/>
      <c r="GST574" s="44"/>
      <c r="GSU574" s="44"/>
      <c r="GSV574" s="44"/>
      <c r="GSW574" s="44"/>
      <c r="GSX574" s="44"/>
      <c r="GSY574" s="44"/>
      <c r="GSZ574" s="44"/>
      <c r="GTA574" s="44"/>
      <c r="GTB574" s="44"/>
      <c r="GTC574" s="44"/>
      <c r="GTD574" s="44"/>
      <c r="GTE574" s="44"/>
      <c r="GTF574" s="44"/>
      <c r="GTG574" s="44"/>
      <c r="GTH574" s="44"/>
      <c r="GTI574" s="44"/>
      <c r="GTJ574" s="44"/>
      <c r="GTK574" s="44"/>
      <c r="GTL574" s="44"/>
      <c r="GTM574" s="44"/>
      <c r="GTN574" s="44"/>
      <c r="GTO574" s="44"/>
      <c r="GTP574" s="44"/>
      <c r="GTQ574" s="44"/>
      <c r="GTR574" s="44"/>
      <c r="GTS574" s="44"/>
      <c r="GTT574" s="44"/>
      <c r="GTU574" s="44"/>
      <c r="GTV574" s="44"/>
      <c r="GTW574" s="44"/>
      <c r="GTX574" s="44"/>
      <c r="GTY574" s="44"/>
      <c r="GTZ574" s="44"/>
      <c r="GUA574" s="44"/>
      <c r="GUB574" s="44"/>
      <c r="GUC574" s="44"/>
      <c r="GUD574" s="44"/>
      <c r="GUE574" s="44"/>
      <c r="GUF574" s="44"/>
      <c r="GUG574" s="44"/>
      <c r="GUH574" s="44"/>
      <c r="GUI574" s="44"/>
      <c r="GUJ574" s="44"/>
      <c r="GUK574" s="44"/>
      <c r="GUL574" s="44"/>
      <c r="GUM574" s="44"/>
      <c r="GUN574" s="44"/>
      <c r="GUO574" s="44"/>
      <c r="GUP574" s="44"/>
      <c r="GUQ574" s="44"/>
      <c r="GUR574" s="44"/>
      <c r="GUS574" s="44"/>
      <c r="GUT574" s="44"/>
      <c r="GUU574" s="44"/>
      <c r="GUV574" s="44"/>
      <c r="GUW574" s="44"/>
      <c r="GUX574" s="44"/>
      <c r="GUY574" s="44"/>
      <c r="GUZ574" s="44"/>
      <c r="GVA574" s="44"/>
      <c r="GVB574" s="44"/>
      <c r="GVC574" s="44"/>
      <c r="GVD574" s="44"/>
      <c r="GVE574" s="44"/>
      <c r="GVF574" s="44"/>
      <c r="GVG574" s="44"/>
      <c r="GVH574" s="44"/>
      <c r="GVI574" s="44"/>
      <c r="GVJ574" s="44"/>
      <c r="GVK574" s="44"/>
      <c r="GVL574" s="44"/>
      <c r="GVM574" s="44"/>
      <c r="GVN574" s="44"/>
      <c r="GVO574" s="44"/>
      <c r="GVP574" s="44"/>
      <c r="GVQ574" s="44"/>
      <c r="GVR574" s="44"/>
      <c r="GVS574" s="44"/>
      <c r="GVT574" s="44"/>
      <c r="GVU574" s="44"/>
      <c r="GVV574" s="44"/>
      <c r="GVW574" s="44"/>
      <c r="GVX574" s="44"/>
      <c r="GVY574" s="44"/>
      <c r="GVZ574" s="44"/>
      <c r="GWA574" s="44"/>
      <c r="GWB574" s="44"/>
      <c r="GWC574" s="44"/>
      <c r="GWD574" s="44"/>
      <c r="GWE574" s="44"/>
      <c r="GWF574" s="44"/>
      <c r="GWG574" s="44"/>
      <c r="GWH574" s="44"/>
      <c r="GWI574" s="44"/>
      <c r="GWJ574" s="44"/>
      <c r="GWK574" s="44"/>
      <c r="GWL574" s="44"/>
      <c r="GWM574" s="44"/>
      <c r="GWN574" s="44"/>
      <c r="GWO574" s="44"/>
      <c r="GWP574" s="44"/>
      <c r="GWQ574" s="44"/>
      <c r="GWR574" s="44"/>
      <c r="GWS574" s="44"/>
      <c r="GWT574" s="44"/>
      <c r="GWU574" s="44"/>
      <c r="GWV574" s="44"/>
      <c r="GWW574" s="44"/>
      <c r="GWX574" s="44"/>
      <c r="GWY574" s="44"/>
      <c r="GWZ574" s="44"/>
      <c r="GXA574" s="44"/>
      <c r="GXB574" s="44"/>
      <c r="GXC574" s="44"/>
      <c r="GXD574" s="44"/>
      <c r="GXE574" s="44"/>
      <c r="GXF574" s="44"/>
      <c r="GXG574" s="44"/>
      <c r="GXH574" s="44"/>
      <c r="GXI574" s="44"/>
      <c r="GXJ574" s="44"/>
      <c r="GXK574" s="44"/>
      <c r="GXL574" s="44"/>
      <c r="GXM574" s="44"/>
      <c r="GXN574" s="44"/>
      <c r="GXO574" s="44"/>
      <c r="GXP574" s="44"/>
      <c r="GXQ574" s="44"/>
      <c r="GXR574" s="44"/>
      <c r="GXS574" s="44"/>
      <c r="GXT574" s="44"/>
      <c r="GXU574" s="44"/>
      <c r="GXV574" s="44"/>
      <c r="GXW574" s="44"/>
      <c r="GXX574" s="44"/>
      <c r="GXY574" s="44"/>
      <c r="GXZ574" s="44"/>
      <c r="GYA574" s="44"/>
      <c r="GYB574" s="44"/>
      <c r="GYC574" s="44"/>
      <c r="GYD574" s="44"/>
      <c r="GYE574" s="44"/>
      <c r="GYF574" s="44"/>
      <c r="GYG574" s="44"/>
      <c r="GYH574" s="44"/>
      <c r="GYI574" s="44"/>
      <c r="GYJ574" s="44"/>
      <c r="GYK574" s="44"/>
      <c r="GYL574" s="44"/>
      <c r="GYM574" s="44"/>
      <c r="GYN574" s="44"/>
      <c r="GYO574" s="44"/>
      <c r="GYP574" s="44"/>
      <c r="GYQ574" s="44"/>
      <c r="GYR574" s="44"/>
      <c r="GYS574" s="44"/>
      <c r="GYT574" s="44"/>
      <c r="GYU574" s="44"/>
      <c r="GYV574" s="44"/>
      <c r="GYW574" s="44"/>
      <c r="GYX574" s="44"/>
      <c r="GYY574" s="44"/>
      <c r="GYZ574" s="44"/>
      <c r="GZA574" s="44"/>
      <c r="GZB574" s="44"/>
      <c r="GZC574" s="44"/>
      <c r="GZD574" s="44"/>
      <c r="GZE574" s="44"/>
      <c r="GZF574" s="44"/>
      <c r="GZG574" s="44"/>
      <c r="GZH574" s="44"/>
      <c r="GZI574" s="44"/>
      <c r="GZJ574" s="44"/>
      <c r="GZK574" s="44"/>
      <c r="GZL574" s="44"/>
      <c r="GZM574" s="44"/>
      <c r="GZN574" s="44"/>
      <c r="GZO574" s="44"/>
      <c r="GZP574" s="44"/>
      <c r="GZQ574" s="44"/>
      <c r="GZR574" s="44"/>
      <c r="GZS574" s="44"/>
      <c r="GZT574" s="44"/>
      <c r="GZU574" s="44"/>
      <c r="GZV574" s="44"/>
      <c r="GZW574" s="44"/>
      <c r="GZX574" s="44"/>
      <c r="GZY574" s="44"/>
      <c r="GZZ574" s="44"/>
      <c r="HAA574" s="44"/>
      <c r="HAB574" s="44"/>
      <c r="HAC574" s="44"/>
      <c r="HAD574" s="44"/>
      <c r="HAE574" s="44"/>
      <c r="HAF574" s="44"/>
      <c r="HAG574" s="44"/>
      <c r="HAH574" s="44"/>
      <c r="HAI574" s="44"/>
      <c r="HAJ574" s="44"/>
      <c r="HAK574" s="44"/>
      <c r="HAL574" s="44"/>
      <c r="HAM574" s="44"/>
      <c r="HAN574" s="44"/>
      <c r="HAO574" s="44"/>
      <c r="HAP574" s="44"/>
      <c r="HAQ574" s="44"/>
      <c r="HAR574" s="44"/>
      <c r="HAS574" s="44"/>
      <c r="HAT574" s="44"/>
      <c r="HAU574" s="44"/>
      <c r="HAV574" s="44"/>
      <c r="HAW574" s="44"/>
      <c r="HAX574" s="44"/>
      <c r="HAY574" s="44"/>
      <c r="HAZ574" s="44"/>
      <c r="HBA574" s="44"/>
      <c r="HBB574" s="44"/>
      <c r="HBC574" s="44"/>
      <c r="HBD574" s="44"/>
      <c r="HBE574" s="44"/>
      <c r="HBF574" s="44"/>
      <c r="HBG574" s="44"/>
      <c r="HBH574" s="44"/>
      <c r="HBI574" s="44"/>
      <c r="HBJ574" s="44"/>
      <c r="HBK574" s="44"/>
      <c r="HBL574" s="44"/>
      <c r="HBM574" s="44"/>
      <c r="HBN574" s="44"/>
      <c r="HBO574" s="44"/>
      <c r="HBP574" s="44"/>
      <c r="HBQ574" s="44"/>
      <c r="HBR574" s="44"/>
      <c r="HBS574" s="44"/>
      <c r="HBT574" s="44"/>
      <c r="HBU574" s="44"/>
      <c r="HBV574" s="44"/>
      <c r="HBW574" s="44"/>
      <c r="HBX574" s="44"/>
      <c r="HBY574" s="44"/>
      <c r="HBZ574" s="44"/>
      <c r="HCA574" s="44"/>
      <c r="HCB574" s="44"/>
      <c r="HCC574" s="44"/>
      <c r="HCD574" s="44"/>
      <c r="HCE574" s="44"/>
      <c r="HCF574" s="44"/>
      <c r="HCG574" s="44"/>
      <c r="HCH574" s="44"/>
      <c r="HCI574" s="44"/>
      <c r="HCJ574" s="44"/>
      <c r="HCK574" s="44"/>
      <c r="HCL574" s="44"/>
      <c r="HCM574" s="44"/>
      <c r="HCN574" s="44"/>
      <c r="HCO574" s="44"/>
      <c r="HCP574" s="44"/>
      <c r="HCQ574" s="44"/>
      <c r="HCR574" s="44"/>
      <c r="HCS574" s="44"/>
      <c r="HCT574" s="44"/>
      <c r="HCU574" s="44"/>
      <c r="HCV574" s="44"/>
      <c r="HCW574" s="44"/>
      <c r="HCX574" s="44"/>
      <c r="HCY574" s="44"/>
      <c r="HCZ574" s="44"/>
      <c r="HDA574" s="44"/>
      <c r="HDB574" s="44"/>
      <c r="HDC574" s="44"/>
      <c r="HDD574" s="44"/>
      <c r="HDE574" s="44"/>
      <c r="HDF574" s="44"/>
      <c r="HDG574" s="44"/>
      <c r="HDH574" s="44"/>
      <c r="HDI574" s="44"/>
      <c r="HDJ574" s="44"/>
      <c r="HDK574" s="44"/>
      <c r="HDL574" s="44"/>
      <c r="HDM574" s="44"/>
      <c r="HDN574" s="44"/>
      <c r="HDO574" s="44"/>
      <c r="HDP574" s="44"/>
      <c r="HDQ574" s="44"/>
      <c r="HDR574" s="44"/>
      <c r="HDS574" s="44"/>
      <c r="HDT574" s="44"/>
      <c r="HDU574" s="44"/>
      <c r="HDV574" s="44"/>
      <c r="HDW574" s="44"/>
      <c r="HDX574" s="44"/>
      <c r="HDY574" s="44"/>
      <c r="HDZ574" s="44"/>
      <c r="HEA574" s="44"/>
      <c r="HEB574" s="44"/>
      <c r="HEC574" s="44"/>
      <c r="HED574" s="44"/>
      <c r="HEE574" s="44"/>
      <c r="HEF574" s="44"/>
      <c r="HEG574" s="44"/>
      <c r="HEH574" s="44"/>
      <c r="HEI574" s="44"/>
      <c r="HEJ574" s="44"/>
      <c r="HEK574" s="44"/>
      <c r="HEL574" s="44"/>
      <c r="HEM574" s="44"/>
      <c r="HEN574" s="44"/>
      <c r="HEO574" s="44"/>
      <c r="HEP574" s="44"/>
      <c r="HEQ574" s="44"/>
      <c r="HER574" s="44"/>
      <c r="HES574" s="44"/>
      <c r="HET574" s="44"/>
      <c r="HEU574" s="44"/>
      <c r="HEV574" s="44"/>
      <c r="HEW574" s="44"/>
      <c r="HEX574" s="44"/>
      <c r="HEY574" s="44"/>
      <c r="HEZ574" s="44"/>
      <c r="HFA574" s="44"/>
      <c r="HFB574" s="44"/>
      <c r="HFC574" s="44"/>
      <c r="HFD574" s="44"/>
      <c r="HFE574" s="44"/>
      <c r="HFF574" s="44"/>
      <c r="HFG574" s="44"/>
      <c r="HFH574" s="44"/>
      <c r="HFI574" s="44"/>
      <c r="HFJ574" s="44"/>
      <c r="HFK574" s="44"/>
      <c r="HFL574" s="44"/>
      <c r="HFM574" s="44"/>
      <c r="HFN574" s="44"/>
      <c r="HFO574" s="44"/>
      <c r="HFP574" s="44"/>
      <c r="HFQ574" s="44"/>
      <c r="HFR574" s="44"/>
      <c r="HFS574" s="44"/>
      <c r="HFT574" s="44"/>
      <c r="HFU574" s="44"/>
      <c r="HFV574" s="44"/>
      <c r="HFW574" s="44"/>
      <c r="HFX574" s="44"/>
      <c r="HFY574" s="44"/>
      <c r="HFZ574" s="44"/>
      <c r="HGA574" s="44"/>
      <c r="HGB574" s="44"/>
      <c r="HGC574" s="44"/>
      <c r="HGD574" s="44"/>
      <c r="HGE574" s="44"/>
      <c r="HGF574" s="44"/>
      <c r="HGG574" s="44"/>
      <c r="HGH574" s="44"/>
      <c r="HGI574" s="44"/>
      <c r="HGJ574" s="44"/>
      <c r="HGK574" s="44"/>
      <c r="HGL574" s="44"/>
      <c r="HGM574" s="44"/>
      <c r="HGN574" s="44"/>
      <c r="HGO574" s="44"/>
      <c r="HGP574" s="44"/>
      <c r="HGQ574" s="44"/>
      <c r="HGR574" s="44"/>
      <c r="HGS574" s="44"/>
      <c r="HGT574" s="44"/>
      <c r="HGU574" s="44"/>
      <c r="HGV574" s="44"/>
      <c r="HGW574" s="44"/>
      <c r="HGX574" s="44"/>
      <c r="HGY574" s="44"/>
      <c r="HGZ574" s="44"/>
      <c r="HHA574" s="44"/>
      <c r="HHB574" s="44"/>
      <c r="HHC574" s="44"/>
      <c r="HHD574" s="44"/>
      <c r="HHE574" s="44"/>
      <c r="HHF574" s="44"/>
      <c r="HHG574" s="44"/>
      <c r="HHH574" s="44"/>
      <c r="HHI574" s="44"/>
      <c r="HHJ574" s="44"/>
      <c r="HHK574" s="44"/>
      <c r="HHL574" s="44"/>
      <c r="HHM574" s="44"/>
      <c r="HHN574" s="44"/>
      <c r="HHO574" s="44"/>
      <c r="HHP574" s="44"/>
      <c r="HHQ574" s="44"/>
      <c r="HHR574" s="44"/>
      <c r="HHS574" s="44"/>
      <c r="HHT574" s="44"/>
      <c r="HHU574" s="44"/>
      <c r="HHV574" s="44"/>
      <c r="HHW574" s="44"/>
      <c r="HHX574" s="44"/>
      <c r="HHY574" s="44"/>
      <c r="HHZ574" s="44"/>
      <c r="HIA574" s="44"/>
      <c r="HIB574" s="44"/>
      <c r="HIC574" s="44"/>
      <c r="HID574" s="44"/>
      <c r="HIE574" s="44"/>
      <c r="HIF574" s="44"/>
      <c r="HIG574" s="44"/>
      <c r="HIH574" s="44"/>
      <c r="HII574" s="44"/>
      <c r="HIJ574" s="44"/>
      <c r="HIK574" s="44"/>
      <c r="HIL574" s="44"/>
      <c r="HIM574" s="44"/>
      <c r="HIN574" s="44"/>
      <c r="HIO574" s="44"/>
      <c r="HIP574" s="44"/>
      <c r="HIQ574" s="44"/>
      <c r="HIR574" s="44"/>
      <c r="HIS574" s="44"/>
      <c r="HIT574" s="44"/>
      <c r="HIU574" s="44"/>
      <c r="HIV574" s="44"/>
      <c r="HIW574" s="44"/>
      <c r="HIX574" s="44"/>
      <c r="HIY574" s="44"/>
      <c r="HIZ574" s="44"/>
      <c r="HJA574" s="44"/>
      <c r="HJB574" s="44"/>
      <c r="HJC574" s="44"/>
      <c r="HJD574" s="44"/>
      <c r="HJE574" s="44"/>
      <c r="HJF574" s="44"/>
      <c r="HJG574" s="44"/>
      <c r="HJH574" s="44"/>
      <c r="HJI574" s="44"/>
      <c r="HJJ574" s="44"/>
      <c r="HJK574" s="44"/>
      <c r="HJL574" s="44"/>
      <c r="HJM574" s="44"/>
      <c r="HJN574" s="44"/>
      <c r="HJO574" s="44"/>
      <c r="HJP574" s="44"/>
      <c r="HJQ574" s="44"/>
      <c r="HJR574" s="44"/>
      <c r="HJS574" s="44"/>
      <c r="HJT574" s="44"/>
      <c r="HJU574" s="44"/>
      <c r="HJV574" s="44"/>
      <c r="HJW574" s="44"/>
      <c r="HJX574" s="44"/>
      <c r="HJY574" s="44"/>
      <c r="HJZ574" s="44"/>
      <c r="HKA574" s="44"/>
      <c r="HKB574" s="44"/>
      <c r="HKC574" s="44"/>
      <c r="HKD574" s="44"/>
      <c r="HKE574" s="44"/>
      <c r="HKF574" s="44"/>
      <c r="HKG574" s="44"/>
      <c r="HKH574" s="44"/>
      <c r="HKI574" s="44"/>
      <c r="HKJ574" s="44"/>
      <c r="HKK574" s="44"/>
      <c r="HKL574" s="44"/>
      <c r="HKM574" s="44"/>
      <c r="HKN574" s="44"/>
      <c r="HKO574" s="44"/>
      <c r="HKP574" s="44"/>
      <c r="HKQ574" s="44"/>
      <c r="HKR574" s="44"/>
      <c r="HKS574" s="44"/>
      <c r="HKT574" s="44"/>
      <c r="HKU574" s="44"/>
      <c r="HKV574" s="44"/>
      <c r="HKW574" s="44"/>
      <c r="HKX574" s="44"/>
      <c r="HKY574" s="44"/>
      <c r="HKZ574" s="44"/>
      <c r="HLA574" s="44"/>
      <c r="HLB574" s="44"/>
      <c r="HLC574" s="44"/>
      <c r="HLD574" s="44"/>
      <c r="HLE574" s="44"/>
      <c r="HLF574" s="44"/>
      <c r="HLG574" s="44"/>
      <c r="HLH574" s="44"/>
      <c r="HLI574" s="44"/>
      <c r="HLJ574" s="44"/>
      <c r="HLK574" s="44"/>
      <c r="HLL574" s="44"/>
      <c r="HLM574" s="44"/>
      <c r="HLN574" s="44"/>
      <c r="HLO574" s="44"/>
      <c r="HLP574" s="44"/>
      <c r="HLQ574" s="44"/>
      <c r="HLR574" s="44"/>
      <c r="HLS574" s="44"/>
      <c r="HLT574" s="44"/>
      <c r="HLU574" s="44"/>
      <c r="HLV574" s="44"/>
      <c r="HLW574" s="44"/>
      <c r="HLX574" s="44"/>
      <c r="HLY574" s="44"/>
      <c r="HLZ574" s="44"/>
      <c r="HMA574" s="44"/>
      <c r="HMB574" s="44"/>
      <c r="HMC574" s="44"/>
      <c r="HMD574" s="44"/>
      <c r="HME574" s="44"/>
      <c r="HMF574" s="44"/>
      <c r="HMG574" s="44"/>
      <c r="HMH574" s="44"/>
      <c r="HMI574" s="44"/>
      <c r="HMJ574" s="44"/>
      <c r="HMK574" s="44"/>
      <c r="HML574" s="44"/>
      <c r="HMM574" s="44"/>
      <c r="HMN574" s="44"/>
      <c r="HMO574" s="44"/>
      <c r="HMP574" s="44"/>
      <c r="HMQ574" s="44"/>
      <c r="HMR574" s="44"/>
      <c r="HMS574" s="44"/>
      <c r="HMT574" s="44"/>
      <c r="HMU574" s="44"/>
      <c r="HMV574" s="44"/>
      <c r="HMW574" s="44"/>
      <c r="HMX574" s="44"/>
      <c r="HMY574" s="44"/>
      <c r="HMZ574" s="44"/>
      <c r="HNA574" s="44"/>
      <c r="HNB574" s="44"/>
      <c r="HNC574" s="44"/>
      <c r="HND574" s="44"/>
      <c r="HNE574" s="44"/>
      <c r="HNF574" s="44"/>
      <c r="HNG574" s="44"/>
      <c r="HNH574" s="44"/>
      <c r="HNI574" s="44"/>
      <c r="HNJ574" s="44"/>
      <c r="HNK574" s="44"/>
      <c r="HNL574" s="44"/>
      <c r="HNM574" s="44"/>
      <c r="HNN574" s="44"/>
      <c r="HNO574" s="44"/>
      <c r="HNP574" s="44"/>
      <c r="HNQ574" s="44"/>
      <c r="HNR574" s="44"/>
      <c r="HNS574" s="44"/>
      <c r="HNT574" s="44"/>
      <c r="HNU574" s="44"/>
      <c r="HNV574" s="44"/>
      <c r="HNW574" s="44"/>
      <c r="HNX574" s="44"/>
      <c r="HNY574" s="44"/>
      <c r="HNZ574" s="44"/>
      <c r="HOA574" s="44"/>
      <c r="HOB574" s="44"/>
      <c r="HOC574" s="44"/>
      <c r="HOD574" s="44"/>
      <c r="HOE574" s="44"/>
      <c r="HOF574" s="44"/>
      <c r="HOG574" s="44"/>
      <c r="HOH574" s="44"/>
      <c r="HOI574" s="44"/>
      <c r="HOJ574" s="44"/>
      <c r="HOK574" s="44"/>
      <c r="HOL574" s="44"/>
      <c r="HOM574" s="44"/>
      <c r="HON574" s="44"/>
      <c r="HOO574" s="44"/>
      <c r="HOP574" s="44"/>
      <c r="HOQ574" s="44"/>
      <c r="HOR574" s="44"/>
      <c r="HOS574" s="44"/>
      <c r="HOT574" s="44"/>
      <c r="HOU574" s="44"/>
      <c r="HOV574" s="44"/>
      <c r="HOW574" s="44"/>
      <c r="HOX574" s="44"/>
      <c r="HOY574" s="44"/>
      <c r="HOZ574" s="44"/>
      <c r="HPA574" s="44"/>
      <c r="HPB574" s="44"/>
      <c r="HPC574" s="44"/>
      <c r="HPD574" s="44"/>
      <c r="HPE574" s="44"/>
      <c r="HPF574" s="44"/>
      <c r="HPG574" s="44"/>
      <c r="HPH574" s="44"/>
      <c r="HPI574" s="44"/>
      <c r="HPJ574" s="44"/>
      <c r="HPK574" s="44"/>
      <c r="HPL574" s="44"/>
      <c r="HPM574" s="44"/>
      <c r="HPN574" s="44"/>
      <c r="HPO574" s="44"/>
      <c r="HPP574" s="44"/>
      <c r="HPQ574" s="44"/>
      <c r="HPR574" s="44"/>
      <c r="HPS574" s="44"/>
      <c r="HPT574" s="44"/>
      <c r="HPU574" s="44"/>
      <c r="HPV574" s="44"/>
      <c r="HPW574" s="44"/>
      <c r="HPX574" s="44"/>
      <c r="HPY574" s="44"/>
      <c r="HPZ574" s="44"/>
      <c r="HQA574" s="44"/>
      <c r="HQB574" s="44"/>
      <c r="HQC574" s="44"/>
      <c r="HQD574" s="44"/>
      <c r="HQE574" s="44"/>
      <c r="HQF574" s="44"/>
      <c r="HQG574" s="44"/>
      <c r="HQH574" s="44"/>
      <c r="HQI574" s="44"/>
      <c r="HQJ574" s="44"/>
      <c r="HQK574" s="44"/>
      <c r="HQL574" s="44"/>
      <c r="HQM574" s="44"/>
      <c r="HQN574" s="44"/>
      <c r="HQO574" s="44"/>
      <c r="HQP574" s="44"/>
      <c r="HQQ574" s="44"/>
      <c r="HQR574" s="44"/>
      <c r="HQS574" s="44"/>
      <c r="HQT574" s="44"/>
      <c r="HQU574" s="44"/>
      <c r="HQV574" s="44"/>
      <c r="HQW574" s="44"/>
      <c r="HQX574" s="44"/>
      <c r="HQY574" s="44"/>
      <c r="HQZ574" s="44"/>
      <c r="HRA574" s="44"/>
      <c r="HRB574" s="44"/>
      <c r="HRC574" s="44"/>
      <c r="HRD574" s="44"/>
      <c r="HRE574" s="44"/>
      <c r="HRF574" s="44"/>
      <c r="HRG574" s="44"/>
      <c r="HRH574" s="44"/>
      <c r="HRI574" s="44"/>
      <c r="HRJ574" s="44"/>
      <c r="HRK574" s="44"/>
      <c r="HRL574" s="44"/>
      <c r="HRM574" s="44"/>
      <c r="HRN574" s="44"/>
      <c r="HRO574" s="44"/>
      <c r="HRP574" s="44"/>
      <c r="HRQ574" s="44"/>
      <c r="HRR574" s="44"/>
      <c r="HRS574" s="44"/>
      <c r="HRT574" s="44"/>
      <c r="HRU574" s="44"/>
      <c r="HRV574" s="44"/>
      <c r="HRW574" s="44"/>
      <c r="HRX574" s="44"/>
      <c r="HRY574" s="44"/>
      <c r="HRZ574" s="44"/>
      <c r="HSA574" s="44"/>
      <c r="HSB574" s="44"/>
      <c r="HSC574" s="44"/>
      <c r="HSD574" s="44"/>
      <c r="HSE574" s="44"/>
      <c r="HSF574" s="44"/>
      <c r="HSG574" s="44"/>
      <c r="HSH574" s="44"/>
      <c r="HSI574" s="44"/>
      <c r="HSJ574" s="44"/>
      <c r="HSK574" s="44"/>
      <c r="HSL574" s="44"/>
      <c r="HSM574" s="44"/>
      <c r="HSN574" s="44"/>
      <c r="HSO574" s="44"/>
      <c r="HSP574" s="44"/>
      <c r="HSQ574" s="44"/>
      <c r="HSR574" s="44"/>
      <c r="HSS574" s="44"/>
      <c r="HST574" s="44"/>
      <c r="HSU574" s="44"/>
      <c r="HSV574" s="44"/>
      <c r="HSW574" s="44"/>
      <c r="HSX574" s="44"/>
      <c r="HSY574" s="44"/>
      <c r="HSZ574" s="44"/>
      <c r="HTA574" s="44"/>
      <c r="HTB574" s="44"/>
      <c r="HTC574" s="44"/>
      <c r="HTD574" s="44"/>
      <c r="HTE574" s="44"/>
      <c r="HTF574" s="44"/>
      <c r="HTG574" s="44"/>
      <c r="HTH574" s="44"/>
      <c r="HTI574" s="44"/>
      <c r="HTJ574" s="44"/>
      <c r="HTK574" s="44"/>
      <c r="HTL574" s="44"/>
      <c r="HTM574" s="44"/>
      <c r="HTN574" s="44"/>
      <c r="HTO574" s="44"/>
      <c r="HTP574" s="44"/>
      <c r="HTQ574" s="44"/>
      <c r="HTR574" s="44"/>
      <c r="HTS574" s="44"/>
      <c r="HTT574" s="44"/>
      <c r="HTU574" s="44"/>
      <c r="HTV574" s="44"/>
      <c r="HTW574" s="44"/>
      <c r="HTX574" s="44"/>
      <c r="HTY574" s="44"/>
      <c r="HTZ574" s="44"/>
      <c r="HUA574" s="44"/>
      <c r="HUB574" s="44"/>
      <c r="HUC574" s="44"/>
      <c r="HUD574" s="44"/>
      <c r="HUE574" s="44"/>
      <c r="HUF574" s="44"/>
      <c r="HUG574" s="44"/>
      <c r="HUH574" s="44"/>
      <c r="HUI574" s="44"/>
      <c r="HUJ574" s="44"/>
      <c r="HUK574" s="44"/>
      <c r="HUL574" s="44"/>
      <c r="HUM574" s="44"/>
      <c r="HUN574" s="44"/>
      <c r="HUO574" s="44"/>
      <c r="HUP574" s="44"/>
      <c r="HUQ574" s="44"/>
      <c r="HUR574" s="44"/>
      <c r="HUS574" s="44"/>
      <c r="HUT574" s="44"/>
      <c r="HUU574" s="44"/>
      <c r="HUV574" s="44"/>
      <c r="HUW574" s="44"/>
      <c r="HUX574" s="44"/>
      <c r="HUY574" s="44"/>
      <c r="HUZ574" s="44"/>
      <c r="HVA574" s="44"/>
      <c r="HVB574" s="44"/>
      <c r="HVC574" s="44"/>
      <c r="HVD574" s="44"/>
      <c r="HVE574" s="44"/>
      <c r="HVF574" s="44"/>
      <c r="HVG574" s="44"/>
      <c r="HVH574" s="44"/>
      <c r="HVI574" s="44"/>
      <c r="HVJ574" s="44"/>
      <c r="HVK574" s="44"/>
      <c r="HVL574" s="44"/>
      <c r="HVM574" s="44"/>
      <c r="HVN574" s="44"/>
      <c r="HVO574" s="44"/>
      <c r="HVP574" s="44"/>
      <c r="HVQ574" s="44"/>
      <c r="HVR574" s="44"/>
      <c r="HVS574" s="44"/>
      <c r="HVT574" s="44"/>
      <c r="HVU574" s="44"/>
      <c r="HVV574" s="44"/>
      <c r="HVW574" s="44"/>
      <c r="HVX574" s="44"/>
      <c r="HVY574" s="44"/>
      <c r="HVZ574" s="44"/>
      <c r="HWA574" s="44"/>
      <c r="HWB574" s="44"/>
      <c r="HWC574" s="44"/>
      <c r="HWD574" s="44"/>
      <c r="HWE574" s="44"/>
      <c r="HWF574" s="44"/>
      <c r="HWG574" s="44"/>
      <c r="HWH574" s="44"/>
      <c r="HWI574" s="44"/>
      <c r="HWJ574" s="44"/>
      <c r="HWK574" s="44"/>
      <c r="HWL574" s="44"/>
      <c r="HWM574" s="44"/>
      <c r="HWN574" s="44"/>
      <c r="HWO574" s="44"/>
      <c r="HWP574" s="44"/>
      <c r="HWQ574" s="44"/>
      <c r="HWR574" s="44"/>
      <c r="HWS574" s="44"/>
      <c r="HWT574" s="44"/>
      <c r="HWU574" s="44"/>
      <c r="HWV574" s="44"/>
      <c r="HWW574" s="44"/>
      <c r="HWX574" s="44"/>
      <c r="HWY574" s="44"/>
      <c r="HWZ574" s="44"/>
      <c r="HXA574" s="44"/>
      <c r="HXB574" s="44"/>
      <c r="HXC574" s="44"/>
      <c r="HXD574" s="44"/>
      <c r="HXE574" s="44"/>
      <c r="HXF574" s="44"/>
      <c r="HXG574" s="44"/>
      <c r="HXH574" s="44"/>
      <c r="HXI574" s="44"/>
      <c r="HXJ574" s="44"/>
      <c r="HXK574" s="44"/>
      <c r="HXL574" s="44"/>
      <c r="HXM574" s="44"/>
      <c r="HXN574" s="44"/>
      <c r="HXO574" s="44"/>
      <c r="HXP574" s="44"/>
      <c r="HXQ574" s="44"/>
      <c r="HXR574" s="44"/>
      <c r="HXS574" s="44"/>
      <c r="HXT574" s="44"/>
      <c r="HXU574" s="44"/>
      <c r="HXV574" s="44"/>
      <c r="HXW574" s="44"/>
      <c r="HXX574" s="44"/>
      <c r="HXY574" s="44"/>
      <c r="HXZ574" s="44"/>
      <c r="HYA574" s="44"/>
      <c r="HYB574" s="44"/>
      <c r="HYC574" s="44"/>
      <c r="HYD574" s="44"/>
      <c r="HYE574" s="44"/>
      <c r="HYF574" s="44"/>
      <c r="HYG574" s="44"/>
      <c r="HYH574" s="44"/>
      <c r="HYI574" s="44"/>
      <c r="HYJ574" s="44"/>
      <c r="HYK574" s="44"/>
      <c r="HYL574" s="44"/>
      <c r="HYM574" s="44"/>
      <c r="HYN574" s="44"/>
      <c r="HYO574" s="44"/>
      <c r="HYP574" s="44"/>
      <c r="HYQ574" s="44"/>
      <c r="HYR574" s="44"/>
      <c r="HYS574" s="44"/>
      <c r="HYT574" s="44"/>
      <c r="HYU574" s="44"/>
      <c r="HYV574" s="44"/>
      <c r="HYW574" s="44"/>
      <c r="HYX574" s="44"/>
      <c r="HYY574" s="44"/>
      <c r="HYZ574" s="44"/>
      <c r="HZA574" s="44"/>
      <c r="HZB574" s="44"/>
      <c r="HZC574" s="44"/>
      <c r="HZD574" s="44"/>
      <c r="HZE574" s="44"/>
      <c r="HZF574" s="44"/>
      <c r="HZG574" s="44"/>
      <c r="HZH574" s="44"/>
      <c r="HZI574" s="44"/>
      <c r="HZJ574" s="44"/>
      <c r="HZK574" s="44"/>
      <c r="HZL574" s="44"/>
      <c r="HZM574" s="44"/>
      <c r="HZN574" s="44"/>
      <c r="HZO574" s="44"/>
      <c r="HZP574" s="44"/>
      <c r="HZQ574" s="44"/>
      <c r="HZR574" s="44"/>
      <c r="HZS574" s="44"/>
      <c r="HZT574" s="44"/>
      <c r="HZU574" s="44"/>
      <c r="HZV574" s="44"/>
      <c r="HZW574" s="44"/>
      <c r="HZX574" s="44"/>
      <c r="HZY574" s="44"/>
      <c r="HZZ574" s="44"/>
      <c r="IAA574" s="44"/>
      <c r="IAB574" s="44"/>
      <c r="IAC574" s="44"/>
      <c r="IAD574" s="44"/>
      <c r="IAE574" s="44"/>
      <c r="IAF574" s="44"/>
      <c r="IAG574" s="44"/>
      <c r="IAH574" s="44"/>
      <c r="IAI574" s="44"/>
      <c r="IAJ574" s="44"/>
      <c r="IAK574" s="44"/>
      <c r="IAL574" s="44"/>
      <c r="IAM574" s="44"/>
      <c r="IAN574" s="44"/>
      <c r="IAO574" s="44"/>
      <c r="IAP574" s="44"/>
      <c r="IAQ574" s="44"/>
      <c r="IAR574" s="44"/>
      <c r="IAS574" s="44"/>
      <c r="IAT574" s="44"/>
      <c r="IAU574" s="44"/>
      <c r="IAV574" s="44"/>
      <c r="IAW574" s="44"/>
      <c r="IAX574" s="44"/>
      <c r="IAY574" s="44"/>
      <c r="IAZ574" s="44"/>
      <c r="IBA574" s="44"/>
      <c r="IBB574" s="44"/>
      <c r="IBC574" s="44"/>
      <c r="IBD574" s="44"/>
      <c r="IBE574" s="44"/>
      <c r="IBF574" s="44"/>
      <c r="IBG574" s="44"/>
      <c r="IBH574" s="44"/>
      <c r="IBI574" s="44"/>
      <c r="IBJ574" s="44"/>
      <c r="IBK574" s="44"/>
      <c r="IBL574" s="44"/>
      <c r="IBM574" s="44"/>
      <c r="IBN574" s="44"/>
      <c r="IBO574" s="44"/>
      <c r="IBP574" s="44"/>
      <c r="IBQ574" s="44"/>
      <c r="IBR574" s="44"/>
      <c r="IBS574" s="44"/>
      <c r="IBT574" s="44"/>
      <c r="IBU574" s="44"/>
      <c r="IBV574" s="44"/>
      <c r="IBW574" s="44"/>
      <c r="IBX574" s="44"/>
      <c r="IBY574" s="44"/>
      <c r="IBZ574" s="44"/>
      <c r="ICA574" s="44"/>
      <c r="ICB574" s="44"/>
      <c r="ICC574" s="44"/>
      <c r="ICD574" s="44"/>
      <c r="ICE574" s="44"/>
      <c r="ICF574" s="44"/>
      <c r="ICG574" s="44"/>
      <c r="ICH574" s="44"/>
      <c r="ICI574" s="44"/>
      <c r="ICJ574" s="44"/>
      <c r="ICK574" s="44"/>
      <c r="ICL574" s="44"/>
      <c r="ICM574" s="44"/>
      <c r="ICN574" s="44"/>
      <c r="ICO574" s="44"/>
      <c r="ICP574" s="44"/>
      <c r="ICQ574" s="44"/>
      <c r="ICR574" s="44"/>
      <c r="ICS574" s="44"/>
      <c r="ICT574" s="44"/>
      <c r="ICU574" s="44"/>
      <c r="ICV574" s="44"/>
      <c r="ICW574" s="44"/>
      <c r="ICX574" s="44"/>
      <c r="ICY574" s="44"/>
      <c r="ICZ574" s="44"/>
      <c r="IDA574" s="44"/>
      <c r="IDB574" s="44"/>
      <c r="IDC574" s="44"/>
      <c r="IDD574" s="44"/>
      <c r="IDE574" s="44"/>
      <c r="IDF574" s="44"/>
      <c r="IDG574" s="44"/>
      <c r="IDH574" s="44"/>
      <c r="IDI574" s="44"/>
      <c r="IDJ574" s="44"/>
      <c r="IDK574" s="44"/>
      <c r="IDL574" s="44"/>
      <c r="IDM574" s="44"/>
      <c r="IDN574" s="44"/>
      <c r="IDO574" s="44"/>
      <c r="IDP574" s="44"/>
      <c r="IDQ574" s="44"/>
      <c r="IDR574" s="44"/>
      <c r="IDS574" s="44"/>
      <c r="IDT574" s="44"/>
      <c r="IDU574" s="44"/>
      <c r="IDV574" s="44"/>
      <c r="IDW574" s="44"/>
      <c r="IDX574" s="44"/>
      <c r="IDY574" s="44"/>
      <c r="IDZ574" s="44"/>
      <c r="IEA574" s="44"/>
      <c r="IEB574" s="44"/>
      <c r="IEC574" s="44"/>
      <c r="IED574" s="44"/>
      <c r="IEE574" s="44"/>
      <c r="IEF574" s="44"/>
      <c r="IEG574" s="44"/>
      <c r="IEH574" s="44"/>
      <c r="IEI574" s="44"/>
      <c r="IEJ574" s="44"/>
      <c r="IEK574" s="44"/>
      <c r="IEL574" s="44"/>
      <c r="IEM574" s="44"/>
      <c r="IEN574" s="44"/>
      <c r="IEO574" s="44"/>
      <c r="IEP574" s="44"/>
      <c r="IEQ574" s="44"/>
      <c r="IER574" s="44"/>
      <c r="IES574" s="44"/>
      <c r="IET574" s="44"/>
      <c r="IEU574" s="44"/>
      <c r="IEV574" s="44"/>
      <c r="IEW574" s="44"/>
      <c r="IEX574" s="44"/>
      <c r="IEY574" s="44"/>
      <c r="IEZ574" s="44"/>
      <c r="IFA574" s="44"/>
      <c r="IFB574" s="44"/>
      <c r="IFC574" s="44"/>
      <c r="IFD574" s="44"/>
      <c r="IFE574" s="44"/>
      <c r="IFF574" s="44"/>
      <c r="IFG574" s="44"/>
      <c r="IFH574" s="44"/>
      <c r="IFI574" s="44"/>
      <c r="IFJ574" s="44"/>
      <c r="IFK574" s="44"/>
      <c r="IFL574" s="44"/>
      <c r="IFM574" s="44"/>
      <c r="IFN574" s="44"/>
      <c r="IFO574" s="44"/>
      <c r="IFP574" s="44"/>
      <c r="IFQ574" s="44"/>
      <c r="IFR574" s="44"/>
      <c r="IFS574" s="44"/>
      <c r="IFT574" s="44"/>
      <c r="IFU574" s="44"/>
      <c r="IFV574" s="44"/>
      <c r="IFW574" s="44"/>
      <c r="IFX574" s="44"/>
      <c r="IFY574" s="44"/>
      <c r="IFZ574" s="44"/>
      <c r="IGA574" s="44"/>
      <c r="IGB574" s="44"/>
      <c r="IGC574" s="44"/>
      <c r="IGD574" s="44"/>
      <c r="IGE574" s="44"/>
      <c r="IGF574" s="44"/>
      <c r="IGG574" s="44"/>
      <c r="IGH574" s="44"/>
      <c r="IGI574" s="44"/>
      <c r="IGJ574" s="44"/>
      <c r="IGK574" s="44"/>
      <c r="IGL574" s="44"/>
      <c r="IGM574" s="44"/>
      <c r="IGN574" s="44"/>
      <c r="IGO574" s="44"/>
      <c r="IGP574" s="44"/>
      <c r="IGQ574" s="44"/>
      <c r="IGR574" s="44"/>
      <c r="IGS574" s="44"/>
      <c r="IGT574" s="44"/>
      <c r="IGU574" s="44"/>
      <c r="IGV574" s="44"/>
      <c r="IGW574" s="44"/>
      <c r="IGX574" s="44"/>
      <c r="IGY574" s="44"/>
      <c r="IGZ574" s="44"/>
      <c r="IHA574" s="44"/>
      <c r="IHB574" s="44"/>
      <c r="IHC574" s="44"/>
      <c r="IHD574" s="44"/>
      <c r="IHE574" s="44"/>
      <c r="IHF574" s="44"/>
      <c r="IHG574" s="44"/>
      <c r="IHH574" s="44"/>
      <c r="IHI574" s="44"/>
      <c r="IHJ574" s="44"/>
      <c r="IHK574" s="44"/>
      <c r="IHL574" s="44"/>
      <c r="IHM574" s="44"/>
      <c r="IHN574" s="44"/>
      <c r="IHO574" s="44"/>
      <c r="IHP574" s="44"/>
      <c r="IHQ574" s="44"/>
      <c r="IHR574" s="44"/>
      <c r="IHS574" s="44"/>
      <c r="IHT574" s="44"/>
      <c r="IHU574" s="44"/>
      <c r="IHV574" s="44"/>
      <c r="IHW574" s="44"/>
      <c r="IHX574" s="44"/>
      <c r="IHY574" s="44"/>
      <c r="IHZ574" s="44"/>
      <c r="IIA574" s="44"/>
      <c r="IIB574" s="44"/>
      <c r="IIC574" s="44"/>
      <c r="IID574" s="44"/>
      <c r="IIE574" s="44"/>
      <c r="IIF574" s="44"/>
      <c r="IIG574" s="44"/>
      <c r="IIH574" s="44"/>
      <c r="III574" s="44"/>
      <c r="IIJ574" s="44"/>
      <c r="IIK574" s="44"/>
      <c r="IIL574" s="44"/>
      <c r="IIM574" s="44"/>
      <c r="IIN574" s="44"/>
      <c r="IIO574" s="44"/>
      <c r="IIP574" s="44"/>
      <c r="IIQ574" s="44"/>
      <c r="IIR574" s="44"/>
      <c r="IIS574" s="44"/>
      <c r="IIT574" s="44"/>
      <c r="IIU574" s="44"/>
      <c r="IIV574" s="44"/>
      <c r="IIW574" s="44"/>
      <c r="IIX574" s="44"/>
      <c r="IIY574" s="44"/>
      <c r="IIZ574" s="44"/>
      <c r="IJA574" s="44"/>
      <c r="IJB574" s="44"/>
      <c r="IJC574" s="44"/>
      <c r="IJD574" s="44"/>
      <c r="IJE574" s="44"/>
      <c r="IJF574" s="44"/>
      <c r="IJG574" s="44"/>
      <c r="IJH574" s="44"/>
      <c r="IJI574" s="44"/>
      <c r="IJJ574" s="44"/>
      <c r="IJK574" s="44"/>
      <c r="IJL574" s="44"/>
      <c r="IJM574" s="44"/>
      <c r="IJN574" s="44"/>
      <c r="IJO574" s="44"/>
      <c r="IJP574" s="44"/>
      <c r="IJQ574" s="44"/>
      <c r="IJR574" s="44"/>
      <c r="IJS574" s="44"/>
      <c r="IJT574" s="44"/>
      <c r="IJU574" s="44"/>
      <c r="IJV574" s="44"/>
      <c r="IJW574" s="44"/>
      <c r="IJX574" s="44"/>
      <c r="IJY574" s="44"/>
      <c r="IJZ574" s="44"/>
      <c r="IKA574" s="44"/>
      <c r="IKB574" s="44"/>
      <c r="IKC574" s="44"/>
      <c r="IKD574" s="44"/>
      <c r="IKE574" s="44"/>
      <c r="IKF574" s="44"/>
      <c r="IKG574" s="44"/>
      <c r="IKH574" s="44"/>
      <c r="IKI574" s="44"/>
      <c r="IKJ574" s="44"/>
      <c r="IKK574" s="44"/>
      <c r="IKL574" s="44"/>
      <c r="IKM574" s="44"/>
      <c r="IKN574" s="44"/>
      <c r="IKO574" s="44"/>
      <c r="IKP574" s="44"/>
      <c r="IKQ574" s="44"/>
      <c r="IKR574" s="44"/>
      <c r="IKS574" s="44"/>
      <c r="IKT574" s="44"/>
      <c r="IKU574" s="44"/>
      <c r="IKV574" s="44"/>
      <c r="IKW574" s="44"/>
      <c r="IKX574" s="44"/>
      <c r="IKY574" s="44"/>
      <c r="IKZ574" s="44"/>
      <c r="ILA574" s="44"/>
      <c r="ILB574" s="44"/>
      <c r="ILC574" s="44"/>
      <c r="ILD574" s="44"/>
      <c r="ILE574" s="44"/>
      <c r="ILF574" s="44"/>
      <c r="ILG574" s="44"/>
      <c r="ILH574" s="44"/>
      <c r="ILI574" s="44"/>
      <c r="ILJ574" s="44"/>
      <c r="ILK574" s="44"/>
      <c r="ILL574" s="44"/>
      <c r="ILM574" s="44"/>
      <c r="ILN574" s="44"/>
      <c r="ILO574" s="44"/>
      <c r="ILP574" s="44"/>
      <c r="ILQ574" s="44"/>
      <c r="ILR574" s="44"/>
      <c r="ILS574" s="44"/>
      <c r="ILT574" s="44"/>
      <c r="ILU574" s="44"/>
      <c r="ILV574" s="44"/>
      <c r="ILW574" s="44"/>
      <c r="ILX574" s="44"/>
      <c r="ILY574" s="44"/>
      <c r="ILZ574" s="44"/>
      <c r="IMA574" s="44"/>
      <c r="IMB574" s="44"/>
      <c r="IMC574" s="44"/>
      <c r="IMD574" s="44"/>
      <c r="IME574" s="44"/>
      <c r="IMF574" s="44"/>
      <c r="IMG574" s="44"/>
      <c r="IMH574" s="44"/>
      <c r="IMI574" s="44"/>
      <c r="IMJ574" s="44"/>
      <c r="IMK574" s="44"/>
      <c r="IML574" s="44"/>
      <c r="IMM574" s="44"/>
      <c r="IMN574" s="44"/>
      <c r="IMO574" s="44"/>
      <c r="IMP574" s="44"/>
      <c r="IMQ574" s="44"/>
      <c r="IMR574" s="44"/>
      <c r="IMS574" s="44"/>
      <c r="IMT574" s="44"/>
      <c r="IMU574" s="44"/>
      <c r="IMV574" s="44"/>
      <c r="IMW574" s="44"/>
      <c r="IMX574" s="44"/>
      <c r="IMY574" s="44"/>
      <c r="IMZ574" s="44"/>
      <c r="INA574" s="44"/>
      <c r="INB574" s="44"/>
      <c r="INC574" s="44"/>
      <c r="IND574" s="44"/>
      <c r="INE574" s="44"/>
      <c r="INF574" s="44"/>
      <c r="ING574" s="44"/>
      <c r="INH574" s="44"/>
      <c r="INI574" s="44"/>
      <c r="INJ574" s="44"/>
      <c r="INK574" s="44"/>
      <c r="INL574" s="44"/>
      <c r="INM574" s="44"/>
      <c r="INN574" s="44"/>
      <c r="INO574" s="44"/>
      <c r="INP574" s="44"/>
      <c r="INQ574" s="44"/>
      <c r="INR574" s="44"/>
      <c r="INS574" s="44"/>
      <c r="INT574" s="44"/>
      <c r="INU574" s="44"/>
      <c r="INV574" s="44"/>
      <c r="INW574" s="44"/>
      <c r="INX574" s="44"/>
      <c r="INY574" s="44"/>
      <c r="INZ574" s="44"/>
      <c r="IOA574" s="44"/>
      <c r="IOB574" s="44"/>
      <c r="IOC574" s="44"/>
      <c r="IOD574" s="44"/>
      <c r="IOE574" s="44"/>
      <c r="IOF574" s="44"/>
      <c r="IOG574" s="44"/>
      <c r="IOH574" s="44"/>
      <c r="IOI574" s="44"/>
      <c r="IOJ574" s="44"/>
      <c r="IOK574" s="44"/>
      <c r="IOL574" s="44"/>
      <c r="IOM574" s="44"/>
      <c r="ION574" s="44"/>
      <c r="IOO574" s="44"/>
      <c r="IOP574" s="44"/>
      <c r="IOQ574" s="44"/>
      <c r="IOR574" s="44"/>
      <c r="IOS574" s="44"/>
      <c r="IOT574" s="44"/>
      <c r="IOU574" s="44"/>
      <c r="IOV574" s="44"/>
      <c r="IOW574" s="44"/>
      <c r="IOX574" s="44"/>
      <c r="IOY574" s="44"/>
      <c r="IOZ574" s="44"/>
      <c r="IPA574" s="44"/>
      <c r="IPB574" s="44"/>
      <c r="IPC574" s="44"/>
      <c r="IPD574" s="44"/>
      <c r="IPE574" s="44"/>
      <c r="IPF574" s="44"/>
      <c r="IPG574" s="44"/>
      <c r="IPH574" s="44"/>
      <c r="IPI574" s="44"/>
      <c r="IPJ574" s="44"/>
      <c r="IPK574" s="44"/>
      <c r="IPL574" s="44"/>
      <c r="IPM574" s="44"/>
      <c r="IPN574" s="44"/>
      <c r="IPO574" s="44"/>
      <c r="IPP574" s="44"/>
      <c r="IPQ574" s="44"/>
      <c r="IPR574" s="44"/>
      <c r="IPS574" s="44"/>
      <c r="IPT574" s="44"/>
      <c r="IPU574" s="44"/>
      <c r="IPV574" s="44"/>
      <c r="IPW574" s="44"/>
      <c r="IPX574" s="44"/>
      <c r="IPY574" s="44"/>
      <c r="IPZ574" s="44"/>
      <c r="IQA574" s="44"/>
      <c r="IQB574" s="44"/>
      <c r="IQC574" s="44"/>
      <c r="IQD574" s="44"/>
      <c r="IQE574" s="44"/>
      <c r="IQF574" s="44"/>
      <c r="IQG574" s="44"/>
      <c r="IQH574" s="44"/>
      <c r="IQI574" s="44"/>
      <c r="IQJ574" s="44"/>
      <c r="IQK574" s="44"/>
      <c r="IQL574" s="44"/>
      <c r="IQM574" s="44"/>
      <c r="IQN574" s="44"/>
      <c r="IQO574" s="44"/>
      <c r="IQP574" s="44"/>
      <c r="IQQ574" s="44"/>
      <c r="IQR574" s="44"/>
      <c r="IQS574" s="44"/>
      <c r="IQT574" s="44"/>
      <c r="IQU574" s="44"/>
      <c r="IQV574" s="44"/>
      <c r="IQW574" s="44"/>
      <c r="IQX574" s="44"/>
      <c r="IQY574" s="44"/>
      <c r="IQZ574" s="44"/>
      <c r="IRA574" s="44"/>
      <c r="IRB574" s="44"/>
      <c r="IRC574" s="44"/>
      <c r="IRD574" s="44"/>
      <c r="IRE574" s="44"/>
      <c r="IRF574" s="44"/>
      <c r="IRG574" s="44"/>
      <c r="IRH574" s="44"/>
      <c r="IRI574" s="44"/>
      <c r="IRJ574" s="44"/>
      <c r="IRK574" s="44"/>
      <c r="IRL574" s="44"/>
      <c r="IRM574" s="44"/>
      <c r="IRN574" s="44"/>
      <c r="IRO574" s="44"/>
      <c r="IRP574" s="44"/>
      <c r="IRQ574" s="44"/>
      <c r="IRR574" s="44"/>
      <c r="IRS574" s="44"/>
      <c r="IRT574" s="44"/>
      <c r="IRU574" s="44"/>
      <c r="IRV574" s="44"/>
      <c r="IRW574" s="44"/>
      <c r="IRX574" s="44"/>
      <c r="IRY574" s="44"/>
      <c r="IRZ574" s="44"/>
      <c r="ISA574" s="44"/>
      <c r="ISB574" s="44"/>
      <c r="ISC574" s="44"/>
      <c r="ISD574" s="44"/>
      <c r="ISE574" s="44"/>
      <c r="ISF574" s="44"/>
      <c r="ISG574" s="44"/>
      <c r="ISH574" s="44"/>
      <c r="ISI574" s="44"/>
      <c r="ISJ574" s="44"/>
      <c r="ISK574" s="44"/>
      <c r="ISL574" s="44"/>
      <c r="ISM574" s="44"/>
      <c r="ISN574" s="44"/>
      <c r="ISO574" s="44"/>
      <c r="ISP574" s="44"/>
      <c r="ISQ574" s="44"/>
      <c r="ISR574" s="44"/>
      <c r="ISS574" s="44"/>
      <c r="IST574" s="44"/>
      <c r="ISU574" s="44"/>
      <c r="ISV574" s="44"/>
      <c r="ISW574" s="44"/>
      <c r="ISX574" s="44"/>
      <c r="ISY574" s="44"/>
      <c r="ISZ574" s="44"/>
      <c r="ITA574" s="44"/>
      <c r="ITB574" s="44"/>
      <c r="ITC574" s="44"/>
      <c r="ITD574" s="44"/>
      <c r="ITE574" s="44"/>
      <c r="ITF574" s="44"/>
      <c r="ITG574" s="44"/>
      <c r="ITH574" s="44"/>
      <c r="ITI574" s="44"/>
      <c r="ITJ574" s="44"/>
      <c r="ITK574" s="44"/>
      <c r="ITL574" s="44"/>
      <c r="ITM574" s="44"/>
      <c r="ITN574" s="44"/>
      <c r="ITO574" s="44"/>
      <c r="ITP574" s="44"/>
      <c r="ITQ574" s="44"/>
      <c r="ITR574" s="44"/>
      <c r="ITS574" s="44"/>
      <c r="ITT574" s="44"/>
      <c r="ITU574" s="44"/>
      <c r="ITV574" s="44"/>
      <c r="ITW574" s="44"/>
      <c r="ITX574" s="44"/>
      <c r="ITY574" s="44"/>
      <c r="ITZ574" s="44"/>
      <c r="IUA574" s="44"/>
      <c r="IUB574" s="44"/>
      <c r="IUC574" s="44"/>
      <c r="IUD574" s="44"/>
      <c r="IUE574" s="44"/>
      <c r="IUF574" s="44"/>
      <c r="IUG574" s="44"/>
      <c r="IUH574" s="44"/>
      <c r="IUI574" s="44"/>
      <c r="IUJ574" s="44"/>
      <c r="IUK574" s="44"/>
      <c r="IUL574" s="44"/>
      <c r="IUM574" s="44"/>
      <c r="IUN574" s="44"/>
      <c r="IUO574" s="44"/>
      <c r="IUP574" s="44"/>
      <c r="IUQ574" s="44"/>
      <c r="IUR574" s="44"/>
      <c r="IUS574" s="44"/>
      <c r="IUT574" s="44"/>
      <c r="IUU574" s="44"/>
      <c r="IUV574" s="44"/>
      <c r="IUW574" s="44"/>
      <c r="IUX574" s="44"/>
      <c r="IUY574" s="44"/>
      <c r="IUZ574" s="44"/>
      <c r="IVA574" s="44"/>
      <c r="IVB574" s="44"/>
      <c r="IVC574" s="44"/>
      <c r="IVD574" s="44"/>
      <c r="IVE574" s="44"/>
      <c r="IVF574" s="44"/>
      <c r="IVG574" s="44"/>
      <c r="IVH574" s="44"/>
      <c r="IVI574" s="44"/>
      <c r="IVJ574" s="44"/>
      <c r="IVK574" s="44"/>
      <c r="IVL574" s="44"/>
      <c r="IVM574" s="44"/>
      <c r="IVN574" s="44"/>
      <c r="IVO574" s="44"/>
      <c r="IVP574" s="44"/>
      <c r="IVQ574" s="44"/>
      <c r="IVR574" s="44"/>
      <c r="IVS574" s="44"/>
      <c r="IVT574" s="44"/>
      <c r="IVU574" s="44"/>
      <c r="IVV574" s="44"/>
      <c r="IVW574" s="44"/>
      <c r="IVX574" s="44"/>
      <c r="IVY574" s="44"/>
      <c r="IVZ574" s="44"/>
      <c r="IWA574" s="44"/>
      <c r="IWB574" s="44"/>
      <c r="IWC574" s="44"/>
      <c r="IWD574" s="44"/>
      <c r="IWE574" s="44"/>
      <c r="IWF574" s="44"/>
      <c r="IWG574" s="44"/>
      <c r="IWH574" s="44"/>
      <c r="IWI574" s="44"/>
      <c r="IWJ574" s="44"/>
      <c r="IWK574" s="44"/>
      <c r="IWL574" s="44"/>
      <c r="IWM574" s="44"/>
      <c r="IWN574" s="44"/>
      <c r="IWO574" s="44"/>
      <c r="IWP574" s="44"/>
      <c r="IWQ574" s="44"/>
      <c r="IWR574" s="44"/>
      <c r="IWS574" s="44"/>
      <c r="IWT574" s="44"/>
      <c r="IWU574" s="44"/>
      <c r="IWV574" s="44"/>
      <c r="IWW574" s="44"/>
      <c r="IWX574" s="44"/>
      <c r="IWY574" s="44"/>
      <c r="IWZ574" s="44"/>
      <c r="IXA574" s="44"/>
      <c r="IXB574" s="44"/>
      <c r="IXC574" s="44"/>
      <c r="IXD574" s="44"/>
      <c r="IXE574" s="44"/>
      <c r="IXF574" s="44"/>
      <c r="IXG574" s="44"/>
      <c r="IXH574" s="44"/>
      <c r="IXI574" s="44"/>
      <c r="IXJ574" s="44"/>
      <c r="IXK574" s="44"/>
      <c r="IXL574" s="44"/>
      <c r="IXM574" s="44"/>
      <c r="IXN574" s="44"/>
      <c r="IXO574" s="44"/>
      <c r="IXP574" s="44"/>
      <c r="IXQ574" s="44"/>
      <c r="IXR574" s="44"/>
      <c r="IXS574" s="44"/>
      <c r="IXT574" s="44"/>
      <c r="IXU574" s="44"/>
      <c r="IXV574" s="44"/>
      <c r="IXW574" s="44"/>
      <c r="IXX574" s="44"/>
      <c r="IXY574" s="44"/>
      <c r="IXZ574" s="44"/>
      <c r="IYA574" s="44"/>
      <c r="IYB574" s="44"/>
      <c r="IYC574" s="44"/>
      <c r="IYD574" s="44"/>
      <c r="IYE574" s="44"/>
      <c r="IYF574" s="44"/>
      <c r="IYG574" s="44"/>
      <c r="IYH574" s="44"/>
      <c r="IYI574" s="44"/>
      <c r="IYJ574" s="44"/>
      <c r="IYK574" s="44"/>
      <c r="IYL574" s="44"/>
      <c r="IYM574" s="44"/>
      <c r="IYN574" s="44"/>
      <c r="IYO574" s="44"/>
      <c r="IYP574" s="44"/>
      <c r="IYQ574" s="44"/>
      <c r="IYR574" s="44"/>
      <c r="IYS574" s="44"/>
      <c r="IYT574" s="44"/>
      <c r="IYU574" s="44"/>
      <c r="IYV574" s="44"/>
      <c r="IYW574" s="44"/>
      <c r="IYX574" s="44"/>
      <c r="IYY574" s="44"/>
      <c r="IYZ574" s="44"/>
      <c r="IZA574" s="44"/>
      <c r="IZB574" s="44"/>
      <c r="IZC574" s="44"/>
      <c r="IZD574" s="44"/>
      <c r="IZE574" s="44"/>
      <c r="IZF574" s="44"/>
      <c r="IZG574" s="44"/>
      <c r="IZH574" s="44"/>
      <c r="IZI574" s="44"/>
      <c r="IZJ574" s="44"/>
      <c r="IZK574" s="44"/>
      <c r="IZL574" s="44"/>
      <c r="IZM574" s="44"/>
      <c r="IZN574" s="44"/>
      <c r="IZO574" s="44"/>
      <c r="IZP574" s="44"/>
      <c r="IZQ574" s="44"/>
      <c r="IZR574" s="44"/>
      <c r="IZS574" s="44"/>
      <c r="IZT574" s="44"/>
      <c r="IZU574" s="44"/>
      <c r="IZV574" s="44"/>
      <c r="IZW574" s="44"/>
      <c r="IZX574" s="44"/>
      <c r="IZY574" s="44"/>
      <c r="IZZ574" s="44"/>
      <c r="JAA574" s="44"/>
      <c r="JAB574" s="44"/>
      <c r="JAC574" s="44"/>
      <c r="JAD574" s="44"/>
      <c r="JAE574" s="44"/>
      <c r="JAF574" s="44"/>
      <c r="JAG574" s="44"/>
      <c r="JAH574" s="44"/>
      <c r="JAI574" s="44"/>
      <c r="JAJ574" s="44"/>
      <c r="JAK574" s="44"/>
      <c r="JAL574" s="44"/>
      <c r="JAM574" s="44"/>
      <c r="JAN574" s="44"/>
      <c r="JAO574" s="44"/>
      <c r="JAP574" s="44"/>
      <c r="JAQ574" s="44"/>
      <c r="JAR574" s="44"/>
      <c r="JAS574" s="44"/>
      <c r="JAT574" s="44"/>
      <c r="JAU574" s="44"/>
      <c r="JAV574" s="44"/>
      <c r="JAW574" s="44"/>
      <c r="JAX574" s="44"/>
      <c r="JAY574" s="44"/>
      <c r="JAZ574" s="44"/>
      <c r="JBA574" s="44"/>
      <c r="JBB574" s="44"/>
      <c r="JBC574" s="44"/>
      <c r="JBD574" s="44"/>
      <c r="JBE574" s="44"/>
      <c r="JBF574" s="44"/>
      <c r="JBG574" s="44"/>
      <c r="JBH574" s="44"/>
      <c r="JBI574" s="44"/>
      <c r="JBJ574" s="44"/>
      <c r="JBK574" s="44"/>
      <c r="JBL574" s="44"/>
      <c r="JBM574" s="44"/>
      <c r="JBN574" s="44"/>
      <c r="JBO574" s="44"/>
      <c r="JBP574" s="44"/>
      <c r="JBQ574" s="44"/>
      <c r="JBR574" s="44"/>
      <c r="JBS574" s="44"/>
      <c r="JBT574" s="44"/>
      <c r="JBU574" s="44"/>
      <c r="JBV574" s="44"/>
      <c r="JBW574" s="44"/>
      <c r="JBX574" s="44"/>
      <c r="JBY574" s="44"/>
      <c r="JBZ574" s="44"/>
      <c r="JCA574" s="44"/>
      <c r="JCB574" s="44"/>
      <c r="JCC574" s="44"/>
      <c r="JCD574" s="44"/>
      <c r="JCE574" s="44"/>
      <c r="JCF574" s="44"/>
      <c r="JCG574" s="44"/>
      <c r="JCH574" s="44"/>
      <c r="JCI574" s="44"/>
      <c r="JCJ574" s="44"/>
      <c r="JCK574" s="44"/>
      <c r="JCL574" s="44"/>
      <c r="JCM574" s="44"/>
      <c r="JCN574" s="44"/>
      <c r="JCO574" s="44"/>
      <c r="JCP574" s="44"/>
      <c r="JCQ574" s="44"/>
      <c r="JCR574" s="44"/>
      <c r="JCS574" s="44"/>
      <c r="JCT574" s="44"/>
      <c r="JCU574" s="44"/>
      <c r="JCV574" s="44"/>
      <c r="JCW574" s="44"/>
      <c r="JCX574" s="44"/>
      <c r="JCY574" s="44"/>
      <c r="JCZ574" s="44"/>
      <c r="JDA574" s="44"/>
      <c r="JDB574" s="44"/>
      <c r="JDC574" s="44"/>
      <c r="JDD574" s="44"/>
      <c r="JDE574" s="44"/>
      <c r="JDF574" s="44"/>
      <c r="JDG574" s="44"/>
      <c r="JDH574" s="44"/>
      <c r="JDI574" s="44"/>
      <c r="JDJ574" s="44"/>
      <c r="JDK574" s="44"/>
      <c r="JDL574" s="44"/>
      <c r="JDM574" s="44"/>
      <c r="JDN574" s="44"/>
      <c r="JDO574" s="44"/>
      <c r="JDP574" s="44"/>
      <c r="JDQ574" s="44"/>
      <c r="JDR574" s="44"/>
      <c r="JDS574" s="44"/>
      <c r="JDT574" s="44"/>
      <c r="JDU574" s="44"/>
      <c r="JDV574" s="44"/>
      <c r="JDW574" s="44"/>
      <c r="JDX574" s="44"/>
      <c r="JDY574" s="44"/>
      <c r="JDZ574" s="44"/>
      <c r="JEA574" s="44"/>
      <c r="JEB574" s="44"/>
      <c r="JEC574" s="44"/>
      <c r="JED574" s="44"/>
      <c r="JEE574" s="44"/>
      <c r="JEF574" s="44"/>
      <c r="JEG574" s="44"/>
      <c r="JEH574" s="44"/>
      <c r="JEI574" s="44"/>
      <c r="JEJ574" s="44"/>
      <c r="JEK574" s="44"/>
      <c r="JEL574" s="44"/>
      <c r="JEM574" s="44"/>
      <c r="JEN574" s="44"/>
      <c r="JEO574" s="44"/>
      <c r="JEP574" s="44"/>
      <c r="JEQ574" s="44"/>
      <c r="JER574" s="44"/>
      <c r="JES574" s="44"/>
      <c r="JET574" s="44"/>
      <c r="JEU574" s="44"/>
      <c r="JEV574" s="44"/>
      <c r="JEW574" s="44"/>
      <c r="JEX574" s="44"/>
      <c r="JEY574" s="44"/>
      <c r="JEZ574" s="44"/>
      <c r="JFA574" s="44"/>
      <c r="JFB574" s="44"/>
      <c r="JFC574" s="44"/>
      <c r="JFD574" s="44"/>
      <c r="JFE574" s="44"/>
      <c r="JFF574" s="44"/>
      <c r="JFG574" s="44"/>
      <c r="JFH574" s="44"/>
      <c r="JFI574" s="44"/>
      <c r="JFJ574" s="44"/>
      <c r="JFK574" s="44"/>
      <c r="JFL574" s="44"/>
      <c r="JFM574" s="44"/>
      <c r="JFN574" s="44"/>
      <c r="JFO574" s="44"/>
      <c r="JFP574" s="44"/>
      <c r="JFQ574" s="44"/>
      <c r="JFR574" s="44"/>
      <c r="JFS574" s="44"/>
      <c r="JFT574" s="44"/>
      <c r="JFU574" s="44"/>
      <c r="JFV574" s="44"/>
      <c r="JFW574" s="44"/>
      <c r="JFX574" s="44"/>
      <c r="JFY574" s="44"/>
      <c r="JFZ574" s="44"/>
      <c r="JGA574" s="44"/>
      <c r="JGB574" s="44"/>
      <c r="JGC574" s="44"/>
      <c r="JGD574" s="44"/>
      <c r="JGE574" s="44"/>
      <c r="JGF574" s="44"/>
      <c r="JGG574" s="44"/>
      <c r="JGH574" s="44"/>
      <c r="JGI574" s="44"/>
      <c r="JGJ574" s="44"/>
      <c r="JGK574" s="44"/>
      <c r="JGL574" s="44"/>
      <c r="JGM574" s="44"/>
      <c r="JGN574" s="44"/>
      <c r="JGO574" s="44"/>
      <c r="JGP574" s="44"/>
      <c r="JGQ574" s="44"/>
      <c r="JGR574" s="44"/>
      <c r="JGS574" s="44"/>
      <c r="JGT574" s="44"/>
      <c r="JGU574" s="44"/>
      <c r="JGV574" s="44"/>
      <c r="JGW574" s="44"/>
      <c r="JGX574" s="44"/>
      <c r="JGY574" s="44"/>
      <c r="JGZ574" s="44"/>
      <c r="JHA574" s="44"/>
      <c r="JHB574" s="44"/>
      <c r="JHC574" s="44"/>
      <c r="JHD574" s="44"/>
      <c r="JHE574" s="44"/>
      <c r="JHF574" s="44"/>
      <c r="JHG574" s="44"/>
      <c r="JHH574" s="44"/>
      <c r="JHI574" s="44"/>
      <c r="JHJ574" s="44"/>
      <c r="JHK574" s="44"/>
      <c r="JHL574" s="44"/>
      <c r="JHM574" s="44"/>
      <c r="JHN574" s="44"/>
      <c r="JHO574" s="44"/>
      <c r="JHP574" s="44"/>
      <c r="JHQ574" s="44"/>
      <c r="JHR574" s="44"/>
      <c r="JHS574" s="44"/>
      <c r="JHT574" s="44"/>
      <c r="JHU574" s="44"/>
      <c r="JHV574" s="44"/>
      <c r="JHW574" s="44"/>
      <c r="JHX574" s="44"/>
      <c r="JHY574" s="44"/>
      <c r="JHZ574" s="44"/>
      <c r="JIA574" s="44"/>
      <c r="JIB574" s="44"/>
      <c r="JIC574" s="44"/>
      <c r="JID574" s="44"/>
      <c r="JIE574" s="44"/>
      <c r="JIF574" s="44"/>
      <c r="JIG574" s="44"/>
      <c r="JIH574" s="44"/>
      <c r="JII574" s="44"/>
      <c r="JIJ574" s="44"/>
      <c r="JIK574" s="44"/>
      <c r="JIL574" s="44"/>
      <c r="JIM574" s="44"/>
      <c r="JIN574" s="44"/>
      <c r="JIO574" s="44"/>
      <c r="JIP574" s="44"/>
      <c r="JIQ574" s="44"/>
      <c r="JIR574" s="44"/>
      <c r="JIS574" s="44"/>
      <c r="JIT574" s="44"/>
      <c r="JIU574" s="44"/>
      <c r="JIV574" s="44"/>
      <c r="JIW574" s="44"/>
      <c r="JIX574" s="44"/>
      <c r="JIY574" s="44"/>
      <c r="JIZ574" s="44"/>
      <c r="JJA574" s="44"/>
      <c r="JJB574" s="44"/>
      <c r="JJC574" s="44"/>
      <c r="JJD574" s="44"/>
      <c r="JJE574" s="44"/>
      <c r="JJF574" s="44"/>
      <c r="JJG574" s="44"/>
      <c r="JJH574" s="44"/>
      <c r="JJI574" s="44"/>
      <c r="JJJ574" s="44"/>
      <c r="JJK574" s="44"/>
      <c r="JJL574" s="44"/>
      <c r="JJM574" s="44"/>
      <c r="JJN574" s="44"/>
      <c r="JJO574" s="44"/>
      <c r="JJP574" s="44"/>
      <c r="JJQ574" s="44"/>
      <c r="JJR574" s="44"/>
      <c r="JJS574" s="44"/>
      <c r="JJT574" s="44"/>
      <c r="JJU574" s="44"/>
      <c r="JJV574" s="44"/>
      <c r="JJW574" s="44"/>
      <c r="JJX574" s="44"/>
      <c r="JJY574" s="44"/>
      <c r="JJZ574" s="44"/>
      <c r="JKA574" s="44"/>
      <c r="JKB574" s="44"/>
      <c r="JKC574" s="44"/>
      <c r="JKD574" s="44"/>
      <c r="JKE574" s="44"/>
      <c r="JKF574" s="44"/>
      <c r="JKG574" s="44"/>
      <c r="JKH574" s="44"/>
      <c r="JKI574" s="44"/>
      <c r="JKJ574" s="44"/>
      <c r="JKK574" s="44"/>
      <c r="JKL574" s="44"/>
      <c r="JKM574" s="44"/>
      <c r="JKN574" s="44"/>
      <c r="JKO574" s="44"/>
      <c r="JKP574" s="44"/>
      <c r="JKQ574" s="44"/>
      <c r="JKR574" s="44"/>
      <c r="JKS574" s="44"/>
      <c r="JKT574" s="44"/>
      <c r="JKU574" s="44"/>
      <c r="JKV574" s="44"/>
      <c r="JKW574" s="44"/>
      <c r="JKX574" s="44"/>
      <c r="JKY574" s="44"/>
      <c r="JKZ574" s="44"/>
      <c r="JLA574" s="44"/>
      <c r="JLB574" s="44"/>
      <c r="JLC574" s="44"/>
      <c r="JLD574" s="44"/>
      <c r="JLE574" s="44"/>
      <c r="JLF574" s="44"/>
      <c r="JLG574" s="44"/>
      <c r="JLH574" s="44"/>
      <c r="JLI574" s="44"/>
      <c r="JLJ574" s="44"/>
      <c r="JLK574" s="44"/>
      <c r="JLL574" s="44"/>
      <c r="JLM574" s="44"/>
      <c r="JLN574" s="44"/>
      <c r="JLO574" s="44"/>
      <c r="JLP574" s="44"/>
      <c r="JLQ574" s="44"/>
      <c r="JLR574" s="44"/>
      <c r="JLS574" s="44"/>
      <c r="JLT574" s="44"/>
      <c r="JLU574" s="44"/>
      <c r="JLV574" s="44"/>
      <c r="JLW574" s="44"/>
      <c r="JLX574" s="44"/>
      <c r="JLY574" s="44"/>
      <c r="JLZ574" s="44"/>
      <c r="JMA574" s="44"/>
      <c r="JMB574" s="44"/>
      <c r="JMC574" s="44"/>
      <c r="JMD574" s="44"/>
      <c r="JME574" s="44"/>
      <c r="JMF574" s="44"/>
      <c r="JMG574" s="44"/>
      <c r="JMH574" s="44"/>
      <c r="JMI574" s="44"/>
      <c r="JMJ574" s="44"/>
      <c r="JMK574" s="44"/>
      <c r="JML574" s="44"/>
      <c r="JMM574" s="44"/>
      <c r="JMN574" s="44"/>
      <c r="JMO574" s="44"/>
      <c r="JMP574" s="44"/>
      <c r="JMQ574" s="44"/>
      <c r="JMR574" s="44"/>
      <c r="JMS574" s="44"/>
      <c r="JMT574" s="44"/>
      <c r="JMU574" s="44"/>
      <c r="JMV574" s="44"/>
      <c r="JMW574" s="44"/>
      <c r="JMX574" s="44"/>
      <c r="JMY574" s="44"/>
      <c r="JMZ574" s="44"/>
      <c r="JNA574" s="44"/>
      <c r="JNB574" s="44"/>
      <c r="JNC574" s="44"/>
      <c r="JND574" s="44"/>
      <c r="JNE574" s="44"/>
      <c r="JNF574" s="44"/>
      <c r="JNG574" s="44"/>
      <c r="JNH574" s="44"/>
      <c r="JNI574" s="44"/>
      <c r="JNJ574" s="44"/>
      <c r="JNK574" s="44"/>
      <c r="JNL574" s="44"/>
      <c r="JNM574" s="44"/>
      <c r="JNN574" s="44"/>
      <c r="JNO574" s="44"/>
      <c r="JNP574" s="44"/>
      <c r="JNQ574" s="44"/>
      <c r="JNR574" s="44"/>
      <c r="JNS574" s="44"/>
      <c r="JNT574" s="44"/>
      <c r="JNU574" s="44"/>
      <c r="JNV574" s="44"/>
      <c r="JNW574" s="44"/>
      <c r="JNX574" s="44"/>
      <c r="JNY574" s="44"/>
      <c r="JNZ574" s="44"/>
      <c r="JOA574" s="44"/>
      <c r="JOB574" s="44"/>
      <c r="JOC574" s="44"/>
      <c r="JOD574" s="44"/>
      <c r="JOE574" s="44"/>
      <c r="JOF574" s="44"/>
      <c r="JOG574" s="44"/>
      <c r="JOH574" s="44"/>
      <c r="JOI574" s="44"/>
      <c r="JOJ574" s="44"/>
      <c r="JOK574" s="44"/>
      <c r="JOL574" s="44"/>
      <c r="JOM574" s="44"/>
      <c r="JON574" s="44"/>
      <c r="JOO574" s="44"/>
      <c r="JOP574" s="44"/>
      <c r="JOQ574" s="44"/>
      <c r="JOR574" s="44"/>
      <c r="JOS574" s="44"/>
      <c r="JOT574" s="44"/>
      <c r="JOU574" s="44"/>
      <c r="JOV574" s="44"/>
      <c r="JOW574" s="44"/>
      <c r="JOX574" s="44"/>
      <c r="JOY574" s="44"/>
      <c r="JOZ574" s="44"/>
      <c r="JPA574" s="44"/>
      <c r="JPB574" s="44"/>
      <c r="JPC574" s="44"/>
      <c r="JPD574" s="44"/>
      <c r="JPE574" s="44"/>
      <c r="JPF574" s="44"/>
      <c r="JPG574" s="44"/>
      <c r="JPH574" s="44"/>
      <c r="JPI574" s="44"/>
      <c r="JPJ574" s="44"/>
      <c r="JPK574" s="44"/>
      <c r="JPL574" s="44"/>
      <c r="JPM574" s="44"/>
      <c r="JPN574" s="44"/>
      <c r="JPO574" s="44"/>
      <c r="JPP574" s="44"/>
      <c r="JPQ574" s="44"/>
      <c r="JPR574" s="44"/>
      <c r="JPS574" s="44"/>
      <c r="JPT574" s="44"/>
      <c r="JPU574" s="44"/>
      <c r="JPV574" s="44"/>
      <c r="JPW574" s="44"/>
      <c r="JPX574" s="44"/>
      <c r="JPY574" s="44"/>
      <c r="JPZ574" s="44"/>
      <c r="JQA574" s="44"/>
      <c r="JQB574" s="44"/>
      <c r="JQC574" s="44"/>
      <c r="JQD574" s="44"/>
      <c r="JQE574" s="44"/>
      <c r="JQF574" s="44"/>
      <c r="JQG574" s="44"/>
      <c r="JQH574" s="44"/>
      <c r="JQI574" s="44"/>
      <c r="JQJ574" s="44"/>
      <c r="JQK574" s="44"/>
      <c r="JQL574" s="44"/>
      <c r="JQM574" s="44"/>
      <c r="JQN574" s="44"/>
      <c r="JQO574" s="44"/>
      <c r="JQP574" s="44"/>
      <c r="JQQ574" s="44"/>
      <c r="JQR574" s="44"/>
      <c r="JQS574" s="44"/>
      <c r="JQT574" s="44"/>
      <c r="JQU574" s="44"/>
      <c r="JQV574" s="44"/>
      <c r="JQW574" s="44"/>
      <c r="JQX574" s="44"/>
      <c r="JQY574" s="44"/>
      <c r="JQZ574" s="44"/>
      <c r="JRA574" s="44"/>
      <c r="JRB574" s="44"/>
      <c r="JRC574" s="44"/>
      <c r="JRD574" s="44"/>
      <c r="JRE574" s="44"/>
      <c r="JRF574" s="44"/>
      <c r="JRG574" s="44"/>
      <c r="JRH574" s="44"/>
      <c r="JRI574" s="44"/>
      <c r="JRJ574" s="44"/>
      <c r="JRK574" s="44"/>
      <c r="JRL574" s="44"/>
      <c r="JRM574" s="44"/>
      <c r="JRN574" s="44"/>
      <c r="JRO574" s="44"/>
      <c r="JRP574" s="44"/>
      <c r="JRQ574" s="44"/>
      <c r="JRR574" s="44"/>
      <c r="JRS574" s="44"/>
      <c r="JRT574" s="44"/>
      <c r="JRU574" s="44"/>
      <c r="JRV574" s="44"/>
      <c r="JRW574" s="44"/>
      <c r="JRX574" s="44"/>
      <c r="JRY574" s="44"/>
      <c r="JRZ574" s="44"/>
      <c r="JSA574" s="44"/>
      <c r="JSB574" s="44"/>
      <c r="JSC574" s="44"/>
      <c r="JSD574" s="44"/>
      <c r="JSE574" s="44"/>
      <c r="JSF574" s="44"/>
      <c r="JSG574" s="44"/>
      <c r="JSH574" s="44"/>
      <c r="JSI574" s="44"/>
      <c r="JSJ574" s="44"/>
      <c r="JSK574" s="44"/>
      <c r="JSL574" s="44"/>
      <c r="JSM574" s="44"/>
      <c r="JSN574" s="44"/>
      <c r="JSO574" s="44"/>
      <c r="JSP574" s="44"/>
      <c r="JSQ574" s="44"/>
      <c r="JSR574" s="44"/>
      <c r="JSS574" s="44"/>
      <c r="JST574" s="44"/>
      <c r="JSU574" s="44"/>
      <c r="JSV574" s="44"/>
      <c r="JSW574" s="44"/>
      <c r="JSX574" s="44"/>
      <c r="JSY574" s="44"/>
      <c r="JSZ574" s="44"/>
      <c r="JTA574" s="44"/>
      <c r="JTB574" s="44"/>
      <c r="JTC574" s="44"/>
      <c r="JTD574" s="44"/>
      <c r="JTE574" s="44"/>
      <c r="JTF574" s="44"/>
      <c r="JTG574" s="44"/>
      <c r="JTH574" s="44"/>
      <c r="JTI574" s="44"/>
      <c r="JTJ574" s="44"/>
      <c r="JTK574" s="44"/>
      <c r="JTL574" s="44"/>
      <c r="JTM574" s="44"/>
      <c r="JTN574" s="44"/>
      <c r="JTO574" s="44"/>
      <c r="JTP574" s="44"/>
      <c r="JTQ574" s="44"/>
      <c r="JTR574" s="44"/>
      <c r="JTS574" s="44"/>
      <c r="JTT574" s="44"/>
      <c r="JTU574" s="44"/>
      <c r="JTV574" s="44"/>
      <c r="JTW574" s="44"/>
      <c r="JTX574" s="44"/>
      <c r="JTY574" s="44"/>
      <c r="JTZ574" s="44"/>
      <c r="JUA574" s="44"/>
      <c r="JUB574" s="44"/>
      <c r="JUC574" s="44"/>
      <c r="JUD574" s="44"/>
      <c r="JUE574" s="44"/>
      <c r="JUF574" s="44"/>
      <c r="JUG574" s="44"/>
      <c r="JUH574" s="44"/>
      <c r="JUI574" s="44"/>
      <c r="JUJ574" s="44"/>
      <c r="JUK574" s="44"/>
      <c r="JUL574" s="44"/>
      <c r="JUM574" s="44"/>
      <c r="JUN574" s="44"/>
      <c r="JUO574" s="44"/>
      <c r="JUP574" s="44"/>
      <c r="JUQ574" s="44"/>
      <c r="JUR574" s="44"/>
      <c r="JUS574" s="44"/>
      <c r="JUT574" s="44"/>
      <c r="JUU574" s="44"/>
      <c r="JUV574" s="44"/>
      <c r="JUW574" s="44"/>
      <c r="JUX574" s="44"/>
      <c r="JUY574" s="44"/>
      <c r="JUZ574" s="44"/>
      <c r="JVA574" s="44"/>
      <c r="JVB574" s="44"/>
      <c r="JVC574" s="44"/>
      <c r="JVD574" s="44"/>
      <c r="JVE574" s="44"/>
      <c r="JVF574" s="44"/>
      <c r="JVG574" s="44"/>
      <c r="JVH574" s="44"/>
      <c r="JVI574" s="44"/>
      <c r="JVJ574" s="44"/>
      <c r="JVK574" s="44"/>
      <c r="JVL574" s="44"/>
      <c r="JVM574" s="44"/>
      <c r="JVN574" s="44"/>
      <c r="JVO574" s="44"/>
      <c r="JVP574" s="44"/>
      <c r="JVQ574" s="44"/>
      <c r="JVR574" s="44"/>
      <c r="JVS574" s="44"/>
      <c r="JVT574" s="44"/>
      <c r="JVU574" s="44"/>
      <c r="JVV574" s="44"/>
      <c r="JVW574" s="44"/>
      <c r="JVX574" s="44"/>
      <c r="JVY574" s="44"/>
      <c r="JVZ574" s="44"/>
      <c r="JWA574" s="44"/>
      <c r="JWB574" s="44"/>
      <c r="JWC574" s="44"/>
      <c r="JWD574" s="44"/>
      <c r="JWE574" s="44"/>
      <c r="JWF574" s="44"/>
      <c r="JWG574" s="44"/>
      <c r="JWH574" s="44"/>
      <c r="JWI574" s="44"/>
      <c r="JWJ574" s="44"/>
      <c r="JWK574" s="44"/>
      <c r="JWL574" s="44"/>
      <c r="JWM574" s="44"/>
      <c r="JWN574" s="44"/>
      <c r="JWO574" s="44"/>
      <c r="JWP574" s="44"/>
      <c r="JWQ574" s="44"/>
      <c r="JWR574" s="44"/>
      <c r="JWS574" s="44"/>
      <c r="JWT574" s="44"/>
      <c r="JWU574" s="44"/>
      <c r="JWV574" s="44"/>
      <c r="JWW574" s="44"/>
      <c r="JWX574" s="44"/>
      <c r="JWY574" s="44"/>
      <c r="JWZ574" s="44"/>
      <c r="JXA574" s="44"/>
      <c r="JXB574" s="44"/>
      <c r="JXC574" s="44"/>
      <c r="JXD574" s="44"/>
      <c r="JXE574" s="44"/>
      <c r="JXF574" s="44"/>
      <c r="JXG574" s="44"/>
      <c r="JXH574" s="44"/>
      <c r="JXI574" s="44"/>
      <c r="JXJ574" s="44"/>
      <c r="JXK574" s="44"/>
      <c r="JXL574" s="44"/>
      <c r="JXM574" s="44"/>
      <c r="JXN574" s="44"/>
      <c r="JXO574" s="44"/>
      <c r="JXP574" s="44"/>
      <c r="JXQ574" s="44"/>
      <c r="JXR574" s="44"/>
      <c r="JXS574" s="44"/>
      <c r="JXT574" s="44"/>
      <c r="JXU574" s="44"/>
      <c r="JXV574" s="44"/>
      <c r="JXW574" s="44"/>
      <c r="JXX574" s="44"/>
      <c r="JXY574" s="44"/>
      <c r="JXZ574" s="44"/>
      <c r="JYA574" s="44"/>
      <c r="JYB574" s="44"/>
      <c r="JYC574" s="44"/>
      <c r="JYD574" s="44"/>
      <c r="JYE574" s="44"/>
      <c r="JYF574" s="44"/>
      <c r="JYG574" s="44"/>
      <c r="JYH574" s="44"/>
      <c r="JYI574" s="44"/>
      <c r="JYJ574" s="44"/>
      <c r="JYK574" s="44"/>
      <c r="JYL574" s="44"/>
      <c r="JYM574" s="44"/>
      <c r="JYN574" s="44"/>
      <c r="JYO574" s="44"/>
      <c r="JYP574" s="44"/>
      <c r="JYQ574" s="44"/>
      <c r="JYR574" s="44"/>
      <c r="JYS574" s="44"/>
      <c r="JYT574" s="44"/>
      <c r="JYU574" s="44"/>
      <c r="JYV574" s="44"/>
      <c r="JYW574" s="44"/>
      <c r="JYX574" s="44"/>
      <c r="JYY574" s="44"/>
      <c r="JYZ574" s="44"/>
      <c r="JZA574" s="44"/>
      <c r="JZB574" s="44"/>
      <c r="JZC574" s="44"/>
      <c r="JZD574" s="44"/>
      <c r="JZE574" s="44"/>
      <c r="JZF574" s="44"/>
      <c r="JZG574" s="44"/>
      <c r="JZH574" s="44"/>
      <c r="JZI574" s="44"/>
      <c r="JZJ574" s="44"/>
      <c r="JZK574" s="44"/>
      <c r="JZL574" s="44"/>
      <c r="JZM574" s="44"/>
      <c r="JZN574" s="44"/>
      <c r="JZO574" s="44"/>
      <c r="JZP574" s="44"/>
      <c r="JZQ574" s="44"/>
      <c r="JZR574" s="44"/>
      <c r="JZS574" s="44"/>
      <c r="JZT574" s="44"/>
      <c r="JZU574" s="44"/>
      <c r="JZV574" s="44"/>
      <c r="JZW574" s="44"/>
      <c r="JZX574" s="44"/>
      <c r="JZY574" s="44"/>
      <c r="JZZ574" s="44"/>
      <c r="KAA574" s="44"/>
      <c r="KAB574" s="44"/>
      <c r="KAC574" s="44"/>
      <c r="KAD574" s="44"/>
      <c r="KAE574" s="44"/>
      <c r="KAF574" s="44"/>
      <c r="KAG574" s="44"/>
      <c r="KAH574" s="44"/>
      <c r="KAI574" s="44"/>
      <c r="KAJ574" s="44"/>
      <c r="KAK574" s="44"/>
      <c r="KAL574" s="44"/>
      <c r="KAM574" s="44"/>
      <c r="KAN574" s="44"/>
      <c r="KAO574" s="44"/>
      <c r="KAP574" s="44"/>
      <c r="KAQ574" s="44"/>
      <c r="KAR574" s="44"/>
      <c r="KAS574" s="44"/>
      <c r="KAT574" s="44"/>
      <c r="KAU574" s="44"/>
      <c r="KAV574" s="44"/>
      <c r="KAW574" s="44"/>
      <c r="KAX574" s="44"/>
      <c r="KAY574" s="44"/>
      <c r="KAZ574" s="44"/>
      <c r="KBA574" s="44"/>
      <c r="KBB574" s="44"/>
      <c r="KBC574" s="44"/>
      <c r="KBD574" s="44"/>
      <c r="KBE574" s="44"/>
      <c r="KBF574" s="44"/>
      <c r="KBG574" s="44"/>
      <c r="KBH574" s="44"/>
      <c r="KBI574" s="44"/>
      <c r="KBJ574" s="44"/>
      <c r="KBK574" s="44"/>
      <c r="KBL574" s="44"/>
      <c r="KBM574" s="44"/>
      <c r="KBN574" s="44"/>
      <c r="KBO574" s="44"/>
      <c r="KBP574" s="44"/>
      <c r="KBQ574" s="44"/>
      <c r="KBR574" s="44"/>
      <c r="KBS574" s="44"/>
      <c r="KBT574" s="44"/>
      <c r="KBU574" s="44"/>
      <c r="KBV574" s="44"/>
      <c r="KBW574" s="44"/>
      <c r="KBX574" s="44"/>
      <c r="KBY574" s="44"/>
      <c r="KBZ574" s="44"/>
      <c r="KCA574" s="44"/>
      <c r="KCB574" s="44"/>
      <c r="KCC574" s="44"/>
      <c r="KCD574" s="44"/>
      <c r="KCE574" s="44"/>
      <c r="KCF574" s="44"/>
      <c r="KCG574" s="44"/>
      <c r="KCH574" s="44"/>
      <c r="KCI574" s="44"/>
      <c r="KCJ574" s="44"/>
      <c r="KCK574" s="44"/>
      <c r="KCL574" s="44"/>
      <c r="KCM574" s="44"/>
      <c r="KCN574" s="44"/>
      <c r="KCO574" s="44"/>
      <c r="KCP574" s="44"/>
      <c r="KCQ574" s="44"/>
      <c r="KCR574" s="44"/>
      <c r="KCS574" s="44"/>
      <c r="KCT574" s="44"/>
      <c r="KCU574" s="44"/>
      <c r="KCV574" s="44"/>
      <c r="KCW574" s="44"/>
      <c r="KCX574" s="44"/>
      <c r="KCY574" s="44"/>
      <c r="KCZ574" s="44"/>
      <c r="KDA574" s="44"/>
      <c r="KDB574" s="44"/>
      <c r="KDC574" s="44"/>
      <c r="KDD574" s="44"/>
      <c r="KDE574" s="44"/>
      <c r="KDF574" s="44"/>
      <c r="KDG574" s="44"/>
      <c r="KDH574" s="44"/>
      <c r="KDI574" s="44"/>
      <c r="KDJ574" s="44"/>
      <c r="KDK574" s="44"/>
      <c r="KDL574" s="44"/>
      <c r="KDM574" s="44"/>
      <c r="KDN574" s="44"/>
      <c r="KDO574" s="44"/>
      <c r="KDP574" s="44"/>
      <c r="KDQ574" s="44"/>
      <c r="KDR574" s="44"/>
      <c r="KDS574" s="44"/>
      <c r="KDT574" s="44"/>
      <c r="KDU574" s="44"/>
      <c r="KDV574" s="44"/>
      <c r="KDW574" s="44"/>
      <c r="KDX574" s="44"/>
      <c r="KDY574" s="44"/>
      <c r="KDZ574" s="44"/>
      <c r="KEA574" s="44"/>
      <c r="KEB574" s="44"/>
      <c r="KEC574" s="44"/>
      <c r="KED574" s="44"/>
      <c r="KEE574" s="44"/>
      <c r="KEF574" s="44"/>
      <c r="KEG574" s="44"/>
      <c r="KEH574" s="44"/>
      <c r="KEI574" s="44"/>
      <c r="KEJ574" s="44"/>
      <c r="KEK574" s="44"/>
      <c r="KEL574" s="44"/>
      <c r="KEM574" s="44"/>
      <c r="KEN574" s="44"/>
      <c r="KEO574" s="44"/>
      <c r="KEP574" s="44"/>
      <c r="KEQ574" s="44"/>
      <c r="KER574" s="44"/>
      <c r="KES574" s="44"/>
      <c r="KET574" s="44"/>
      <c r="KEU574" s="44"/>
      <c r="KEV574" s="44"/>
      <c r="KEW574" s="44"/>
      <c r="KEX574" s="44"/>
      <c r="KEY574" s="44"/>
      <c r="KEZ574" s="44"/>
      <c r="KFA574" s="44"/>
      <c r="KFB574" s="44"/>
      <c r="KFC574" s="44"/>
      <c r="KFD574" s="44"/>
      <c r="KFE574" s="44"/>
      <c r="KFF574" s="44"/>
      <c r="KFG574" s="44"/>
      <c r="KFH574" s="44"/>
      <c r="KFI574" s="44"/>
      <c r="KFJ574" s="44"/>
      <c r="KFK574" s="44"/>
      <c r="KFL574" s="44"/>
      <c r="KFM574" s="44"/>
      <c r="KFN574" s="44"/>
      <c r="KFO574" s="44"/>
      <c r="KFP574" s="44"/>
      <c r="KFQ574" s="44"/>
      <c r="KFR574" s="44"/>
      <c r="KFS574" s="44"/>
      <c r="KFT574" s="44"/>
      <c r="KFU574" s="44"/>
      <c r="KFV574" s="44"/>
      <c r="KFW574" s="44"/>
      <c r="KFX574" s="44"/>
      <c r="KFY574" s="44"/>
      <c r="KFZ574" s="44"/>
      <c r="KGA574" s="44"/>
      <c r="KGB574" s="44"/>
      <c r="KGC574" s="44"/>
      <c r="KGD574" s="44"/>
      <c r="KGE574" s="44"/>
      <c r="KGF574" s="44"/>
      <c r="KGG574" s="44"/>
      <c r="KGH574" s="44"/>
      <c r="KGI574" s="44"/>
      <c r="KGJ574" s="44"/>
      <c r="KGK574" s="44"/>
      <c r="KGL574" s="44"/>
      <c r="KGM574" s="44"/>
      <c r="KGN574" s="44"/>
      <c r="KGO574" s="44"/>
      <c r="KGP574" s="44"/>
      <c r="KGQ574" s="44"/>
      <c r="KGR574" s="44"/>
      <c r="KGS574" s="44"/>
      <c r="KGT574" s="44"/>
      <c r="KGU574" s="44"/>
      <c r="KGV574" s="44"/>
      <c r="KGW574" s="44"/>
      <c r="KGX574" s="44"/>
      <c r="KGY574" s="44"/>
      <c r="KGZ574" s="44"/>
      <c r="KHA574" s="44"/>
      <c r="KHB574" s="44"/>
      <c r="KHC574" s="44"/>
      <c r="KHD574" s="44"/>
      <c r="KHE574" s="44"/>
      <c r="KHF574" s="44"/>
      <c r="KHG574" s="44"/>
      <c r="KHH574" s="44"/>
      <c r="KHI574" s="44"/>
      <c r="KHJ574" s="44"/>
      <c r="KHK574" s="44"/>
      <c r="KHL574" s="44"/>
      <c r="KHM574" s="44"/>
      <c r="KHN574" s="44"/>
      <c r="KHO574" s="44"/>
      <c r="KHP574" s="44"/>
      <c r="KHQ574" s="44"/>
      <c r="KHR574" s="44"/>
      <c r="KHS574" s="44"/>
      <c r="KHT574" s="44"/>
      <c r="KHU574" s="44"/>
      <c r="KHV574" s="44"/>
      <c r="KHW574" s="44"/>
      <c r="KHX574" s="44"/>
      <c r="KHY574" s="44"/>
      <c r="KHZ574" s="44"/>
      <c r="KIA574" s="44"/>
      <c r="KIB574" s="44"/>
      <c r="KIC574" s="44"/>
      <c r="KID574" s="44"/>
      <c r="KIE574" s="44"/>
      <c r="KIF574" s="44"/>
      <c r="KIG574" s="44"/>
      <c r="KIH574" s="44"/>
      <c r="KII574" s="44"/>
      <c r="KIJ574" s="44"/>
      <c r="KIK574" s="44"/>
      <c r="KIL574" s="44"/>
      <c r="KIM574" s="44"/>
      <c r="KIN574" s="44"/>
      <c r="KIO574" s="44"/>
      <c r="KIP574" s="44"/>
      <c r="KIQ574" s="44"/>
      <c r="KIR574" s="44"/>
      <c r="KIS574" s="44"/>
      <c r="KIT574" s="44"/>
      <c r="KIU574" s="44"/>
      <c r="KIV574" s="44"/>
      <c r="KIW574" s="44"/>
      <c r="KIX574" s="44"/>
      <c r="KIY574" s="44"/>
      <c r="KIZ574" s="44"/>
      <c r="KJA574" s="44"/>
      <c r="KJB574" s="44"/>
      <c r="KJC574" s="44"/>
      <c r="KJD574" s="44"/>
      <c r="KJE574" s="44"/>
      <c r="KJF574" s="44"/>
      <c r="KJG574" s="44"/>
      <c r="KJH574" s="44"/>
      <c r="KJI574" s="44"/>
      <c r="KJJ574" s="44"/>
      <c r="KJK574" s="44"/>
      <c r="KJL574" s="44"/>
      <c r="KJM574" s="44"/>
      <c r="KJN574" s="44"/>
      <c r="KJO574" s="44"/>
      <c r="KJP574" s="44"/>
      <c r="KJQ574" s="44"/>
      <c r="KJR574" s="44"/>
      <c r="KJS574" s="44"/>
      <c r="KJT574" s="44"/>
      <c r="KJU574" s="44"/>
      <c r="KJV574" s="44"/>
      <c r="KJW574" s="44"/>
      <c r="KJX574" s="44"/>
      <c r="KJY574" s="44"/>
      <c r="KJZ574" s="44"/>
      <c r="KKA574" s="44"/>
      <c r="KKB574" s="44"/>
      <c r="KKC574" s="44"/>
      <c r="KKD574" s="44"/>
      <c r="KKE574" s="44"/>
      <c r="KKF574" s="44"/>
      <c r="KKG574" s="44"/>
      <c r="KKH574" s="44"/>
      <c r="KKI574" s="44"/>
      <c r="KKJ574" s="44"/>
      <c r="KKK574" s="44"/>
      <c r="KKL574" s="44"/>
      <c r="KKM574" s="44"/>
      <c r="KKN574" s="44"/>
      <c r="KKO574" s="44"/>
      <c r="KKP574" s="44"/>
      <c r="KKQ574" s="44"/>
      <c r="KKR574" s="44"/>
      <c r="KKS574" s="44"/>
      <c r="KKT574" s="44"/>
      <c r="KKU574" s="44"/>
      <c r="KKV574" s="44"/>
      <c r="KKW574" s="44"/>
      <c r="KKX574" s="44"/>
      <c r="KKY574" s="44"/>
      <c r="KKZ574" s="44"/>
      <c r="KLA574" s="44"/>
      <c r="KLB574" s="44"/>
      <c r="KLC574" s="44"/>
      <c r="KLD574" s="44"/>
      <c r="KLE574" s="44"/>
      <c r="KLF574" s="44"/>
      <c r="KLG574" s="44"/>
      <c r="KLH574" s="44"/>
      <c r="KLI574" s="44"/>
      <c r="KLJ574" s="44"/>
      <c r="KLK574" s="44"/>
      <c r="KLL574" s="44"/>
      <c r="KLM574" s="44"/>
      <c r="KLN574" s="44"/>
      <c r="KLO574" s="44"/>
      <c r="KLP574" s="44"/>
      <c r="KLQ574" s="44"/>
      <c r="KLR574" s="44"/>
      <c r="KLS574" s="44"/>
      <c r="KLT574" s="44"/>
      <c r="KLU574" s="44"/>
      <c r="KLV574" s="44"/>
      <c r="KLW574" s="44"/>
      <c r="KLX574" s="44"/>
      <c r="KLY574" s="44"/>
      <c r="KLZ574" s="44"/>
      <c r="KMA574" s="44"/>
      <c r="KMB574" s="44"/>
      <c r="KMC574" s="44"/>
      <c r="KMD574" s="44"/>
      <c r="KME574" s="44"/>
      <c r="KMF574" s="44"/>
      <c r="KMG574" s="44"/>
      <c r="KMH574" s="44"/>
      <c r="KMI574" s="44"/>
      <c r="KMJ574" s="44"/>
      <c r="KMK574" s="44"/>
      <c r="KML574" s="44"/>
      <c r="KMM574" s="44"/>
      <c r="KMN574" s="44"/>
      <c r="KMO574" s="44"/>
      <c r="KMP574" s="44"/>
      <c r="KMQ574" s="44"/>
      <c r="KMR574" s="44"/>
      <c r="KMS574" s="44"/>
      <c r="KMT574" s="44"/>
      <c r="KMU574" s="44"/>
      <c r="KMV574" s="44"/>
      <c r="KMW574" s="44"/>
      <c r="KMX574" s="44"/>
      <c r="KMY574" s="44"/>
      <c r="KMZ574" s="44"/>
      <c r="KNA574" s="44"/>
      <c r="KNB574" s="44"/>
      <c r="KNC574" s="44"/>
      <c r="KND574" s="44"/>
      <c r="KNE574" s="44"/>
      <c r="KNF574" s="44"/>
      <c r="KNG574" s="44"/>
      <c r="KNH574" s="44"/>
      <c r="KNI574" s="44"/>
      <c r="KNJ574" s="44"/>
      <c r="KNK574" s="44"/>
      <c r="KNL574" s="44"/>
      <c r="KNM574" s="44"/>
      <c r="KNN574" s="44"/>
      <c r="KNO574" s="44"/>
      <c r="KNP574" s="44"/>
      <c r="KNQ574" s="44"/>
      <c r="KNR574" s="44"/>
      <c r="KNS574" s="44"/>
      <c r="KNT574" s="44"/>
      <c r="KNU574" s="44"/>
      <c r="KNV574" s="44"/>
      <c r="KNW574" s="44"/>
      <c r="KNX574" s="44"/>
      <c r="KNY574" s="44"/>
      <c r="KNZ574" s="44"/>
      <c r="KOA574" s="44"/>
      <c r="KOB574" s="44"/>
      <c r="KOC574" s="44"/>
      <c r="KOD574" s="44"/>
      <c r="KOE574" s="44"/>
      <c r="KOF574" s="44"/>
      <c r="KOG574" s="44"/>
      <c r="KOH574" s="44"/>
      <c r="KOI574" s="44"/>
      <c r="KOJ574" s="44"/>
      <c r="KOK574" s="44"/>
      <c r="KOL574" s="44"/>
      <c r="KOM574" s="44"/>
      <c r="KON574" s="44"/>
      <c r="KOO574" s="44"/>
      <c r="KOP574" s="44"/>
      <c r="KOQ574" s="44"/>
      <c r="KOR574" s="44"/>
      <c r="KOS574" s="44"/>
      <c r="KOT574" s="44"/>
      <c r="KOU574" s="44"/>
      <c r="KOV574" s="44"/>
      <c r="KOW574" s="44"/>
      <c r="KOX574" s="44"/>
      <c r="KOY574" s="44"/>
      <c r="KOZ574" s="44"/>
      <c r="KPA574" s="44"/>
      <c r="KPB574" s="44"/>
      <c r="KPC574" s="44"/>
      <c r="KPD574" s="44"/>
      <c r="KPE574" s="44"/>
      <c r="KPF574" s="44"/>
      <c r="KPG574" s="44"/>
      <c r="KPH574" s="44"/>
      <c r="KPI574" s="44"/>
      <c r="KPJ574" s="44"/>
      <c r="KPK574" s="44"/>
      <c r="KPL574" s="44"/>
      <c r="KPM574" s="44"/>
      <c r="KPN574" s="44"/>
      <c r="KPO574" s="44"/>
      <c r="KPP574" s="44"/>
      <c r="KPQ574" s="44"/>
      <c r="KPR574" s="44"/>
      <c r="KPS574" s="44"/>
      <c r="KPT574" s="44"/>
      <c r="KPU574" s="44"/>
      <c r="KPV574" s="44"/>
      <c r="KPW574" s="44"/>
      <c r="KPX574" s="44"/>
      <c r="KPY574" s="44"/>
      <c r="KPZ574" s="44"/>
      <c r="KQA574" s="44"/>
      <c r="KQB574" s="44"/>
      <c r="KQC574" s="44"/>
      <c r="KQD574" s="44"/>
      <c r="KQE574" s="44"/>
      <c r="KQF574" s="44"/>
      <c r="KQG574" s="44"/>
      <c r="KQH574" s="44"/>
      <c r="KQI574" s="44"/>
      <c r="KQJ574" s="44"/>
      <c r="KQK574" s="44"/>
      <c r="KQL574" s="44"/>
      <c r="KQM574" s="44"/>
      <c r="KQN574" s="44"/>
      <c r="KQO574" s="44"/>
      <c r="KQP574" s="44"/>
      <c r="KQQ574" s="44"/>
      <c r="KQR574" s="44"/>
      <c r="KQS574" s="44"/>
      <c r="KQT574" s="44"/>
      <c r="KQU574" s="44"/>
      <c r="KQV574" s="44"/>
      <c r="KQW574" s="44"/>
      <c r="KQX574" s="44"/>
      <c r="KQY574" s="44"/>
      <c r="KQZ574" s="44"/>
      <c r="KRA574" s="44"/>
      <c r="KRB574" s="44"/>
      <c r="KRC574" s="44"/>
      <c r="KRD574" s="44"/>
      <c r="KRE574" s="44"/>
      <c r="KRF574" s="44"/>
      <c r="KRG574" s="44"/>
      <c r="KRH574" s="44"/>
      <c r="KRI574" s="44"/>
      <c r="KRJ574" s="44"/>
      <c r="KRK574" s="44"/>
      <c r="KRL574" s="44"/>
      <c r="KRM574" s="44"/>
      <c r="KRN574" s="44"/>
      <c r="KRO574" s="44"/>
      <c r="KRP574" s="44"/>
      <c r="KRQ574" s="44"/>
      <c r="KRR574" s="44"/>
      <c r="KRS574" s="44"/>
      <c r="KRT574" s="44"/>
      <c r="KRU574" s="44"/>
      <c r="KRV574" s="44"/>
      <c r="KRW574" s="44"/>
      <c r="KRX574" s="44"/>
      <c r="KRY574" s="44"/>
      <c r="KRZ574" s="44"/>
      <c r="KSA574" s="44"/>
      <c r="KSB574" s="44"/>
      <c r="KSC574" s="44"/>
      <c r="KSD574" s="44"/>
      <c r="KSE574" s="44"/>
      <c r="KSF574" s="44"/>
      <c r="KSG574" s="44"/>
      <c r="KSH574" s="44"/>
      <c r="KSI574" s="44"/>
      <c r="KSJ574" s="44"/>
      <c r="KSK574" s="44"/>
      <c r="KSL574" s="44"/>
      <c r="KSM574" s="44"/>
      <c r="KSN574" s="44"/>
      <c r="KSO574" s="44"/>
      <c r="KSP574" s="44"/>
      <c r="KSQ574" s="44"/>
      <c r="KSR574" s="44"/>
      <c r="KSS574" s="44"/>
      <c r="KST574" s="44"/>
      <c r="KSU574" s="44"/>
      <c r="KSV574" s="44"/>
      <c r="KSW574" s="44"/>
      <c r="KSX574" s="44"/>
      <c r="KSY574" s="44"/>
      <c r="KSZ574" s="44"/>
      <c r="KTA574" s="44"/>
      <c r="KTB574" s="44"/>
      <c r="KTC574" s="44"/>
      <c r="KTD574" s="44"/>
      <c r="KTE574" s="44"/>
      <c r="KTF574" s="44"/>
      <c r="KTG574" s="44"/>
      <c r="KTH574" s="44"/>
      <c r="KTI574" s="44"/>
      <c r="KTJ574" s="44"/>
      <c r="KTK574" s="44"/>
      <c r="KTL574" s="44"/>
      <c r="KTM574" s="44"/>
      <c r="KTN574" s="44"/>
      <c r="KTO574" s="44"/>
      <c r="KTP574" s="44"/>
      <c r="KTQ574" s="44"/>
      <c r="KTR574" s="44"/>
      <c r="KTS574" s="44"/>
      <c r="KTT574" s="44"/>
      <c r="KTU574" s="44"/>
      <c r="KTV574" s="44"/>
      <c r="KTW574" s="44"/>
      <c r="KTX574" s="44"/>
      <c r="KTY574" s="44"/>
      <c r="KTZ574" s="44"/>
      <c r="KUA574" s="44"/>
      <c r="KUB574" s="44"/>
      <c r="KUC574" s="44"/>
      <c r="KUD574" s="44"/>
      <c r="KUE574" s="44"/>
      <c r="KUF574" s="44"/>
      <c r="KUG574" s="44"/>
      <c r="KUH574" s="44"/>
      <c r="KUI574" s="44"/>
      <c r="KUJ574" s="44"/>
      <c r="KUK574" s="44"/>
      <c r="KUL574" s="44"/>
      <c r="KUM574" s="44"/>
      <c r="KUN574" s="44"/>
      <c r="KUO574" s="44"/>
      <c r="KUP574" s="44"/>
      <c r="KUQ574" s="44"/>
      <c r="KUR574" s="44"/>
      <c r="KUS574" s="44"/>
      <c r="KUT574" s="44"/>
      <c r="KUU574" s="44"/>
      <c r="KUV574" s="44"/>
      <c r="KUW574" s="44"/>
      <c r="KUX574" s="44"/>
      <c r="KUY574" s="44"/>
      <c r="KUZ574" s="44"/>
      <c r="KVA574" s="44"/>
      <c r="KVB574" s="44"/>
      <c r="KVC574" s="44"/>
      <c r="KVD574" s="44"/>
      <c r="KVE574" s="44"/>
      <c r="KVF574" s="44"/>
      <c r="KVG574" s="44"/>
      <c r="KVH574" s="44"/>
      <c r="KVI574" s="44"/>
      <c r="KVJ574" s="44"/>
      <c r="KVK574" s="44"/>
      <c r="KVL574" s="44"/>
      <c r="KVM574" s="44"/>
      <c r="KVN574" s="44"/>
      <c r="KVO574" s="44"/>
      <c r="KVP574" s="44"/>
      <c r="KVQ574" s="44"/>
      <c r="KVR574" s="44"/>
      <c r="KVS574" s="44"/>
      <c r="KVT574" s="44"/>
      <c r="KVU574" s="44"/>
      <c r="KVV574" s="44"/>
      <c r="KVW574" s="44"/>
      <c r="KVX574" s="44"/>
      <c r="KVY574" s="44"/>
      <c r="KVZ574" s="44"/>
      <c r="KWA574" s="44"/>
      <c r="KWB574" s="44"/>
      <c r="KWC574" s="44"/>
      <c r="KWD574" s="44"/>
      <c r="KWE574" s="44"/>
      <c r="KWF574" s="44"/>
      <c r="KWG574" s="44"/>
      <c r="KWH574" s="44"/>
      <c r="KWI574" s="44"/>
      <c r="KWJ574" s="44"/>
      <c r="KWK574" s="44"/>
      <c r="KWL574" s="44"/>
      <c r="KWM574" s="44"/>
      <c r="KWN574" s="44"/>
      <c r="KWO574" s="44"/>
      <c r="KWP574" s="44"/>
      <c r="KWQ574" s="44"/>
      <c r="KWR574" s="44"/>
      <c r="KWS574" s="44"/>
      <c r="KWT574" s="44"/>
      <c r="KWU574" s="44"/>
      <c r="KWV574" s="44"/>
      <c r="KWW574" s="44"/>
      <c r="KWX574" s="44"/>
      <c r="KWY574" s="44"/>
      <c r="KWZ574" s="44"/>
      <c r="KXA574" s="44"/>
      <c r="KXB574" s="44"/>
      <c r="KXC574" s="44"/>
      <c r="KXD574" s="44"/>
      <c r="KXE574" s="44"/>
      <c r="KXF574" s="44"/>
      <c r="KXG574" s="44"/>
      <c r="KXH574" s="44"/>
      <c r="KXI574" s="44"/>
      <c r="KXJ574" s="44"/>
      <c r="KXK574" s="44"/>
      <c r="KXL574" s="44"/>
      <c r="KXM574" s="44"/>
      <c r="KXN574" s="44"/>
      <c r="KXO574" s="44"/>
      <c r="KXP574" s="44"/>
      <c r="KXQ574" s="44"/>
      <c r="KXR574" s="44"/>
      <c r="KXS574" s="44"/>
      <c r="KXT574" s="44"/>
      <c r="KXU574" s="44"/>
      <c r="KXV574" s="44"/>
      <c r="KXW574" s="44"/>
      <c r="KXX574" s="44"/>
      <c r="KXY574" s="44"/>
      <c r="KXZ574" s="44"/>
      <c r="KYA574" s="44"/>
      <c r="KYB574" s="44"/>
      <c r="KYC574" s="44"/>
      <c r="KYD574" s="44"/>
      <c r="KYE574" s="44"/>
      <c r="KYF574" s="44"/>
      <c r="KYG574" s="44"/>
      <c r="KYH574" s="44"/>
      <c r="KYI574" s="44"/>
      <c r="KYJ574" s="44"/>
      <c r="KYK574" s="44"/>
      <c r="KYL574" s="44"/>
      <c r="KYM574" s="44"/>
      <c r="KYN574" s="44"/>
      <c r="KYO574" s="44"/>
      <c r="KYP574" s="44"/>
      <c r="KYQ574" s="44"/>
      <c r="KYR574" s="44"/>
      <c r="KYS574" s="44"/>
      <c r="KYT574" s="44"/>
      <c r="KYU574" s="44"/>
      <c r="KYV574" s="44"/>
      <c r="KYW574" s="44"/>
      <c r="KYX574" s="44"/>
      <c r="KYY574" s="44"/>
      <c r="KYZ574" s="44"/>
      <c r="KZA574" s="44"/>
      <c r="KZB574" s="44"/>
      <c r="KZC574" s="44"/>
      <c r="KZD574" s="44"/>
      <c r="KZE574" s="44"/>
      <c r="KZF574" s="44"/>
      <c r="KZG574" s="44"/>
      <c r="KZH574" s="44"/>
      <c r="KZI574" s="44"/>
      <c r="KZJ574" s="44"/>
      <c r="KZK574" s="44"/>
      <c r="KZL574" s="44"/>
      <c r="KZM574" s="44"/>
      <c r="KZN574" s="44"/>
      <c r="KZO574" s="44"/>
      <c r="KZP574" s="44"/>
      <c r="KZQ574" s="44"/>
      <c r="KZR574" s="44"/>
      <c r="KZS574" s="44"/>
      <c r="KZT574" s="44"/>
      <c r="KZU574" s="44"/>
      <c r="KZV574" s="44"/>
      <c r="KZW574" s="44"/>
      <c r="KZX574" s="44"/>
      <c r="KZY574" s="44"/>
      <c r="KZZ574" s="44"/>
      <c r="LAA574" s="44"/>
      <c r="LAB574" s="44"/>
      <c r="LAC574" s="44"/>
      <c r="LAD574" s="44"/>
      <c r="LAE574" s="44"/>
      <c r="LAF574" s="44"/>
      <c r="LAG574" s="44"/>
      <c r="LAH574" s="44"/>
      <c r="LAI574" s="44"/>
      <c r="LAJ574" s="44"/>
      <c r="LAK574" s="44"/>
      <c r="LAL574" s="44"/>
      <c r="LAM574" s="44"/>
      <c r="LAN574" s="44"/>
      <c r="LAO574" s="44"/>
      <c r="LAP574" s="44"/>
      <c r="LAQ574" s="44"/>
      <c r="LAR574" s="44"/>
      <c r="LAS574" s="44"/>
      <c r="LAT574" s="44"/>
      <c r="LAU574" s="44"/>
      <c r="LAV574" s="44"/>
      <c r="LAW574" s="44"/>
      <c r="LAX574" s="44"/>
      <c r="LAY574" s="44"/>
      <c r="LAZ574" s="44"/>
      <c r="LBA574" s="44"/>
      <c r="LBB574" s="44"/>
      <c r="LBC574" s="44"/>
      <c r="LBD574" s="44"/>
      <c r="LBE574" s="44"/>
      <c r="LBF574" s="44"/>
      <c r="LBG574" s="44"/>
      <c r="LBH574" s="44"/>
      <c r="LBI574" s="44"/>
      <c r="LBJ574" s="44"/>
      <c r="LBK574" s="44"/>
      <c r="LBL574" s="44"/>
      <c r="LBM574" s="44"/>
      <c r="LBN574" s="44"/>
      <c r="LBO574" s="44"/>
      <c r="LBP574" s="44"/>
      <c r="LBQ574" s="44"/>
      <c r="LBR574" s="44"/>
      <c r="LBS574" s="44"/>
      <c r="LBT574" s="44"/>
      <c r="LBU574" s="44"/>
      <c r="LBV574" s="44"/>
      <c r="LBW574" s="44"/>
      <c r="LBX574" s="44"/>
      <c r="LBY574" s="44"/>
      <c r="LBZ574" s="44"/>
      <c r="LCA574" s="44"/>
      <c r="LCB574" s="44"/>
      <c r="LCC574" s="44"/>
      <c r="LCD574" s="44"/>
      <c r="LCE574" s="44"/>
      <c r="LCF574" s="44"/>
      <c r="LCG574" s="44"/>
      <c r="LCH574" s="44"/>
      <c r="LCI574" s="44"/>
      <c r="LCJ574" s="44"/>
      <c r="LCK574" s="44"/>
      <c r="LCL574" s="44"/>
      <c r="LCM574" s="44"/>
      <c r="LCN574" s="44"/>
      <c r="LCO574" s="44"/>
      <c r="LCP574" s="44"/>
      <c r="LCQ574" s="44"/>
      <c r="LCR574" s="44"/>
      <c r="LCS574" s="44"/>
      <c r="LCT574" s="44"/>
      <c r="LCU574" s="44"/>
      <c r="LCV574" s="44"/>
      <c r="LCW574" s="44"/>
      <c r="LCX574" s="44"/>
      <c r="LCY574" s="44"/>
      <c r="LCZ574" s="44"/>
      <c r="LDA574" s="44"/>
      <c r="LDB574" s="44"/>
      <c r="LDC574" s="44"/>
      <c r="LDD574" s="44"/>
      <c r="LDE574" s="44"/>
      <c r="LDF574" s="44"/>
      <c r="LDG574" s="44"/>
      <c r="LDH574" s="44"/>
      <c r="LDI574" s="44"/>
      <c r="LDJ574" s="44"/>
      <c r="LDK574" s="44"/>
      <c r="LDL574" s="44"/>
      <c r="LDM574" s="44"/>
      <c r="LDN574" s="44"/>
      <c r="LDO574" s="44"/>
      <c r="LDP574" s="44"/>
      <c r="LDQ574" s="44"/>
      <c r="LDR574" s="44"/>
      <c r="LDS574" s="44"/>
      <c r="LDT574" s="44"/>
      <c r="LDU574" s="44"/>
      <c r="LDV574" s="44"/>
      <c r="LDW574" s="44"/>
      <c r="LDX574" s="44"/>
      <c r="LDY574" s="44"/>
      <c r="LDZ574" s="44"/>
      <c r="LEA574" s="44"/>
      <c r="LEB574" s="44"/>
      <c r="LEC574" s="44"/>
      <c r="LED574" s="44"/>
      <c r="LEE574" s="44"/>
      <c r="LEF574" s="44"/>
      <c r="LEG574" s="44"/>
      <c r="LEH574" s="44"/>
      <c r="LEI574" s="44"/>
      <c r="LEJ574" s="44"/>
      <c r="LEK574" s="44"/>
      <c r="LEL574" s="44"/>
      <c r="LEM574" s="44"/>
      <c r="LEN574" s="44"/>
      <c r="LEO574" s="44"/>
      <c r="LEP574" s="44"/>
      <c r="LEQ574" s="44"/>
      <c r="LER574" s="44"/>
      <c r="LES574" s="44"/>
      <c r="LET574" s="44"/>
      <c r="LEU574" s="44"/>
      <c r="LEV574" s="44"/>
      <c r="LEW574" s="44"/>
      <c r="LEX574" s="44"/>
      <c r="LEY574" s="44"/>
      <c r="LEZ574" s="44"/>
      <c r="LFA574" s="44"/>
      <c r="LFB574" s="44"/>
      <c r="LFC574" s="44"/>
      <c r="LFD574" s="44"/>
      <c r="LFE574" s="44"/>
      <c r="LFF574" s="44"/>
      <c r="LFG574" s="44"/>
      <c r="LFH574" s="44"/>
      <c r="LFI574" s="44"/>
      <c r="LFJ574" s="44"/>
      <c r="LFK574" s="44"/>
      <c r="LFL574" s="44"/>
      <c r="LFM574" s="44"/>
      <c r="LFN574" s="44"/>
      <c r="LFO574" s="44"/>
      <c r="LFP574" s="44"/>
      <c r="LFQ574" s="44"/>
      <c r="LFR574" s="44"/>
      <c r="LFS574" s="44"/>
      <c r="LFT574" s="44"/>
      <c r="LFU574" s="44"/>
      <c r="LFV574" s="44"/>
      <c r="LFW574" s="44"/>
      <c r="LFX574" s="44"/>
      <c r="LFY574" s="44"/>
      <c r="LFZ574" s="44"/>
      <c r="LGA574" s="44"/>
      <c r="LGB574" s="44"/>
      <c r="LGC574" s="44"/>
      <c r="LGD574" s="44"/>
      <c r="LGE574" s="44"/>
      <c r="LGF574" s="44"/>
      <c r="LGG574" s="44"/>
      <c r="LGH574" s="44"/>
      <c r="LGI574" s="44"/>
      <c r="LGJ574" s="44"/>
      <c r="LGK574" s="44"/>
      <c r="LGL574" s="44"/>
      <c r="LGM574" s="44"/>
      <c r="LGN574" s="44"/>
      <c r="LGO574" s="44"/>
      <c r="LGP574" s="44"/>
      <c r="LGQ574" s="44"/>
      <c r="LGR574" s="44"/>
      <c r="LGS574" s="44"/>
      <c r="LGT574" s="44"/>
      <c r="LGU574" s="44"/>
      <c r="LGV574" s="44"/>
      <c r="LGW574" s="44"/>
      <c r="LGX574" s="44"/>
      <c r="LGY574" s="44"/>
      <c r="LGZ574" s="44"/>
      <c r="LHA574" s="44"/>
      <c r="LHB574" s="44"/>
      <c r="LHC574" s="44"/>
      <c r="LHD574" s="44"/>
      <c r="LHE574" s="44"/>
      <c r="LHF574" s="44"/>
      <c r="LHG574" s="44"/>
      <c r="LHH574" s="44"/>
      <c r="LHI574" s="44"/>
      <c r="LHJ574" s="44"/>
      <c r="LHK574" s="44"/>
      <c r="LHL574" s="44"/>
      <c r="LHM574" s="44"/>
      <c r="LHN574" s="44"/>
      <c r="LHO574" s="44"/>
      <c r="LHP574" s="44"/>
      <c r="LHQ574" s="44"/>
      <c r="LHR574" s="44"/>
      <c r="LHS574" s="44"/>
      <c r="LHT574" s="44"/>
      <c r="LHU574" s="44"/>
      <c r="LHV574" s="44"/>
      <c r="LHW574" s="44"/>
      <c r="LHX574" s="44"/>
      <c r="LHY574" s="44"/>
      <c r="LHZ574" s="44"/>
      <c r="LIA574" s="44"/>
      <c r="LIB574" s="44"/>
      <c r="LIC574" s="44"/>
      <c r="LID574" s="44"/>
      <c r="LIE574" s="44"/>
      <c r="LIF574" s="44"/>
      <c r="LIG574" s="44"/>
      <c r="LIH574" s="44"/>
      <c r="LII574" s="44"/>
      <c r="LIJ574" s="44"/>
      <c r="LIK574" s="44"/>
      <c r="LIL574" s="44"/>
      <c r="LIM574" s="44"/>
      <c r="LIN574" s="44"/>
      <c r="LIO574" s="44"/>
      <c r="LIP574" s="44"/>
      <c r="LIQ574" s="44"/>
      <c r="LIR574" s="44"/>
      <c r="LIS574" s="44"/>
      <c r="LIT574" s="44"/>
      <c r="LIU574" s="44"/>
      <c r="LIV574" s="44"/>
      <c r="LIW574" s="44"/>
      <c r="LIX574" s="44"/>
      <c r="LIY574" s="44"/>
      <c r="LIZ574" s="44"/>
      <c r="LJA574" s="44"/>
      <c r="LJB574" s="44"/>
      <c r="LJC574" s="44"/>
      <c r="LJD574" s="44"/>
      <c r="LJE574" s="44"/>
      <c r="LJF574" s="44"/>
      <c r="LJG574" s="44"/>
      <c r="LJH574" s="44"/>
      <c r="LJI574" s="44"/>
      <c r="LJJ574" s="44"/>
      <c r="LJK574" s="44"/>
      <c r="LJL574" s="44"/>
      <c r="LJM574" s="44"/>
      <c r="LJN574" s="44"/>
      <c r="LJO574" s="44"/>
      <c r="LJP574" s="44"/>
      <c r="LJQ574" s="44"/>
      <c r="LJR574" s="44"/>
      <c r="LJS574" s="44"/>
      <c r="LJT574" s="44"/>
      <c r="LJU574" s="44"/>
      <c r="LJV574" s="44"/>
      <c r="LJW574" s="44"/>
      <c r="LJX574" s="44"/>
      <c r="LJY574" s="44"/>
      <c r="LJZ574" s="44"/>
      <c r="LKA574" s="44"/>
      <c r="LKB574" s="44"/>
      <c r="LKC574" s="44"/>
      <c r="LKD574" s="44"/>
      <c r="LKE574" s="44"/>
      <c r="LKF574" s="44"/>
      <c r="LKG574" s="44"/>
      <c r="LKH574" s="44"/>
      <c r="LKI574" s="44"/>
      <c r="LKJ574" s="44"/>
      <c r="LKK574" s="44"/>
      <c r="LKL574" s="44"/>
      <c r="LKM574" s="44"/>
      <c r="LKN574" s="44"/>
      <c r="LKO574" s="44"/>
      <c r="LKP574" s="44"/>
      <c r="LKQ574" s="44"/>
      <c r="LKR574" s="44"/>
      <c r="LKS574" s="44"/>
      <c r="LKT574" s="44"/>
      <c r="LKU574" s="44"/>
      <c r="LKV574" s="44"/>
      <c r="LKW574" s="44"/>
      <c r="LKX574" s="44"/>
      <c r="LKY574" s="44"/>
      <c r="LKZ574" s="44"/>
      <c r="LLA574" s="44"/>
      <c r="LLB574" s="44"/>
      <c r="LLC574" s="44"/>
      <c r="LLD574" s="44"/>
      <c r="LLE574" s="44"/>
      <c r="LLF574" s="44"/>
      <c r="LLG574" s="44"/>
      <c r="LLH574" s="44"/>
      <c r="LLI574" s="44"/>
      <c r="LLJ574" s="44"/>
      <c r="LLK574" s="44"/>
      <c r="LLL574" s="44"/>
      <c r="LLM574" s="44"/>
      <c r="LLN574" s="44"/>
      <c r="LLO574" s="44"/>
      <c r="LLP574" s="44"/>
      <c r="LLQ574" s="44"/>
      <c r="LLR574" s="44"/>
      <c r="LLS574" s="44"/>
      <c r="LLT574" s="44"/>
      <c r="LLU574" s="44"/>
      <c r="LLV574" s="44"/>
      <c r="LLW574" s="44"/>
      <c r="LLX574" s="44"/>
      <c r="LLY574" s="44"/>
      <c r="LLZ574" s="44"/>
      <c r="LMA574" s="44"/>
      <c r="LMB574" s="44"/>
      <c r="LMC574" s="44"/>
      <c r="LMD574" s="44"/>
      <c r="LME574" s="44"/>
      <c r="LMF574" s="44"/>
      <c r="LMG574" s="44"/>
      <c r="LMH574" s="44"/>
      <c r="LMI574" s="44"/>
      <c r="LMJ574" s="44"/>
      <c r="LMK574" s="44"/>
      <c r="LML574" s="44"/>
      <c r="LMM574" s="44"/>
      <c r="LMN574" s="44"/>
      <c r="LMO574" s="44"/>
      <c r="LMP574" s="44"/>
      <c r="LMQ574" s="44"/>
      <c r="LMR574" s="44"/>
      <c r="LMS574" s="44"/>
      <c r="LMT574" s="44"/>
      <c r="LMU574" s="44"/>
      <c r="LMV574" s="44"/>
      <c r="LMW574" s="44"/>
      <c r="LMX574" s="44"/>
      <c r="LMY574" s="44"/>
      <c r="LMZ574" s="44"/>
      <c r="LNA574" s="44"/>
      <c r="LNB574" s="44"/>
      <c r="LNC574" s="44"/>
      <c r="LND574" s="44"/>
      <c r="LNE574" s="44"/>
      <c r="LNF574" s="44"/>
      <c r="LNG574" s="44"/>
      <c r="LNH574" s="44"/>
      <c r="LNI574" s="44"/>
      <c r="LNJ574" s="44"/>
      <c r="LNK574" s="44"/>
      <c r="LNL574" s="44"/>
      <c r="LNM574" s="44"/>
      <c r="LNN574" s="44"/>
      <c r="LNO574" s="44"/>
      <c r="LNP574" s="44"/>
      <c r="LNQ574" s="44"/>
      <c r="LNR574" s="44"/>
      <c r="LNS574" s="44"/>
      <c r="LNT574" s="44"/>
      <c r="LNU574" s="44"/>
      <c r="LNV574" s="44"/>
      <c r="LNW574" s="44"/>
      <c r="LNX574" s="44"/>
      <c r="LNY574" s="44"/>
      <c r="LNZ574" s="44"/>
      <c r="LOA574" s="44"/>
      <c r="LOB574" s="44"/>
      <c r="LOC574" s="44"/>
      <c r="LOD574" s="44"/>
      <c r="LOE574" s="44"/>
      <c r="LOF574" s="44"/>
      <c r="LOG574" s="44"/>
      <c r="LOH574" s="44"/>
      <c r="LOI574" s="44"/>
      <c r="LOJ574" s="44"/>
      <c r="LOK574" s="44"/>
      <c r="LOL574" s="44"/>
      <c r="LOM574" s="44"/>
      <c r="LON574" s="44"/>
      <c r="LOO574" s="44"/>
      <c r="LOP574" s="44"/>
      <c r="LOQ574" s="44"/>
      <c r="LOR574" s="44"/>
      <c r="LOS574" s="44"/>
      <c r="LOT574" s="44"/>
      <c r="LOU574" s="44"/>
      <c r="LOV574" s="44"/>
      <c r="LOW574" s="44"/>
      <c r="LOX574" s="44"/>
      <c r="LOY574" s="44"/>
      <c r="LOZ574" s="44"/>
      <c r="LPA574" s="44"/>
      <c r="LPB574" s="44"/>
      <c r="LPC574" s="44"/>
      <c r="LPD574" s="44"/>
      <c r="LPE574" s="44"/>
      <c r="LPF574" s="44"/>
      <c r="LPG574" s="44"/>
      <c r="LPH574" s="44"/>
      <c r="LPI574" s="44"/>
      <c r="LPJ574" s="44"/>
      <c r="LPK574" s="44"/>
      <c r="LPL574" s="44"/>
      <c r="LPM574" s="44"/>
      <c r="LPN574" s="44"/>
      <c r="LPO574" s="44"/>
      <c r="LPP574" s="44"/>
      <c r="LPQ574" s="44"/>
      <c r="LPR574" s="44"/>
      <c r="LPS574" s="44"/>
      <c r="LPT574" s="44"/>
      <c r="LPU574" s="44"/>
      <c r="LPV574" s="44"/>
      <c r="LPW574" s="44"/>
      <c r="LPX574" s="44"/>
      <c r="LPY574" s="44"/>
      <c r="LPZ574" s="44"/>
      <c r="LQA574" s="44"/>
      <c r="LQB574" s="44"/>
      <c r="LQC574" s="44"/>
      <c r="LQD574" s="44"/>
      <c r="LQE574" s="44"/>
      <c r="LQF574" s="44"/>
      <c r="LQG574" s="44"/>
      <c r="LQH574" s="44"/>
      <c r="LQI574" s="44"/>
      <c r="LQJ574" s="44"/>
      <c r="LQK574" s="44"/>
      <c r="LQL574" s="44"/>
      <c r="LQM574" s="44"/>
      <c r="LQN574" s="44"/>
      <c r="LQO574" s="44"/>
      <c r="LQP574" s="44"/>
      <c r="LQQ574" s="44"/>
      <c r="LQR574" s="44"/>
      <c r="LQS574" s="44"/>
      <c r="LQT574" s="44"/>
      <c r="LQU574" s="44"/>
      <c r="LQV574" s="44"/>
      <c r="LQW574" s="44"/>
      <c r="LQX574" s="44"/>
      <c r="LQY574" s="44"/>
      <c r="LQZ574" s="44"/>
      <c r="LRA574" s="44"/>
      <c r="LRB574" s="44"/>
      <c r="LRC574" s="44"/>
      <c r="LRD574" s="44"/>
      <c r="LRE574" s="44"/>
      <c r="LRF574" s="44"/>
      <c r="LRG574" s="44"/>
      <c r="LRH574" s="44"/>
      <c r="LRI574" s="44"/>
      <c r="LRJ574" s="44"/>
      <c r="LRK574" s="44"/>
      <c r="LRL574" s="44"/>
      <c r="LRM574" s="44"/>
      <c r="LRN574" s="44"/>
      <c r="LRO574" s="44"/>
      <c r="LRP574" s="44"/>
      <c r="LRQ574" s="44"/>
      <c r="LRR574" s="44"/>
      <c r="LRS574" s="44"/>
      <c r="LRT574" s="44"/>
      <c r="LRU574" s="44"/>
      <c r="LRV574" s="44"/>
      <c r="LRW574" s="44"/>
      <c r="LRX574" s="44"/>
      <c r="LRY574" s="44"/>
      <c r="LRZ574" s="44"/>
      <c r="LSA574" s="44"/>
      <c r="LSB574" s="44"/>
      <c r="LSC574" s="44"/>
      <c r="LSD574" s="44"/>
      <c r="LSE574" s="44"/>
      <c r="LSF574" s="44"/>
      <c r="LSG574" s="44"/>
      <c r="LSH574" s="44"/>
      <c r="LSI574" s="44"/>
      <c r="LSJ574" s="44"/>
      <c r="LSK574" s="44"/>
      <c r="LSL574" s="44"/>
      <c r="LSM574" s="44"/>
      <c r="LSN574" s="44"/>
      <c r="LSO574" s="44"/>
      <c r="LSP574" s="44"/>
      <c r="LSQ574" s="44"/>
      <c r="LSR574" s="44"/>
      <c r="LSS574" s="44"/>
      <c r="LST574" s="44"/>
      <c r="LSU574" s="44"/>
      <c r="LSV574" s="44"/>
      <c r="LSW574" s="44"/>
      <c r="LSX574" s="44"/>
      <c r="LSY574" s="44"/>
      <c r="LSZ574" s="44"/>
      <c r="LTA574" s="44"/>
      <c r="LTB574" s="44"/>
      <c r="LTC574" s="44"/>
      <c r="LTD574" s="44"/>
      <c r="LTE574" s="44"/>
      <c r="LTF574" s="44"/>
      <c r="LTG574" s="44"/>
      <c r="LTH574" s="44"/>
      <c r="LTI574" s="44"/>
      <c r="LTJ574" s="44"/>
      <c r="LTK574" s="44"/>
      <c r="LTL574" s="44"/>
      <c r="LTM574" s="44"/>
      <c r="LTN574" s="44"/>
      <c r="LTO574" s="44"/>
      <c r="LTP574" s="44"/>
      <c r="LTQ574" s="44"/>
      <c r="LTR574" s="44"/>
      <c r="LTS574" s="44"/>
      <c r="LTT574" s="44"/>
      <c r="LTU574" s="44"/>
      <c r="LTV574" s="44"/>
      <c r="LTW574" s="44"/>
      <c r="LTX574" s="44"/>
      <c r="LTY574" s="44"/>
      <c r="LTZ574" s="44"/>
      <c r="LUA574" s="44"/>
      <c r="LUB574" s="44"/>
      <c r="LUC574" s="44"/>
      <c r="LUD574" s="44"/>
      <c r="LUE574" s="44"/>
      <c r="LUF574" s="44"/>
      <c r="LUG574" s="44"/>
      <c r="LUH574" s="44"/>
      <c r="LUI574" s="44"/>
      <c r="LUJ574" s="44"/>
      <c r="LUK574" s="44"/>
      <c r="LUL574" s="44"/>
      <c r="LUM574" s="44"/>
      <c r="LUN574" s="44"/>
      <c r="LUO574" s="44"/>
      <c r="LUP574" s="44"/>
      <c r="LUQ574" s="44"/>
      <c r="LUR574" s="44"/>
      <c r="LUS574" s="44"/>
      <c r="LUT574" s="44"/>
      <c r="LUU574" s="44"/>
      <c r="LUV574" s="44"/>
      <c r="LUW574" s="44"/>
      <c r="LUX574" s="44"/>
      <c r="LUY574" s="44"/>
      <c r="LUZ574" s="44"/>
      <c r="LVA574" s="44"/>
      <c r="LVB574" s="44"/>
      <c r="LVC574" s="44"/>
      <c r="LVD574" s="44"/>
      <c r="LVE574" s="44"/>
      <c r="LVF574" s="44"/>
      <c r="LVG574" s="44"/>
      <c r="LVH574" s="44"/>
      <c r="LVI574" s="44"/>
      <c r="LVJ574" s="44"/>
      <c r="LVK574" s="44"/>
      <c r="LVL574" s="44"/>
      <c r="LVM574" s="44"/>
      <c r="LVN574" s="44"/>
      <c r="LVO574" s="44"/>
      <c r="LVP574" s="44"/>
      <c r="LVQ574" s="44"/>
      <c r="LVR574" s="44"/>
      <c r="LVS574" s="44"/>
      <c r="LVT574" s="44"/>
      <c r="LVU574" s="44"/>
      <c r="LVV574" s="44"/>
      <c r="LVW574" s="44"/>
      <c r="LVX574" s="44"/>
      <c r="LVY574" s="44"/>
      <c r="LVZ574" s="44"/>
      <c r="LWA574" s="44"/>
      <c r="LWB574" s="44"/>
      <c r="LWC574" s="44"/>
      <c r="LWD574" s="44"/>
      <c r="LWE574" s="44"/>
      <c r="LWF574" s="44"/>
      <c r="LWG574" s="44"/>
      <c r="LWH574" s="44"/>
      <c r="LWI574" s="44"/>
      <c r="LWJ574" s="44"/>
      <c r="LWK574" s="44"/>
      <c r="LWL574" s="44"/>
      <c r="LWM574" s="44"/>
      <c r="LWN574" s="44"/>
      <c r="LWO574" s="44"/>
      <c r="LWP574" s="44"/>
      <c r="LWQ574" s="44"/>
      <c r="LWR574" s="44"/>
      <c r="LWS574" s="44"/>
      <c r="LWT574" s="44"/>
      <c r="LWU574" s="44"/>
      <c r="LWV574" s="44"/>
      <c r="LWW574" s="44"/>
      <c r="LWX574" s="44"/>
      <c r="LWY574" s="44"/>
      <c r="LWZ574" s="44"/>
      <c r="LXA574" s="44"/>
      <c r="LXB574" s="44"/>
      <c r="LXC574" s="44"/>
      <c r="LXD574" s="44"/>
      <c r="LXE574" s="44"/>
      <c r="LXF574" s="44"/>
      <c r="LXG574" s="44"/>
      <c r="LXH574" s="44"/>
      <c r="LXI574" s="44"/>
      <c r="LXJ574" s="44"/>
      <c r="LXK574" s="44"/>
      <c r="LXL574" s="44"/>
      <c r="LXM574" s="44"/>
      <c r="LXN574" s="44"/>
      <c r="LXO574" s="44"/>
      <c r="LXP574" s="44"/>
      <c r="LXQ574" s="44"/>
      <c r="LXR574" s="44"/>
      <c r="LXS574" s="44"/>
      <c r="LXT574" s="44"/>
      <c r="LXU574" s="44"/>
      <c r="LXV574" s="44"/>
      <c r="LXW574" s="44"/>
      <c r="LXX574" s="44"/>
      <c r="LXY574" s="44"/>
      <c r="LXZ574" s="44"/>
      <c r="LYA574" s="44"/>
      <c r="LYB574" s="44"/>
      <c r="LYC574" s="44"/>
      <c r="LYD574" s="44"/>
      <c r="LYE574" s="44"/>
      <c r="LYF574" s="44"/>
      <c r="LYG574" s="44"/>
      <c r="LYH574" s="44"/>
      <c r="LYI574" s="44"/>
      <c r="LYJ574" s="44"/>
      <c r="LYK574" s="44"/>
      <c r="LYL574" s="44"/>
      <c r="LYM574" s="44"/>
      <c r="LYN574" s="44"/>
      <c r="LYO574" s="44"/>
      <c r="LYP574" s="44"/>
      <c r="LYQ574" s="44"/>
      <c r="LYR574" s="44"/>
      <c r="LYS574" s="44"/>
      <c r="LYT574" s="44"/>
      <c r="LYU574" s="44"/>
      <c r="LYV574" s="44"/>
      <c r="LYW574" s="44"/>
      <c r="LYX574" s="44"/>
      <c r="LYY574" s="44"/>
      <c r="LYZ574" s="44"/>
      <c r="LZA574" s="44"/>
      <c r="LZB574" s="44"/>
      <c r="LZC574" s="44"/>
      <c r="LZD574" s="44"/>
      <c r="LZE574" s="44"/>
      <c r="LZF574" s="44"/>
      <c r="LZG574" s="44"/>
      <c r="LZH574" s="44"/>
      <c r="LZI574" s="44"/>
      <c r="LZJ574" s="44"/>
      <c r="LZK574" s="44"/>
      <c r="LZL574" s="44"/>
      <c r="LZM574" s="44"/>
      <c r="LZN574" s="44"/>
      <c r="LZO574" s="44"/>
      <c r="LZP574" s="44"/>
      <c r="LZQ574" s="44"/>
      <c r="LZR574" s="44"/>
      <c r="LZS574" s="44"/>
      <c r="LZT574" s="44"/>
      <c r="LZU574" s="44"/>
      <c r="LZV574" s="44"/>
      <c r="LZW574" s="44"/>
      <c r="LZX574" s="44"/>
      <c r="LZY574" s="44"/>
      <c r="LZZ574" s="44"/>
      <c r="MAA574" s="44"/>
      <c r="MAB574" s="44"/>
      <c r="MAC574" s="44"/>
      <c r="MAD574" s="44"/>
      <c r="MAE574" s="44"/>
      <c r="MAF574" s="44"/>
      <c r="MAG574" s="44"/>
      <c r="MAH574" s="44"/>
      <c r="MAI574" s="44"/>
      <c r="MAJ574" s="44"/>
      <c r="MAK574" s="44"/>
      <c r="MAL574" s="44"/>
      <c r="MAM574" s="44"/>
      <c r="MAN574" s="44"/>
      <c r="MAO574" s="44"/>
      <c r="MAP574" s="44"/>
      <c r="MAQ574" s="44"/>
      <c r="MAR574" s="44"/>
      <c r="MAS574" s="44"/>
      <c r="MAT574" s="44"/>
      <c r="MAU574" s="44"/>
      <c r="MAV574" s="44"/>
      <c r="MAW574" s="44"/>
      <c r="MAX574" s="44"/>
      <c r="MAY574" s="44"/>
      <c r="MAZ574" s="44"/>
      <c r="MBA574" s="44"/>
      <c r="MBB574" s="44"/>
      <c r="MBC574" s="44"/>
      <c r="MBD574" s="44"/>
      <c r="MBE574" s="44"/>
      <c r="MBF574" s="44"/>
      <c r="MBG574" s="44"/>
      <c r="MBH574" s="44"/>
      <c r="MBI574" s="44"/>
      <c r="MBJ574" s="44"/>
      <c r="MBK574" s="44"/>
      <c r="MBL574" s="44"/>
      <c r="MBM574" s="44"/>
      <c r="MBN574" s="44"/>
      <c r="MBO574" s="44"/>
      <c r="MBP574" s="44"/>
      <c r="MBQ574" s="44"/>
      <c r="MBR574" s="44"/>
      <c r="MBS574" s="44"/>
      <c r="MBT574" s="44"/>
      <c r="MBU574" s="44"/>
      <c r="MBV574" s="44"/>
      <c r="MBW574" s="44"/>
      <c r="MBX574" s="44"/>
      <c r="MBY574" s="44"/>
      <c r="MBZ574" s="44"/>
      <c r="MCA574" s="44"/>
      <c r="MCB574" s="44"/>
      <c r="MCC574" s="44"/>
      <c r="MCD574" s="44"/>
      <c r="MCE574" s="44"/>
      <c r="MCF574" s="44"/>
      <c r="MCG574" s="44"/>
      <c r="MCH574" s="44"/>
      <c r="MCI574" s="44"/>
      <c r="MCJ574" s="44"/>
      <c r="MCK574" s="44"/>
      <c r="MCL574" s="44"/>
      <c r="MCM574" s="44"/>
      <c r="MCN574" s="44"/>
      <c r="MCO574" s="44"/>
      <c r="MCP574" s="44"/>
      <c r="MCQ574" s="44"/>
      <c r="MCR574" s="44"/>
      <c r="MCS574" s="44"/>
      <c r="MCT574" s="44"/>
      <c r="MCU574" s="44"/>
      <c r="MCV574" s="44"/>
      <c r="MCW574" s="44"/>
      <c r="MCX574" s="44"/>
      <c r="MCY574" s="44"/>
      <c r="MCZ574" s="44"/>
      <c r="MDA574" s="44"/>
      <c r="MDB574" s="44"/>
      <c r="MDC574" s="44"/>
      <c r="MDD574" s="44"/>
      <c r="MDE574" s="44"/>
      <c r="MDF574" s="44"/>
      <c r="MDG574" s="44"/>
      <c r="MDH574" s="44"/>
      <c r="MDI574" s="44"/>
      <c r="MDJ574" s="44"/>
      <c r="MDK574" s="44"/>
      <c r="MDL574" s="44"/>
      <c r="MDM574" s="44"/>
      <c r="MDN574" s="44"/>
      <c r="MDO574" s="44"/>
      <c r="MDP574" s="44"/>
      <c r="MDQ574" s="44"/>
      <c r="MDR574" s="44"/>
      <c r="MDS574" s="44"/>
      <c r="MDT574" s="44"/>
      <c r="MDU574" s="44"/>
      <c r="MDV574" s="44"/>
      <c r="MDW574" s="44"/>
      <c r="MDX574" s="44"/>
      <c r="MDY574" s="44"/>
      <c r="MDZ574" s="44"/>
      <c r="MEA574" s="44"/>
      <c r="MEB574" s="44"/>
      <c r="MEC574" s="44"/>
      <c r="MED574" s="44"/>
      <c r="MEE574" s="44"/>
      <c r="MEF574" s="44"/>
      <c r="MEG574" s="44"/>
      <c r="MEH574" s="44"/>
      <c r="MEI574" s="44"/>
      <c r="MEJ574" s="44"/>
      <c r="MEK574" s="44"/>
      <c r="MEL574" s="44"/>
      <c r="MEM574" s="44"/>
      <c r="MEN574" s="44"/>
      <c r="MEO574" s="44"/>
      <c r="MEP574" s="44"/>
      <c r="MEQ574" s="44"/>
      <c r="MER574" s="44"/>
      <c r="MES574" s="44"/>
      <c r="MET574" s="44"/>
      <c r="MEU574" s="44"/>
      <c r="MEV574" s="44"/>
      <c r="MEW574" s="44"/>
      <c r="MEX574" s="44"/>
      <c r="MEY574" s="44"/>
      <c r="MEZ574" s="44"/>
      <c r="MFA574" s="44"/>
      <c r="MFB574" s="44"/>
      <c r="MFC574" s="44"/>
      <c r="MFD574" s="44"/>
      <c r="MFE574" s="44"/>
      <c r="MFF574" s="44"/>
      <c r="MFG574" s="44"/>
      <c r="MFH574" s="44"/>
      <c r="MFI574" s="44"/>
      <c r="MFJ574" s="44"/>
      <c r="MFK574" s="44"/>
      <c r="MFL574" s="44"/>
      <c r="MFM574" s="44"/>
      <c r="MFN574" s="44"/>
      <c r="MFO574" s="44"/>
      <c r="MFP574" s="44"/>
      <c r="MFQ574" s="44"/>
      <c r="MFR574" s="44"/>
      <c r="MFS574" s="44"/>
      <c r="MFT574" s="44"/>
      <c r="MFU574" s="44"/>
      <c r="MFV574" s="44"/>
      <c r="MFW574" s="44"/>
      <c r="MFX574" s="44"/>
      <c r="MFY574" s="44"/>
      <c r="MFZ574" s="44"/>
      <c r="MGA574" s="44"/>
      <c r="MGB574" s="44"/>
      <c r="MGC574" s="44"/>
      <c r="MGD574" s="44"/>
      <c r="MGE574" s="44"/>
      <c r="MGF574" s="44"/>
      <c r="MGG574" s="44"/>
      <c r="MGH574" s="44"/>
      <c r="MGI574" s="44"/>
      <c r="MGJ574" s="44"/>
      <c r="MGK574" s="44"/>
      <c r="MGL574" s="44"/>
      <c r="MGM574" s="44"/>
      <c r="MGN574" s="44"/>
      <c r="MGO574" s="44"/>
      <c r="MGP574" s="44"/>
      <c r="MGQ574" s="44"/>
      <c r="MGR574" s="44"/>
      <c r="MGS574" s="44"/>
      <c r="MGT574" s="44"/>
      <c r="MGU574" s="44"/>
      <c r="MGV574" s="44"/>
      <c r="MGW574" s="44"/>
      <c r="MGX574" s="44"/>
      <c r="MGY574" s="44"/>
      <c r="MGZ574" s="44"/>
      <c r="MHA574" s="44"/>
      <c r="MHB574" s="44"/>
      <c r="MHC574" s="44"/>
      <c r="MHD574" s="44"/>
      <c r="MHE574" s="44"/>
      <c r="MHF574" s="44"/>
      <c r="MHG574" s="44"/>
      <c r="MHH574" s="44"/>
      <c r="MHI574" s="44"/>
      <c r="MHJ574" s="44"/>
      <c r="MHK574" s="44"/>
      <c r="MHL574" s="44"/>
      <c r="MHM574" s="44"/>
      <c r="MHN574" s="44"/>
      <c r="MHO574" s="44"/>
      <c r="MHP574" s="44"/>
      <c r="MHQ574" s="44"/>
      <c r="MHR574" s="44"/>
      <c r="MHS574" s="44"/>
      <c r="MHT574" s="44"/>
      <c r="MHU574" s="44"/>
      <c r="MHV574" s="44"/>
      <c r="MHW574" s="44"/>
      <c r="MHX574" s="44"/>
      <c r="MHY574" s="44"/>
      <c r="MHZ574" s="44"/>
      <c r="MIA574" s="44"/>
      <c r="MIB574" s="44"/>
      <c r="MIC574" s="44"/>
      <c r="MID574" s="44"/>
      <c r="MIE574" s="44"/>
      <c r="MIF574" s="44"/>
      <c r="MIG574" s="44"/>
      <c r="MIH574" s="44"/>
      <c r="MII574" s="44"/>
      <c r="MIJ574" s="44"/>
      <c r="MIK574" s="44"/>
      <c r="MIL574" s="44"/>
      <c r="MIM574" s="44"/>
      <c r="MIN574" s="44"/>
      <c r="MIO574" s="44"/>
      <c r="MIP574" s="44"/>
      <c r="MIQ574" s="44"/>
      <c r="MIR574" s="44"/>
      <c r="MIS574" s="44"/>
      <c r="MIT574" s="44"/>
      <c r="MIU574" s="44"/>
      <c r="MIV574" s="44"/>
      <c r="MIW574" s="44"/>
      <c r="MIX574" s="44"/>
      <c r="MIY574" s="44"/>
      <c r="MIZ574" s="44"/>
      <c r="MJA574" s="44"/>
      <c r="MJB574" s="44"/>
      <c r="MJC574" s="44"/>
      <c r="MJD574" s="44"/>
      <c r="MJE574" s="44"/>
      <c r="MJF574" s="44"/>
      <c r="MJG574" s="44"/>
      <c r="MJH574" s="44"/>
      <c r="MJI574" s="44"/>
      <c r="MJJ574" s="44"/>
      <c r="MJK574" s="44"/>
      <c r="MJL574" s="44"/>
      <c r="MJM574" s="44"/>
      <c r="MJN574" s="44"/>
      <c r="MJO574" s="44"/>
      <c r="MJP574" s="44"/>
      <c r="MJQ574" s="44"/>
      <c r="MJR574" s="44"/>
      <c r="MJS574" s="44"/>
      <c r="MJT574" s="44"/>
      <c r="MJU574" s="44"/>
      <c r="MJV574" s="44"/>
      <c r="MJW574" s="44"/>
      <c r="MJX574" s="44"/>
      <c r="MJY574" s="44"/>
      <c r="MJZ574" s="44"/>
      <c r="MKA574" s="44"/>
      <c r="MKB574" s="44"/>
      <c r="MKC574" s="44"/>
      <c r="MKD574" s="44"/>
      <c r="MKE574" s="44"/>
      <c r="MKF574" s="44"/>
      <c r="MKG574" s="44"/>
      <c r="MKH574" s="44"/>
      <c r="MKI574" s="44"/>
      <c r="MKJ574" s="44"/>
      <c r="MKK574" s="44"/>
      <c r="MKL574" s="44"/>
      <c r="MKM574" s="44"/>
      <c r="MKN574" s="44"/>
      <c r="MKO574" s="44"/>
      <c r="MKP574" s="44"/>
      <c r="MKQ574" s="44"/>
      <c r="MKR574" s="44"/>
      <c r="MKS574" s="44"/>
      <c r="MKT574" s="44"/>
      <c r="MKU574" s="44"/>
      <c r="MKV574" s="44"/>
      <c r="MKW574" s="44"/>
      <c r="MKX574" s="44"/>
      <c r="MKY574" s="44"/>
      <c r="MKZ574" s="44"/>
      <c r="MLA574" s="44"/>
      <c r="MLB574" s="44"/>
      <c r="MLC574" s="44"/>
      <c r="MLD574" s="44"/>
      <c r="MLE574" s="44"/>
      <c r="MLF574" s="44"/>
      <c r="MLG574" s="44"/>
      <c r="MLH574" s="44"/>
      <c r="MLI574" s="44"/>
      <c r="MLJ574" s="44"/>
      <c r="MLK574" s="44"/>
      <c r="MLL574" s="44"/>
      <c r="MLM574" s="44"/>
      <c r="MLN574" s="44"/>
      <c r="MLO574" s="44"/>
      <c r="MLP574" s="44"/>
      <c r="MLQ574" s="44"/>
      <c r="MLR574" s="44"/>
      <c r="MLS574" s="44"/>
      <c r="MLT574" s="44"/>
      <c r="MLU574" s="44"/>
      <c r="MLV574" s="44"/>
      <c r="MLW574" s="44"/>
      <c r="MLX574" s="44"/>
      <c r="MLY574" s="44"/>
      <c r="MLZ574" s="44"/>
      <c r="MMA574" s="44"/>
      <c r="MMB574" s="44"/>
      <c r="MMC574" s="44"/>
      <c r="MMD574" s="44"/>
      <c r="MME574" s="44"/>
      <c r="MMF574" s="44"/>
      <c r="MMG574" s="44"/>
      <c r="MMH574" s="44"/>
      <c r="MMI574" s="44"/>
      <c r="MMJ574" s="44"/>
      <c r="MMK574" s="44"/>
      <c r="MML574" s="44"/>
      <c r="MMM574" s="44"/>
      <c r="MMN574" s="44"/>
      <c r="MMO574" s="44"/>
      <c r="MMP574" s="44"/>
      <c r="MMQ574" s="44"/>
      <c r="MMR574" s="44"/>
      <c r="MMS574" s="44"/>
      <c r="MMT574" s="44"/>
      <c r="MMU574" s="44"/>
      <c r="MMV574" s="44"/>
      <c r="MMW574" s="44"/>
      <c r="MMX574" s="44"/>
      <c r="MMY574" s="44"/>
      <c r="MMZ574" s="44"/>
      <c r="MNA574" s="44"/>
      <c r="MNB574" s="44"/>
      <c r="MNC574" s="44"/>
      <c r="MND574" s="44"/>
      <c r="MNE574" s="44"/>
      <c r="MNF574" s="44"/>
      <c r="MNG574" s="44"/>
      <c r="MNH574" s="44"/>
      <c r="MNI574" s="44"/>
      <c r="MNJ574" s="44"/>
      <c r="MNK574" s="44"/>
      <c r="MNL574" s="44"/>
      <c r="MNM574" s="44"/>
      <c r="MNN574" s="44"/>
      <c r="MNO574" s="44"/>
      <c r="MNP574" s="44"/>
      <c r="MNQ574" s="44"/>
      <c r="MNR574" s="44"/>
      <c r="MNS574" s="44"/>
      <c r="MNT574" s="44"/>
      <c r="MNU574" s="44"/>
      <c r="MNV574" s="44"/>
      <c r="MNW574" s="44"/>
      <c r="MNX574" s="44"/>
      <c r="MNY574" s="44"/>
      <c r="MNZ574" s="44"/>
      <c r="MOA574" s="44"/>
      <c r="MOB574" s="44"/>
      <c r="MOC574" s="44"/>
      <c r="MOD574" s="44"/>
      <c r="MOE574" s="44"/>
      <c r="MOF574" s="44"/>
      <c r="MOG574" s="44"/>
      <c r="MOH574" s="44"/>
      <c r="MOI574" s="44"/>
      <c r="MOJ574" s="44"/>
      <c r="MOK574" s="44"/>
      <c r="MOL574" s="44"/>
      <c r="MOM574" s="44"/>
      <c r="MON574" s="44"/>
      <c r="MOO574" s="44"/>
      <c r="MOP574" s="44"/>
      <c r="MOQ574" s="44"/>
      <c r="MOR574" s="44"/>
      <c r="MOS574" s="44"/>
      <c r="MOT574" s="44"/>
      <c r="MOU574" s="44"/>
      <c r="MOV574" s="44"/>
      <c r="MOW574" s="44"/>
      <c r="MOX574" s="44"/>
      <c r="MOY574" s="44"/>
      <c r="MOZ574" s="44"/>
      <c r="MPA574" s="44"/>
      <c r="MPB574" s="44"/>
      <c r="MPC574" s="44"/>
      <c r="MPD574" s="44"/>
      <c r="MPE574" s="44"/>
      <c r="MPF574" s="44"/>
      <c r="MPG574" s="44"/>
      <c r="MPH574" s="44"/>
      <c r="MPI574" s="44"/>
      <c r="MPJ574" s="44"/>
      <c r="MPK574" s="44"/>
      <c r="MPL574" s="44"/>
      <c r="MPM574" s="44"/>
      <c r="MPN574" s="44"/>
      <c r="MPO574" s="44"/>
      <c r="MPP574" s="44"/>
      <c r="MPQ574" s="44"/>
      <c r="MPR574" s="44"/>
      <c r="MPS574" s="44"/>
      <c r="MPT574" s="44"/>
      <c r="MPU574" s="44"/>
      <c r="MPV574" s="44"/>
      <c r="MPW574" s="44"/>
      <c r="MPX574" s="44"/>
      <c r="MPY574" s="44"/>
      <c r="MPZ574" s="44"/>
      <c r="MQA574" s="44"/>
      <c r="MQB574" s="44"/>
      <c r="MQC574" s="44"/>
      <c r="MQD574" s="44"/>
      <c r="MQE574" s="44"/>
      <c r="MQF574" s="44"/>
      <c r="MQG574" s="44"/>
      <c r="MQH574" s="44"/>
      <c r="MQI574" s="44"/>
      <c r="MQJ574" s="44"/>
      <c r="MQK574" s="44"/>
      <c r="MQL574" s="44"/>
      <c r="MQM574" s="44"/>
      <c r="MQN574" s="44"/>
      <c r="MQO574" s="44"/>
      <c r="MQP574" s="44"/>
      <c r="MQQ574" s="44"/>
      <c r="MQR574" s="44"/>
      <c r="MQS574" s="44"/>
      <c r="MQT574" s="44"/>
      <c r="MQU574" s="44"/>
      <c r="MQV574" s="44"/>
      <c r="MQW574" s="44"/>
      <c r="MQX574" s="44"/>
      <c r="MQY574" s="44"/>
      <c r="MQZ574" s="44"/>
      <c r="MRA574" s="44"/>
      <c r="MRB574" s="44"/>
      <c r="MRC574" s="44"/>
      <c r="MRD574" s="44"/>
      <c r="MRE574" s="44"/>
      <c r="MRF574" s="44"/>
      <c r="MRG574" s="44"/>
      <c r="MRH574" s="44"/>
      <c r="MRI574" s="44"/>
      <c r="MRJ574" s="44"/>
      <c r="MRK574" s="44"/>
      <c r="MRL574" s="44"/>
      <c r="MRM574" s="44"/>
      <c r="MRN574" s="44"/>
      <c r="MRO574" s="44"/>
      <c r="MRP574" s="44"/>
      <c r="MRQ574" s="44"/>
      <c r="MRR574" s="44"/>
      <c r="MRS574" s="44"/>
      <c r="MRT574" s="44"/>
      <c r="MRU574" s="44"/>
      <c r="MRV574" s="44"/>
      <c r="MRW574" s="44"/>
      <c r="MRX574" s="44"/>
      <c r="MRY574" s="44"/>
      <c r="MRZ574" s="44"/>
      <c r="MSA574" s="44"/>
      <c r="MSB574" s="44"/>
      <c r="MSC574" s="44"/>
      <c r="MSD574" s="44"/>
      <c r="MSE574" s="44"/>
      <c r="MSF574" s="44"/>
      <c r="MSG574" s="44"/>
      <c r="MSH574" s="44"/>
      <c r="MSI574" s="44"/>
      <c r="MSJ574" s="44"/>
      <c r="MSK574" s="44"/>
      <c r="MSL574" s="44"/>
      <c r="MSM574" s="44"/>
      <c r="MSN574" s="44"/>
      <c r="MSO574" s="44"/>
      <c r="MSP574" s="44"/>
      <c r="MSQ574" s="44"/>
      <c r="MSR574" s="44"/>
      <c r="MSS574" s="44"/>
      <c r="MST574" s="44"/>
      <c r="MSU574" s="44"/>
      <c r="MSV574" s="44"/>
      <c r="MSW574" s="44"/>
      <c r="MSX574" s="44"/>
      <c r="MSY574" s="44"/>
      <c r="MSZ574" s="44"/>
      <c r="MTA574" s="44"/>
      <c r="MTB574" s="44"/>
      <c r="MTC574" s="44"/>
      <c r="MTD574" s="44"/>
      <c r="MTE574" s="44"/>
      <c r="MTF574" s="44"/>
      <c r="MTG574" s="44"/>
      <c r="MTH574" s="44"/>
      <c r="MTI574" s="44"/>
      <c r="MTJ574" s="44"/>
      <c r="MTK574" s="44"/>
      <c r="MTL574" s="44"/>
      <c r="MTM574" s="44"/>
      <c r="MTN574" s="44"/>
      <c r="MTO574" s="44"/>
      <c r="MTP574" s="44"/>
      <c r="MTQ574" s="44"/>
      <c r="MTR574" s="44"/>
      <c r="MTS574" s="44"/>
      <c r="MTT574" s="44"/>
      <c r="MTU574" s="44"/>
      <c r="MTV574" s="44"/>
      <c r="MTW574" s="44"/>
      <c r="MTX574" s="44"/>
      <c r="MTY574" s="44"/>
      <c r="MTZ574" s="44"/>
      <c r="MUA574" s="44"/>
      <c r="MUB574" s="44"/>
      <c r="MUC574" s="44"/>
      <c r="MUD574" s="44"/>
      <c r="MUE574" s="44"/>
      <c r="MUF574" s="44"/>
      <c r="MUG574" s="44"/>
      <c r="MUH574" s="44"/>
      <c r="MUI574" s="44"/>
      <c r="MUJ574" s="44"/>
      <c r="MUK574" s="44"/>
      <c r="MUL574" s="44"/>
      <c r="MUM574" s="44"/>
      <c r="MUN574" s="44"/>
      <c r="MUO574" s="44"/>
      <c r="MUP574" s="44"/>
      <c r="MUQ574" s="44"/>
      <c r="MUR574" s="44"/>
      <c r="MUS574" s="44"/>
      <c r="MUT574" s="44"/>
      <c r="MUU574" s="44"/>
      <c r="MUV574" s="44"/>
      <c r="MUW574" s="44"/>
      <c r="MUX574" s="44"/>
      <c r="MUY574" s="44"/>
      <c r="MUZ574" s="44"/>
      <c r="MVA574" s="44"/>
      <c r="MVB574" s="44"/>
      <c r="MVC574" s="44"/>
      <c r="MVD574" s="44"/>
      <c r="MVE574" s="44"/>
      <c r="MVF574" s="44"/>
      <c r="MVG574" s="44"/>
      <c r="MVH574" s="44"/>
      <c r="MVI574" s="44"/>
      <c r="MVJ574" s="44"/>
      <c r="MVK574" s="44"/>
      <c r="MVL574" s="44"/>
      <c r="MVM574" s="44"/>
      <c r="MVN574" s="44"/>
      <c r="MVO574" s="44"/>
      <c r="MVP574" s="44"/>
      <c r="MVQ574" s="44"/>
      <c r="MVR574" s="44"/>
      <c r="MVS574" s="44"/>
      <c r="MVT574" s="44"/>
      <c r="MVU574" s="44"/>
      <c r="MVV574" s="44"/>
      <c r="MVW574" s="44"/>
      <c r="MVX574" s="44"/>
      <c r="MVY574" s="44"/>
      <c r="MVZ574" s="44"/>
      <c r="MWA574" s="44"/>
      <c r="MWB574" s="44"/>
      <c r="MWC574" s="44"/>
      <c r="MWD574" s="44"/>
      <c r="MWE574" s="44"/>
      <c r="MWF574" s="44"/>
      <c r="MWG574" s="44"/>
      <c r="MWH574" s="44"/>
      <c r="MWI574" s="44"/>
      <c r="MWJ574" s="44"/>
      <c r="MWK574" s="44"/>
      <c r="MWL574" s="44"/>
      <c r="MWM574" s="44"/>
      <c r="MWN574" s="44"/>
      <c r="MWO574" s="44"/>
      <c r="MWP574" s="44"/>
      <c r="MWQ574" s="44"/>
      <c r="MWR574" s="44"/>
      <c r="MWS574" s="44"/>
      <c r="MWT574" s="44"/>
      <c r="MWU574" s="44"/>
      <c r="MWV574" s="44"/>
      <c r="MWW574" s="44"/>
      <c r="MWX574" s="44"/>
      <c r="MWY574" s="44"/>
      <c r="MWZ574" s="44"/>
      <c r="MXA574" s="44"/>
      <c r="MXB574" s="44"/>
      <c r="MXC574" s="44"/>
      <c r="MXD574" s="44"/>
      <c r="MXE574" s="44"/>
      <c r="MXF574" s="44"/>
      <c r="MXG574" s="44"/>
      <c r="MXH574" s="44"/>
      <c r="MXI574" s="44"/>
      <c r="MXJ574" s="44"/>
      <c r="MXK574" s="44"/>
      <c r="MXL574" s="44"/>
      <c r="MXM574" s="44"/>
      <c r="MXN574" s="44"/>
      <c r="MXO574" s="44"/>
      <c r="MXP574" s="44"/>
      <c r="MXQ574" s="44"/>
      <c r="MXR574" s="44"/>
      <c r="MXS574" s="44"/>
      <c r="MXT574" s="44"/>
      <c r="MXU574" s="44"/>
      <c r="MXV574" s="44"/>
      <c r="MXW574" s="44"/>
      <c r="MXX574" s="44"/>
      <c r="MXY574" s="44"/>
      <c r="MXZ574" s="44"/>
      <c r="MYA574" s="44"/>
      <c r="MYB574" s="44"/>
      <c r="MYC574" s="44"/>
      <c r="MYD574" s="44"/>
      <c r="MYE574" s="44"/>
      <c r="MYF574" s="44"/>
      <c r="MYG574" s="44"/>
      <c r="MYH574" s="44"/>
      <c r="MYI574" s="44"/>
      <c r="MYJ574" s="44"/>
      <c r="MYK574" s="44"/>
      <c r="MYL574" s="44"/>
      <c r="MYM574" s="44"/>
      <c r="MYN574" s="44"/>
      <c r="MYO574" s="44"/>
      <c r="MYP574" s="44"/>
      <c r="MYQ574" s="44"/>
      <c r="MYR574" s="44"/>
      <c r="MYS574" s="44"/>
      <c r="MYT574" s="44"/>
      <c r="MYU574" s="44"/>
      <c r="MYV574" s="44"/>
      <c r="MYW574" s="44"/>
      <c r="MYX574" s="44"/>
      <c r="MYY574" s="44"/>
      <c r="MYZ574" s="44"/>
      <c r="MZA574" s="44"/>
      <c r="MZB574" s="44"/>
      <c r="MZC574" s="44"/>
      <c r="MZD574" s="44"/>
      <c r="MZE574" s="44"/>
      <c r="MZF574" s="44"/>
      <c r="MZG574" s="44"/>
      <c r="MZH574" s="44"/>
      <c r="MZI574" s="44"/>
      <c r="MZJ574" s="44"/>
      <c r="MZK574" s="44"/>
      <c r="MZL574" s="44"/>
      <c r="MZM574" s="44"/>
      <c r="MZN574" s="44"/>
      <c r="MZO574" s="44"/>
      <c r="MZP574" s="44"/>
      <c r="MZQ574" s="44"/>
      <c r="MZR574" s="44"/>
      <c r="MZS574" s="44"/>
      <c r="MZT574" s="44"/>
      <c r="MZU574" s="44"/>
      <c r="MZV574" s="44"/>
      <c r="MZW574" s="44"/>
      <c r="MZX574" s="44"/>
      <c r="MZY574" s="44"/>
      <c r="MZZ574" s="44"/>
      <c r="NAA574" s="44"/>
      <c r="NAB574" s="44"/>
      <c r="NAC574" s="44"/>
      <c r="NAD574" s="44"/>
      <c r="NAE574" s="44"/>
      <c r="NAF574" s="44"/>
      <c r="NAG574" s="44"/>
      <c r="NAH574" s="44"/>
      <c r="NAI574" s="44"/>
      <c r="NAJ574" s="44"/>
      <c r="NAK574" s="44"/>
      <c r="NAL574" s="44"/>
      <c r="NAM574" s="44"/>
      <c r="NAN574" s="44"/>
      <c r="NAO574" s="44"/>
      <c r="NAP574" s="44"/>
      <c r="NAQ574" s="44"/>
      <c r="NAR574" s="44"/>
      <c r="NAS574" s="44"/>
      <c r="NAT574" s="44"/>
      <c r="NAU574" s="44"/>
      <c r="NAV574" s="44"/>
      <c r="NAW574" s="44"/>
      <c r="NAX574" s="44"/>
      <c r="NAY574" s="44"/>
      <c r="NAZ574" s="44"/>
      <c r="NBA574" s="44"/>
      <c r="NBB574" s="44"/>
      <c r="NBC574" s="44"/>
      <c r="NBD574" s="44"/>
      <c r="NBE574" s="44"/>
      <c r="NBF574" s="44"/>
      <c r="NBG574" s="44"/>
      <c r="NBH574" s="44"/>
      <c r="NBI574" s="44"/>
      <c r="NBJ574" s="44"/>
      <c r="NBK574" s="44"/>
      <c r="NBL574" s="44"/>
      <c r="NBM574" s="44"/>
      <c r="NBN574" s="44"/>
      <c r="NBO574" s="44"/>
      <c r="NBP574" s="44"/>
      <c r="NBQ574" s="44"/>
      <c r="NBR574" s="44"/>
      <c r="NBS574" s="44"/>
      <c r="NBT574" s="44"/>
      <c r="NBU574" s="44"/>
      <c r="NBV574" s="44"/>
      <c r="NBW574" s="44"/>
      <c r="NBX574" s="44"/>
      <c r="NBY574" s="44"/>
      <c r="NBZ574" s="44"/>
      <c r="NCA574" s="44"/>
      <c r="NCB574" s="44"/>
      <c r="NCC574" s="44"/>
      <c r="NCD574" s="44"/>
      <c r="NCE574" s="44"/>
      <c r="NCF574" s="44"/>
      <c r="NCG574" s="44"/>
      <c r="NCH574" s="44"/>
      <c r="NCI574" s="44"/>
      <c r="NCJ574" s="44"/>
      <c r="NCK574" s="44"/>
      <c r="NCL574" s="44"/>
      <c r="NCM574" s="44"/>
      <c r="NCN574" s="44"/>
      <c r="NCO574" s="44"/>
      <c r="NCP574" s="44"/>
      <c r="NCQ574" s="44"/>
      <c r="NCR574" s="44"/>
      <c r="NCS574" s="44"/>
      <c r="NCT574" s="44"/>
      <c r="NCU574" s="44"/>
      <c r="NCV574" s="44"/>
      <c r="NCW574" s="44"/>
      <c r="NCX574" s="44"/>
      <c r="NCY574" s="44"/>
      <c r="NCZ574" s="44"/>
      <c r="NDA574" s="44"/>
      <c r="NDB574" s="44"/>
      <c r="NDC574" s="44"/>
      <c r="NDD574" s="44"/>
      <c r="NDE574" s="44"/>
      <c r="NDF574" s="44"/>
      <c r="NDG574" s="44"/>
      <c r="NDH574" s="44"/>
      <c r="NDI574" s="44"/>
      <c r="NDJ574" s="44"/>
      <c r="NDK574" s="44"/>
      <c r="NDL574" s="44"/>
      <c r="NDM574" s="44"/>
      <c r="NDN574" s="44"/>
      <c r="NDO574" s="44"/>
      <c r="NDP574" s="44"/>
      <c r="NDQ574" s="44"/>
      <c r="NDR574" s="44"/>
      <c r="NDS574" s="44"/>
      <c r="NDT574" s="44"/>
      <c r="NDU574" s="44"/>
      <c r="NDV574" s="44"/>
      <c r="NDW574" s="44"/>
      <c r="NDX574" s="44"/>
      <c r="NDY574" s="44"/>
      <c r="NDZ574" s="44"/>
      <c r="NEA574" s="44"/>
      <c r="NEB574" s="44"/>
      <c r="NEC574" s="44"/>
      <c r="NED574" s="44"/>
      <c r="NEE574" s="44"/>
      <c r="NEF574" s="44"/>
      <c r="NEG574" s="44"/>
      <c r="NEH574" s="44"/>
      <c r="NEI574" s="44"/>
      <c r="NEJ574" s="44"/>
      <c r="NEK574" s="44"/>
      <c r="NEL574" s="44"/>
      <c r="NEM574" s="44"/>
      <c r="NEN574" s="44"/>
      <c r="NEO574" s="44"/>
      <c r="NEP574" s="44"/>
      <c r="NEQ574" s="44"/>
      <c r="NER574" s="44"/>
      <c r="NES574" s="44"/>
      <c r="NET574" s="44"/>
      <c r="NEU574" s="44"/>
      <c r="NEV574" s="44"/>
      <c r="NEW574" s="44"/>
      <c r="NEX574" s="44"/>
      <c r="NEY574" s="44"/>
      <c r="NEZ574" s="44"/>
      <c r="NFA574" s="44"/>
      <c r="NFB574" s="44"/>
      <c r="NFC574" s="44"/>
      <c r="NFD574" s="44"/>
      <c r="NFE574" s="44"/>
      <c r="NFF574" s="44"/>
      <c r="NFG574" s="44"/>
      <c r="NFH574" s="44"/>
      <c r="NFI574" s="44"/>
      <c r="NFJ574" s="44"/>
      <c r="NFK574" s="44"/>
      <c r="NFL574" s="44"/>
      <c r="NFM574" s="44"/>
      <c r="NFN574" s="44"/>
      <c r="NFO574" s="44"/>
      <c r="NFP574" s="44"/>
      <c r="NFQ574" s="44"/>
      <c r="NFR574" s="44"/>
      <c r="NFS574" s="44"/>
      <c r="NFT574" s="44"/>
      <c r="NFU574" s="44"/>
      <c r="NFV574" s="44"/>
      <c r="NFW574" s="44"/>
      <c r="NFX574" s="44"/>
      <c r="NFY574" s="44"/>
      <c r="NFZ574" s="44"/>
      <c r="NGA574" s="44"/>
      <c r="NGB574" s="44"/>
      <c r="NGC574" s="44"/>
      <c r="NGD574" s="44"/>
      <c r="NGE574" s="44"/>
      <c r="NGF574" s="44"/>
      <c r="NGG574" s="44"/>
      <c r="NGH574" s="44"/>
      <c r="NGI574" s="44"/>
      <c r="NGJ574" s="44"/>
      <c r="NGK574" s="44"/>
      <c r="NGL574" s="44"/>
      <c r="NGM574" s="44"/>
      <c r="NGN574" s="44"/>
      <c r="NGO574" s="44"/>
      <c r="NGP574" s="44"/>
      <c r="NGQ574" s="44"/>
      <c r="NGR574" s="44"/>
      <c r="NGS574" s="44"/>
      <c r="NGT574" s="44"/>
      <c r="NGU574" s="44"/>
      <c r="NGV574" s="44"/>
      <c r="NGW574" s="44"/>
      <c r="NGX574" s="44"/>
      <c r="NGY574" s="44"/>
      <c r="NGZ574" s="44"/>
      <c r="NHA574" s="44"/>
      <c r="NHB574" s="44"/>
      <c r="NHC574" s="44"/>
      <c r="NHD574" s="44"/>
      <c r="NHE574" s="44"/>
      <c r="NHF574" s="44"/>
      <c r="NHG574" s="44"/>
      <c r="NHH574" s="44"/>
      <c r="NHI574" s="44"/>
      <c r="NHJ574" s="44"/>
      <c r="NHK574" s="44"/>
      <c r="NHL574" s="44"/>
      <c r="NHM574" s="44"/>
      <c r="NHN574" s="44"/>
      <c r="NHO574" s="44"/>
      <c r="NHP574" s="44"/>
      <c r="NHQ574" s="44"/>
      <c r="NHR574" s="44"/>
      <c r="NHS574" s="44"/>
      <c r="NHT574" s="44"/>
      <c r="NHU574" s="44"/>
      <c r="NHV574" s="44"/>
      <c r="NHW574" s="44"/>
      <c r="NHX574" s="44"/>
      <c r="NHY574" s="44"/>
      <c r="NHZ574" s="44"/>
      <c r="NIA574" s="44"/>
      <c r="NIB574" s="44"/>
      <c r="NIC574" s="44"/>
      <c r="NID574" s="44"/>
      <c r="NIE574" s="44"/>
      <c r="NIF574" s="44"/>
      <c r="NIG574" s="44"/>
      <c r="NIH574" s="44"/>
      <c r="NII574" s="44"/>
      <c r="NIJ574" s="44"/>
      <c r="NIK574" s="44"/>
      <c r="NIL574" s="44"/>
      <c r="NIM574" s="44"/>
      <c r="NIN574" s="44"/>
      <c r="NIO574" s="44"/>
      <c r="NIP574" s="44"/>
      <c r="NIQ574" s="44"/>
      <c r="NIR574" s="44"/>
      <c r="NIS574" s="44"/>
      <c r="NIT574" s="44"/>
      <c r="NIU574" s="44"/>
      <c r="NIV574" s="44"/>
      <c r="NIW574" s="44"/>
      <c r="NIX574" s="44"/>
      <c r="NIY574" s="44"/>
      <c r="NIZ574" s="44"/>
      <c r="NJA574" s="44"/>
      <c r="NJB574" s="44"/>
      <c r="NJC574" s="44"/>
      <c r="NJD574" s="44"/>
      <c r="NJE574" s="44"/>
      <c r="NJF574" s="44"/>
      <c r="NJG574" s="44"/>
      <c r="NJH574" s="44"/>
      <c r="NJI574" s="44"/>
      <c r="NJJ574" s="44"/>
      <c r="NJK574" s="44"/>
      <c r="NJL574" s="44"/>
      <c r="NJM574" s="44"/>
      <c r="NJN574" s="44"/>
      <c r="NJO574" s="44"/>
      <c r="NJP574" s="44"/>
      <c r="NJQ574" s="44"/>
      <c r="NJR574" s="44"/>
      <c r="NJS574" s="44"/>
      <c r="NJT574" s="44"/>
      <c r="NJU574" s="44"/>
      <c r="NJV574" s="44"/>
      <c r="NJW574" s="44"/>
      <c r="NJX574" s="44"/>
      <c r="NJY574" s="44"/>
      <c r="NJZ574" s="44"/>
      <c r="NKA574" s="44"/>
      <c r="NKB574" s="44"/>
      <c r="NKC574" s="44"/>
      <c r="NKD574" s="44"/>
      <c r="NKE574" s="44"/>
      <c r="NKF574" s="44"/>
      <c r="NKG574" s="44"/>
      <c r="NKH574" s="44"/>
      <c r="NKI574" s="44"/>
      <c r="NKJ574" s="44"/>
      <c r="NKK574" s="44"/>
      <c r="NKL574" s="44"/>
      <c r="NKM574" s="44"/>
      <c r="NKN574" s="44"/>
      <c r="NKO574" s="44"/>
      <c r="NKP574" s="44"/>
      <c r="NKQ574" s="44"/>
      <c r="NKR574" s="44"/>
      <c r="NKS574" s="44"/>
      <c r="NKT574" s="44"/>
      <c r="NKU574" s="44"/>
      <c r="NKV574" s="44"/>
      <c r="NKW574" s="44"/>
      <c r="NKX574" s="44"/>
      <c r="NKY574" s="44"/>
      <c r="NKZ574" s="44"/>
      <c r="NLA574" s="44"/>
      <c r="NLB574" s="44"/>
      <c r="NLC574" s="44"/>
      <c r="NLD574" s="44"/>
      <c r="NLE574" s="44"/>
      <c r="NLF574" s="44"/>
      <c r="NLG574" s="44"/>
      <c r="NLH574" s="44"/>
      <c r="NLI574" s="44"/>
      <c r="NLJ574" s="44"/>
      <c r="NLK574" s="44"/>
      <c r="NLL574" s="44"/>
      <c r="NLM574" s="44"/>
      <c r="NLN574" s="44"/>
      <c r="NLO574" s="44"/>
      <c r="NLP574" s="44"/>
      <c r="NLQ574" s="44"/>
      <c r="NLR574" s="44"/>
      <c r="NLS574" s="44"/>
      <c r="NLT574" s="44"/>
      <c r="NLU574" s="44"/>
      <c r="NLV574" s="44"/>
      <c r="NLW574" s="44"/>
      <c r="NLX574" s="44"/>
      <c r="NLY574" s="44"/>
      <c r="NLZ574" s="44"/>
      <c r="NMA574" s="44"/>
      <c r="NMB574" s="44"/>
      <c r="NMC574" s="44"/>
      <c r="NMD574" s="44"/>
      <c r="NME574" s="44"/>
      <c r="NMF574" s="44"/>
      <c r="NMG574" s="44"/>
      <c r="NMH574" s="44"/>
      <c r="NMI574" s="44"/>
      <c r="NMJ574" s="44"/>
      <c r="NMK574" s="44"/>
      <c r="NML574" s="44"/>
      <c r="NMM574" s="44"/>
      <c r="NMN574" s="44"/>
      <c r="NMO574" s="44"/>
      <c r="NMP574" s="44"/>
      <c r="NMQ574" s="44"/>
      <c r="NMR574" s="44"/>
      <c r="NMS574" s="44"/>
      <c r="NMT574" s="44"/>
      <c r="NMU574" s="44"/>
      <c r="NMV574" s="44"/>
      <c r="NMW574" s="44"/>
      <c r="NMX574" s="44"/>
      <c r="NMY574" s="44"/>
      <c r="NMZ574" s="44"/>
      <c r="NNA574" s="44"/>
      <c r="NNB574" s="44"/>
      <c r="NNC574" s="44"/>
      <c r="NND574" s="44"/>
      <c r="NNE574" s="44"/>
      <c r="NNF574" s="44"/>
      <c r="NNG574" s="44"/>
      <c r="NNH574" s="44"/>
      <c r="NNI574" s="44"/>
      <c r="NNJ574" s="44"/>
      <c r="NNK574" s="44"/>
      <c r="NNL574" s="44"/>
      <c r="NNM574" s="44"/>
      <c r="NNN574" s="44"/>
      <c r="NNO574" s="44"/>
      <c r="NNP574" s="44"/>
      <c r="NNQ574" s="44"/>
      <c r="NNR574" s="44"/>
      <c r="NNS574" s="44"/>
      <c r="NNT574" s="44"/>
      <c r="NNU574" s="44"/>
      <c r="NNV574" s="44"/>
      <c r="NNW574" s="44"/>
      <c r="NNX574" s="44"/>
      <c r="NNY574" s="44"/>
      <c r="NNZ574" s="44"/>
      <c r="NOA574" s="44"/>
      <c r="NOB574" s="44"/>
      <c r="NOC574" s="44"/>
      <c r="NOD574" s="44"/>
      <c r="NOE574" s="44"/>
      <c r="NOF574" s="44"/>
      <c r="NOG574" s="44"/>
      <c r="NOH574" s="44"/>
      <c r="NOI574" s="44"/>
      <c r="NOJ574" s="44"/>
      <c r="NOK574" s="44"/>
      <c r="NOL574" s="44"/>
      <c r="NOM574" s="44"/>
      <c r="NON574" s="44"/>
      <c r="NOO574" s="44"/>
      <c r="NOP574" s="44"/>
      <c r="NOQ574" s="44"/>
      <c r="NOR574" s="44"/>
      <c r="NOS574" s="44"/>
      <c r="NOT574" s="44"/>
      <c r="NOU574" s="44"/>
      <c r="NOV574" s="44"/>
      <c r="NOW574" s="44"/>
      <c r="NOX574" s="44"/>
      <c r="NOY574" s="44"/>
      <c r="NOZ574" s="44"/>
      <c r="NPA574" s="44"/>
      <c r="NPB574" s="44"/>
      <c r="NPC574" s="44"/>
      <c r="NPD574" s="44"/>
      <c r="NPE574" s="44"/>
      <c r="NPF574" s="44"/>
      <c r="NPG574" s="44"/>
      <c r="NPH574" s="44"/>
      <c r="NPI574" s="44"/>
      <c r="NPJ574" s="44"/>
      <c r="NPK574" s="44"/>
      <c r="NPL574" s="44"/>
      <c r="NPM574" s="44"/>
      <c r="NPN574" s="44"/>
      <c r="NPO574" s="44"/>
      <c r="NPP574" s="44"/>
      <c r="NPQ574" s="44"/>
      <c r="NPR574" s="44"/>
      <c r="NPS574" s="44"/>
      <c r="NPT574" s="44"/>
      <c r="NPU574" s="44"/>
      <c r="NPV574" s="44"/>
      <c r="NPW574" s="44"/>
      <c r="NPX574" s="44"/>
      <c r="NPY574" s="44"/>
      <c r="NPZ574" s="44"/>
      <c r="NQA574" s="44"/>
      <c r="NQB574" s="44"/>
      <c r="NQC574" s="44"/>
      <c r="NQD574" s="44"/>
      <c r="NQE574" s="44"/>
      <c r="NQF574" s="44"/>
      <c r="NQG574" s="44"/>
      <c r="NQH574" s="44"/>
      <c r="NQI574" s="44"/>
      <c r="NQJ574" s="44"/>
      <c r="NQK574" s="44"/>
      <c r="NQL574" s="44"/>
      <c r="NQM574" s="44"/>
      <c r="NQN574" s="44"/>
      <c r="NQO574" s="44"/>
      <c r="NQP574" s="44"/>
      <c r="NQQ574" s="44"/>
      <c r="NQR574" s="44"/>
      <c r="NQS574" s="44"/>
      <c r="NQT574" s="44"/>
      <c r="NQU574" s="44"/>
      <c r="NQV574" s="44"/>
      <c r="NQW574" s="44"/>
      <c r="NQX574" s="44"/>
      <c r="NQY574" s="44"/>
      <c r="NQZ574" s="44"/>
      <c r="NRA574" s="44"/>
      <c r="NRB574" s="44"/>
      <c r="NRC574" s="44"/>
      <c r="NRD574" s="44"/>
      <c r="NRE574" s="44"/>
      <c r="NRF574" s="44"/>
      <c r="NRG574" s="44"/>
      <c r="NRH574" s="44"/>
      <c r="NRI574" s="44"/>
      <c r="NRJ574" s="44"/>
      <c r="NRK574" s="44"/>
      <c r="NRL574" s="44"/>
      <c r="NRM574" s="44"/>
      <c r="NRN574" s="44"/>
      <c r="NRO574" s="44"/>
      <c r="NRP574" s="44"/>
      <c r="NRQ574" s="44"/>
      <c r="NRR574" s="44"/>
      <c r="NRS574" s="44"/>
      <c r="NRT574" s="44"/>
      <c r="NRU574" s="44"/>
      <c r="NRV574" s="44"/>
      <c r="NRW574" s="44"/>
      <c r="NRX574" s="44"/>
      <c r="NRY574" s="44"/>
      <c r="NRZ574" s="44"/>
      <c r="NSA574" s="44"/>
      <c r="NSB574" s="44"/>
      <c r="NSC574" s="44"/>
      <c r="NSD574" s="44"/>
      <c r="NSE574" s="44"/>
      <c r="NSF574" s="44"/>
      <c r="NSG574" s="44"/>
      <c r="NSH574" s="44"/>
      <c r="NSI574" s="44"/>
      <c r="NSJ574" s="44"/>
      <c r="NSK574" s="44"/>
      <c r="NSL574" s="44"/>
      <c r="NSM574" s="44"/>
      <c r="NSN574" s="44"/>
      <c r="NSO574" s="44"/>
      <c r="NSP574" s="44"/>
      <c r="NSQ574" s="44"/>
      <c r="NSR574" s="44"/>
      <c r="NSS574" s="44"/>
      <c r="NST574" s="44"/>
      <c r="NSU574" s="44"/>
      <c r="NSV574" s="44"/>
      <c r="NSW574" s="44"/>
      <c r="NSX574" s="44"/>
      <c r="NSY574" s="44"/>
      <c r="NSZ574" s="44"/>
      <c r="NTA574" s="44"/>
      <c r="NTB574" s="44"/>
      <c r="NTC574" s="44"/>
      <c r="NTD574" s="44"/>
      <c r="NTE574" s="44"/>
      <c r="NTF574" s="44"/>
      <c r="NTG574" s="44"/>
      <c r="NTH574" s="44"/>
      <c r="NTI574" s="44"/>
      <c r="NTJ574" s="44"/>
      <c r="NTK574" s="44"/>
      <c r="NTL574" s="44"/>
      <c r="NTM574" s="44"/>
      <c r="NTN574" s="44"/>
      <c r="NTO574" s="44"/>
      <c r="NTP574" s="44"/>
      <c r="NTQ574" s="44"/>
      <c r="NTR574" s="44"/>
      <c r="NTS574" s="44"/>
      <c r="NTT574" s="44"/>
      <c r="NTU574" s="44"/>
      <c r="NTV574" s="44"/>
      <c r="NTW574" s="44"/>
      <c r="NTX574" s="44"/>
      <c r="NTY574" s="44"/>
      <c r="NTZ574" s="44"/>
      <c r="NUA574" s="44"/>
      <c r="NUB574" s="44"/>
      <c r="NUC574" s="44"/>
      <c r="NUD574" s="44"/>
      <c r="NUE574" s="44"/>
      <c r="NUF574" s="44"/>
      <c r="NUG574" s="44"/>
      <c r="NUH574" s="44"/>
      <c r="NUI574" s="44"/>
      <c r="NUJ574" s="44"/>
      <c r="NUK574" s="44"/>
      <c r="NUL574" s="44"/>
      <c r="NUM574" s="44"/>
      <c r="NUN574" s="44"/>
      <c r="NUO574" s="44"/>
      <c r="NUP574" s="44"/>
      <c r="NUQ574" s="44"/>
      <c r="NUR574" s="44"/>
      <c r="NUS574" s="44"/>
      <c r="NUT574" s="44"/>
      <c r="NUU574" s="44"/>
      <c r="NUV574" s="44"/>
      <c r="NUW574" s="44"/>
      <c r="NUX574" s="44"/>
      <c r="NUY574" s="44"/>
      <c r="NUZ574" s="44"/>
      <c r="NVA574" s="44"/>
      <c r="NVB574" s="44"/>
      <c r="NVC574" s="44"/>
      <c r="NVD574" s="44"/>
      <c r="NVE574" s="44"/>
      <c r="NVF574" s="44"/>
      <c r="NVG574" s="44"/>
      <c r="NVH574" s="44"/>
      <c r="NVI574" s="44"/>
      <c r="NVJ574" s="44"/>
      <c r="NVK574" s="44"/>
      <c r="NVL574" s="44"/>
      <c r="NVM574" s="44"/>
      <c r="NVN574" s="44"/>
      <c r="NVO574" s="44"/>
      <c r="NVP574" s="44"/>
      <c r="NVQ574" s="44"/>
      <c r="NVR574" s="44"/>
      <c r="NVS574" s="44"/>
      <c r="NVT574" s="44"/>
      <c r="NVU574" s="44"/>
      <c r="NVV574" s="44"/>
      <c r="NVW574" s="44"/>
      <c r="NVX574" s="44"/>
      <c r="NVY574" s="44"/>
      <c r="NVZ574" s="44"/>
      <c r="NWA574" s="44"/>
      <c r="NWB574" s="44"/>
      <c r="NWC574" s="44"/>
      <c r="NWD574" s="44"/>
      <c r="NWE574" s="44"/>
      <c r="NWF574" s="44"/>
      <c r="NWG574" s="44"/>
      <c r="NWH574" s="44"/>
      <c r="NWI574" s="44"/>
      <c r="NWJ574" s="44"/>
      <c r="NWK574" s="44"/>
      <c r="NWL574" s="44"/>
      <c r="NWM574" s="44"/>
      <c r="NWN574" s="44"/>
      <c r="NWO574" s="44"/>
      <c r="NWP574" s="44"/>
      <c r="NWQ574" s="44"/>
      <c r="NWR574" s="44"/>
      <c r="NWS574" s="44"/>
      <c r="NWT574" s="44"/>
      <c r="NWU574" s="44"/>
      <c r="NWV574" s="44"/>
      <c r="NWW574" s="44"/>
      <c r="NWX574" s="44"/>
      <c r="NWY574" s="44"/>
      <c r="NWZ574" s="44"/>
      <c r="NXA574" s="44"/>
      <c r="NXB574" s="44"/>
      <c r="NXC574" s="44"/>
      <c r="NXD574" s="44"/>
      <c r="NXE574" s="44"/>
      <c r="NXF574" s="44"/>
      <c r="NXG574" s="44"/>
      <c r="NXH574" s="44"/>
      <c r="NXI574" s="44"/>
      <c r="NXJ574" s="44"/>
      <c r="NXK574" s="44"/>
      <c r="NXL574" s="44"/>
      <c r="NXM574" s="44"/>
      <c r="NXN574" s="44"/>
      <c r="NXO574" s="44"/>
      <c r="NXP574" s="44"/>
      <c r="NXQ574" s="44"/>
      <c r="NXR574" s="44"/>
      <c r="NXS574" s="44"/>
      <c r="NXT574" s="44"/>
      <c r="NXU574" s="44"/>
      <c r="NXV574" s="44"/>
      <c r="NXW574" s="44"/>
      <c r="NXX574" s="44"/>
      <c r="NXY574" s="44"/>
      <c r="NXZ574" s="44"/>
      <c r="NYA574" s="44"/>
      <c r="NYB574" s="44"/>
      <c r="NYC574" s="44"/>
      <c r="NYD574" s="44"/>
      <c r="NYE574" s="44"/>
      <c r="NYF574" s="44"/>
      <c r="NYG574" s="44"/>
      <c r="NYH574" s="44"/>
      <c r="NYI574" s="44"/>
      <c r="NYJ574" s="44"/>
      <c r="NYK574" s="44"/>
      <c r="NYL574" s="44"/>
      <c r="NYM574" s="44"/>
      <c r="NYN574" s="44"/>
      <c r="NYO574" s="44"/>
      <c r="NYP574" s="44"/>
      <c r="NYQ574" s="44"/>
      <c r="NYR574" s="44"/>
      <c r="NYS574" s="44"/>
      <c r="NYT574" s="44"/>
      <c r="NYU574" s="44"/>
      <c r="NYV574" s="44"/>
      <c r="NYW574" s="44"/>
      <c r="NYX574" s="44"/>
      <c r="NYY574" s="44"/>
      <c r="NYZ574" s="44"/>
      <c r="NZA574" s="44"/>
      <c r="NZB574" s="44"/>
      <c r="NZC574" s="44"/>
      <c r="NZD574" s="44"/>
      <c r="NZE574" s="44"/>
      <c r="NZF574" s="44"/>
      <c r="NZG574" s="44"/>
      <c r="NZH574" s="44"/>
      <c r="NZI574" s="44"/>
      <c r="NZJ574" s="44"/>
      <c r="NZK574" s="44"/>
      <c r="NZL574" s="44"/>
      <c r="NZM574" s="44"/>
      <c r="NZN574" s="44"/>
      <c r="NZO574" s="44"/>
      <c r="NZP574" s="44"/>
      <c r="NZQ574" s="44"/>
      <c r="NZR574" s="44"/>
      <c r="NZS574" s="44"/>
      <c r="NZT574" s="44"/>
      <c r="NZU574" s="44"/>
      <c r="NZV574" s="44"/>
      <c r="NZW574" s="44"/>
      <c r="NZX574" s="44"/>
      <c r="NZY574" s="44"/>
      <c r="NZZ574" s="44"/>
      <c r="OAA574" s="44"/>
      <c r="OAB574" s="44"/>
      <c r="OAC574" s="44"/>
      <c r="OAD574" s="44"/>
      <c r="OAE574" s="44"/>
      <c r="OAF574" s="44"/>
      <c r="OAG574" s="44"/>
      <c r="OAH574" s="44"/>
      <c r="OAI574" s="44"/>
      <c r="OAJ574" s="44"/>
      <c r="OAK574" s="44"/>
      <c r="OAL574" s="44"/>
      <c r="OAM574" s="44"/>
      <c r="OAN574" s="44"/>
      <c r="OAO574" s="44"/>
      <c r="OAP574" s="44"/>
      <c r="OAQ574" s="44"/>
      <c r="OAR574" s="44"/>
      <c r="OAS574" s="44"/>
      <c r="OAT574" s="44"/>
      <c r="OAU574" s="44"/>
      <c r="OAV574" s="44"/>
      <c r="OAW574" s="44"/>
      <c r="OAX574" s="44"/>
      <c r="OAY574" s="44"/>
      <c r="OAZ574" s="44"/>
      <c r="OBA574" s="44"/>
      <c r="OBB574" s="44"/>
      <c r="OBC574" s="44"/>
      <c r="OBD574" s="44"/>
      <c r="OBE574" s="44"/>
      <c r="OBF574" s="44"/>
      <c r="OBG574" s="44"/>
      <c r="OBH574" s="44"/>
      <c r="OBI574" s="44"/>
      <c r="OBJ574" s="44"/>
      <c r="OBK574" s="44"/>
      <c r="OBL574" s="44"/>
      <c r="OBM574" s="44"/>
      <c r="OBN574" s="44"/>
      <c r="OBO574" s="44"/>
      <c r="OBP574" s="44"/>
      <c r="OBQ574" s="44"/>
      <c r="OBR574" s="44"/>
      <c r="OBS574" s="44"/>
      <c r="OBT574" s="44"/>
      <c r="OBU574" s="44"/>
      <c r="OBV574" s="44"/>
      <c r="OBW574" s="44"/>
      <c r="OBX574" s="44"/>
      <c r="OBY574" s="44"/>
      <c r="OBZ574" s="44"/>
      <c r="OCA574" s="44"/>
      <c r="OCB574" s="44"/>
      <c r="OCC574" s="44"/>
      <c r="OCD574" s="44"/>
      <c r="OCE574" s="44"/>
      <c r="OCF574" s="44"/>
      <c r="OCG574" s="44"/>
      <c r="OCH574" s="44"/>
      <c r="OCI574" s="44"/>
      <c r="OCJ574" s="44"/>
      <c r="OCK574" s="44"/>
      <c r="OCL574" s="44"/>
      <c r="OCM574" s="44"/>
      <c r="OCN574" s="44"/>
      <c r="OCO574" s="44"/>
      <c r="OCP574" s="44"/>
      <c r="OCQ574" s="44"/>
      <c r="OCR574" s="44"/>
      <c r="OCS574" s="44"/>
      <c r="OCT574" s="44"/>
      <c r="OCU574" s="44"/>
      <c r="OCV574" s="44"/>
      <c r="OCW574" s="44"/>
      <c r="OCX574" s="44"/>
      <c r="OCY574" s="44"/>
      <c r="OCZ574" s="44"/>
      <c r="ODA574" s="44"/>
      <c r="ODB574" s="44"/>
      <c r="ODC574" s="44"/>
      <c r="ODD574" s="44"/>
      <c r="ODE574" s="44"/>
      <c r="ODF574" s="44"/>
      <c r="ODG574" s="44"/>
      <c r="ODH574" s="44"/>
      <c r="ODI574" s="44"/>
      <c r="ODJ574" s="44"/>
      <c r="ODK574" s="44"/>
      <c r="ODL574" s="44"/>
      <c r="ODM574" s="44"/>
      <c r="ODN574" s="44"/>
      <c r="ODO574" s="44"/>
      <c r="ODP574" s="44"/>
      <c r="ODQ574" s="44"/>
      <c r="ODR574" s="44"/>
      <c r="ODS574" s="44"/>
      <c r="ODT574" s="44"/>
      <c r="ODU574" s="44"/>
      <c r="ODV574" s="44"/>
      <c r="ODW574" s="44"/>
      <c r="ODX574" s="44"/>
      <c r="ODY574" s="44"/>
      <c r="ODZ574" s="44"/>
      <c r="OEA574" s="44"/>
      <c r="OEB574" s="44"/>
      <c r="OEC574" s="44"/>
      <c r="OED574" s="44"/>
      <c r="OEE574" s="44"/>
      <c r="OEF574" s="44"/>
      <c r="OEG574" s="44"/>
      <c r="OEH574" s="44"/>
      <c r="OEI574" s="44"/>
      <c r="OEJ574" s="44"/>
      <c r="OEK574" s="44"/>
      <c r="OEL574" s="44"/>
      <c r="OEM574" s="44"/>
      <c r="OEN574" s="44"/>
      <c r="OEO574" s="44"/>
      <c r="OEP574" s="44"/>
      <c r="OEQ574" s="44"/>
      <c r="OER574" s="44"/>
      <c r="OES574" s="44"/>
      <c r="OET574" s="44"/>
      <c r="OEU574" s="44"/>
      <c r="OEV574" s="44"/>
      <c r="OEW574" s="44"/>
      <c r="OEX574" s="44"/>
      <c r="OEY574" s="44"/>
      <c r="OEZ574" s="44"/>
      <c r="OFA574" s="44"/>
      <c r="OFB574" s="44"/>
      <c r="OFC574" s="44"/>
      <c r="OFD574" s="44"/>
      <c r="OFE574" s="44"/>
      <c r="OFF574" s="44"/>
      <c r="OFG574" s="44"/>
      <c r="OFH574" s="44"/>
      <c r="OFI574" s="44"/>
      <c r="OFJ574" s="44"/>
      <c r="OFK574" s="44"/>
      <c r="OFL574" s="44"/>
      <c r="OFM574" s="44"/>
      <c r="OFN574" s="44"/>
      <c r="OFO574" s="44"/>
      <c r="OFP574" s="44"/>
      <c r="OFQ574" s="44"/>
      <c r="OFR574" s="44"/>
      <c r="OFS574" s="44"/>
      <c r="OFT574" s="44"/>
      <c r="OFU574" s="44"/>
      <c r="OFV574" s="44"/>
      <c r="OFW574" s="44"/>
      <c r="OFX574" s="44"/>
      <c r="OFY574" s="44"/>
      <c r="OFZ574" s="44"/>
      <c r="OGA574" s="44"/>
      <c r="OGB574" s="44"/>
      <c r="OGC574" s="44"/>
      <c r="OGD574" s="44"/>
      <c r="OGE574" s="44"/>
      <c r="OGF574" s="44"/>
      <c r="OGG574" s="44"/>
      <c r="OGH574" s="44"/>
      <c r="OGI574" s="44"/>
      <c r="OGJ574" s="44"/>
      <c r="OGK574" s="44"/>
      <c r="OGL574" s="44"/>
      <c r="OGM574" s="44"/>
      <c r="OGN574" s="44"/>
      <c r="OGO574" s="44"/>
      <c r="OGP574" s="44"/>
      <c r="OGQ574" s="44"/>
      <c r="OGR574" s="44"/>
      <c r="OGS574" s="44"/>
      <c r="OGT574" s="44"/>
      <c r="OGU574" s="44"/>
      <c r="OGV574" s="44"/>
      <c r="OGW574" s="44"/>
      <c r="OGX574" s="44"/>
      <c r="OGY574" s="44"/>
      <c r="OGZ574" s="44"/>
      <c r="OHA574" s="44"/>
      <c r="OHB574" s="44"/>
      <c r="OHC574" s="44"/>
      <c r="OHD574" s="44"/>
      <c r="OHE574" s="44"/>
      <c r="OHF574" s="44"/>
      <c r="OHG574" s="44"/>
      <c r="OHH574" s="44"/>
      <c r="OHI574" s="44"/>
      <c r="OHJ574" s="44"/>
      <c r="OHK574" s="44"/>
      <c r="OHL574" s="44"/>
      <c r="OHM574" s="44"/>
      <c r="OHN574" s="44"/>
      <c r="OHO574" s="44"/>
      <c r="OHP574" s="44"/>
      <c r="OHQ574" s="44"/>
      <c r="OHR574" s="44"/>
      <c r="OHS574" s="44"/>
      <c r="OHT574" s="44"/>
      <c r="OHU574" s="44"/>
      <c r="OHV574" s="44"/>
      <c r="OHW574" s="44"/>
      <c r="OHX574" s="44"/>
      <c r="OHY574" s="44"/>
      <c r="OHZ574" s="44"/>
      <c r="OIA574" s="44"/>
      <c r="OIB574" s="44"/>
      <c r="OIC574" s="44"/>
      <c r="OID574" s="44"/>
      <c r="OIE574" s="44"/>
      <c r="OIF574" s="44"/>
      <c r="OIG574" s="44"/>
      <c r="OIH574" s="44"/>
      <c r="OII574" s="44"/>
      <c r="OIJ574" s="44"/>
      <c r="OIK574" s="44"/>
      <c r="OIL574" s="44"/>
      <c r="OIM574" s="44"/>
      <c r="OIN574" s="44"/>
      <c r="OIO574" s="44"/>
      <c r="OIP574" s="44"/>
      <c r="OIQ574" s="44"/>
      <c r="OIR574" s="44"/>
      <c r="OIS574" s="44"/>
      <c r="OIT574" s="44"/>
      <c r="OIU574" s="44"/>
      <c r="OIV574" s="44"/>
      <c r="OIW574" s="44"/>
      <c r="OIX574" s="44"/>
      <c r="OIY574" s="44"/>
      <c r="OIZ574" s="44"/>
      <c r="OJA574" s="44"/>
      <c r="OJB574" s="44"/>
      <c r="OJC574" s="44"/>
      <c r="OJD574" s="44"/>
      <c r="OJE574" s="44"/>
      <c r="OJF574" s="44"/>
      <c r="OJG574" s="44"/>
      <c r="OJH574" s="44"/>
      <c r="OJI574" s="44"/>
      <c r="OJJ574" s="44"/>
      <c r="OJK574" s="44"/>
      <c r="OJL574" s="44"/>
      <c r="OJM574" s="44"/>
      <c r="OJN574" s="44"/>
      <c r="OJO574" s="44"/>
      <c r="OJP574" s="44"/>
      <c r="OJQ574" s="44"/>
      <c r="OJR574" s="44"/>
      <c r="OJS574" s="44"/>
      <c r="OJT574" s="44"/>
      <c r="OJU574" s="44"/>
      <c r="OJV574" s="44"/>
      <c r="OJW574" s="44"/>
      <c r="OJX574" s="44"/>
      <c r="OJY574" s="44"/>
      <c r="OJZ574" s="44"/>
      <c r="OKA574" s="44"/>
      <c r="OKB574" s="44"/>
      <c r="OKC574" s="44"/>
      <c r="OKD574" s="44"/>
      <c r="OKE574" s="44"/>
      <c r="OKF574" s="44"/>
      <c r="OKG574" s="44"/>
      <c r="OKH574" s="44"/>
      <c r="OKI574" s="44"/>
      <c r="OKJ574" s="44"/>
      <c r="OKK574" s="44"/>
      <c r="OKL574" s="44"/>
      <c r="OKM574" s="44"/>
      <c r="OKN574" s="44"/>
      <c r="OKO574" s="44"/>
      <c r="OKP574" s="44"/>
      <c r="OKQ574" s="44"/>
      <c r="OKR574" s="44"/>
      <c r="OKS574" s="44"/>
      <c r="OKT574" s="44"/>
      <c r="OKU574" s="44"/>
      <c r="OKV574" s="44"/>
      <c r="OKW574" s="44"/>
      <c r="OKX574" s="44"/>
      <c r="OKY574" s="44"/>
      <c r="OKZ574" s="44"/>
      <c r="OLA574" s="44"/>
      <c r="OLB574" s="44"/>
      <c r="OLC574" s="44"/>
      <c r="OLD574" s="44"/>
      <c r="OLE574" s="44"/>
      <c r="OLF574" s="44"/>
      <c r="OLG574" s="44"/>
      <c r="OLH574" s="44"/>
      <c r="OLI574" s="44"/>
      <c r="OLJ574" s="44"/>
      <c r="OLK574" s="44"/>
      <c r="OLL574" s="44"/>
      <c r="OLM574" s="44"/>
      <c r="OLN574" s="44"/>
      <c r="OLO574" s="44"/>
      <c r="OLP574" s="44"/>
      <c r="OLQ574" s="44"/>
      <c r="OLR574" s="44"/>
      <c r="OLS574" s="44"/>
      <c r="OLT574" s="44"/>
      <c r="OLU574" s="44"/>
      <c r="OLV574" s="44"/>
      <c r="OLW574" s="44"/>
      <c r="OLX574" s="44"/>
      <c r="OLY574" s="44"/>
      <c r="OLZ574" s="44"/>
      <c r="OMA574" s="44"/>
      <c r="OMB574" s="44"/>
      <c r="OMC574" s="44"/>
      <c r="OMD574" s="44"/>
      <c r="OME574" s="44"/>
      <c r="OMF574" s="44"/>
      <c r="OMG574" s="44"/>
      <c r="OMH574" s="44"/>
      <c r="OMI574" s="44"/>
      <c r="OMJ574" s="44"/>
      <c r="OMK574" s="44"/>
      <c r="OML574" s="44"/>
      <c r="OMM574" s="44"/>
      <c r="OMN574" s="44"/>
      <c r="OMO574" s="44"/>
      <c r="OMP574" s="44"/>
      <c r="OMQ574" s="44"/>
      <c r="OMR574" s="44"/>
      <c r="OMS574" s="44"/>
      <c r="OMT574" s="44"/>
      <c r="OMU574" s="44"/>
      <c r="OMV574" s="44"/>
      <c r="OMW574" s="44"/>
      <c r="OMX574" s="44"/>
      <c r="OMY574" s="44"/>
      <c r="OMZ574" s="44"/>
      <c r="ONA574" s="44"/>
      <c r="ONB574" s="44"/>
      <c r="ONC574" s="44"/>
      <c r="OND574" s="44"/>
      <c r="ONE574" s="44"/>
      <c r="ONF574" s="44"/>
      <c r="ONG574" s="44"/>
      <c r="ONH574" s="44"/>
      <c r="ONI574" s="44"/>
      <c r="ONJ574" s="44"/>
      <c r="ONK574" s="44"/>
      <c r="ONL574" s="44"/>
      <c r="ONM574" s="44"/>
      <c r="ONN574" s="44"/>
      <c r="ONO574" s="44"/>
      <c r="ONP574" s="44"/>
      <c r="ONQ574" s="44"/>
      <c r="ONR574" s="44"/>
      <c r="ONS574" s="44"/>
      <c r="ONT574" s="44"/>
      <c r="ONU574" s="44"/>
      <c r="ONV574" s="44"/>
      <c r="ONW574" s="44"/>
      <c r="ONX574" s="44"/>
      <c r="ONY574" s="44"/>
      <c r="ONZ574" s="44"/>
      <c r="OOA574" s="44"/>
      <c r="OOB574" s="44"/>
      <c r="OOC574" s="44"/>
      <c r="OOD574" s="44"/>
      <c r="OOE574" s="44"/>
      <c r="OOF574" s="44"/>
      <c r="OOG574" s="44"/>
      <c r="OOH574" s="44"/>
      <c r="OOI574" s="44"/>
      <c r="OOJ574" s="44"/>
      <c r="OOK574" s="44"/>
      <c r="OOL574" s="44"/>
      <c r="OOM574" s="44"/>
      <c r="OON574" s="44"/>
      <c r="OOO574" s="44"/>
      <c r="OOP574" s="44"/>
      <c r="OOQ574" s="44"/>
      <c r="OOR574" s="44"/>
      <c r="OOS574" s="44"/>
      <c r="OOT574" s="44"/>
      <c r="OOU574" s="44"/>
      <c r="OOV574" s="44"/>
      <c r="OOW574" s="44"/>
      <c r="OOX574" s="44"/>
      <c r="OOY574" s="44"/>
      <c r="OOZ574" s="44"/>
      <c r="OPA574" s="44"/>
      <c r="OPB574" s="44"/>
      <c r="OPC574" s="44"/>
      <c r="OPD574" s="44"/>
      <c r="OPE574" s="44"/>
      <c r="OPF574" s="44"/>
      <c r="OPG574" s="44"/>
      <c r="OPH574" s="44"/>
      <c r="OPI574" s="44"/>
      <c r="OPJ574" s="44"/>
      <c r="OPK574" s="44"/>
      <c r="OPL574" s="44"/>
      <c r="OPM574" s="44"/>
      <c r="OPN574" s="44"/>
      <c r="OPO574" s="44"/>
      <c r="OPP574" s="44"/>
      <c r="OPQ574" s="44"/>
      <c r="OPR574" s="44"/>
      <c r="OPS574" s="44"/>
      <c r="OPT574" s="44"/>
      <c r="OPU574" s="44"/>
      <c r="OPV574" s="44"/>
      <c r="OPW574" s="44"/>
      <c r="OPX574" s="44"/>
      <c r="OPY574" s="44"/>
      <c r="OPZ574" s="44"/>
      <c r="OQA574" s="44"/>
      <c r="OQB574" s="44"/>
      <c r="OQC574" s="44"/>
      <c r="OQD574" s="44"/>
      <c r="OQE574" s="44"/>
      <c r="OQF574" s="44"/>
      <c r="OQG574" s="44"/>
      <c r="OQH574" s="44"/>
      <c r="OQI574" s="44"/>
      <c r="OQJ574" s="44"/>
      <c r="OQK574" s="44"/>
      <c r="OQL574" s="44"/>
      <c r="OQM574" s="44"/>
      <c r="OQN574" s="44"/>
      <c r="OQO574" s="44"/>
      <c r="OQP574" s="44"/>
      <c r="OQQ574" s="44"/>
      <c r="OQR574" s="44"/>
      <c r="OQS574" s="44"/>
      <c r="OQT574" s="44"/>
      <c r="OQU574" s="44"/>
      <c r="OQV574" s="44"/>
      <c r="OQW574" s="44"/>
      <c r="OQX574" s="44"/>
      <c r="OQY574" s="44"/>
      <c r="OQZ574" s="44"/>
      <c r="ORA574" s="44"/>
      <c r="ORB574" s="44"/>
      <c r="ORC574" s="44"/>
      <c r="ORD574" s="44"/>
      <c r="ORE574" s="44"/>
      <c r="ORF574" s="44"/>
      <c r="ORG574" s="44"/>
      <c r="ORH574" s="44"/>
      <c r="ORI574" s="44"/>
      <c r="ORJ574" s="44"/>
      <c r="ORK574" s="44"/>
      <c r="ORL574" s="44"/>
      <c r="ORM574" s="44"/>
      <c r="ORN574" s="44"/>
      <c r="ORO574" s="44"/>
      <c r="ORP574" s="44"/>
      <c r="ORQ574" s="44"/>
      <c r="ORR574" s="44"/>
      <c r="ORS574" s="44"/>
      <c r="ORT574" s="44"/>
      <c r="ORU574" s="44"/>
      <c r="ORV574" s="44"/>
      <c r="ORW574" s="44"/>
      <c r="ORX574" s="44"/>
      <c r="ORY574" s="44"/>
      <c r="ORZ574" s="44"/>
      <c r="OSA574" s="44"/>
      <c r="OSB574" s="44"/>
      <c r="OSC574" s="44"/>
      <c r="OSD574" s="44"/>
      <c r="OSE574" s="44"/>
      <c r="OSF574" s="44"/>
      <c r="OSG574" s="44"/>
      <c r="OSH574" s="44"/>
      <c r="OSI574" s="44"/>
      <c r="OSJ574" s="44"/>
      <c r="OSK574" s="44"/>
      <c r="OSL574" s="44"/>
      <c r="OSM574" s="44"/>
      <c r="OSN574" s="44"/>
      <c r="OSO574" s="44"/>
      <c r="OSP574" s="44"/>
      <c r="OSQ574" s="44"/>
      <c r="OSR574" s="44"/>
      <c r="OSS574" s="44"/>
      <c r="OST574" s="44"/>
      <c r="OSU574" s="44"/>
      <c r="OSV574" s="44"/>
      <c r="OSW574" s="44"/>
      <c r="OSX574" s="44"/>
      <c r="OSY574" s="44"/>
      <c r="OSZ574" s="44"/>
      <c r="OTA574" s="44"/>
      <c r="OTB574" s="44"/>
      <c r="OTC574" s="44"/>
      <c r="OTD574" s="44"/>
      <c r="OTE574" s="44"/>
      <c r="OTF574" s="44"/>
      <c r="OTG574" s="44"/>
      <c r="OTH574" s="44"/>
      <c r="OTI574" s="44"/>
      <c r="OTJ574" s="44"/>
      <c r="OTK574" s="44"/>
      <c r="OTL574" s="44"/>
      <c r="OTM574" s="44"/>
      <c r="OTN574" s="44"/>
      <c r="OTO574" s="44"/>
      <c r="OTP574" s="44"/>
      <c r="OTQ574" s="44"/>
      <c r="OTR574" s="44"/>
      <c r="OTS574" s="44"/>
      <c r="OTT574" s="44"/>
      <c r="OTU574" s="44"/>
      <c r="OTV574" s="44"/>
      <c r="OTW574" s="44"/>
      <c r="OTX574" s="44"/>
      <c r="OTY574" s="44"/>
      <c r="OTZ574" s="44"/>
      <c r="OUA574" s="44"/>
      <c r="OUB574" s="44"/>
      <c r="OUC574" s="44"/>
      <c r="OUD574" s="44"/>
      <c r="OUE574" s="44"/>
      <c r="OUF574" s="44"/>
      <c r="OUG574" s="44"/>
      <c r="OUH574" s="44"/>
      <c r="OUI574" s="44"/>
      <c r="OUJ574" s="44"/>
      <c r="OUK574" s="44"/>
      <c r="OUL574" s="44"/>
      <c r="OUM574" s="44"/>
      <c r="OUN574" s="44"/>
      <c r="OUO574" s="44"/>
      <c r="OUP574" s="44"/>
      <c r="OUQ574" s="44"/>
      <c r="OUR574" s="44"/>
      <c r="OUS574" s="44"/>
      <c r="OUT574" s="44"/>
      <c r="OUU574" s="44"/>
      <c r="OUV574" s="44"/>
      <c r="OUW574" s="44"/>
      <c r="OUX574" s="44"/>
      <c r="OUY574" s="44"/>
      <c r="OUZ574" s="44"/>
      <c r="OVA574" s="44"/>
      <c r="OVB574" s="44"/>
      <c r="OVC574" s="44"/>
      <c r="OVD574" s="44"/>
      <c r="OVE574" s="44"/>
      <c r="OVF574" s="44"/>
      <c r="OVG574" s="44"/>
      <c r="OVH574" s="44"/>
      <c r="OVI574" s="44"/>
      <c r="OVJ574" s="44"/>
      <c r="OVK574" s="44"/>
      <c r="OVL574" s="44"/>
      <c r="OVM574" s="44"/>
      <c r="OVN574" s="44"/>
      <c r="OVO574" s="44"/>
      <c r="OVP574" s="44"/>
      <c r="OVQ574" s="44"/>
      <c r="OVR574" s="44"/>
      <c r="OVS574" s="44"/>
      <c r="OVT574" s="44"/>
      <c r="OVU574" s="44"/>
      <c r="OVV574" s="44"/>
      <c r="OVW574" s="44"/>
      <c r="OVX574" s="44"/>
      <c r="OVY574" s="44"/>
      <c r="OVZ574" s="44"/>
      <c r="OWA574" s="44"/>
      <c r="OWB574" s="44"/>
      <c r="OWC574" s="44"/>
      <c r="OWD574" s="44"/>
      <c r="OWE574" s="44"/>
      <c r="OWF574" s="44"/>
      <c r="OWG574" s="44"/>
      <c r="OWH574" s="44"/>
      <c r="OWI574" s="44"/>
      <c r="OWJ574" s="44"/>
      <c r="OWK574" s="44"/>
      <c r="OWL574" s="44"/>
      <c r="OWM574" s="44"/>
      <c r="OWN574" s="44"/>
      <c r="OWO574" s="44"/>
      <c r="OWP574" s="44"/>
      <c r="OWQ574" s="44"/>
      <c r="OWR574" s="44"/>
      <c r="OWS574" s="44"/>
      <c r="OWT574" s="44"/>
      <c r="OWU574" s="44"/>
      <c r="OWV574" s="44"/>
      <c r="OWW574" s="44"/>
      <c r="OWX574" s="44"/>
      <c r="OWY574" s="44"/>
      <c r="OWZ574" s="44"/>
      <c r="OXA574" s="44"/>
      <c r="OXB574" s="44"/>
      <c r="OXC574" s="44"/>
      <c r="OXD574" s="44"/>
      <c r="OXE574" s="44"/>
      <c r="OXF574" s="44"/>
      <c r="OXG574" s="44"/>
      <c r="OXH574" s="44"/>
      <c r="OXI574" s="44"/>
      <c r="OXJ574" s="44"/>
      <c r="OXK574" s="44"/>
      <c r="OXL574" s="44"/>
      <c r="OXM574" s="44"/>
      <c r="OXN574" s="44"/>
      <c r="OXO574" s="44"/>
      <c r="OXP574" s="44"/>
      <c r="OXQ574" s="44"/>
      <c r="OXR574" s="44"/>
      <c r="OXS574" s="44"/>
      <c r="OXT574" s="44"/>
      <c r="OXU574" s="44"/>
      <c r="OXV574" s="44"/>
      <c r="OXW574" s="44"/>
      <c r="OXX574" s="44"/>
      <c r="OXY574" s="44"/>
      <c r="OXZ574" s="44"/>
      <c r="OYA574" s="44"/>
      <c r="OYB574" s="44"/>
      <c r="OYC574" s="44"/>
      <c r="OYD574" s="44"/>
      <c r="OYE574" s="44"/>
      <c r="OYF574" s="44"/>
      <c r="OYG574" s="44"/>
      <c r="OYH574" s="44"/>
      <c r="OYI574" s="44"/>
      <c r="OYJ574" s="44"/>
      <c r="OYK574" s="44"/>
      <c r="OYL574" s="44"/>
      <c r="OYM574" s="44"/>
      <c r="OYN574" s="44"/>
      <c r="OYO574" s="44"/>
      <c r="OYP574" s="44"/>
      <c r="OYQ574" s="44"/>
      <c r="OYR574" s="44"/>
      <c r="OYS574" s="44"/>
      <c r="OYT574" s="44"/>
      <c r="OYU574" s="44"/>
      <c r="OYV574" s="44"/>
      <c r="OYW574" s="44"/>
      <c r="OYX574" s="44"/>
      <c r="OYY574" s="44"/>
      <c r="OYZ574" s="44"/>
      <c r="OZA574" s="44"/>
      <c r="OZB574" s="44"/>
      <c r="OZC574" s="44"/>
      <c r="OZD574" s="44"/>
      <c r="OZE574" s="44"/>
      <c r="OZF574" s="44"/>
      <c r="OZG574" s="44"/>
      <c r="OZH574" s="44"/>
      <c r="OZI574" s="44"/>
      <c r="OZJ574" s="44"/>
      <c r="OZK574" s="44"/>
      <c r="OZL574" s="44"/>
      <c r="OZM574" s="44"/>
      <c r="OZN574" s="44"/>
      <c r="OZO574" s="44"/>
      <c r="OZP574" s="44"/>
      <c r="OZQ574" s="44"/>
      <c r="OZR574" s="44"/>
      <c r="OZS574" s="44"/>
      <c r="OZT574" s="44"/>
      <c r="OZU574" s="44"/>
      <c r="OZV574" s="44"/>
      <c r="OZW574" s="44"/>
      <c r="OZX574" s="44"/>
      <c r="OZY574" s="44"/>
      <c r="OZZ574" s="44"/>
      <c r="PAA574" s="44"/>
      <c r="PAB574" s="44"/>
      <c r="PAC574" s="44"/>
      <c r="PAD574" s="44"/>
      <c r="PAE574" s="44"/>
      <c r="PAF574" s="44"/>
      <c r="PAG574" s="44"/>
      <c r="PAH574" s="44"/>
      <c r="PAI574" s="44"/>
      <c r="PAJ574" s="44"/>
      <c r="PAK574" s="44"/>
      <c r="PAL574" s="44"/>
      <c r="PAM574" s="44"/>
      <c r="PAN574" s="44"/>
      <c r="PAO574" s="44"/>
      <c r="PAP574" s="44"/>
      <c r="PAQ574" s="44"/>
      <c r="PAR574" s="44"/>
      <c r="PAS574" s="44"/>
      <c r="PAT574" s="44"/>
      <c r="PAU574" s="44"/>
      <c r="PAV574" s="44"/>
      <c r="PAW574" s="44"/>
      <c r="PAX574" s="44"/>
      <c r="PAY574" s="44"/>
      <c r="PAZ574" s="44"/>
      <c r="PBA574" s="44"/>
      <c r="PBB574" s="44"/>
      <c r="PBC574" s="44"/>
      <c r="PBD574" s="44"/>
      <c r="PBE574" s="44"/>
      <c r="PBF574" s="44"/>
      <c r="PBG574" s="44"/>
      <c r="PBH574" s="44"/>
      <c r="PBI574" s="44"/>
      <c r="PBJ574" s="44"/>
      <c r="PBK574" s="44"/>
      <c r="PBL574" s="44"/>
      <c r="PBM574" s="44"/>
      <c r="PBN574" s="44"/>
      <c r="PBO574" s="44"/>
      <c r="PBP574" s="44"/>
      <c r="PBQ574" s="44"/>
      <c r="PBR574" s="44"/>
      <c r="PBS574" s="44"/>
      <c r="PBT574" s="44"/>
      <c r="PBU574" s="44"/>
      <c r="PBV574" s="44"/>
      <c r="PBW574" s="44"/>
      <c r="PBX574" s="44"/>
      <c r="PBY574" s="44"/>
      <c r="PBZ574" s="44"/>
      <c r="PCA574" s="44"/>
      <c r="PCB574" s="44"/>
      <c r="PCC574" s="44"/>
      <c r="PCD574" s="44"/>
      <c r="PCE574" s="44"/>
      <c r="PCF574" s="44"/>
      <c r="PCG574" s="44"/>
      <c r="PCH574" s="44"/>
      <c r="PCI574" s="44"/>
      <c r="PCJ574" s="44"/>
      <c r="PCK574" s="44"/>
      <c r="PCL574" s="44"/>
      <c r="PCM574" s="44"/>
      <c r="PCN574" s="44"/>
      <c r="PCO574" s="44"/>
      <c r="PCP574" s="44"/>
      <c r="PCQ574" s="44"/>
      <c r="PCR574" s="44"/>
      <c r="PCS574" s="44"/>
      <c r="PCT574" s="44"/>
      <c r="PCU574" s="44"/>
      <c r="PCV574" s="44"/>
      <c r="PCW574" s="44"/>
      <c r="PCX574" s="44"/>
      <c r="PCY574" s="44"/>
      <c r="PCZ574" s="44"/>
      <c r="PDA574" s="44"/>
      <c r="PDB574" s="44"/>
      <c r="PDC574" s="44"/>
      <c r="PDD574" s="44"/>
      <c r="PDE574" s="44"/>
      <c r="PDF574" s="44"/>
      <c r="PDG574" s="44"/>
      <c r="PDH574" s="44"/>
      <c r="PDI574" s="44"/>
      <c r="PDJ574" s="44"/>
      <c r="PDK574" s="44"/>
      <c r="PDL574" s="44"/>
      <c r="PDM574" s="44"/>
      <c r="PDN574" s="44"/>
      <c r="PDO574" s="44"/>
      <c r="PDP574" s="44"/>
      <c r="PDQ574" s="44"/>
      <c r="PDR574" s="44"/>
      <c r="PDS574" s="44"/>
      <c r="PDT574" s="44"/>
      <c r="PDU574" s="44"/>
      <c r="PDV574" s="44"/>
      <c r="PDW574" s="44"/>
      <c r="PDX574" s="44"/>
      <c r="PDY574" s="44"/>
      <c r="PDZ574" s="44"/>
      <c r="PEA574" s="44"/>
      <c r="PEB574" s="44"/>
      <c r="PEC574" s="44"/>
      <c r="PED574" s="44"/>
      <c r="PEE574" s="44"/>
      <c r="PEF574" s="44"/>
      <c r="PEG574" s="44"/>
      <c r="PEH574" s="44"/>
      <c r="PEI574" s="44"/>
      <c r="PEJ574" s="44"/>
      <c r="PEK574" s="44"/>
      <c r="PEL574" s="44"/>
      <c r="PEM574" s="44"/>
      <c r="PEN574" s="44"/>
      <c r="PEO574" s="44"/>
      <c r="PEP574" s="44"/>
      <c r="PEQ574" s="44"/>
      <c r="PER574" s="44"/>
      <c r="PES574" s="44"/>
      <c r="PET574" s="44"/>
      <c r="PEU574" s="44"/>
      <c r="PEV574" s="44"/>
      <c r="PEW574" s="44"/>
      <c r="PEX574" s="44"/>
      <c r="PEY574" s="44"/>
      <c r="PEZ574" s="44"/>
      <c r="PFA574" s="44"/>
      <c r="PFB574" s="44"/>
      <c r="PFC574" s="44"/>
      <c r="PFD574" s="44"/>
      <c r="PFE574" s="44"/>
      <c r="PFF574" s="44"/>
      <c r="PFG574" s="44"/>
      <c r="PFH574" s="44"/>
      <c r="PFI574" s="44"/>
      <c r="PFJ574" s="44"/>
      <c r="PFK574" s="44"/>
      <c r="PFL574" s="44"/>
      <c r="PFM574" s="44"/>
      <c r="PFN574" s="44"/>
      <c r="PFO574" s="44"/>
      <c r="PFP574" s="44"/>
      <c r="PFQ574" s="44"/>
      <c r="PFR574" s="44"/>
      <c r="PFS574" s="44"/>
      <c r="PFT574" s="44"/>
      <c r="PFU574" s="44"/>
      <c r="PFV574" s="44"/>
      <c r="PFW574" s="44"/>
      <c r="PFX574" s="44"/>
      <c r="PFY574" s="44"/>
      <c r="PFZ574" s="44"/>
      <c r="PGA574" s="44"/>
      <c r="PGB574" s="44"/>
      <c r="PGC574" s="44"/>
      <c r="PGD574" s="44"/>
      <c r="PGE574" s="44"/>
      <c r="PGF574" s="44"/>
      <c r="PGG574" s="44"/>
      <c r="PGH574" s="44"/>
      <c r="PGI574" s="44"/>
      <c r="PGJ574" s="44"/>
      <c r="PGK574" s="44"/>
      <c r="PGL574" s="44"/>
      <c r="PGM574" s="44"/>
      <c r="PGN574" s="44"/>
      <c r="PGO574" s="44"/>
      <c r="PGP574" s="44"/>
      <c r="PGQ574" s="44"/>
      <c r="PGR574" s="44"/>
      <c r="PGS574" s="44"/>
      <c r="PGT574" s="44"/>
      <c r="PGU574" s="44"/>
      <c r="PGV574" s="44"/>
      <c r="PGW574" s="44"/>
      <c r="PGX574" s="44"/>
      <c r="PGY574" s="44"/>
      <c r="PGZ574" s="44"/>
      <c r="PHA574" s="44"/>
      <c r="PHB574" s="44"/>
      <c r="PHC574" s="44"/>
      <c r="PHD574" s="44"/>
      <c r="PHE574" s="44"/>
      <c r="PHF574" s="44"/>
      <c r="PHG574" s="44"/>
      <c r="PHH574" s="44"/>
      <c r="PHI574" s="44"/>
      <c r="PHJ574" s="44"/>
      <c r="PHK574" s="44"/>
      <c r="PHL574" s="44"/>
      <c r="PHM574" s="44"/>
      <c r="PHN574" s="44"/>
      <c r="PHO574" s="44"/>
      <c r="PHP574" s="44"/>
      <c r="PHQ574" s="44"/>
      <c r="PHR574" s="44"/>
      <c r="PHS574" s="44"/>
      <c r="PHT574" s="44"/>
      <c r="PHU574" s="44"/>
      <c r="PHV574" s="44"/>
      <c r="PHW574" s="44"/>
      <c r="PHX574" s="44"/>
      <c r="PHY574" s="44"/>
      <c r="PHZ574" s="44"/>
      <c r="PIA574" s="44"/>
      <c r="PIB574" s="44"/>
      <c r="PIC574" s="44"/>
      <c r="PID574" s="44"/>
      <c r="PIE574" s="44"/>
      <c r="PIF574" s="44"/>
      <c r="PIG574" s="44"/>
      <c r="PIH574" s="44"/>
      <c r="PII574" s="44"/>
      <c r="PIJ574" s="44"/>
      <c r="PIK574" s="44"/>
      <c r="PIL574" s="44"/>
      <c r="PIM574" s="44"/>
      <c r="PIN574" s="44"/>
      <c r="PIO574" s="44"/>
      <c r="PIP574" s="44"/>
      <c r="PIQ574" s="44"/>
      <c r="PIR574" s="44"/>
      <c r="PIS574" s="44"/>
      <c r="PIT574" s="44"/>
      <c r="PIU574" s="44"/>
      <c r="PIV574" s="44"/>
      <c r="PIW574" s="44"/>
      <c r="PIX574" s="44"/>
      <c r="PIY574" s="44"/>
      <c r="PIZ574" s="44"/>
      <c r="PJA574" s="44"/>
      <c r="PJB574" s="44"/>
      <c r="PJC574" s="44"/>
      <c r="PJD574" s="44"/>
      <c r="PJE574" s="44"/>
      <c r="PJF574" s="44"/>
      <c r="PJG574" s="44"/>
      <c r="PJH574" s="44"/>
      <c r="PJI574" s="44"/>
      <c r="PJJ574" s="44"/>
      <c r="PJK574" s="44"/>
      <c r="PJL574" s="44"/>
      <c r="PJM574" s="44"/>
      <c r="PJN574" s="44"/>
      <c r="PJO574" s="44"/>
      <c r="PJP574" s="44"/>
      <c r="PJQ574" s="44"/>
      <c r="PJR574" s="44"/>
      <c r="PJS574" s="44"/>
      <c r="PJT574" s="44"/>
      <c r="PJU574" s="44"/>
      <c r="PJV574" s="44"/>
      <c r="PJW574" s="44"/>
      <c r="PJX574" s="44"/>
      <c r="PJY574" s="44"/>
      <c r="PJZ574" s="44"/>
      <c r="PKA574" s="44"/>
      <c r="PKB574" s="44"/>
      <c r="PKC574" s="44"/>
      <c r="PKD574" s="44"/>
      <c r="PKE574" s="44"/>
      <c r="PKF574" s="44"/>
      <c r="PKG574" s="44"/>
      <c r="PKH574" s="44"/>
      <c r="PKI574" s="44"/>
      <c r="PKJ574" s="44"/>
      <c r="PKK574" s="44"/>
      <c r="PKL574" s="44"/>
      <c r="PKM574" s="44"/>
      <c r="PKN574" s="44"/>
      <c r="PKO574" s="44"/>
      <c r="PKP574" s="44"/>
      <c r="PKQ574" s="44"/>
      <c r="PKR574" s="44"/>
      <c r="PKS574" s="44"/>
      <c r="PKT574" s="44"/>
      <c r="PKU574" s="44"/>
      <c r="PKV574" s="44"/>
      <c r="PKW574" s="44"/>
      <c r="PKX574" s="44"/>
      <c r="PKY574" s="44"/>
      <c r="PKZ574" s="44"/>
      <c r="PLA574" s="44"/>
      <c r="PLB574" s="44"/>
      <c r="PLC574" s="44"/>
      <c r="PLD574" s="44"/>
      <c r="PLE574" s="44"/>
      <c r="PLF574" s="44"/>
      <c r="PLG574" s="44"/>
      <c r="PLH574" s="44"/>
      <c r="PLI574" s="44"/>
      <c r="PLJ574" s="44"/>
      <c r="PLK574" s="44"/>
      <c r="PLL574" s="44"/>
      <c r="PLM574" s="44"/>
      <c r="PLN574" s="44"/>
      <c r="PLO574" s="44"/>
      <c r="PLP574" s="44"/>
      <c r="PLQ574" s="44"/>
      <c r="PLR574" s="44"/>
      <c r="PLS574" s="44"/>
      <c r="PLT574" s="44"/>
      <c r="PLU574" s="44"/>
      <c r="PLV574" s="44"/>
      <c r="PLW574" s="44"/>
      <c r="PLX574" s="44"/>
      <c r="PLY574" s="44"/>
      <c r="PLZ574" s="44"/>
      <c r="PMA574" s="44"/>
      <c r="PMB574" s="44"/>
      <c r="PMC574" s="44"/>
      <c r="PMD574" s="44"/>
      <c r="PME574" s="44"/>
      <c r="PMF574" s="44"/>
      <c r="PMG574" s="44"/>
      <c r="PMH574" s="44"/>
      <c r="PMI574" s="44"/>
      <c r="PMJ574" s="44"/>
      <c r="PMK574" s="44"/>
      <c r="PML574" s="44"/>
      <c r="PMM574" s="44"/>
      <c r="PMN574" s="44"/>
      <c r="PMO574" s="44"/>
      <c r="PMP574" s="44"/>
      <c r="PMQ574" s="44"/>
      <c r="PMR574" s="44"/>
      <c r="PMS574" s="44"/>
      <c r="PMT574" s="44"/>
      <c r="PMU574" s="44"/>
      <c r="PMV574" s="44"/>
      <c r="PMW574" s="44"/>
      <c r="PMX574" s="44"/>
      <c r="PMY574" s="44"/>
      <c r="PMZ574" s="44"/>
      <c r="PNA574" s="44"/>
      <c r="PNB574" s="44"/>
      <c r="PNC574" s="44"/>
      <c r="PND574" s="44"/>
      <c r="PNE574" s="44"/>
      <c r="PNF574" s="44"/>
      <c r="PNG574" s="44"/>
      <c r="PNH574" s="44"/>
      <c r="PNI574" s="44"/>
      <c r="PNJ574" s="44"/>
      <c r="PNK574" s="44"/>
      <c r="PNL574" s="44"/>
      <c r="PNM574" s="44"/>
      <c r="PNN574" s="44"/>
      <c r="PNO574" s="44"/>
      <c r="PNP574" s="44"/>
      <c r="PNQ574" s="44"/>
      <c r="PNR574" s="44"/>
      <c r="PNS574" s="44"/>
      <c r="PNT574" s="44"/>
      <c r="PNU574" s="44"/>
      <c r="PNV574" s="44"/>
      <c r="PNW574" s="44"/>
      <c r="PNX574" s="44"/>
      <c r="PNY574" s="44"/>
      <c r="PNZ574" s="44"/>
      <c r="POA574" s="44"/>
      <c r="POB574" s="44"/>
      <c r="POC574" s="44"/>
      <c r="POD574" s="44"/>
      <c r="POE574" s="44"/>
      <c r="POF574" s="44"/>
      <c r="POG574" s="44"/>
      <c r="POH574" s="44"/>
      <c r="POI574" s="44"/>
      <c r="POJ574" s="44"/>
      <c r="POK574" s="44"/>
      <c r="POL574" s="44"/>
      <c r="POM574" s="44"/>
      <c r="PON574" s="44"/>
      <c r="POO574" s="44"/>
      <c r="POP574" s="44"/>
      <c r="POQ574" s="44"/>
      <c r="POR574" s="44"/>
      <c r="POS574" s="44"/>
      <c r="POT574" s="44"/>
      <c r="POU574" s="44"/>
      <c r="POV574" s="44"/>
      <c r="POW574" s="44"/>
      <c r="POX574" s="44"/>
      <c r="POY574" s="44"/>
      <c r="POZ574" s="44"/>
      <c r="PPA574" s="44"/>
      <c r="PPB574" s="44"/>
      <c r="PPC574" s="44"/>
      <c r="PPD574" s="44"/>
      <c r="PPE574" s="44"/>
      <c r="PPF574" s="44"/>
      <c r="PPG574" s="44"/>
      <c r="PPH574" s="44"/>
      <c r="PPI574" s="44"/>
      <c r="PPJ574" s="44"/>
      <c r="PPK574" s="44"/>
      <c r="PPL574" s="44"/>
      <c r="PPM574" s="44"/>
      <c r="PPN574" s="44"/>
      <c r="PPO574" s="44"/>
      <c r="PPP574" s="44"/>
      <c r="PPQ574" s="44"/>
      <c r="PPR574" s="44"/>
      <c r="PPS574" s="44"/>
      <c r="PPT574" s="44"/>
      <c r="PPU574" s="44"/>
      <c r="PPV574" s="44"/>
      <c r="PPW574" s="44"/>
      <c r="PPX574" s="44"/>
      <c r="PPY574" s="44"/>
      <c r="PPZ574" s="44"/>
      <c r="PQA574" s="44"/>
      <c r="PQB574" s="44"/>
      <c r="PQC574" s="44"/>
      <c r="PQD574" s="44"/>
      <c r="PQE574" s="44"/>
      <c r="PQF574" s="44"/>
      <c r="PQG574" s="44"/>
      <c r="PQH574" s="44"/>
      <c r="PQI574" s="44"/>
      <c r="PQJ574" s="44"/>
      <c r="PQK574" s="44"/>
      <c r="PQL574" s="44"/>
      <c r="PQM574" s="44"/>
      <c r="PQN574" s="44"/>
      <c r="PQO574" s="44"/>
      <c r="PQP574" s="44"/>
      <c r="PQQ574" s="44"/>
      <c r="PQR574" s="44"/>
      <c r="PQS574" s="44"/>
      <c r="PQT574" s="44"/>
      <c r="PQU574" s="44"/>
      <c r="PQV574" s="44"/>
      <c r="PQW574" s="44"/>
      <c r="PQX574" s="44"/>
      <c r="PQY574" s="44"/>
      <c r="PQZ574" s="44"/>
      <c r="PRA574" s="44"/>
      <c r="PRB574" s="44"/>
      <c r="PRC574" s="44"/>
      <c r="PRD574" s="44"/>
      <c r="PRE574" s="44"/>
      <c r="PRF574" s="44"/>
      <c r="PRG574" s="44"/>
      <c r="PRH574" s="44"/>
      <c r="PRI574" s="44"/>
      <c r="PRJ574" s="44"/>
      <c r="PRK574" s="44"/>
      <c r="PRL574" s="44"/>
      <c r="PRM574" s="44"/>
      <c r="PRN574" s="44"/>
      <c r="PRO574" s="44"/>
      <c r="PRP574" s="44"/>
      <c r="PRQ574" s="44"/>
      <c r="PRR574" s="44"/>
      <c r="PRS574" s="44"/>
      <c r="PRT574" s="44"/>
      <c r="PRU574" s="44"/>
      <c r="PRV574" s="44"/>
      <c r="PRW574" s="44"/>
      <c r="PRX574" s="44"/>
      <c r="PRY574" s="44"/>
      <c r="PRZ574" s="44"/>
      <c r="PSA574" s="44"/>
      <c r="PSB574" s="44"/>
      <c r="PSC574" s="44"/>
      <c r="PSD574" s="44"/>
      <c r="PSE574" s="44"/>
      <c r="PSF574" s="44"/>
      <c r="PSG574" s="44"/>
      <c r="PSH574" s="44"/>
      <c r="PSI574" s="44"/>
      <c r="PSJ574" s="44"/>
      <c r="PSK574" s="44"/>
      <c r="PSL574" s="44"/>
      <c r="PSM574" s="44"/>
      <c r="PSN574" s="44"/>
      <c r="PSO574" s="44"/>
      <c r="PSP574" s="44"/>
      <c r="PSQ574" s="44"/>
      <c r="PSR574" s="44"/>
      <c r="PSS574" s="44"/>
      <c r="PST574" s="44"/>
      <c r="PSU574" s="44"/>
      <c r="PSV574" s="44"/>
      <c r="PSW574" s="44"/>
      <c r="PSX574" s="44"/>
      <c r="PSY574" s="44"/>
      <c r="PSZ574" s="44"/>
      <c r="PTA574" s="44"/>
      <c r="PTB574" s="44"/>
      <c r="PTC574" s="44"/>
      <c r="PTD574" s="44"/>
      <c r="PTE574" s="44"/>
      <c r="PTF574" s="44"/>
      <c r="PTG574" s="44"/>
      <c r="PTH574" s="44"/>
      <c r="PTI574" s="44"/>
      <c r="PTJ574" s="44"/>
      <c r="PTK574" s="44"/>
      <c r="PTL574" s="44"/>
      <c r="PTM574" s="44"/>
      <c r="PTN574" s="44"/>
      <c r="PTO574" s="44"/>
      <c r="PTP574" s="44"/>
      <c r="PTQ574" s="44"/>
      <c r="PTR574" s="44"/>
      <c r="PTS574" s="44"/>
      <c r="PTT574" s="44"/>
      <c r="PTU574" s="44"/>
      <c r="PTV574" s="44"/>
      <c r="PTW574" s="44"/>
      <c r="PTX574" s="44"/>
      <c r="PTY574" s="44"/>
      <c r="PTZ574" s="44"/>
      <c r="PUA574" s="44"/>
      <c r="PUB574" s="44"/>
      <c r="PUC574" s="44"/>
      <c r="PUD574" s="44"/>
      <c r="PUE574" s="44"/>
      <c r="PUF574" s="44"/>
      <c r="PUG574" s="44"/>
      <c r="PUH574" s="44"/>
      <c r="PUI574" s="44"/>
      <c r="PUJ574" s="44"/>
      <c r="PUK574" s="44"/>
      <c r="PUL574" s="44"/>
      <c r="PUM574" s="44"/>
      <c r="PUN574" s="44"/>
      <c r="PUO574" s="44"/>
      <c r="PUP574" s="44"/>
      <c r="PUQ574" s="44"/>
      <c r="PUR574" s="44"/>
      <c r="PUS574" s="44"/>
      <c r="PUT574" s="44"/>
      <c r="PUU574" s="44"/>
      <c r="PUV574" s="44"/>
      <c r="PUW574" s="44"/>
      <c r="PUX574" s="44"/>
      <c r="PUY574" s="44"/>
      <c r="PUZ574" s="44"/>
      <c r="PVA574" s="44"/>
      <c r="PVB574" s="44"/>
      <c r="PVC574" s="44"/>
      <c r="PVD574" s="44"/>
      <c r="PVE574" s="44"/>
      <c r="PVF574" s="44"/>
      <c r="PVG574" s="44"/>
      <c r="PVH574" s="44"/>
      <c r="PVI574" s="44"/>
      <c r="PVJ574" s="44"/>
      <c r="PVK574" s="44"/>
      <c r="PVL574" s="44"/>
      <c r="PVM574" s="44"/>
      <c r="PVN574" s="44"/>
      <c r="PVO574" s="44"/>
      <c r="PVP574" s="44"/>
      <c r="PVQ574" s="44"/>
      <c r="PVR574" s="44"/>
      <c r="PVS574" s="44"/>
      <c r="PVT574" s="44"/>
      <c r="PVU574" s="44"/>
      <c r="PVV574" s="44"/>
      <c r="PVW574" s="44"/>
      <c r="PVX574" s="44"/>
      <c r="PVY574" s="44"/>
      <c r="PVZ574" s="44"/>
      <c r="PWA574" s="44"/>
      <c r="PWB574" s="44"/>
      <c r="PWC574" s="44"/>
      <c r="PWD574" s="44"/>
      <c r="PWE574" s="44"/>
      <c r="PWF574" s="44"/>
      <c r="PWG574" s="44"/>
      <c r="PWH574" s="44"/>
      <c r="PWI574" s="44"/>
      <c r="PWJ574" s="44"/>
      <c r="PWK574" s="44"/>
      <c r="PWL574" s="44"/>
      <c r="PWM574" s="44"/>
      <c r="PWN574" s="44"/>
      <c r="PWO574" s="44"/>
      <c r="PWP574" s="44"/>
      <c r="PWQ574" s="44"/>
      <c r="PWR574" s="44"/>
      <c r="PWS574" s="44"/>
      <c r="PWT574" s="44"/>
      <c r="PWU574" s="44"/>
      <c r="PWV574" s="44"/>
      <c r="PWW574" s="44"/>
      <c r="PWX574" s="44"/>
      <c r="PWY574" s="44"/>
      <c r="PWZ574" s="44"/>
      <c r="PXA574" s="44"/>
      <c r="PXB574" s="44"/>
      <c r="PXC574" s="44"/>
      <c r="PXD574" s="44"/>
      <c r="PXE574" s="44"/>
      <c r="PXF574" s="44"/>
      <c r="PXG574" s="44"/>
      <c r="PXH574" s="44"/>
      <c r="PXI574" s="44"/>
      <c r="PXJ574" s="44"/>
      <c r="PXK574" s="44"/>
      <c r="PXL574" s="44"/>
      <c r="PXM574" s="44"/>
      <c r="PXN574" s="44"/>
      <c r="PXO574" s="44"/>
      <c r="PXP574" s="44"/>
      <c r="PXQ574" s="44"/>
      <c r="PXR574" s="44"/>
      <c r="PXS574" s="44"/>
      <c r="PXT574" s="44"/>
      <c r="PXU574" s="44"/>
      <c r="PXV574" s="44"/>
      <c r="PXW574" s="44"/>
      <c r="PXX574" s="44"/>
      <c r="PXY574" s="44"/>
      <c r="PXZ574" s="44"/>
      <c r="PYA574" s="44"/>
      <c r="PYB574" s="44"/>
      <c r="PYC574" s="44"/>
      <c r="PYD574" s="44"/>
      <c r="PYE574" s="44"/>
      <c r="PYF574" s="44"/>
      <c r="PYG574" s="44"/>
      <c r="PYH574" s="44"/>
      <c r="PYI574" s="44"/>
      <c r="PYJ574" s="44"/>
      <c r="PYK574" s="44"/>
      <c r="PYL574" s="44"/>
      <c r="PYM574" s="44"/>
      <c r="PYN574" s="44"/>
      <c r="PYO574" s="44"/>
      <c r="PYP574" s="44"/>
      <c r="PYQ574" s="44"/>
      <c r="PYR574" s="44"/>
      <c r="PYS574" s="44"/>
      <c r="PYT574" s="44"/>
      <c r="PYU574" s="44"/>
      <c r="PYV574" s="44"/>
      <c r="PYW574" s="44"/>
      <c r="PYX574" s="44"/>
      <c r="PYY574" s="44"/>
      <c r="PYZ574" s="44"/>
      <c r="PZA574" s="44"/>
      <c r="PZB574" s="44"/>
      <c r="PZC574" s="44"/>
      <c r="PZD574" s="44"/>
      <c r="PZE574" s="44"/>
      <c r="PZF574" s="44"/>
      <c r="PZG574" s="44"/>
      <c r="PZH574" s="44"/>
      <c r="PZI574" s="44"/>
      <c r="PZJ574" s="44"/>
      <c r="PZK574" s="44"/>
      <c r="PZL574" s="44"/>
      <c r="PZM574" s="44"/>
      <c r="PZN574" s="44"/>
      <c r="PZO574" s="44"/>
      <c r="PZP574" s="44"/>
      <c r="PZQ574" s="44"/>
      <c r="PZR574" s="44"/>
      <c r="PZS574" s="44"/>
      <c r="PZT574" s="44"/>
      <c r="PZU574" s="44"/>
      <c r="PZV574" s="44"/>
      <c r="PZW574" s="44"/>
      <c r="PZX574" s="44"/>
      <c r="PZY574" s="44"/>
      <c r="PZZ574" s="44"/>
      <c r="QAA574" s="44"/>
      <c r="QAB574" s="44"/>
      <c r="QAC574" s="44"/>
      <c r="QAD574" s="44"/>
      <c r="QAE574" s="44"/>
      <c r="QAF574" s="44"/>
      <c r="QAG574" s="44"/>
      <c r="QAH574" s="44"/>
      <c r="QAI574" s="44"/>
      <c r="QAJ574" s="44"/>
      <c r="QAK574" s="44"/>
      <c r="QAL574" s="44"/>
      <c r="QAM574" s="44"/>
      <c r="QAN574" s="44"/>
      <c r="QAO574" s="44"/>
      <c r="QAP574" s="44"/>
      <c r="QAQ574" s="44"/>
      <c r="QAR574" s="44"/>
      <c r="QAS574" s="44"/>
      <c r="QAT574" s="44"/>
      <c r="QAU574" s="44"/>
      <c r="QAV574" s="44"/>
      <c r="QAW574" s="44"/>
      <c r="QAX574" s="44"/>
      <c r="QAY574" s="44"/>
      <c r="QAZ574" s="44"/>
      <c r="QBA574" s="44"/>
      <c r="QBB574" s="44"/>
      <c r="QBC574" s="44"/>
      <c r="QBD574" s="44"/>
      <c r="QBE574" s="44"/>
      <c r="QBF574" s="44"/>
      <c r="QBG574" s="44"/>
      <c r="QBH574" s="44"/>
      <c r="QBI574" s="44"/>
      <c r="QBJ574" s="44"/>
      <c r="QBK574" s="44"/>
      <c r="QBL574" s="44"/>
      <c r="QBM574" s="44"/>
      <c r="QBN574" s="44"/>
      <c r="QBO574" s="44"/>
      <c r="QBP574" s="44"/>
      <c r="QBQ574" s="44"/>
      <c r="QBR574" s="44"/>
      <c r="QBS574" s="44"/>
      <c r="QBT574" s="44"/>
      <c r="QBU574" s="44"/>
      <c r="QBV574" s="44"/>
      <c r="QBW574" s="44"/>
      <c r="QBX574" s="44"/>
      <c r="QBY574" s="44"/>
      <c r="QBZ574" s="44"/>
      <c r="QCA574" s="44"/>
      <c r="QCB574" s="44"/>
      <c r="QCC574" s="44"/>
      <c r="QCD574" s="44"/>
      <c r="QCE574" s="44"/>
      <c r="QCF574" s="44"/>
      <c r="QCG574" s="44"/>
      <c r="QCH574" s="44"/>
      <c r="QCI574" s="44"/>
      <c r="QCJ574" s="44"/>
      <c r="QCK574" s="44"/>
      <c r="QCL574" s="44"/>
      <c r="QCM574" s="44"/>
      <c r="QCN574" s="44"/>
      <c r="QCO574" s="44"/>
      <c r="QCP574" s="44"/>
      <c r="QCQ574" s="44"/>
      <c r="QCR574" s="44"/>
      <c r="QCS574" s="44"/>
      <c r="QCT574" s="44"/>
      <c r="QCU574" s="44"/>
      <c r="QCV574" s="44"/>
      <c r="QCW574" s="44"/>
      <c r="QCX574" s="44"/>
      <c r="QCY574" s="44"/>
      <c r="QCZ574" s="44"/>
      <c r="QDA574" s="44"/>
      <c r="QDB574" s="44"/>
      <c r="QDC574" s="44"/>
      <c r="QDD574" s="44"/>
      <c r="QDE574" s="44"/>
      <c r="QDF574" s="44"/>
      <c r="QDG574" s="44"/>
      <c r="QDH574" s="44"/>
      <c r="QDI574" s="44"/>
      <c r="QDJ574" s="44"/>
      <c r="QDK574" s="44"/>
      <c r="QDL574" s="44"/>
      <c r="QDM574" s="44"/>
      <c r="QDN574" s="44"/>
      <c r="QDO574" s="44"/>
      <c r="QDP574" s="44"/>
      <c r="QDQ574" s="44"/>
      <c r="QDR574" s="44"/>
      <c r="QDS574" s="44"/>
      <c r="QDT574" s="44"/>
      <c r="QDU574" s="44"/>
      <c r="QDV574" s="44"/>
      <c r="QDW574" s="44"/>
      <c r="QDX574" s="44"/>
      <c r="QDY574" s="44"/>
      <c r="QDZ574" s="44"/>
      <c r="QEA574" s="44"/>
      <c r="QEB574" s="44"/>
      <c r="QEC574" s="44"/>
      <c r="QED574" s="44"/>
      <c r="QEE574" s="44"/>
      <c r="QEF574" s="44"/>
      <c r="QEG574" s="44"/>
      <c r="QEH574" s="44"/>
      <c r="QEI574" s="44"/>
      <c r="QEJ574" s="44"/>
      <c r="QEK574" s="44"/>
      <c r="QEL574" s="44"/>
      <c r="QEM574" s="44"/>
      <c r="QEN574" s="44"/>
      <c r="QEO574" s="44"/>
      <c r="QEP574" s="44"/>
      <c r="QEQ574" s="44"/>
      <c r="QER574" s="44"/>
      <c r="QES574" s="44"/>
      <c r="QET574" s="44"/>
      <c r="QEU574" s="44"/>
      <c r="QEV574" s="44"/>
      <c r="QEW574" s="44"/>
      <c r="QEX574" s="44"/>
      <c r="QEY574" s="44"/>
      <c r="QEZ574" s="44"/>
      <c r="QFA574" s="44"/>
      <c r="QFB574" s="44"/>
      <c r="QFC574" s="44"/>
      <c r="QFD574" s="44"/>
      <c r="QFE574" s="44"/>
      <c r="QFF574" s="44"/>
      <c r="QFG574" s="44"/>
      <c r="QFH574" s="44"/>
      <c r="QFI574" s="44"/>
      <c r="QFJ574" s="44"/>
      <c r="QFK574" s="44"/>
      <c r="QFL574" s="44"/>
      <c r="QFM574" s="44"/>
      <c r="QFN574" s="44"/>
      <c r="QFO574" s="44"/>
      <c r="QFP574" s="44"/>
      <c r="QFQ574" s="44"/>
      <c r="QFR574" s="44"/>
      <c r="QFS574" s="44"/>
      <c r="QFT574" s="44"/>
      <c r="QFU574" s="44"/>
      <c r="QFV574" s="44"/>
      <c r="QFW574" s="44"/>
      <c r="QFX574" s="44"/>
      <c r="QFY574" s="44"/>
      <c r="QFZ574" s="44"/>
      <c r="QGA574" s="44"/>
      <c r="QGB574" s="44"/>
      <c r="QGC574" s="44"/>
      <c r="QGD574" s="44"/>
      <c r="QGE574" s="44"/>
      <c r="QGF574" s="44"/>
      <c r="QGG574" s="44"/>
      <c r="QGH574" s="44"/>
      <c r="QGI574" s="44"/>
      <c r="QGJ574" s="44"/>
      <c r="QGK574" s="44"/>
      <c r="QGL574" s="44"/>
      <c r="QGM574" s="44"/>
      <c r="QGN574" s="44"/>
      <c r="QGO574" s="44"/>
      <c r="QGP574" s="44"/>
      <c r="QGQ574" s="44"/>
      <c r="QGR574" s="44"/>
      <c r="QGS574" s="44"/>
      <c r="QGT574" s="44"/>
      <c r="QGU574" s="44"/>
      <c r="QGV574" s="44"/>
      <c r="QGW574" s="44"/>
      <c r="QGX574" s="44"/>
      <c r="QGY574" s="44"/>
      <c r="QGZ574" s="44"/>
      <c r="QHA574" s="44"/>
      <c r="QHB574" s="44"/>
      <c r="QHC574" s="44"/>
      <c r="QHD574" s="44"/>
      <c r="QHE574" s="44"/>
      <c r="QHF574" s="44"/>
      <c r="QHG574" s="44"/>
      <c r="QHH574" s="44"/>
      <c r="QHI574" s="44"/>
      <c r="QHJ574" s="44"/>
      <c r="QHK574" s="44"/>
      <c r="QHL574" s="44"/>
      <c r="QHM574" s="44"/>
      <c r="QHN574" s="44"/>
      <c r="QHO574" s="44"/>
      <c r="QHP574" s="44"/>
      <c r="QHQ574" s="44"/>
      <c r="QHR574" s="44"/>
      <c r="QHS574" s="44"/>
      <c r="QHT574" s="44"/>
      <c r="QHU574" s="44"/>
      <c r="QHV574" s="44"/>
      <c r="QHW574" s="44"/>
      <c r="QHX574" s="44"/>
      <c r="QHY574" s="44"/>
      <c r="QHZ574" s="44"/>
      <c r="QIA574" s="44"/>
      <c r="QIB574" s="44"/>
      <c r="QIC574" s="44"/>
      <c r="QID574" s="44"/>
      <c r="QIE574" s="44"/>
      <c r="QIF574" s="44"/>
      <c r="QIG574" s="44"/>
      <c r="QIH574" s="44"/>
      <c r="QII574" s="44"/>
      <c r="QIJ574" s="44"/>
      <c r="QIK574" s="44"/>
      <c r="QIL574" s="44"/>
      <c r="QIM574" s="44"/>
      <c r="QIN574" s="44"/>
      <c r="QIO574" s="44"/>
      <c r="QIP574" s="44"/>
      <c r="QIQ574" s="44"/>
      <c r="QIR574" s="44"/>
      <c r="QIS574" s="44"/>
      <c r="QIT574" s="44"/>
      <c r="QIU574" s="44"/>
      <c r="QIV574" s="44"/>
      <c r="QIW574" s="44"/>
      <c r="QIX574" s="44"/>
      <c r="QIY574" s="44"/>
      <c r="QIZ574" s="44"/>
      <c r="QJA574" s="44"/>
      <c r="QJB574" s="44"/>
      <c r="QJC574" s="44"/>
      <c r="QJD574" s="44"/>
      <c r="QJE574" s="44"/>
      <c r="QJF574" s="44"/>
      <c r="QJG574" s="44"/>
      <c r="QJH574" s="44"/>
      <c r="QJI574" s="44"/>
      <c r="QJJ574" s="44"/>
      <c r="QJK574" s="44"/>
      <c r="QJL574" s="44"/>
      <c r="QJM574" s="44"/>
      <c r="QJN574" s="44"/>
      <c r="QJO574" s="44"/>
      <c r="QJP574" s="44"/>
      <c r="QJQ574" s="44"/>
      <c r="QJR574" s="44"/>
      <c r="QJS574" s="44"/>
      <c r="QJT574" s="44"/>
      <c r="QJU574" s="44"/>
      <c r="QJV574" s="44"/>
      <c r="QJW574" s="44"/>
      <c r="QJX574" s="44"/>
      <c r="QJY574" s="44"/>
      <c r="QJZ574" s="44"/>
      <c r="QKA574" s="44"/>
      <c r="QKB574" s="44"/>
      <c r="QKC574" s="44"/>
      <c r="QKD574" s="44"/>
      <c r="QKE574" s="44"/>
      <c r="QKF574" s="44"/>
      <c r="QKG574" s="44"/>
      <c r="QKH574" s="44"/>
      <c r="QKI574" s="44"/>
      <c r="QKJ574" s="44"/>
      <c r="QKK574" s="44"/>
      <c r="QKL574" s="44"/>
      <c r="QKM574" s="44"/>
      <c r="QKN574" s="44"/>
      <c r="QKO574" s="44"/>
      <c r="QKP574" s="44"/>
      <c r="QKQ574" s="44"/>
      <c r="QKR574" s="44"/>
      <c r="QKS574" s="44"/>
      <c r="QKT574" s="44"/>
      <c r="QKU574" s="44"/>
      <c r="QKV574" s="44"/>
      <c r="QKW574" s="44"/>
      <c r="QKX574" s="44"/>
      <c r="QKY574" s="44"/>
      <c r="QKZ574" s="44"/>
      <c r="QLA574" s="44"/>
      <c r="QLB574" s="44"/>
      <c r="QLC574" s="44"/>
      <c r="QLD574" s="44"/>
      <c r="QLE574" s="44"/>
      <c r="QLF574" s="44"/>
      <c r="QLG574" s="44"/>
      <c r="QLH574" s="44"/>
      <c r="QLI574" s="44"/>
      <c r="QLJ574" s="44"/>
      <c r="QLK574" s="44"/>
      <c r="QLL574" s="44"/>
      <c r="QLM574" s="44"/>
      <c r="QLN574" s="44"/>
      <c r="QLO574" s="44"/>
      <c r="QLP574" s="44"/>
      <c r="QLQ574" s="44"/>
      <c r="QLR574" s="44"/>
      <c r="QLS574" s="44"/>
      <c r="QLT574" s="44"/>
      <c r="QLU574" s="44"/>
      <c r="QLV574" s="44"/>
      <c r="QLW574" s="44"/>
      <c r="QLX574" s="44"/>
      <c r="QLY574" s="44"/>
      <c r="QLZ574" s="44"/>
      <c r="QMA574" s="44"/>
      <c r="QMB574" s="44"/>
      <c r="QMC574" s="44"/>
      <c r="QMD574" s="44"/>
      <c r="QME574" s="44"/>
      <c r="QMF574" s="44"/>
      <c r="QMG574" s="44"/>
      <c r="QMH574" s="44"/>
      <c r="QMI574" s="44"/>
      <c r="QMJ574" s="44"/>
      <c r="QMK574" s="44"/>
      <c r="QML574" s="44"/>
      <c r="QMM574" s="44"/>
      <c r="QMN574" s="44"/>
      <c r="QMO574" s="44"/>
      <c r="QMP574" s="44"/>
      <c r="QMQ574" s="44"/>
      <c r="QMR574" s="44"/>
      <c r="QMS574" s="44"/>
      <c r="QMT574" s="44"/>
      <c r="QMU574" s="44"/>
      <c r="QMV574" s="44"/>
      <c r="QMW574" s="44"/>
      <c r="QMX574" s="44"/>
      <c r="QMY574" s="44"/>
      <c r="QMZ574" s="44"/>
      <c r="QNA574" s="44"/>
      <c r="QNB574" s="44"/>
      <c r="QNC574" s="44"/>
      <c r="QND574" s="44"/>
      <c r="QNE574" s="44"/>
      <c r="QNF574" s="44"/>
      <c r="QNG574" s="44"/>
      <c r="QNH574" s="44"/>
      <c r="QNI574" s="44"/>
      <c r="QNJ574" s="44"/>
      <c r="QNK574" s="44"/>
      <c r="QNL574" s="44"/>
      <c r="QNM574" s="44"/>
      <c r="QNN574" s="44"/>
      <c r="QNO574" s="44"/>
      <c r="QNP574" s="44"/>
      <c r="QNQ574" s="44"/>
      <c r="QNR574" s="44"/>
      <c r="QNS574" s="44"/>
      <c r="QNT574" s="44"/>
      <c r="QNU574" s="44"/>
      <c r="QNV574" s="44"/>
      <c r="QNW574" s="44"/>
      <c r="QNX574" s="44"/>
      <c r="QNY574" s="44"/>
      <c r="QNZ574" s="44"/>
      <c r="QOA574" s="44"/>
      <c r="QOB574" s="44"/>
      <c r="QOC574" s="44"/>
      <c r="QOD574" s="44"/>
      <c r="QOE574" s="44"/>
      <c r="QOF574" s="44"/>
      <c r="QOG574" s="44"/>
      <c r="QOH574" s="44"/>
      <c r="QOI574" s="44"/>
      <c r="QOJ574" s="44"/>
      <c r="QOK574" s="44"/>
      <c r="QOL574" s="44"/>
      <c r="QOM574" s="44"/>
      <c r="QON574" s="44"/>
      <c r="QOO574" s="44"/>
      <c r="QOP574" s="44"/>
      <c r="QOQ574" s="44"/>
      <c r="QOR574" s="44"/>
      <c r="QOS574" s="44"/>
      <c r="QOT574" s="44"/>
      <c r="QOU574" s="44"/>
      <c r="QOV574" s="44"/>
      <c r="QOW574" s="44"/>
      <c r="QOX574" s="44"/>
      <c r="QOY574" s="44"/>
      <c r="QOZ574" s="44"/>
      <c r="QPA574" s="44"/>
      <c r="QPB574" s="44"/>
      <c r="QPC574" s="44"/>
      <c r="QPD574" s="44"/>
      <c r="QPE574" s="44"/>
      <c r="QPF574" s="44"/>
      <c r="QPG574" s="44"/>
      <c r="QPH574" s="44"/>
      <c r="QPI574" s="44"/>
      <c r="QPJ574" s="44"/>
      <c r="QPK574" s="44"/>
      <c r="QPL574" s="44"/>
      <c r="QPM574" s="44"/>
      <c r="QPN574" s="44"/>
      <c r="QPO574" s="44"/>
      <c r="QPP574" s="44"/>
      <c r="QPQ574" s="44"/>
      <c r="QPR574" s="44"/>
      <c r="QPS574" s="44"/>
      <c r="QPT574" s="44"/>
      <c r="QPU574" s="44"/>
      <c r="QPV574" s="44"/>
      <c r="QPW574" s="44"/>
      <c r="QPX574" s="44"/>
      <c r="QPY574" s="44"/>
      <c r="QPZ574" s="44"/>
      <c r="QQA574" s="44"/>
      <c r="QQB574" s="44"/>
      <c r="QQC574" s="44"/>
      <c r="QQD574" s="44"/>
      <c r="QQE574" s="44"/>
      <c r="QQF574" s="44"/>
      <c r="QQG574" s="44"/>
      <c r="QQH574" s="44"/>
      <c r="QQI574" s="44"/>
      <c r="QQJ574" s="44"/>
      <c r="QQK574" s="44"/>
      <c r="QQL574" s="44"/>
      <c r="QQM574" s="44"/>
      <c r="QQN574" s="44"/>
      <c r="QQO574" s="44"/>
      <c r="QQP574" s="44"/>
      <c r="QQQ574" s="44"/>
      <c r="QQR574" s="44"/>
      <c r="QQS574" s="44"/>
      <c r="QQT574" s="44"/>
      <c r="QQU574" s="44"/>
      <c r="QQV574" s="44"/>
      <c r="QQW574" s="44"/>
      <c r="QQX574" s="44"/>
      <c r="QQY574" s="44"/>
      <c r="QQZ574" s="44"/>
      <c r="QRA574" s="44"/>
      <c r="QRB574" s="44"/>
      <c r="QRC574" s="44"/>
      <c r="QRD574" s="44"/>
      <c r="QRE574" s="44"/>
      <c r="QRF574" s="44"/>
      <c r="QRG574" s="44"/>
      <c r="QRH574" s="44"/>
      <c r="QRI574" s="44"/>
      <c r="QRJ574" s="44"/>
      <c r="QRK574" s="44"/>
      <c r="QRL574" s="44"/>
      <c r="QRM574" s="44"/>
      <c r="QRN574" s="44"/>
      <c r="QRO574" s="44"/>
      <c r="QRP574" s="44"/>
      <c r="QRQ574" s="44"/>
      <c r="QRR574" s="44"/>
      <c r="QRS574" s="44"/>
      <c r="QRT574" s="44"/>
      <c r="QRU574" s="44"/>
      <c r="QRV574" s="44"/>
      <c r="QRW574" s="44"/>
      <c r="QRX574" s="44"/>
      <c r="QRY574" s="44"/>
      <c r="QRZ574" s="44"/>
      <c r="QSA574" s="44"/>
      <c r="QSB574" s="44"/>
      <c r="QSC574" s="44"/>
      <c r="QSD574" s="44"/>
      <c r="QSE574" s="44"/>
      <c r="QSF574" s="44"/>
      <c r="QSG574" s="44"/>
      <c r="QSH574" s="44"/>
      <c r="QSI574" s="44"/>
      <c r="QSJ574" s="44"/>
      <c r="QSK574" s="44"/>
      <c r="QSL574" s="44"/>
      <c r="QSM574" s="44"/>
      <c r="QSN574" s="44"/>
      <c r="QSO574" s="44"/>
      <c r="QSP574" s="44"/>
      <c r="QSQ574" s="44"/>
      <c r="QSR574" s="44"/>
      <c r="QSS574" s="44"/>
      <c r="QST574" s="44"/>
      <c r="QSU574" s="44"/>
      <c r="QSV574" s="44"/>
      <c r="QSW574" s="44"/>
      <c r="QSX574" s="44"/>
      <c r="QSY574" s="44"/>
      <c r="QSZ574" s="44"/>
      <c r="QTA574" s="44"/>
      <c r="QTB574" s="44"/>
      <c r="QTC574" s="44"/>
      <c r="QTD574" s="44"/>
      <c r="QTE574" s="44"/>
      <c r="QTF574" s="44"/>
      <c r="QTG574" s="44"/>
      <c r="QTH574" s="44"/>
      <c r="QTI574" s="44"/>
      <c r="QTJ574" s="44"/>
      <c r="QTK574" s="44"/>
      <c r="QTL574" s="44"/>
      <c r="QTM574" s="44"/>
      <c r="QTN574" s="44"/>
      <c r="QTO574" s="44"/>
      <c r="QTP574" s="44"/>
      <c r="QTQ574" s="44"/>
      <c r="QTR574" s="44"/>
      <c r="QTS574" s="44"/>
      <c r="QTT574" s="44"/>
      <c r="QTU574" s="44"/>
      <c r="QTV574" s="44"/>
      <c r="QTW574" s="44"/>
      <c r="QTX574" s="44"/>
      <c r="QTY574" s="44"/>
      <c r="QTZ574" s="44"/>
      <c r="QUA574" s="44"/>
      <c r="QUB574" s="44"/>
      <c r="QUC574" s="44"/>
      <c r="QUD574" s="44"/>
      <c r="QUE574" s="44"/>
      <c r="QUF574" s="44"/>
      <c r="QUG574" s="44"/>
      <c r="QUH574" s="44"/>
      <c r="QUI574" s="44"/>
      <c r="QUJ574" s="44"/>
      <c r="QUK574" s="44"/>
      <c r="QUL574" s="44"/>
      <c r="QUM574" s="44"/>
      <c r="QUN574" s="44"/>
      <c r="QUO574" s="44"/>
      <c r="QUP574" s="44"/>
      <c r="QUQ574" s="44"/>
      <c r="QUR574" s="44"/>
      <c r="QUS574" s="44"/>
      <c r="QUT574" s="44"/>
      <c r="QUU574" s="44"/>
      <c r="QUV574" s="44"/>
      <c r="QUW574" s="44"/>
      <c r="QUX574" s="44"/>
      <c r="QUY574" s="44"/>
      <c r="QUZ574" s="44"/>
      <c r="QVA574" s="44"/>
      <c r="QVB574" s="44"/>
      <c r="QVC574" s="44"/>
      <c r="QVD574" s="44"/>
      <c r="QVE574" s="44"/>
      <c r="QVF574" s="44"/>
      <c r="QVG574" s="44"/>
      <c r="QVH574" s="44"/>
      <c r="QVI574" s="44"/>
      <c r="QVJ574" s="44"/>
      <c r="QVK574" s="44"/>
      <c r="QVL574" s="44"/>
      <c r="QVM574" s="44"/>
      <c r="QVN574" s="44"/>
      <c r="QVO574" s="44"/>
      <c r="QVP574" s="44"/>
      <c r="QVQ574" s="44"/>
      <c r="QVR574" s="44"/>
      <c r="QVS574" s="44"/>
      <c r="QVT574" s="44"/>
      <c r="QVU574" s="44"/>
      <c r="QVV574" s="44"/>
      <c r="QVW574" s="44"/>
      <c r="QVX574" s="44"/>
      <c r="QVY574" s="44"/>
      <c r="QVZ574" s="44"/>
      <c r="QWA574" s="44"/>
      <c r="QWB574" s="44"/>
      <c r="QWC574" s="44"/>
      <c r="QWD574" s="44"/>
      <c r="QWE574" s="44"/>
      <c r="QWF574" s="44"/>
      <c r="QWG574" s="44"/>
      <c r="QWH574" s="44"/>
      <c r="QWI574" s="44"/>
      <c r="QWJ574" s="44"/>
      <c r="QWK574" s="44"/>
      <c r="QWL574" s="44"/>
      <c r="QWM574" s="44"/>
      <c r="QWN574" s="44"/>
      <c r="QWO574" s="44"/>
      <c r="QWP574" s="44"/>
      <c r="QWQ574" s="44"/>
      <c r="QWR574" s="44"/>
      <c r="QWS574" s="44"/>
      <c r="QWT574" s="44"/>
      <c r="QWU574" s="44"/>
      <c r="QWV574" s="44"/>
      <c r="QWW574" s="44"/>
      <c r="QWX574" s="44"/>
      <c r="QWY574" s="44"/>
      <c r="QWZ574" s="44"/>
      <c r="QXA574" s="44"/>
      <c r="QXB574" s="44"/>
      <c r="QXC574" s="44"/>
      <c r="QXD574" s="44"/>
      <c r="QXE574" s="44"/>
      <c r="QXF574" s="44"/>
      <c r="QXG574" s="44"/>
      <c r="QXH574" s="44"/>
      <c r="QXI574" s="44"/>
      <c r="QXJ574" s="44"/>
      <c r="QXK574" s="44"/>
      <c r="QXL574" s="44"/>
      <c r="QXM574" s="44"/>
      <c r="QXN574" s="44"/>
      <c r="QXO574" s="44"/>
      <c r="QXP574" s="44"/>
      <c r="QXQ574" s="44"/>
      <c r="QXR574" s="44"/>
      <c r="QXS574" s="44"/>
      <c r="QXT574" s="44"/>
      <c r="QXU574" s="44"/>
      <c r="QXV574" s="44"/>
      <c r="QXW574" s="44"/>
      <c r="QXX574" s="44"/>
      <c r="QXY574" s="44"/>
      <c r="QXZ574" s="44"/>
      <c r="QYA574" s="44"/>
      <c r="QYB574" s="44"/>
      <c r="QYC574" s="44"/>
      <c r="QYD574" s="44"/>
      <c r="QYE574" s="44"/>
      <c r="QYF574" s="44"/>
      <c r="QYG574" s="44"/>
      <c r="QYH574" s="44"/>
      <c r="QYI574" s="44"/>
      <c r="QYJ574" s="44"/>
      <c r="QYK574" s="44"/>
      <c r="QYL574" s="44"/>
      <c r="QYM574" s="44"/>
      <c r="QYN574" s="44"/>
      <c r="QYO574" s="44"/>
      <c r="QYP574" s="44"/>
      <c r="QYQ574" s="44"/>
      <c r="QYR574" s="44"/>
      <c r="QYS574" s="44"/>
      <c r="QYT574" s="44"/>
      <c r="QYU574" s="44"/>
      <c r="QYV574" s="44"/>
      <c r="QYW574" s="44"/>
      <c r="QYX574" s="44"/>
      <c r="QYY574" s="44"/>
      <c r="QYZ574" s="44"/>
      <c r="QZA574" s="44"/>
      <c r="QZB574" s="44"/>
      <c r="QZC574" s="44"/>
      <c r="QZD574" s="44"/>
      <c r="QZE574" s="44"/>
      <c r="QZF574" s="44"/>
      <c r="QZG574" s="44"/>
      <c r="QZH574" s="44"/>
      <c r="QZI574" s="44"/>
      <c r="QZJ574" s="44"/>
      <c r="QZK574" s="44"/>
      <c r="QZL574" s="44"/>
      <c r="QZM574" s="44"/>
      <c r="QZN574" s="44"/>
      <c r="QZO574" s="44"/>
      <c r="QZP574" s="44"/>
      <c r="QZQ574" s="44"/>
      <c r="QZR574" s="44"/>
      <c r="QZS574" s="44"/>
      <c r="QZT574" s="44"/>
      <c r="QZU574" s="44"/>
      <c r="QZV574" s="44"/>
      <c r="QZW574" s="44"/>
      <c r="QZX574" s="44"/>
      <c r="QZY574" s="44"/>
      <c r="QZZ574" s="44"/>
      <c r="RAA574" s="44"/>
      <c r="RAB574" s="44"/>
      <c r="RAC574" s="44"/>
      <c r="RAD574" s="44"/>
      <c r="RAE574" s="44"/>
      <c r="RAF574" s="44"/>
      <c r="RAG574" s="44"/>
      <c r="RAH574" s="44"/>
      <c r="RAI574" s="44"/>
      <c r="RAJ574" s="44"/>
      <c r="RAK574" s="44"/>
      <c r="RAL574" s="44"/>
      <c r="RAM574" s="44"/>
      <c r="RAN574" s="44"/>
      <c r="RAO574" s="44"/>
      <c r="RAP574" s="44"/>
      <c r="RAQ574" s="44"/>
      <c r="RAR574" s="44"/>
      <c r="RAS574" s="44"/>
      <c r="RAT574" s="44"/>
      <c r="RAU574" s="44"/>
      <c r="RAV574" s="44"/>
      <c r="RAW574" s="44"/>
      <c r="RAX574" s="44"/>
      <c r="RAY574" s="44"/>
      <c r="RAZ574" s="44"/>
      <c r="RBA574" s="44"/>
      <c r="RBB574" s="44"/>
      <c r="RBC574" s="44"/>
      <c r="RBD574" s="44"/>
      <c r="RBE574" s="44"/>
      <c r="RBF574" s="44"/>
      <c r="RBG574" s="44"/>
      <c r="RBH574" s="44"/>
      <c r="RBI574" s="44"/>
      <c r="RBJ574" s="44"/>
      <c r="RBK574" s="44"/>
      <c r="RBL574" s="44"/>
      <c r="RBM574" s="44"/>
      <c r="RBN574" s="44"/>
      <c r="RBO574" s="44"/>
      <c r="RBP574" s="44"/>
      <c r="RBQ574" s="44"/>
      <c r="RBR574" s="44"/>
      <c r="RBS574" s="44"/>
      <c r="RBT574" s="44"/>
      <c r="RBU574" s="44"/>
      <c r="RBV574" s="44"/>
      <c r="RBW574" s="44"/>
      <c r="RBX574" s="44"/>
      <c r="RBY574" s="44"/>
      <c r="RBZ574" s="44"/>
      <c r="RCA574" s="44"/>
      <c r="RCB574" s="44"/>
      <c r="RCC574" s="44"/>
      <c r="RCD574" s="44"/>
      <c r="RCE574" s="44"/>
      <c r="RCF574" s="44"/>
      <c r="RCG574" s="44"/>
      <c r="RCH574" s="44"/>
      <c r="RCI574" s="44"/>
      <c r="RCJ574" s="44"/>
      <c r="RCK574" s="44"/>
      <c r="RCL574" s="44"/>
      <c r="RCM574" s="44"/>
      <c r="RCN574" s="44"/>
      <c r="RCO574" s="44"/>
      <c r="RCP574" s="44"/>
      <c r="RCQ574" s="44"/>
      <c r="RCR574" s="44"/>
      <c r="RCS574" s="44"/>
      <c r="RCT574" s="44"/>
      <c r="RCU574" s="44"/>
      <c r="RCV574" s="44"/>
      <c r="RCW574" s="44"/>
      <c r="RCX574" s="44"/>
      <c r="RCY574" s="44"/>
      <c r="RCZ574" s="44"/>
      <c r="RDA574" s="44"/>
      <c r="RDB574" s="44"/>
      <c r="RDC574" s="44"/>
      <c r="RDD574" s="44"/>
      <c r="RDE574" s="44"/>
      <c r="RDF574" s="44"/>
      <c r="RDG574" s="44"/>
      <c r="RDH574" s="44"/>
      <c r="RDI574" s="44"/>
      <c r="RDJ574" s="44"/>
      <c r="RDK574" s="44"/>
      <c r="RDL574" s="44"/>
      <c r="RDM574" s="44"/>
      <c r="RDN574" s="44"/>
      <c r="RDO574" s="44"/>
      <c r="RDP574" s="44"/>
      <c r="RDQ574" s="44"/>
      <c r="RDR574" s="44"/>
      <c r="RDS574" s="44"/>
      <c r="RDT574" s="44"/>
      <c r="RDU574" s="44"/>
      <c r="RDV574" s="44"/>
      <c r="RDW574" s="44"/>
      <c r="RDX574" s="44"/>
      <c r="RDY574" s="44"/>
      <c r="RDZ574" s="44"/>
      <c r="REA574" s="44"/>
      <c r="REB574" s="44"/>
      <c r="REC574" s="44"/>
      <c r="RED574" s="44"/>
      <c r="REE574" s="44"/>
      <c r="REF574" s="44"/>
      <c r="REG574" s="44"/>
      <c r="REH574" s="44"/>
      <c r="REI574" s="44"/>
      <c r="REJ574" s="44"/>
      <c r="REK574" s="44"/>
      <c r="REL574" s="44"/>
      <c r="REM574" s="44"/>
      <c r="REN574" s="44"/>
      <c r="REO574" s="44"/>
      <c r="REP574" s="44"/>
      <c r="REQ574" s="44"/>
      <c r="RER574" s="44"/>
      <c r="RES574" s="44"/>
      <c r="RET574" s="44"/>
      <c r="REU574" s="44"/>
      <c r="REV574" s="44"/>
      <c r="REW574" s="44"/>
      <c r="REX574" s="44"/>
      <c r="REY574" s="44"/>
      <c r="REZ574" s="44"/>
      <c r="RFA574" s="44"/>
      <c r="RFB574" s="44"/>
      <c r="RFC574" s="44"/>
      <c r="RFD574" s="44"/>
      <c r="RFE574" s="44"/>
      <c r="RFF574" s="44"/>
      <c r="RFG574" s="44"/>
      <c r="RFH574" s="44"/>
      <c r="RFI574" s="44"/>
      <c r="RFJ574" s="44"/>
      <c r="RFK574" s="44"/>
      <c r="RFL574" s="44"/>
      <c r="RFM574" s="44"/>
      <c r="RFN574" s="44"/>
      <c r="RFO574" s="44"/>
      <c r="RFP574" s="44"/>
      <c r="RFQ574" s="44"/>
      <c r="RFR574" s="44"/>
      <c r="RFS574" s="44"/>
      <c r="RFT574" s="44"/>
      <c r="RFU574" s="44"/>
      <c r="RFV574" s="44"/>
      <c r="RFW574" s="44"/>
      <c r="RFX574" s="44"/>
      <c r="RFY574" s="44"/>
      <c r="RFZ574" s="44"/>
      <c r="RGA574" s="44"/>
      <c r="RGB574" s="44"/>
      <c r="RGC574" s="44"/>
      <c r="RGD574" s="44"/>
      <c r="RGE574" s="44"/>
      <c r="RGF574" s="44"/>
      <c r="RGG574" s="44"/>
      <c r="RGH574" s="44"/>
      <c r="RGI574" s="44"/>
      <c r="RGJ574" s="44"/>
      <c r="RGK574" s="44"/>
      <c r="RGL574" s="44"/>
      <c r="RGM574" s="44"/>
      <c r="RGN574" s="44"/>
      <c r="RGO574" s="44"/>
      <c r="RGP574" s="44"/>
      <c r="RGQ574" s="44"/>
      <c r="RGR574" s="44"/>
      <c r="RGS574" s="44"/>
      <c r="RGT574" s="44"/>
      <c r="RGU574" s="44"/>
      <c r="RGV574" s="44"/>
      <c r="RGW574" s="44"/>
      <c r="RGX574" s="44"/>
      <c r="RGY574" s="44"/>
      <c r="RGZ574" s="44"/>
      <c r="RHA574" s="44"/>
      <c r="RHB574" s="44"/>
      <c r="RHC574" s="44"/>
      <c r="RHD574" s="44"/>
      <c r="RHE574" s="44"/>
      <c r="RHF574" s="44"/>
      <c r="RHG574" s="44"/>
      <c r="RHH574" s="44"/>
      <c r="RHI574" s="44"/>
      <c r="RHJ574" s="44"/>
      <c r="RHK574" s="44"/>
      <c r="RHL574" s="44"/>
      <c r="RHM574" s="44"/>
      <c r="RHN574" s="44"/>
      <c r="RHO574" s="44"/>
      <c r="RHP574" s="44"/>
      <c r="RHQ574" s="44"/>
      <c r="RHR574" s="44"/>
      <c r="RHS574" s="44"/>
      <c r="RHT574" s="44"/>
      <c r="RHU574" s="44"/>
      <c r="RHV574" s="44"/>
      <c r="RHW574" s="44"/>
      <c r="RHX574" s="44"/>
      <c r="RHY574" s="44"/>
      <c r="RHZ574" s="44"/>
      <c r="RIA574" s="44"/>
      <c r="RIB574" s="44"/>
      <c r="RIC574" s="44"/>
      <c r="RID574" s="44"/>
      <c r="RIE574" s="44"/>
      <c r="RIF574" s="44"/>
      <c r="RIG574" s="44"/>
      <c r="RIH574" s="44"/>
      <c r="RII574" s="44"/>
      <c r="RIJ574" s="44"/>
      <c r="RIK574" s="44"/>
      <c r="RIL574" s="44"/>
      <c r="RIM574" s="44"/>
      <c r="RIN574" s="44"/>
      <c r="RIO574" s="44"/>
      <c r="RIP574" s="44"/>
      <c r="RIQ574" s="44"/>
      <c r="RIR574" s="44"/>
      <c r="RIS574" s="44"/>
      <c r="RIT574" s="44"/>
      <c r="RIU574" s="44"/>
      <c r="RIV574" s="44"/>
      <c r="RIW574" s="44"/>
      <c r="RIX574" s="44"/>
      <c r="RIY574" s="44"/>
      <c r="RIZ574" s="44"/>
      <c r="RJA574" s="44"/>
      <c r="RJB574" s="44"/>
      <c r="RJC574" s="44"/>
      <c r="RJD574" s="44"/>
      <c r="RJE574" s="44"/>
      <c r="RJF574" s="44"/>
      <c r="RJG574" s="44"/>
      <c r="RJH574" s="44"/>
      <c r="RJI574" s="44"/>
      <c r="RJJ574" s="44"/>
      <c r="RJK574" s="44"/>
      <c r="RJL574" s="44"/>
      <c r="RJM574" s="44"/>
      <c r="RJN574" s="44"/>
      <c r="RJO574" s="44"/>
      <c r="RJP574" s="44"/>
      <c r="RJQ574" s="44"/>
      <c r="RJR574" s="44"/>
      <c r="RJS574" s="44"/>
      <c r="RJT574" s="44"/>
      <c r="RJU574" s="44"/>
      <c r="RJV574" s="44"/>
      <c r="RJW574" s="44"/>
      <c r="RJX574" s="44"/>
      <c r="RJY574" s="44"/>
      <c r="RJZ574" s="44"/>
      <c r="RKA574" s="44"/>
      <c r="RKB574" s="44"/>
      <c r="RKC574" s="44"/>
      <c r="RKD574" s="44"/>
      <c r="RKE574" s="44"/>
      <c r="RKF574" s="44"/>
      <c r="RKG574" s="44"/>
      <c r="RKH574" s="44"/>
      <c r="RKI574" s="44"/>
      <c r="RKJ574" s="44"/>
      <c r="RKK574" s="44"/>
      <c r="RKL574" s="44"/>
      <c r="RKM574" s="44"/>
      <c r="RKN574" s="44"/>
      <c r="RKO574" s="44"/>
      <c r="RKP574" s="44"/>
      <c r="RKQ574" s="44"/>
      <c r="RKR574" s="44"/>
      <c r="RKS574" s="44"/>
      <c r="RKT574" s="44"/>
      <c r="RKU574" s="44"/>
      <c r="RKV574" s="44"/>
      <c r="RKW574" s="44"/>
      <c r="RKX574" s="44"/>
      <c r="RKY574" s="44"/>
      <c r="RKZ574" s="44"/>
      <c r="RLA574" s="44"/>
      <c r="RLB574" s="44"/>
      <c r="RLC574" s="44"/>
      <c r="RLD574" s="44"/>
      <c r="RLE574" s="44"/>
      <c r="RLF574" s="44"/>
      <c r="RLG574" s="44"/>
      <c r="RLH574" s="44"/>
      <c r="RLI574" s="44"/>
      <c r="RLJ574" s="44"/>
      <c r="RLK574" s="44"/>
      <c r="RLL574" s="44"/>
      <c r="RLM574" s="44"/>
      <c r="RLN574" s="44"/>
      <c r="RLO574" s="44"/>
      <c r="RLP574" s="44"/>
      <c r="RLQ574" s="44"/>
      <c r="RLR574" s="44"/>
      <c r="RLS574" s="44"/>
      <c r="RLT574" s="44"/>
      <c r="RLU574" s="44"/>
      <c r="RLV574" s="44"/>
      <c r="RLW574" s="44"/>
      <c r="RLX574" s="44"/>
      <c r="RLY574" s="44"/>
      <c r="RLZ574" s="44"/>
      <c r="RMA574" s="44"/>
      <c r="RMB574" s="44"/>
      <c r="RMC574" s="44"/>
      <c r="RMD574" s="44"/>
      <c r="RME574" s="44"/>
      <c r="RMF574" s="44"/>
      <c r="RMG574" s="44"/>
      <c r="RMH574" s="44"/>
      <c r="RMI574" s="44"/>
      <c r="RMJ574" s="44"/>
      <c r="RMK574" s="44"/>
      <c r="RML574" s="44"/>
      <c r="RMM574" s="44"/>
      <c r="RMN574" s="44"/>
      <c r="RMO574" s="44"/>
      <c r="RMP574" s="44"/>
      <c r="RMQ574" s="44"/>
      <c r="RMR574" s="44"/>
      <c r="RMS574" s="44"/>
      <c r="RMT574" s="44"/>
      <c r="RMU574" s="44"/>
      <c r="RMV574" s="44"/>
      <c r="RMW574" s="44"/>
      <c r="RMX574" s="44"/>
      <c r="RMY574" s="44"/>
      <c r="RMZ574" s="44"/>
      <c r="RNA574" s="44"/>
      <c r="RNB574" s="44"/>
      <c r="RNC574" s="44"/>
      <c r="RND574" s="44"/>
      <c r="RNE574" s="44"/>
      <c r="RNF574" s="44"/>
      <c r="RNG574" s="44"/>
      <c r="RNH574" s="44"/>
      <c r="RNI574" s="44"/>
      <c r="RNJ574" s="44"/>
      <c r="RNK574" s="44"/>
      <c r="RNL574" s="44"/>
      <c r="RNM574" s="44"/>
      <c r="RNN574" s="44"/>
      <c r="RNO574" s="44"/>
      <c r="RNP574" s="44"/>
      <c r="RNQ574" s="44"/>
      <c r="RNR574" s="44"/>
      <c r="RNS574" s="44"/>
      <c r="RNT574" s="44"/>
      <c r="RNU574" s="44"/>
      <c r="RNV574" s="44"/>
      <c r="RNW574" s="44"/>
      <c r="RNX574" s="44"/>
      <c r="RNY574" s="44"/>
      <c r="RNZ574" s="44"/>
      <c r="ROA574" s="44"/>
      <c r="ROB574" s="44"/>
      <c r="ROC574" s="44"/>
      <c r="ROD574" s="44"/>
      <c r="ROE574" s="44"/>
      <c r="ROF574" s="44"/>
      <c r="ROG574" s="44"/>
      <c r="ROH574" s="44"/>
      <c r="ROI574" s="44"/>
      <c r="ROJ574" s="44"/>
      <c r="ROK574" s="44"/>
      <c r="ROL574" s="44"/>
      <c r="ROM574" s="44"/>
      <c r="RON574" s="44"/>
      <c r="ROO574" s="44"/>
      <c r="ROP574" s="44"/>
      <c r="ROQ574" s="44"/>
      <c r="ROR574" s="44"/>
      <c r="ROS574" s="44"/>
      <c r="ROT574" s="44"/>
      <c r="ROU574" s="44"/>
      <c r="ROV574" s="44"/>
      <c r="ROW574" s="44"/>
      <c r="ROX574" s="44"/>
      <c r="ROY574" s="44"/>
      <c r="ROZ574" s="44"/>
      <c r="RPA574" s="44"/>
      <c r="RPB574" s="44"/>
      <c r="RPC574" s="44"/>
      <c r="RPD574" s="44"/>
      <c r="RPE574" s="44"/>
      <c r="RPF574" s="44"/>
      <c r="RPG574" s="44"/>
      <c r="RPH574" s="44"/>
      <c r="RPI574" s="44"/>
      <c r="RPJ574" s="44"/>
      <c r="RPK574" s="44"/>
      <c r="RPL574" s="44"/>
      <c r="RPM574" s="44"/>
      <c r="RPN574" s="44"/>
      <c r="RPO574" s="44"/>
      <c r="RPP574" s="44"/>
      <c r="RPQ574" s="44"/>
      <c r="RPR574" s="44"/>
      <c r="RPS574" s="44"/>
      <c r="RPT574" s="44"/>
      <c r="RPU574" s="44"/>
      <c r="RPV574" s="44"/>
      <c r="RPW574" s="44"/>
      <c r="RPX574" s="44"/>
      <c r="RPY574" s="44"/>
      <c r="RPZ574" s="44"/>
      <c r="RQA574" s="44"/>
      <c r="RQB574" s="44"/>
      <c r="RQC574" s="44"/>
      <c r="RQD574" s="44"/>
      <c r="RQE574" s="44"/>
      <c r="RQF574" s="44"/>
      <c r="RQG574" s="44"/>
      <c r="RQH574" s="44"/>
      <c r="RQI574" s="44"/>
      <c r="RQJ574" s="44"/>
      <c r="RQK574" s="44"/>
      <c r="RQL574" s="44"/>
      <c r="RQM574" s="44"/>
      <c r="RQN574" s="44"/>
      <c r="RQO574" s="44"/>
      <c r="RQP574" s="44"/>
      <c r="RQQ574" s="44"/>
      <c r="RQR574" s="44"/>
      <c r="RQS574" s="44"/>
      <c r="RQT574" s="44"/>
      <c r="RQU574" s="44"/>
      <c r="RQV574" s="44"/>
      <c r="RQW574" s="44"/>
      <c r="RQX574" s="44"/>
      <c r="RQY574" s="44"/>
      <c r="RQZ574" s="44"/>
      <c r="RRA574" s="44"/>
      <c r="RRB574" s="44"/>
      <c r="RRC574" s="44"/>
      <c r="RRD574" s="44"/>
      <c r="RRE574" s="44"/>
      <c r="RRF574" s="44"/>
      <c r="RRG574" s="44"/>
      <c r="RRH574" s="44"/>
      <c r="RRI574" s="44"/>
      <c r="RRJ574" s="44"/>
      <c r="RRK574" s="44"/>
      <c r="RRL574" s="44"/>
      <c r="RRM574" s="44"/>
      <c r="RRN574" s="44"/>
      <c r="RRO574" s="44"/>
      <c r="RRP574" s="44"/>
      <c r="RRQ574" s="44"/>
      <c r="RRR574" s="44"/>
      <c r="RRS574" s="44"/>
      <c r="RRT574" s="44"/>
      <c r="RRU574" s="44"/>
      <c r="RRV574" s="44"/>
      <c r="RRW574" s="44"/>
      <c r="RRX574" s="44"/>
      <c r="RRY574" s="44"/>
      <c r="RRZ574" s="44"/>
      <c r="RSA574" s="44"/>
      <c r="RSB574" s="44"/>
      <c r="RSC574" s="44"/>
      <c r="RSD574" s="44"/>
      <c r="RSE574" s="44"/>
      <c r="RSF574" s="44"/>
      <c r="RSG574" s="44"/>
      <c r="RSH574" s="44"/>
      <c r="RSI574" s="44"/>
      <c r="RSJ574" s="44"/>
      <c r="RSK574" s="44"/>
      <c r="RSL574" s="44"/>
      <c r="RSM574" s="44"/>
      <c r="RSN574" s="44"/>
      <c r="RSO574" s="44"/>
      <c r="RSP574" s="44"/>
      <c r="RSQ574" s="44"/>
      <c r="RSR574" s="44"/>
      <c r="RSS574" s="44"/>
      <c r="RST574" s="44"/>
      <c r="RSU574" s="44"/>
      <c r="RSV574" s="44"/>
      <c r="RSW574" s="44"/>
      <c r="RSX574" s="44"/>
      <c r="RSY574" s="44"/>
      <c r="RSZ574" s="44"/>
      <c r="RTA574" s="44"/>
      <c r="RTB574" s="44"/>
      <c r="RTC574" s="44"/>
      <c r="RTD574" s="44"/>
      <c r="RTE574" s="44"/>
      <c r="RTF574" s="44"/>
      <c r="RTG574" s="44"/>
      <c r="RTH574" s="44"/>
      <c r="RTI574" s="44"/>
      <c r="RTJ574" s="44"/>
      <c r="RTK574" s="44"/>
      <c r="RTL574" s="44"/>
      <c r="RTM574" s="44"/>
      <c r="RTN574" s="44"/>
      <c r="RTO574" s="44"/>
      <c r="RTP574" s="44"/>
      <c r="RTQ574" s="44"/>
      <c r="RTR574" s="44"/>
      <c r="RTS574" s="44"/>
      <c r="RTT574" s="44"/>
      <c r="RTU574" s="44"/>
      <c r="RTV574" s="44"/>
      <c r="RTW574" s="44"/>
      <c r="RTX574" s="44"/>
      <c r="RTY574" s="44"/>
      <c r="RTZ574" s="44"/>
      <c r="RUA574" s="44"/>
      <c r="RUB574" s="44"/>
      <c r="RUC574" s="44"/>
      <c r="RUD574" s="44"/>
      <c r="RUE574" s="44"/>
      <c r="RUF574" s="44"/>
      <c r="RUG574" s="44"/>
      <c r="RUH574" s="44"/>
      <c r="RUI574" s="44"/>
      <c r="RUJ574" s="44"/>
      <c r="RUK574" s="44"/>
      <c r="RUL574" s="44"/>
      <c r="RUM574" s="44"/>
      <c r="RUN574" s="44"/>
      <c r="RUO574" s="44"/>
      <c r="RUP574" s="44"/>
      <c r="RUQ574" s="44"/>
      <c r="RUR574" s="44"/>
      <c r="RUS574" s="44"/>
      <c r="RUT574" s="44"/>
      <c r="RUU574" s="44"/>
      <c r="RUV574" s="44"/>
      <c r="RUW574" s="44"/>
      <c r="RUX574" s="44"/>
      <c r="RUY574" s="44"/>
      <c r="RUZ574" s="44"/>
      <c r="RVA574" s="44"/>
      <c r="RVB574" s="44"/>
      <c r="RVC574" s="44"/>
      <c r="RVD574" s="44"/>
      <c r="RVE574" s="44"/>
      <c r="RVF574" s="44"/>
      <c r="RVG574" s="44"/>
      <c r="RVH574" s="44"/>
      <c r="RVI574" s="44"/>
      <c r="RVJ574" s="44"/>
      <c r="RVK574" s="44"/>
      <c r="RVL574" s="44"/>
      <c r="RVM574" s="44"/>
      <c r="RVN574" s="44"/>
      <c r="RVO574" s="44"/>
      <c r="RVP574" s="44"/>
      <c r="RVQ574" s="44"/>
      <c r="RVR574" s="44"/>
      <c r="RVS574" s="44"/>
      <c r="RVT574" s="44"/>
      <c r="RVU574" s="44"/>
      <c r="RVV574" s="44"/>
      <c r="RVW574" s="44"/>
      <c r="RVX574" s="44"/>
      <c r="RVY574" s="44"/>
      <c r="RVZ574" s="44"/>
      <c r="RWA574" s="44"/>
      <c r="RWB574" s="44"/>
      <c r="RWC574" s="44"/>
      <c r="RWD574" s="44"/>
      <c r="RWE574" s="44"/>
      <c r="RWF574" s="44"/>
      <c r="RWG574" s="44"/>
      <c r="RWH574" s="44"/>
      <c r="RWI574" s="44"/>
      <c r="RWJ574" s="44"/>
      <c r="RWK574" s="44"/>
      <c r="RWL574" s="44"/>
      <c r="RWM574" s="44"/>
      <c r="RWN574" s="44"/>
      <c r="RWO574" s="44"/>
      <c r="RWP574" s="44"/>
      <c r="RWQ574" s="44"/>
      <c r="RWR574" s="44"/>
      <c r="RWS574" s="44"/>
      <c r="RWT574" s="44"/>
      <c r="RWU574" s="44"/>
      <c r="RWV574" s="44"/>
      <c r="RWW574" s="44"/>
      <c r="RWX574" s="44"/>
      <c r="RWY574" s="44"/>
      <c r="RWZ574" s="44"/>
      <c r="RXA574" s="44"/>
      <c r="RXB574" s="44"/>
      <c r="RXC574" s="44"/>
      <c r="RXD574" s="44"/>
      <c r="RXE574" s="44"/>
      <c r="RXF574" s="44"/>
      <c r="RXG574" s="44"/>
      <c r="RXH574" s="44"/>
      <c r="RXI574" s="44"/>
      <c r="RXJ574" s="44"/>
      <c r="RXK574" s="44"/>
      <c r="RXL574" s="44"/>
      <c r="RXM574" s="44"/>
      <c r="RXN574" s="44"/>
      <c r="RXO574" s="44"/>
      <c r="RXP574" s="44"/>
      <c r="RXQ574" s="44"/>
      <c r="RXR574" s="44"/>
      <c r="RXS574" s="44"/>
      <c r="RXT574" s="44"/>
      <c r="RXU574" s="44"/>
      <c r="RXV574" s="44"/>
      <c r="RXW574" s="44"/>
      <c r="RXX574" s="44"/>
      <c r="RXY574" s="44"/>
      <c r="RXZ574" s="44"/>
      <c r="RYA574" s="44"/>
      <c r="RYB574" s="44"/>
      <c r="RYC574" s="44"/>
      <c r="RYD574" s="44"/>
      <c r="RYE574" s="44"/>
      <c r="RYF574" s="44"/>
      <c r="RYG574" s="44"/>
      <c r="RYH574" s="44"/>
      <c r="RYI574" s="44"/>
      <c r="RYJ574" s="44"/>
      <c r="RYK574" s="44"/>
      <c r="RYL574" s="44"/>
      <c r="RYM574" s="44"/>
      <c r="RYN574" s="44"/>
      <c r="RYO574" s="44"/>
      <c r="RYP574" s="44"/>
      <c r="RYQ574" s="44"/>
      <c r="RYR574" s="44"/>
      <c r="RYS574" s="44"/>
      <c r="RYT574" s="44"/>
      <c r="RYU574" s="44"/>
      <c r="RYV574" s="44"/>
      <c r="RYW574" s="44"/>
      <c r="RYX574" s="44"/>
      <c r="RYY574" s="44"/>
      <c r="RYZ574" s="44"/>
      <c r="RZA574" s="44"/>
      <c r="RZB574" s="44"/>
      <c r="RZC574" s="44"/>
      <c r="RZD574" s="44"/>
      <c r="RZE574" s="44"/>
      <c r="RZF574" s="44"/>
      <c r="RZG574" s="44"/>
      <c r="RZH574" s="44"/>
      <c r="RZI574" s="44"/>
      <c r="RZJ574" s="44"/>
      <c r="RZK574" s="44"/>
      <c r="RZL574" s="44"/>
      <c r="RZM574" s="44"/>
      <c r="RZN574" s="44"/>
      <c r="RZO574" s="44"/>
      <c r="RZP574" s="44"/>
      <c r="RZQ574" s="44"/>
      <c r="RZR574" s="44"/>
      <c r="RZS574" s="44"/>
      <c r="RZT574" s="44"/>
      <c r="RZU574" s="44"/>
      <c r="RZV574" s="44"/>
      <c r="RZW574" s="44"/>
      <c r="RZX574" s="44"/>
      <c r="RZY574" s="44"/>
      <c r="RZZ574" s="44"/>
      <c r="SAA574" s="44"/>
      <c r="SAB574" s="44"/>
      <c r="SAC574" s="44"/>
      <c r="SAD574" s="44"/>
      <c r="SAE574" s="44"/>
      <c r="SAF574" s="44"/>
      <c r="SAG574" s="44"/>
      <c r="SAH574" s="44"/>
      <c r="SAI574" s="44"/>
      <c r="SAJ574" s="44"/>
      <c r="SAK574" s="44"/>
      <c r="SAL574" s="44"/>
      <c r="SAM574" s="44"/>
      <c r="SAN574" s="44"/>
      <c r="SAO574" s="44"/>
      <c r="SAP574" s="44"/>
      <c r="SAQ574" s="44"/>
      <c r="SAR574" s="44"/>
      <c r="SAS574" s="44"/>
      <c r="SAT574" s="44"/>
      <c r="SAU574" s="44"/>
      <c r="SAV574" s="44"/>
      <c r="SAW574" s="44"/>
      <c r="SAX574" s="44"/>
      <c r="SAY574" s="44"/>
      <c r="SAZ574" s="44"/>
      <c r="SBA574" s="44"/>
      <c r="SBB574" s="44"/>
      <c r="SBC574" s="44"/>
      <c r="SBD574" s="44"/>
      <c r="SBE574" s="44"/>
      <c r="SBF574" s="44"/>
      <c r="SBG574" s="44"/>
      <c r="SBH574" s="44"/>
      <c r="SBI574" s="44"/>
      <c r="SBJ574" s="44"/>
      <c r="SBK574" s="44"/>
      <c r="SBL574" s="44"/>
      <c r="SBM574" s="44"/>
      <c r="SBN574" s="44"/>
      <c r="SBO574" s="44"/>
      <c r="SBP574" s="44"/>
      <c r="SBQ574" s="44"/>
      <c r="SBR574" s="44"/>
      <c r="SBS574" s="44"/>
      <c r="SBT574" s="44"/>
      <c r="SBU574" s="44"/>
      <c r="SBV574" s="44"/>
      <c r="SBW574" s="44"/>
      <c r="SBX574" s="44"/>
      <c r="SBY574" s="44"/>
      <c r="SBZ574" s="44"/>
      <c r="SCA574" s="44"/>
      <c r="SCB574" s="44"/>
      <c r="SCC574" s="44"/>
      <c r="SCD574" s="44"/>
      <c r="SCE574" s="44"/>
      <c r="SCF574" s="44"/>
      <c r="SCG574" s="44"/>
      <c r="SCH574" s="44"/>
      <c r="SCI574" s="44"/>
      <c r="SCJ574" s="44"/>
      <c r="SCK574" s="44"/>
      <c r="SCL574" s="44"/>
      <c r="SCM574" s="44"/>
      <c r="SCN574" s="44"/>
      <c r="SCO574" s="44"/>
      <c r="SCP574" s="44"/>
      <c r="SCQ574" s="44"/>
      <c r="SCR574" s="44"/>
      <c r="SCS574" s="44"/>
      <c r="SCT574" s="44"/>
      <c r="SCU574" s="44"/>
      <c r="SCV574" s="44"/>
      <c r="SCW574" s="44"/>
      <c r="SCX574" s="44"/>
      <c r="SCY574" s="44"/>
      <c r="SCZ574" s="44"/>
      <c r="SDA574" s="44"/>
      <c r="SDB574" s="44"/>
      <c r="SDC574" s="44"/>
      <c r="SDD574" s="44"/>
      <c r="SDE574" s="44"/>
      <c r="SDF574" s="44"/>
      <c r="SDG574" s="44"/>
      <c r="SDH574" s="44"/>
      <c r="SDI574" s="44"/>
      <c r="SDJ574" s="44"/>
      <c r="SDK574" s="44"/>
      <c r="SDL574" s="44"/>
      <c r="SDM574" s="44"/>
      <c r="SDN574" s="44"/>
      <c r="SDO574" s="44"/>
      <c r="SDP574" s="44"/>
      <c r="SDQ574" s="44"/>
      <c r="SDR574" s="44"/>
      <c r="SDS574" s="44"/>
      <c r="SDT574" s="44"/>
      <c r="SDU574" s="44"/>
      <c r="SDV574" s="44"/>
      <c r="SDW574" s="44"/>
      <c r="SDX574" s="44"/>
      <c r="SDY574" s="44"/>
      <c r="SDZ574" s="44"/>
      <c r="SEA574" s="44"/>
      <c r="SEB574" s="44"/>
      <c r="SEC574" s="44"/>
      <c r="SED574" s="44"/>
      <c r="SEE574" s="44"/>
      <c r="SEF574" s="44"/>
      <c r="SEG574" s="44"/>
      <c r="SEH574" s="44"/>
      <c r="SEI574" s="44"/>
      <c r="SEJ574" s="44"/>
      <c r="SEK574" s="44"/>
      <c r="SEL574" s="44"/>
      <c r="SEM574" s="44"/>
      <c r="SEN574" s="44"/>
      <c r="SEO574" s="44"/>
      <c r="SEP574" s="44"/>
      <c r="SEQ574" s="44"/>
      <c r="SER574" s="44"/>
      <c r="SES574" s="44"/>
      <c r="SET574" s="44"/>
      <c r="SEU574" s="44"/>
      <c r="SEV574" s="44"/>
      <c r="SEW574" s="44"/>
      <c r="SEX574" s="44"/>
      <c r="SEY574" s="44"/>
      <c r="SEZ574" s="44"/>
      <c r="SFA574" s="44"/>
      <c r="SFB574" s="44"/>
      <c r="SFC574" s="44"/>
      <c r="SFD574" s="44"/>
      <c r="SFE574" s="44"/>
      <c r="SFF574" s="44"/>
      <c r="SFG574" s="44"/>
      <c r="SFH574" s="44"/>
      <c r="SFI574" s="44"/>
      <c r="SFJ574" s="44"/>
      <c r="SFK574" s="44"/>
      <c r="SFL574" s="44"/>
      <c r="SFM574" s="44"/>
      <c r="SFN574" s="44"/>
      <c r="SFO574" s="44"/>
      <c r="SFP574" s="44"/>
      <c r="SFQ574" s="44"/>
      <c r="SFR574" s="44"/>
      <c r="SFS574" s="44"/>
      <c r="SFT574" s="44"/>
      <c r="SFU574" s="44"/>
      <c r="SFV574" s="44"/>
      <c r="SFW574" s="44"/>
      <c r="SFX574" s="44"/>
      <c r="SFY574" s="44"/>
      <c r="SFZ574" s="44"/>
      <c r="SGA574" s="44"/>
      <c r="SGB574" s="44"/>
      <c r="SGC574" s="44"/>
      <c r="SGD574" s="44"/>
      <c r="SGE574" s="44"/>
      <c r="SGF574" s="44"/>
      <c r="SGG574" s="44"/>
      <c r="SGH574" s="44"/>
      <c r="SGI574" s="44"/>
      <c r="SGJ574" s="44"/>
      <c r="SGK574" s="44"/>
      <c r="SGL574" s="44"/>
      <c r="SGM574" s="44"/>
      <c r="SGN574" s="44"/>
      <c r="SGO574" s="44"/>
      <c r="SGP574" s="44"/>
      <c r="SGQ574" s="44"/>
      <c r="SGR574" s="44"/>
      <c r="SGS574" s="44"/>
      <c r="SGT574" s="44"/>
      <c r="SGU574" s="44"/>
      <c r="SGV574" s="44"/>
      <c r="SGW574" s="44"/>
      <c r="SGX574" s="44"/>
      <c r="SGY574" s="44"/>
      <c r="SGZ574" s="44"/>
      <c r="SHA574" s="44"/>
      <c r="SHB574" s="44"/>
      <c r="SHC574" s="44"/>
      <c r="SHD574" s="44"/>
      <c r="SHE574" s="44"/>
      <c r="SHF574" s="44"/>
      <c r="SHG574" s="44"/>
      <c r="SHH574" s="44"/>
      <c r="SHI574" s="44"/>
      <c r="SHJ574" s="44"/>
      <c r="SHK574" s="44"/>
      <c r="SHL574" s="44"/>
      <c r="SHM574" s="44"/>
      <c r="SHN574" s="44"/>
      <c r="SHO574" s="44"/>
      <c r="SHP574" s="44"/>
      <c r="SHQ574" s="44"/>
      <c r="SHR574" s="44"/>
      <c r="SHS574" s="44"/>
      <c r="SHT574" s="44"/>
      <c r="SHU574" s="44"/>
      <c r="SHV574" s="44"/>
      <c r="SHW574" s="44"/>
      <c r="SHX574" s="44"/>
      <c r="SHY574" s="44"/>
      <c r="SHZ574" s="44"/>
      <c r="SIA574" s="44"/>
      <c r="SIB574" s="44"/>
      <c r="SIC574" s="44"/>
      <c r="SID574" s="44"/>
      <c r="SIE574" s="44"/>
      <c r="SIF574" s="44"/>
      <c r="SIG574" s="44"/>
      <c r="SIH574" s="44"/>
      <c r="SII574" s="44"/>
      <c r="SIJ574" s="44"/>
      <c r="SIK574" s="44"/>
      <c r="SIL574" s="44"/>
      <c r="SIM574" s="44"/>
      <c r="SIN574" s="44"/>
      <c r="SIO574" s="44"/>
      <c r="SIP574" s="44"/>
      <c r="SIQ574" s="44"/>
      <c r="SIR574" s="44"/>
      <c r="SIS574" s="44"/>
      <c r="SIT574" s="44"/>
      <c r="SIU574" s="44"/>
      <c r="SIV574" s="44"/>
      <c r="SIW574" s="44"/>
      <c r="SIX574" s="44"/>
      <c r="SIY574" s="44"/>
      <c r="SIZ574" s="44"/>
      <c r="SJA574" s="44"/>
      <c r="SJB574" s="44"/>
      <c r="SJC574" s="44"/>
      <c r="SJD574" s="44"/>
      <c r="SJE574" s="44"/>
      <c r="SJF574" s="44"/>
      <c r="SJG574" s="44"/>
      <c r="SJH574" s="44"/>
      <c r="SJI574" s="44"/>
      <c r="SJJ574" s="44"/>
      <c r="SJK574" s="44"/>
      <c r="SJL574" s="44"/>
      <c r="SJM574" s="44"/>
      <c r="SJN574" s="44"/>
      <c r="SJO574" s="44"/>
      <c r="SJP574" s="44"/>
      <c r="SJQ574" s="44"/>
      <c r="SJR574" s="44"/>
      <c r="SJS574" s="44"/>
      <c r="SJT574" s="44"/>
      <c r="SJU574" s="44"/>
      <c r="SJV574" s="44"/>
      <c r="SJW574" s="44"/>
      <c r="SJX574" s="44"/>
      <c r="SJY574" s="44"/>
      <c r="SJZ574" s="44"/>
      <c r="SKA574" s="44"/>
      <c r="SKB574" s="44"/>
      <c r="SKC574" s="44"/>
      <c r="SKD574" s="44"/>
      <c r="SKE574" s="44"/>
      <c r="SKF574" s="44"/>
      <c r="SKG574" s="44"/>
      <c r="SKH574" s="44"/>
      <c r="SKI574" s="44"/>
      <c r="SKJ574" s="44"/>
      <c r="SKK574" s="44"/>
      <c r="SKL574" s="44"/>
      <c r="SKM574" s="44"/>
      <c r="SKN574" s="44"/>
      <c r="SKO574" s="44"/>
      <c r="SKP574" s="44"/>
      <c r="SKQ574" s="44"/>
      <c r="SKR574" s="44"/>
      <c r="SKS574" s="44"/>
      <c r="SKT574" s="44"/>
      <c r="SKU574" s="44"/>
      <c r="SKV574" s="44"/>
      <c r="SKW574" s="44"/>
      <c r="SKX574" s="44"/>
      <c r="SKY574" s="44"/>
      <c r="SKZ574" s="44"/>
      <c r="SLA574" s="44"/>
      <c r="SLB574" s="44"/>
      <c r="SLC574" s="44"/>
      <c r="SLD574" s="44"/>
      <c r="SLE574" s="44"/>
      <c r="SLF574" s="44"/>
      <c r="SLG574" s="44"/>
      <c r="SLH574" s="44"/>
      <c r="SLI574" s="44"/>
      <c r="SLJ574" s="44"/>
      <c r="SLK574" s="44"/>
      <c r="SLL574" s="44"/>
      <c r="SLM574" s="44"/>
      <c r="SLN574" s="44"/>
      <c r="SLO574" s="44"/>
      <c r="SLP574" s="44"/>
      <c r="SLQ574" s="44"/>
      <c r="SLR574" s="44"/>
      <c r="SLS574" s="44"/>
      <c r="SLT574" s="44"/>
      <c r="SLU574" s="44"/>
      <c r="SLV574" s="44"/>
      <c r="SLW574" s="44"/>
      <c r="SLX574" s="44"/>
      <c r="SLY574" s="44"/>
      <c r="SLZ574" s="44"/>
      <c r="SMA574" s="44"/>
      <c r="SMB574" s="44"/>
      <c r="SMC574" s="44"/>
      <c r="SMD574" s="44"/>
      <c r="SME574" s="44"/>
      <c r="SMF574" s="44"/>
      <c r="SMG574" s="44"/>
      <c r="SMH574" s="44"/>
      <c r="SMI574" s="44"/>
      <c r="SMJ574" s="44"/>
      <c r="SMK574" s="44"/>
      <c r="SML574" s="44"/>
      <c r="SMM574" s="44"/>
      <c r="SMN574" s="44"/>
      <c r="SMO574" s="44"/>
      <c r="SMP574" s="44"/>
      <c r="SMQ574" s="44"/>
      <c r="SMR574" s="44"/>
      <c r="SMS574" s="44"/>
      <c r="SMT574" s="44"/>
      <c r="SMU574" s="44"/>
      <c r="SMV574" s="44"/>
      <c r="SMW574" s="44"/>
      <c r="SMX574" s="44"/>
      <c r="SMY574" s="44"/>
      <c r="SMZ574" s="44"/>
      <c r="SNA574" s="44"/>
      <c r="SNB574" s="44"/>
      <c r="SNC574" s="44"/>
      <c r="SND574" s="44"/>
      <c r="SNE574" s="44"/>
      <c r="SNF574" s="44"/>
      <c r="SNG574" s="44"/>
      <c r="SNH574" s="44"/>
      <c r="SNI574" s="44"/>
      <c r="SNJ574" s="44"/>
      <c r="SNK574" s="44"/>
      <c r="SNL574" s="44"/>
      <c r="SNM574" s="44"/>
      <c r="SNN574" s="44"/>
      <c r="SNO574" s="44"/>
      <c r="SNP574" s="44"/>
      <c r="SNQ574" s="44"/>
      <c r="SNR574" s="44"/>
      <c r="SNS574" s="44"/>
      <c r="SNT574" s="44"/>
      <c r="SNU574" s="44"/>
      <c r="SNV574" s="44"/>
      <c r="SNW574" s="44"/>
      <c r="SNX574" s="44"/>
      <c r="SNY574" s="44"/>
      <c r="SNZ574" s="44"/>
      <c r="SOA574" s="44"/>
      <c r="SOB574" s="44"/>
      <c r="SOC574" s="44"/>
      <c r="SOD574" s="44"/>
      <c r="SOE574" s="44"/>
      <c r="SOF574" s="44"/>
      <c r="SOG574" s="44"/>
      <c r="SOH574" s="44"/>
      <c r="SOI574" s="44"/>
      <c r="SOJ574" s="44"/>
      <c r="SOK574" s="44"/>
      <c r="SOL574" s="44"/>
      <c r="SOM574" s="44"/>
      <c r="SON574" s="44"/>
      <c r="SOO574" s="44"/>
      <c r="SOP574" s="44"/>
      <c r="SOQ574" s="44"/>
      <c r="SOR574" s="44"/>
      <c r="SOS574" s="44"/>
      <c r="SOT574" s="44"/>
      <c r="SOU574" s="44"/>
      <c r="SOV574" s="44"/>
      <c r="SOW574" s="44"/>
      <c r="SOX574" s="44"/>
      <c r="SOY574" s="44"/>
      <c r="SOZ574" s="44"/>
      <c r="SPA574" s="44"/>
      <c r="SPB574" s="44"/>
      <c r="SPC574" s="44"/>
      <c r="SPD574" s="44"/>
      <c r="SPE574" s="44"/>
      <c r="SPF574" s="44"/>
      <c r="SPG574" s="44"/>
      <c r="SPH574" s="44"/>
      <c r="SPI574" s="44"/>
      <c r="SPJ574" s="44"/>
      <c r="SPK574" s="44"/>
      <c r="SPL574" s="44"/>
      <c r="SPM574" s="44"/>
      <c r="SPN574" s="44"/>
      <c r="SPO574" s="44"/>
      <c r="SPP574" s="44"/>
      <c r="SPQ574" s="44"/>
      <c r="SPR574" s="44"/>
      <c r="SPS574" s="44"/>
      <c r="SPT574" s="44"/>
      <c r="SPU574" s="44"/>
      <c r="SPV574" s="44"/>
      <c r="SPW574" s="44"/>
      <c r="SPX574" s="44"/>
      <c r="SPY574" s="44"/>
      <c r="SPZ574" s="44"/>
      <c r="SQA574" s="44"/>
      <c r="SQB574" s="44"/>
      <c r="SQC574" s="44"/>
      <c r="SQD574" s="44"/>
      <c r="SQE574" s="44"/>
      <c r="SQF574" s="44"/>
      <c r="SQG574" s="44"/>
      <c r="SQH574" s="44"/>
      <c r="SQI574" s="44"/>
      <c r="SQJ574" s="44"/>
      <c r="SQK574" s="44"/>
      <c r="SQL574" s="44"/>
      <c r="SQM574" s="44"/>
      <c r="SQN574" s="44"/>
      <c r="SQO574" s="44"/>
      <c r="SQP574" s="44"/>
      <c r="SQQ574" s="44"/>
      <c r="SQR574" s="44"/>
      <c r="SQS574" s="44"/>
      <c r="SQT574" s="44"/>
      <c r="SQU574" s="44"/>
      <c r="SQV574" s="44"/>
      <c r="SQW574" s="44"/>
      <c r="SQX574" s="44"/>
      <c r="SQY574" s="44"/>
      <c r="SQZ574" s="44"/>
      <c r="SRA574" s="44"/>
      <c r="SRB574" s="44"/>
      <c r="SRC574" s="44"/>
      <c r="SRD574" s="44"/>
      <c r="SRE574" s="44"/>
      <c r="SRF574" s="44"/>
      <c r="SRG574" s="44"/>
      <c r="SRH574" s="44"/>
      <c r="SRI574" s="44"/>
      <c r="SRJ574" s="44"/>
      <c r="SRK574" s="44"/>
      <c r="SRL574" s="44"/>
      <c r="SRM574" s="44"/>
      <c r="SRN574" s="44"/>
      <c r="SRO574" s="44"/>
      <c r="SRP574" s="44"/>
      <c r="SRQ574" s="44"/>
      <c r="SRR574" s="44"/>
      <c r="SRS574" s="44"/>
      <c r="SRT574" s="44"/>
      <c r="SRU574" s="44"/>
      <c r="SRV574" s="44"/>
      <c r="SRW574" s="44"/>
      <c r="SRX574" s="44"/>
      <c r="SRY574" s="44"/>
      <c r="SRZ574" s="44"/>
      <c r="SSA574" s="44"/>
      <c r="SSB574" s="44"/>
      <c r="SSC574" s="44"/>
      <c r="SSD574" s="44"/>
      <c r="SSE574" s="44"/>
      <c r="SSF574" s="44"/>
      <c r="SSG574" s="44"/>
      <c r="SSH574" s="44"/>
      <c r="SSI574" s="44"/>
      <c r="SSJ574" s="44"/>
      <c r="SSK574" s="44"/>
      <c r="SSL574" s="44"/>
      <c r="SSM574" s="44"/>
      <c r="SSN574" s="44"/>
      <c r="SSO574" s="44"/>
      <c r="SSP574" s="44"/>
      <c r="SSQ574" s="44"/>
      <c r="SSR574" s="44"/>
      <c r="SSS574" s="44"/>
      <c r="SST574" s="44"/>
      <c r="SSU574" s="44"/>
      <c r="SSV574" s="44"/>
      <c r="SSW574" s="44"/>
      <c r="SSX574" s="44"/>
      <c r="SSY574" s="44"/>
      <c r="SSZ574" s="44"/>
      <c r="STA574" s="44"/>
      <c r="STB574" s="44"/>
      <c r="STC574" s="44"/>
      <c r="STD574" s="44"/>
      <c r="STE574" s="44"/>
      <c r="STF574" s="44"/>
      <c r="STG574" s="44"/>
      <c r="STH574" s="44"/>
      <c r="STI574" s="44"/>
      <c r="STJ574" s="44"/>
      <c r="STK574" s="44"/>
      <c r="STL574" s="44"/>
      <c r="STM574" s="44"/>
      <c r="STN574" s="44"/>
      <c r="STO574" s="44"/>
      <c r="STP574" s="44"/>
      <c r="STQ574" s="44"/>
      <c r="STR574" s="44"/>
      <c r="STS574" s="44"/>
      <c r="STT574" s="44"/>
      <c r="STU574" s="44"/>
      <c r="STV574" s="44"/>
      <c r="STW574" s="44"/>
      <c r="STX574" s="44"/>
      <c r="STY574" s="44"/>
      <c r="STZ574" s="44"/>
      <c r="SUA574" s="44"/>
      <c r="SUB574" s="44"/>
      <c r="SUC574" s="44"/>
      <c r="SUD574" s="44"/>
      <c r="SUE574" s="44"/>
      <c r="SUF574" s="44"/>
      <c r="SUG574" s="44"/>
      <c r="SUH574" s="44"/>
      <c r="SUI574" s="44"/>
      <c r="SUJ574" s="44"/>
      <c r="SUK574" s="44"/>
      <c r="SUL574" s="44"/>
      <c r="SUM574" s="44"/>
      <c r="SUN574" s="44"/>
      <c r="SUO574" s="44"/>
      <c r="SUP574" s="44"/>
      <c r="SUQ574" s="44"/>
      <c r="SUR574" s="44"/>
      <c r="SUS574" s="44"/>
      <c r="SUT574" s="44"/>
      <c r="SUU574" s="44"/>
      <c r="SUV574" s="44"/>
      <c r="SUW574" s="44"/>
      <c r="SUX574" s="44"/>
      <c r="SUY574" s="44"/>
      <c r="SUZ574" s="44"/>
      <c r="SVA574" s="44"/>
      <c r="SVB574" s="44"/>
      <c r="SVC574" s="44"/>
      <c r="SVD574" s="44"/>
      <c r="SVE574" s="44"/>
      <c r="SVF574" s="44"/>
      <c r="SVG574" s="44"/>
      <c r="SVH574" s="44"/>
      <c r="SVI574" s="44"/>
      <c r="SVJ574" s="44"/>
      <c r="SVK574" s="44"/>
      <c r="SVL574" s="44"/>
      <c r="SVM574" s="44"/>
      <c r="SVN574" s="44"/>
      <c r="SVO574" s="44"/>
      <c r="SVP574" s="44"/>
      <c r="SVQ574" s="44"/>
      <c r="SVR574" s="44"/>
      <c r="SVS574" s="44"/>
      <c r="SVT574" s="44"/>
      <c r="SVU574" s="44"/>
      <c r="SVV574" s="44"/>
      <c r="SVW574" s="44"/>
      <c r="SVX574" s="44"/>
      <c r="SVY574" s="44"/>
      <c r="SVZ574" s="44"/>
      <c r="SWA574" s="44"/>
      <c r="SWB574" s="44"/>
      <c r="SWC574" s="44"/>
      <c r="SWD574" s="44"/>
      <c r="SWE574" s="44"/>
      <c r="SWF574" s="44"/>
      <c r="SWG574" s="44"/>
      <c r="SWH574" s="44"/>
      <c r="SWI574" s="44"/>
      <c r="SWJ574" s="44"/>
      <c r="SWK574" s="44"/>
      <c r="SWL574" s="44"/>
      <c r="SWM574" s="44"/>
      <c r="SWN574" s="44"/>
      <c r="SWO574" s="44"/>
      <c r="SWP574" s="44"/>
      <c r="SWQ574" s="44"/>
      <c r="SWR574" s="44"/>
      <c r="SWS574" s="44"/>
      <c r="SWT574" s="44"/>
      <c r="SWU574" s="44"/>
      <c r="SWV574" s="44"/>
      <c r="SWW574" s="44"/>
      <c r="SWX574" s="44"/>
      <c r="SWY574" s="44"/>
      <c r="SWZ574" s="44"/>
      <c r="SXA574" s="44"/>
      <c r="SXB574" s="44"/>
      <c r="SXC574" s="44"/>
      <c r="SXD574" s="44"/>
      <c r="SXE574" s="44"/>
      <c r="SXF574" s="44"/>
      <c r="SXG574" s="44"/>
      <c r="SXH574" s="44"/>
      <c r="SXI574" s="44"/>
      <c r="SXJ574" s="44"/>
      <c r="SXK574" s="44"/>
      <c r="SXL574" s="44"/>
      <c r="SXM574" s="44"/>
      <c r="SXN574" s="44"/>
      <c r="SXO574" s="44"/>
      <c r="SXP574" s="44"/>
      <c r="SXQ574" s="44"/>
      <c r="SXR574" s="44"/>
      <c r="SXS574" s="44"/>
      <c r="SXT574" s="44"/>
      <c r="SXU574" s="44"/>
      <c r="SXV574" s="44"/>
      <c r="SXW574" s="44"/>
      <c r="SXX574" s="44"/>
      <c r="SXY574" s="44"/>
      <c r="SXZ574" s="44"/>
      <c r="SYA574" s="44"/>
      <c r="SYB574" s="44"/>
      <c r="SYC574" s="44"/>
      <c r="SYD574" s="44"/>
      <c r="SYE574" s="44"/>
      <c r="SYF574" s="44"/>
      <c r="SYG574" s="44"/>
      <c r="SYH574" s="44"/>
      <c r="SYI574" s="44"/>
      <c r="SYJ574" s="44"/>
      <c r="SYK574" s="44"/>
      <c r="SYL574" s="44"/>
      <c r="SYM574" s="44"/>
      <c r="SYN574" s="44"/>
      <c r="SYO574" s="44"/>
      <c r="SYP574" s="44"/>
      <c r="SYQ574" s="44"/>
      <c r="SYR574" s="44"/>
      <c r="SYS574" s="44"/>
      <c r="SYT574" s="44"/>
      <c r="SYU574" s="44"/>
      <c r="SYV574" s="44"/>
      <c r="SYW574" s="44"/>
      <c r="SYX574" s="44"/>
      <c r="SYY574" s="44"/>
      <c r="SYZ574" s="44"/>
      <c r="SZA574" s="44"/>
      <c r="SZB574" s="44"/>
      <c r="SZC574" s="44"/>
      <c r="SZD574" s="44"/>
      <c r="SZE574" s="44"/>
      <c r="SZF574" s="44"/>
      <c r="SZG574" s="44"/>
      <c r="SZH574" s="44"/>
      <c r="SZI574" s="44"/>
      <c r="SZJ574" s="44"/>
      <c r="SZK574" s="44"/>
      <c r="SZL574" s="44"/>
      <c r="SZM574" s="44"/>
      <c r="SZN574" s="44"/>
      <c r="SZO574" s="44"/>
      <c r="SZP574" s="44"/>
      <c r="SZQ574" s="44"/>
      <c r="SZR574" s="44"/>
      <c r="SZS574" s="44"/>
      <c r="SZT574" s="44"/>
      <c r="SZU574" s="44"/>
      <c r="SZV574" s="44"/>
      <c r="SZW574" s="44"/>
      <c r="SZX574" s="44"/>
      <c r="SZY574" s="44"/>
      <c r="SZZ574" s="44"/>
      <c r="TAA574" s="44"/>
      <c r="TAB574" s="44"/>
      <c r="TAC574" s="44"/>
      <c r="TAD574" s="44"/>
      <c r="TAE574" s="44"/>
      <c r="TAF574" s="44"/>
      <c r="TAG574" s="44"/>
      <c r="TAH574" s="44"/>
      <c r="TAI574" s="44"/>
      <c r="TAJ574" s="44"/>
      <c r="TAK574" s="44"/>
      <c r="TAL574" s="44"/>
      <c r="TAM574" s="44"/>
      <c r="TAN574" s="44"/>
      <c r="TAO574" s="44"/>
      <c r="TAP574" s="44"/>
      <c r="TAQ574" s="44"/>
      <c r="TAR574" s="44"/>
      <c r="TAS574" s="44"/>
      <c r="TAT574" s="44"/>
      <c r="TAU574" s="44"/>
      <c r="TAV574" s="44"/>
      <c r="TAW574" s="44"/>
      <c r="TAX574" s="44"/>
      <c r="TAY574" s="44"/>
      <c r="TAZ574" s="44"/>
      <c r="TBA574" s="44"/>
      <c r="TBB574" s="44"/>
      <c r="TBC574" s="44"/>
      <c r="TBD574" s="44"/>
      <c r="TBE574" s="44"/>
      <c r="TBF574" s="44"/>
      <c r="TBG574" s="44"/>
      <c r="TBH574" s="44"/>
      <c r="TBI574" s="44"/>
      <c r="TBJ574" s="44"/>
      <c r="TBK574" s="44"/>
      <c r="TBL574" s="44"/>
      <c r="TBM574" s="44"/>
      <c r="TBN574" s="44"/>
      <c r="TBO574" s="44"/>
      <c r="TBP574" s="44"/>
      <c r="TBQ574" s="44"/>
      <c r="TBR574" s="44"/>
      <c r="TBS574" s="44"/>
      <c r="TBT574" s="44"/>
      <c r="TBU574" s="44"/>
      <c r="TBV574" s="44"/>
      <c r="TBW574" s="44"/>
      <c r="TBX574" s="44"/>
      <c r="TBY574" s="44"/>
      <c r="TBZ574" s="44"/>
      <c r="TCA574" s="44"/>
      <c r="TCB574" s="44"/>
      <c r="TCC574" s="44"/>
      <c r="TCD574" s="44"/>
      <c r="TCE574" s="44"/>
      <c r="TCF574" s="44"/>
      <c r="TCG574" s="44"/>
      <c r="TCH574" s="44"/>
      <c r="TCI574" s="44"/>
      <c r="TCJ574" s="44"/>
      <c r="TCK574" s="44"/>
      <c r="TCL574" s="44"/>
      <c r="TCM574" s="44"/>
      <c r="TCN574" s="44"/>
      <c r="TCO574" s="44"/>
      <c r="TCP574" s="44"/>
      <c r="TCQ574" s="44"/>
      <c r="TCR574" s="44"/>
      <c r="TCS574" s="44"/>
      <c r="TCT574" s="44"/>
      <c r="TCU574" s="44"/>
      <c r="TCV574" s="44"/>
      <c r="TCW574" s="44"/>
      <c r="TCX574" s="44"/>
      <c r="TCY574" s="44"/>
      <c r="TCZ574" s="44"/>
      <c r="TDA574" s="44"/>
      <c r="TDB574" s="44"/>
      <c r="TDC574" s="44"/>
      <c r="TDD574" s="44"/>
      <c r="TDE574" s="44"/>
      <c r="TDF574" s="44"/>
      <c r="TDG574" s="44"/>
      <c r="TDH574" s="44"/>
      <c r="TDI574" s="44"/>
      <c r="TDJ574" s="44"/>
      <c r="TDK574" s="44"/>
      <c r="TDL574" s="44"/>
      <c r="TDM574" s="44"/>
      <c r="TDN574" s="44"/>
      <c r="TDO574" s="44"/>
      <c r="TDP574" s="44"/>
      <c r="TDQ574" s="44"/>
      <c r="TDR574" s="44"/>
      <c r="TDS574" s="44"/>
      <c r="TDT574" s="44"/>
      <c r="TDU574" s="44"/>
      <c r="TDV574" s="44"/>
      <c r="TDW574" s="44"/>
      <c r="TDX574" s="44"/>
      <c r="TDY574" s="44"/>
      <c r="TDZ574" s="44"/>
      <c r="TEA574" s="44"/>
      <c r="TEB574" s="44"/>
      <c r="TEC574" s="44"/>
      <c r="TED574" s="44"/>
      <c r="TEE574" s="44"/>
      <c r="TEF574" s="44"/>
      <c r="TEG574" s="44"/>
      <c r="TEH574" s="44"/>
      <c r="TEI574" s="44"/>
      <c r="TEJ574" s="44"/>
      <c r="TEK574" s="44"/>
      <c r="TEL574" s="44"/>
      <c r="TEM574" s="44"/>
      <c r="TEN574" s="44"/>
      <c r="TEO574" s="44"/>
      <c r="TEP574" s="44"/>
      <c r="TEQ574" s="44"/>
      <c r="TER574" s="44"/>
      <c r="TES574" s="44"/>
      <c r="TET574" s="44"/>
      <c r="TEU574" s="44"/>
      <c r="TEV574" s="44"/>
      <c r="TEW574" s="44"/>
      <c r="TEX574" s="44"/>
      <c r="TEY574" s="44"/>
      <c r="TEZ574" s="44"/>
      <c r="TFA574" s="44"/>
      <c r="TFB574" s="44"/>
      <c r="TFC574" s="44"/>
      <c r="TFD574" s="44"/>
      <c r="TFE574" s="44"/>
      <c r="TFF574" s="44"/>
      <c r="TFG574" s="44"/>
      <c r="TFH574" s="44"/>
      <c r="TFI574" s="44"/>
      <c r="TFJ574" s="44"/>
      <c r="TFK574" s="44"/>
      <c r="TFL574" s="44"/>
      <c r="TFM574" s="44"/>
      <c r="TFN574" s="44"/>
      <c r="TFO574" s="44"/>
      <c r="TFP574" s="44"/>
      <c r="TFQ574" s="44"/>
      <c r="TFR574" s="44"/>
      <c r="TFS574" s="44"/>
      <c r="TFT574" s="44"/>
      <c r="TFU574" s="44"/>
      <c r="TFV574" s="44"/>
      <c r="TFW574" s="44"/>
      <c r="TFX574" s="44"/>
      <c r="TFY574" s="44"/>
      <c r="TFZ574" s="44"/>
      <c r="TGA574" s="44"/>
      <c r="TGB574" s="44"/>
      <c r="TGC574" s="44"/>
      <c r="TGD574" s="44"/>
      <c r="TGE574" s="44"/>
      <c r="TGF574" s="44"/>
      <c r="TGG574" s="44"/>
      <c r="TGH574" s="44"/>
      <c r="TGI574" s="44"/>
      <c r="TGJ574" s="44"/>
      <c r="TGK574" s="44"/>
      <c r="TGL574" s="44"/>
      <c r="TGM574" s="44"/>
      <c r="TGN574" s="44"/>
      <c r="TGO574" s="44"/>
      <c r="TGP574" s="44"/>
      <c r="TGQ574" s="44"/>
      <c r="TGR574" s="44"/>
      <c r="TGS574" s="44"/>
      <c r="TGT574" s="44"/>
      <c r="TGU574" s="44"/>
      <c r="TGV574" s="44"/>
      <c r="TGW574" s="44"/>
      <c r="TGX574" s="44"/>
      <c r="TGY574" s="44"/>
      <c r="TGZ574" s="44"/>
      <c r="THA574" s="44"/>
      <c r="THB574" s="44"/>
      <c r="THC574" s="44"/>
      <c r="THD574" s="44"/>
      <c r="THE574" s="44"/>
      <c r="THF574" s="44"/>
      <c r="THG574" s="44"/>
      <c r="THH574" s="44"/>
      <c r="THI574" s="44"/>
      <c r="THJ574" s="44"/>
      <c r="THK574" s="44"/>
      <c r="THL574" s="44"/>
      <c r="THM574" s="44"/>
      <c r="THN574" s="44"/>
      <c r="THO574" s="44"/>
      <c r="THP574" s="44"/>
      <c r="THQ574" s="44"/>
      <c r="THR574" s="44"/>
      <c r="THS574" s="44"/>
      <c r="THT574" s="44"/>
      <c r="THU574" s="44"/>
      <c r="THV574" s="44"/>
      <c r="THW574" s="44"/>
      <c r="THX574" s="44"/>
      <c r="THY574" s="44"/>
      <c r="THZ574" s="44"/>
      <c r="TIA574" s="44"/>
      <c r="TIB574" s="44"/>
      <c r="TIC574" s="44"/>
      <c r="TID574" s="44"/>
      <c r="TIE574" s="44"/>
      <c r="TIF574" s="44"/>
      <c r="TIG574" s="44"/>
      <c r="TIH574" s="44"/>
      <c r="TII574" s="44"/>
      <c r="TIJ574" s="44"/>
      <c r="TIK574" s="44"/>
      <c r="TIL574" s="44"/>
      <c r="TIM574" s="44"/>
      <c r="TIN574" s="44"/>
      <c r="TIO574" s="44"/>
      <c r="TIP574" s="44"/>
      <c r="TIQ574" s="44"/>
      <c r="TIR574" s="44"/>
      <c r="TIS574" s="44"/>
      <c r="TIT574" s="44"/>
      <c r="TIU574" s="44"/>
      <c r="TIV574" s="44"/>
      <c r="TIW574" s="44"/>
      <c r="TIX574" s="44"/>
      <c r="TIY574" s="44"/>
      <c r="TIZ574" s="44"/>
      <c r="TJA574" s="44"/>
      <c r="TJB574" s="44"/>
      <c r="TJC574" s="44"/>
      <c r="TJD574" s="44"/>
      <c r="TJE574" s="44"/>
      <c r="TJF574" s="44"/>
      <c r="TJG574" s="44"/>
      <c r="TJH574" s="44"/>
      <c r="TJI574" s="44"/>
      <c r="TJJ574" s="44"/>
      <c r="TJK574" s="44"/>
      <c r="TJL574" s="44"/>
      <c r="TJM574" s="44"/>
      <c r="TJN574" s="44"/>
      <c r="TJO574" s="44"/>
      <c r="TJP574" s="44"/>
      <c r="TJQ574" s="44"/>
      <c r="TJR574" s="44"/>
      <c r="TJS574" s="44"/>
      <c r="TJT574" s="44"/>
      <c r="TJU574" s="44"/>
      <c r="TJV574" s="44"/>
      <c r="TJW574" s="44"/>
      <c r="TJX574" s="44"/>
      <c r="TJY574" s="44"/>
      <c r="TJZ574" s="44"/>
      <c r="TKA574" s="44"/>
      <c r="TKB574" s="44"/>
      <c r="TKC574" s="44"/>
      <c r="TKD574" s="44"/>
      <c r="TKE574" s="44"/>
      <c r="TKF574" s="44"/>
      <c r="TKG574" s="44"/>
      <c r="TKH574" s="44"/>
      <c r="TKI574" s="44"/>
      <c r="TKJ574" s="44"/>
      <c r="TKK574" s="44"/>
      <c r="TKL574" s="44"/>
      <c r="TKM574" s="44"/>
      <c r="TKN574" s="44"/>
      <c r="TKO574" s="44"/>
      <c r="TKP574" s="44"/>
      <c r="TKQ574" s="44"/>
      <c r="TKR574" s="44"/>
      <c r="TKS574" s="44"/>
      <c r="TKT574" s="44"/>
      <c r="TKU574" s="44"/>
      <c r="TKV574" s="44"/>
      <c r="TKW574" s="44"/>
      <c r="TKX574" s="44"/>
      <c r="TKY574" s="44"/>
      <c r="TKZ574" s="44"/>
      <c r="TLA574" s="44"/>
      <c r="TLB574" s="44"/>
      <c r="TLC574" s="44"/>
      <c r="TLD574" s="44"/>
      <c r="TLE574" s="44"/>
      <c r="TLF574" s="44"/>
      <c r="TLG574" s="44"/>
      <c r="TLH574" s="44"/>
      <c r="TLI574" s="44"/>
      <c r="TLJ574" s="44"/>
      <c r="TLK574" s="44"/>
      <c r="TLL574" s="44"/>
      <c r="TLM574" s="44"/>
      <c r="TLN574" s="44"/>
      <c r="TLO574" s="44"/>
      <c r="TLP574" s="44"/>
      <c r="TLQ574" s="44"/>
      <c r="TLR574" s="44"/>
      <c r="TLS574" s="44"/>
      <c r="TLT574" s="44"/>
      <c r="TLU574" s="44"/>
      <c r="TLV574" s="44"/>
      <c r="TLW574" s="44"/>
      <c r="TLX574" s="44"/>
      <c r="TLY574" s="44"/>
      <c r="TLZ574" s="44"/>
      <c r="TMA574" s="44"/>
      <c r="TMB574" s="44"/>
      <c r="TMC574" s="44"/>
      <c r="TMD574" s="44"/>
      <c r="TME574" s="44"/>
      <c r="TMF574" s="44"/>
      <c r="TMG574" s="44"/>
      <c r="TMH574" s="44"/>
      <c r="TMI574" s="44"/>
      <c r="TMJ574" s="44"/>
      <c r="TMK574" s="44"/>
      <c r="TML574" s="44"/>
      <c r="TMM574" s="44"/>
      <c r="TMN574" s="44"/>
      <c r="TMO574" s="44"/>
      <c r="TMP574" s="44"/>
      <c r="TMQ574" s="44"/>
      <c r="TMR574" s="44"/>
      <c r="TMS574" s="44"/>
      <c r="TMT574" s="44"/>
      <c r="TMU574" s="44"/>
      <c r="TMV574" s="44"/>
      <c r="TMW574" s="44"/>
      <c r="TMX574" s="44"/>
      <c r="TMY574" s="44"/>
      <c r="TMZ574" s="44"/>
      <c r="TNA574" s="44"/>
      <c r="TNB574" s="44"/>
      <c r="TNC574" s="44"/>
      <c r="TND574" s="44"/>
      <c r="TNE574" s="44"/>
      <c r="TNF574" s="44"/>
      <c r="TNG574" s="44"/>
      <c r="TNH574" s="44"/>
      <c r="TNI574" s="44"/>
      <c r="TNJ574" s="44"/>
      <c r="TNK574" s="44"/>
      <c r="TNL574" s="44"/>
      <c r="TNM574" s="44"/>
      <c r="TNN574" s="44"/>
      <c r="TNO574" s="44"/>
      <c r="TNP574" s="44"/>
      <c r="TNQ574" s="44"/>
      <c r="TNR574" s="44"/>
      <c r="TNS574" s="44"/>
      <c r="TNT574" s="44"/>
      <c r="TNU574" s="44"/>
      <c r="TNV574" s="44"/>
      <c r="TNW574" s="44"/>
      <c r="TNX574" s="44"/>
      <c r="TNY574" s="44"/>
      <c r="TNZ574" s="44"/>
      <c r="TOA574" s="44"/>
      <c r="TOB574" s="44"/>
      <c r="TOC574" s="44"/>
      <c r="TOD574" s="44"/>
      <c r="TOE574" s="44"/>
      <c r="TOF574" s="44"/>
      <c r="TOG574" s="44"/>
      <c r="TOH574" s="44"/>
      <c r="TOI574" s="44"/>
      <c r="TOJ574" s="44"/>
      <c r="TOK574" s="44"/>
      <c r="TOL574" s="44"/>
      <c r="TOM574" s="44"/>
      <c r="TON574" s="44"/>
      <c r="TOO574" s="44"/>
      <c r="TOP574" s="44"/>
      <c r="TOQ574" s="44"/>
      <c r="TOR574" s="44"/>
      <c r="TOS574" s="44"/>
      <c r="TOT574" s="44"/>
      <c r="TOU574" s="44"/>
      <c r="TOV574" s="44"/>
      <c r="TOW574" s="44"/>
      <c r="TOX574" s="44"/>
      <c r="TOY574" s="44"/>
      <c r="TOZ574" s="44"/>
      <c r="TPA574" s="44"/>
      <c r="TPB574" s="44"/>
      <c r="TPC574" s="44"/>
      <c r="TPD574" s="44"/>
      <c r="TPE574" s="44"/>
      <c r="TPF574" s="44"/>
      <c r="TPG574" s="44"/>
      <c r="TPH574" s="44"/>
      <c r="TPI574" s="44"/>
      <c r="TPJ574" s="44"/>
      <c r="TPK574" s="44"/>
      <c r="TPL574" s="44"/>
      <c r="TPM574" s="44"/>
      <c r="TPN574" s="44"/>
      <c r="TPO574" s="44"/>
      <c r="TPP574" s="44"/>
      <c r="TPQ574" s="44"/>
      <c r="TPR574" s="44"/>
      <c r="TPS574" s="44"/>
      <c r="TPT574" s="44"/>
      <c r="TPU574" s="44"/>
      <c r="TPV574" s="44"/>
      <c r="TPW574" s="44"/>
      <c r="TPX574" s="44"/>
      <c r="TPY574" s="44"/>
      <c r="TPZ574" s="44"/>
      <c r="TQA574" s="44"/>
      <c r="TQB574" s="44"/>
      <c r="TQC574" s="44"/>
      <c r="TQD574" s="44"/>
      <c r="TQE574" s="44"/>
      <c r="TQF574" s="44"/>
      <c r="TQG574" s="44"/>
      <c r="TQH574" s="44"/>
      <c r="TQI574" s="44"/>
      <c r="TQJ574" s="44"/>
      <c r="TQK574" s="44"/>
      <c r="TQL574" s="44"/>
      <c r="TQM574" s="44"/>
      <c r="TQN574" s="44"/>
      <c r="TQO574" s="44"/>
      <c r="TQP574" s="44"/>
      <c r="TQQ574" s="44"/>
      <c r="TQR574" s="44"/>
      <c r="TQS574" s="44"/>
      <c r="TQT574" s="44"/>
      <c r="TQU574" s="44"/>
      <c r="TQV574" s="44"/>
      <c r="TQW574" s="44"/>
      <c r="TQX574" s="44"/>
      <c r="TQY574" s="44"/>
      <c r="TQZ574" s="44"/>
      <c r="TRA574" s="44"/>
      <c r="TRB574" s="44"/>
      <c r="TRC574" s="44"/>
      <c r="TRD574" s="44"/>
      <c r="TRE574" s="44"/>
      <c r="TRF574" s="44"/>
      <c r="TRG574" s="44"/>
      <c r="TRH574" s="44"/>
      <c r="TRI574" s="44"/>
      <c r="TRJ574" s="44"/>
      <c r="TRK574" s="44"/>
      <c r="TRL574" s="44"/>
      <c r="TRM574" s="44"/>
      <c r="TRN574" s="44"/>
      <c r="TRO574" s="44"/>
      <c r="TRP574" s="44"/>
      <c r="TRQ574" s="44"/>
      <c r="TRR574" s="44"/>
      <c r="TRS574" s="44"/>
      <c r="TRT574" s="44"/>
      <c r="TRU574" s="44"/>
      <c r="TRV574" s="44"/>
      <c r="TRW574" s="44"/>
      <c r="TRX574" s="44"/>
      <c r="TRY574" s="44"/>
      <c r="TRZ574" s="44"/>
      <c r="TSA574" s="44"/>
      <c r="TSB574" s="44"/>
      <c r="TSC574" s="44"/>
      <c r="TSD574" s="44"/>
      <c r="TSE574" s="44"/>
      <c r="TSF574" s="44"/>
      <c r="TSG574" s="44"/>
      <c r="TSH574" s="44"/>
      <c r="TSI574" s="44"/>
      <c r="TSJ574" s="44"/>
      <c r="TSK574" s="44"/>
      <c r="TSL574" s="44"/>
      <c r="TSM574" s="44"/>
      <c r="TSN574" s="44"/>
      <c r="TSO574" s="44"/>
      <c r="TSP574" s="44"/>
      <c r="TSQ574" s="44"/>
      <c r="TSR574" s="44"/>
      <c r="TSS574" s="44"/>
      <c r="TST574" s="44"/>
      <c r="TSU574" s="44"/>
      <c r="TSV574" s="44"/>
      <c r="TSW574" s="44"/>
      <c r="TSX574" s="44"/>
      <c r="TSY574" s="44"/>
      <c r="TSZ574" s="44"/>
      <c r="TTA574" s="44"/>
      <c r="TTB574" s="44"/>
      <c r="TTC574" s="44"/>
      <c r="TTD574" s="44"/>
      <c r="TTE574" s="44"/>
      <c r="TTF574" s="44"/>
      <c r="TTG574" s="44"/>
      <c r="TTH574" s="44"/>
      <c r="TTI574" s="44"/>
      <c r="TTJ574" s="44"/>
      <c r="TTK574" s="44"/>
      <c r="TTL574" s="44"/>
      <c r="TTM574" s="44"/>
      <c r="TTN574" s="44"/>
      <c r="TTO574" s="44"/>
      <c r="TTP574" s="44"/>
      <c r="TTQ574" s="44"/>
      <c r="TTR574" s="44"/>
      <c r="TTS574" s="44"/>
      <c r="TTT574" s="44"/>
      <c r="TTU574" s="44"/>
      <c r="TTV574" s="44"/>
      <c r="TTW574" s="44"/>
      <c r="TTX574" s="44"/>
      <c r="TTY574" s="44"/>
      <c r="TTZ574" s="44"/>
      <c r="TUA574" s="44"/>
      <c r="TUB574" s="44"/>
      <c r="TUC574" s="44"/>
      <c r="TUD574" s="44"/>
      <c r="TUE574" s="44"/>
      <c r="TUF574" s="44"/>
      <c r="TUG574" s="44"/>
      <c r="TUH574" s="44"/>
      <c r="TUI574" s="44"/>
      <c r="TUJ574" s="44"/>
      <c r="TUK574" s="44"/>
      <c r="TUL574" s="44"/>
      <c r="TUM574" s="44"/>
      <c r="TUN574" s="44"/>
      <c r="TUO574" s="44"/>
      <c r="TUP574" s="44"/>
      <c r="TUQ574" s="44"/>
      <c r="TUR574" s="44"/>
      <c r="TUS574" s="44"/>
      <c r="TUT574" s="44"/>
      <c r="TUU574" s="44"/>
      <c r="TUV574" s="44"/>
      <c r="TUW574" s="44"/>
      <c r="TUX574" s="44"/>
      <c r="TUY574" s="44"/>
      <c r="TUZ574" s="44"/>
      <c r="TVA574" s="44"/>
      <c r="TVB574" s="44"/>
      <c r="TVC574" s="44"/>
      <c r="TVD574" s="44"/>
      <c r="TVE574" s="44"/>
      <c r="TVF574" s="44"/>
      <c r="TVG574" s="44"/>
      <c r="TVH574" s="44"/>
      <c r="TVI574" s="44"/>
      <c r="TVJ574" s="44"/>
      <c r="TVK574" s="44"/>
      <c r="TVL574" s="44"/>
      <c r="TVM574" s="44"/>
      <c r="TVN574" s="44"/>
      <c r="TVO574" s="44"/>
      <c r="TVP574" s="44"/>
      <c r="TVQ574" s="44"/>
      <c r="TVR574" s="44"/>
      <c r="TVS574" s="44"/>
      <c r="TVT574" s="44"/>
      <c r="TVU574" s="44"/>
      <c r="TVV574" s="44"/>
      <c r="TVW574" s="44"/>
      <c r="TVX574" s="44"/>
      <c r="TVY574" s="44"/>
      <c r="TVZ574" s="44"/>
      <c r="TWA574" s="44"/>
      <c r="TWB574" s="44"/>
      <c r="TWC574" s="44"/>
      <c r="TWD574" s="44"/>
      <c r="TWE574" s="44"/>
      <c r="TWF574" s="44"/>
      <c r="TWG574" s="44"/>
      <c r="TWH574" s="44"/>
      <c r="TWI574" s="44"/>
      <c r="TWJ574" s="44"/>
      <c r="TWK574" s="44"/>
      <c r="TWL574" s="44"/>
      <c r="TWM574" s="44"/>
      <c r="TWN574" s="44"/>
      <c r="TWO574" s="44"/>
      <c r="TWP574" s="44"/>
      <c r="TWQ574" s="44"/>
      <c r="TWR574" s="44"/>
      <c r="TWS574" s="44"/>
      <c r="TWT574" s="44"/>
      <c r="TWU574" s="44"/>
      <c r="TWV574" s="44"/>
      <c r="TWW574" s="44"/>
      <c r="TWX574" s="44"/>
      <c r="TWY574" s="44"/>
      <c r="TWZ574" s="44"/>
      <c r="TXA574" s="44"/>
      <c r="TXB574" s="44"/>
      <c r="TXC574" s="44"/>
      <c r="TXD574" s="44"/>
      <c r="TXE574" s="44"/>
      <c r="TXF574" s="44"/>
      <c r="TXG574" s="44"/>
      <c r="TXH574" s="44"/>
      <c r="TXI574" s="44"/>
      <c r="TXJ574" s="44"/>
      <c r="TXK574" s="44"/>
      <c r="TXL574" s="44"/>
      <c r="TXM574" s="44"/>
      <c r="TXN574" s="44"/>
      <c r="TXO574" s="44"/>
      <c r="TXP574" s="44"/>
      <c r="TXQ574" s="44"/>
      <c r="TXR574" s="44"/>
      <c r="TXS574" s="44"/>
      <c r="TXT574" s="44"/>
      <c r="TXU574" s="44"/>
      <c r="TXV574" s="44"/>
      <c r="TXW574" s="44"/>
      <c r="TXX574" s="44"/>
      <c r="TXY574" s="44"/>
      <c r="TXZ574" s="44"/>
      <c r="TYA574" s="44"/>
      <c r="TYB574" s="44"/>
      <c r="TYC574" s="44"/>
      <c r="TYD574" s="44"/>
      <c r="TYE574" s="44"/>
      <c r="TYF574" s="44"/>
      <c r="TYG574" s="44"/>
      <c r="TYH574" s="44"/>
      <c r="TYI574" s="44"/>
      <c r="TYJ574" s="44"/>
      <c r="TYK574" s="44"/>
      <c r="TYL574" s="44"/>
      <c r="TYM574" s="44"/>
      <c r="TYN574" s="44"/>
      <c r="TYO574" s="44"/>
      <c r="TYP574" s="44"/>
      <c r="TYQ574" s="44"/>
      <c r="TYR574" s="44"/>
      <c r="TYS574" s="44"/>
      <c r="TYT574" s="44"/>
      <c r="TYU574" s="44"/>
      <c r="TYV574" s="44"/>
      <c r="TYW574" s="44"/>
      <c r="TYX574" s="44"/>
      <c r="TYY574" s="44"/>
      <c r="TYZ574" s="44"/>
      <c r="TZA574" s="44"/>
      <c r="TZB574" s="44"/>
      <c r="TZC574" s="44"/>
      <c r="TZD574" s="44"/>
      <c r="TZE574" s="44"/>
      <c r="TZF574" s="44"/>
      <c r="TZG574" s="44"/>
      <c r="TZH574" s="44"/>
      <c r="TZI574" s="44"/>
      <c r="TZJ574" s="44"/>
      <c r="TZK574" s="44"/>
      <c r="TZL574" s="44"/>
      <c r="TZM574" s="44"/>
      <c r="TZN574" s="44"/>
      <c r="TZO574" s="44"/>
      <c r="TZP574" s="44"/>
      <c r="TZQ574" s="44"/>
      <c r="TZR574" s="44"/>
      <c r="TZS574" s="44"/>
      <c r="TZT574" s="44"/>
      <c r="TZU574" s="44"/>
      <c r="TZV574" s="44"/>
      <c r="TZW574" s="44"/>
      <c r="TZX574" s="44"/>
      <c r="TZY574" s="44"/>
      <c r="TZZ574" s="44"/>
      <c r="UAA574" s="44"/>
      <c r="UAB574" s="44"/>
      <c r="UAC574" s="44"/>
      <c r="UAD574" s="44"/>
      <c r="UAE574" s="44"/>
      <c r="UAF574" s="44"/>
      <c r="UAG574" s="44"/>
      <c r="UAH574" s="44"/>
      <c r="UAI574" s="44"/>
      <c r="UAJ574" s="44"/>
      <c r="UAK574" s="44"/>
      <c r="UAL574" s="44"/>
      <c r="UAM574" s="44"/>
      <c r="UAN574" s="44"/>
      <c r="UAO574" s="44"/>
      <c r="UAP574" s="44"/>
      <c r="UAQ574" s="44"/>
      <c r="UAR574" s="44"/>
      <c r="UAS574" s="44"/>
      <c r="UAT574" s="44"/>
      <c r="UAU574" s="44"/>
      <c r="UAV574" s="44"/>
      <c r="UAW574" s="44"/>
      <c r="UAX574" s="44"/>
      <c r="UAY574" s="44"/>
      <c r="UAZ574" s="44"/>
      <c r="UBA574" s="44"/>
      <c r="UBB574" s="44"/>
      <c r="UBC574" s="44"/>
      <c r="UBD574" s="44"/>
      <c r="UBE574" s="44"/>
      <c r="UBF574" s="44"/>
      <c r="UBG574" s="44"/>
      <c r="UBH574" s="44"/>
      <c r="UBI574" s="44"/>
      <c r="UBJ574" s="44"/>
      <c r="UBK574" s="44"/>
      <c r="UBL574" s="44"/>
      <c r="UBM574" s="44"/>
      <c r="UBN574" s="44"/>
      <c r="UBO574" s="44"/>
      <c r="UBP574" s="44"/>
      <c r="UBQ574" s="44"/>
      <c r="UBR574" s="44"/>
      <c r="UBS574" s="44"/>
      <c r="UBT574" s="44"/>
      <c r="UBU574" s="44"/>
      <c r="UBV574" s="44"/>
      <c r="UBW574" s="44"/>
      <c r="UBX574" s="44"/>
      <c r="UBY574" s="44"/>
      <c r="UBZ574" s="44"/>
      <c r="UCA574" s="44"/>
      <c r="UCB574" s="44"/>
      <c r="UCC574" s="44"/>
      <c r="UCD574" s="44"/>
      <c r="UCE574" s="44"/>
      <c r="UCF574" s="44"/>
      <c r="UCG574" s="44"/>
      <c r="UCH574" s="44"/>
      <c r="UCI574" s="44"/>
      <c r="UCJ574" s="44"/>
      <c r="UCK574" s="44"/>
      <c r="UCL574" s="44"/>
      <c r="UCM574" s="44"/>
      <c r="UCN574" s="44"/>
      <c r="UCO574" s="44"/>
      <c r="UCP574" s="44"/>
      <c r="UCQ574" s="44"/>
      <c r="UCR574" s="44"/>
      <c r="UCS574" s="44"/>
      <c r="UCT574" s="44"/>
      <c r="UCU574" s="44"/>
      <c r="UCV574" s="44"/>
      <c r="UCW574" s="44"/>
      <c r="UCX574" s="44"/>
      <c r="UCY574" s="44"/>
      <c r="UCZ574" s="44"/>
      <c r="UDA574" s="44"/>
      <c r="UDB574" s="44"/>
      <c r="UDC574" s="44"/>
      <c r="UDD574" s="44"/>
      <c r="UDE574" s="44"/>
      <c r="UDF574" s="44"/>
      <c r="UDG574" s="44"/>
      <c r="UDH574" s="44"/>
      <c r="UDI574" s="44"/>
      <c r="UDJ574" s="44"/>
      <c r="UDK574" s="44"/>
      <c r="UDL574" s="44"/>
      <c r="UDM574" s="44"/>
      <c r="UDN574" s="44"/>
      <c r="UDO574" s="44"/>
      <c r="UDP574" s="44"/>
      <c r="UDQ574" s="44"/>
      <c r="UDR574" s="44"/>
      <c r="UDS574" s="44"/>
      <c r="UDT574" s="44"/>
      <c r="UDU574" s="44"/>
      <c r="UDV574" s="44"/>
      <c r="UDW574" s="44"/>
      <c r="UDX574" s="44"/>
      <c r="UDY574" s="44"/>
      <c r="UDZ574" s="44"/>
      <c r="UEA574" s="44"/>
      <c r="UEB574" s="44"/>
      <c r="UEC574" s="44"/>
      <c r="UED574" s="44"/>
      <c r="UEE574" s="44"/>
      <c r="UEF574" s="44"/>
      <c r="UEG574" s="44"/>
      <c r="UEH574" s="44"/>
      <c r="UEI574" s="44"/>
      <c r="UEJ574" s="44"/>
      <c r="UEK574" s="44"/>
      <c r="UEL574" s="44"/>
      <c r="UEM574" s="44"/>
      <c r="UEN574" s="44"/>
      <c r="UEO574" s="44"/>
      <c r="UEP574" s="44"/>
      <c r="UEQ574" s="44"/>
      <c r="UER574" s="44"/>
      <c r="UES574" s="44"/>
      <c r="UET574" s="44"/>
      <c r="UEU574" s="44"/>
      <c r="UEV574" s="44"/>
      <c r="UEW574" s="44"/>
      <c r="UEX574" s="44"/>
      <c r="UEY574" s="44"/>
      <c r="UEZ574" s="44"/>
      <c r="UFA574" s="44"/>
      <c r="UFB574" s="44"/>
      <c r="UFC574" s="44"/>
      <c r="UFD574" s="44"/>
      <c r="UFE574" s="44"/>
      <c r="UFF574" s="44"/>
      <c r="UFG574" s="44"/>
      <c r="UFH574" s="44"/>
      <c r="UFI574" s="44"/>
      <c r="UFJ574" s="44"/>
      <c r="UFK574" s="44"/>
      <c r="UFL574" s="44"/>
      <c r="UFM574" s="44"/>
      <c r="UFN574" s="44"/>
      <c r="UFO574" s="44"/>
      <c r="UFP574" s="44"/>
      <c r="UFQ574" s="44"/>
      <c r="UFR574" s="44"/>
      <c r="UFS574" s="44"/>
      <c r="UFT574" s="44"/>
      <c r="UFU574" s="44"/>
      <c r="UFV574" s="44"/>
      <c r="UFW574" s="44"/>
      <c r="UFX574" s="44"/>
      <c r="UFY574" s="44"/>
      <c r="UFZ574" s="44"/>
      <c r="UGA574" s="44"/>
      <c r="UGB574" s="44"/>
      <c r="UGC574" s="44"/>
      <c r="UGD574" s="44"/>
      <c r="UGE574" s="44"/>
      <c r="UGF574" s="44"/>
      <c r="UGG574" s="44"/>
      <c r="UGH574" s="44"/>
      <c r="UGI574" s="44"/>
      <c r="UGJ574" s="44"/>
      <c r="UGK574" s="44"/>
      <c r="UGL574" s="44"/>
      <c r="UGM574" s="44"/>
      <c r="UGN574" s="44"/>
      <c r="UGO574" s="44"/>
      <c r="UGP574" s="44"/>
      <c r="UGQ574" s="44"/>
      <c r="UGR574" s="44"/>
      <c r="UGS574" s="44"/>
      <c r="UGT574" s="44"/>
      <c r="UGU574" s="44"/>
      <c r="UGV574" s="44"/>
      <c r="UGW574" s="44"/>
      <c r="UGX574" s="44"/>
      <c r="UGY574" s="44"/>
      <c r="UGZ574" s="44"/>
      <c r="UHA574" s="44"/>
      <c r="UHB574" s="44"/>
      <c r="UHC574" s="44"/>
      <c r="UHD574" s="44"/>
      <c r="UHE574" s="44"/>
      <c r="UHF574" s="44"/>
      <c r="UHG574" s="44"/>
      <c r="UHH574" s="44"/>
      <c r="UHI574" s="44"/>
      <c r="UHJ574" s="44"/>
      <c r="UHK574" s="44"/>
      <c r="UHL574" s="44"/>
      <c r="UHM574" s="44"/>
      <c r="UHN574" s="44"/>
      <c r="UHO574" s="44"/>
      <c r="UHP574" s="44"/>
      <c r="UHQ574" s="44"/>
      <c r="UHR574" s="44"/>
      <c r="UHS574" s="44"/>
      <c r="UHT574" s="44"/>
      <c r="UHU574" s="44"/>
      <c r="UHV574" s="44"/>
      <c r="UHW574" s="44"/>
      <c r="UHX574" s="44"/>
      <c r="UHY574" s="44"/>
      <c r="UHZ574" s="44"/>
      <c r="UIA574" s="44"/>
      <c r="UIB574" s="44"/>
      <c r="UIC574" s="44"/>
      <c r="UID574" s="44"/>
      <c r="UIE574" s="44"/>
      <c r="UIF574" s="44"/>
      <c r="UIG574" s="44"/>
      <c r="UIH574" s="44"/>
      <c r="UII574" s="44"/>
      <c r="UIJ574" s="44"/>
      <c r="UIK574" s="44"/>
      <c r="UIL574" s="44"/>
      <c r="UIM574" s="44"/>
      <c r="UIN574" s="44"/>
      <c r="UIO574" s="44"/>
      <c r="UIP574" s="44"/>
      <c r="UIQ574" s="44"/>
      <c r="UIR574" s="44"/>
      <c r="UIS574" s="44"/>
      <c r="UIT574" s="44"/>
      <c r="UIU574" s="44"/>
      <c r="UIV574" s="44"/>
      <c r="UIW574" s="44"/>
      <c r="UIX574" s="44"/>
      <c r="UIY574" s="44"/>
      <c r="UIZ574" s="44"/>
      <c r="UJA574" s="44"/>
      <c r="UJB574" s="44"/>
      <c r="UJC574" s="44"/>
      <c r="UJD574" s="44"/>
      <c r="UJE574" s="44"/>
      <c r="UJF574" s="44"/>
      <c r="UJG574" s="44"/>
      <c r="UJH574" s="44"/>
      <c r="UJI574" s="44"/>
      <c r="UJJ574" s="44"/>
      <c r="UJK574" s="44"/>
      <c r="UJL574" s="44"/>
      <c r="UJM574" s="44"/>
      <c r="UJN574" s="44"/>
      <c r="UJO574" s="44"/>
      <c r="UJP574" s="44"/>
      <c r="UJQ574" s="44"/>
      <c r="UJR574" s="44"/>
      <c r="UJS574" s="44"/>
      <c r="UJT574" s="44"/>
      <c r="UJU574" s="44"/>
      <c r="UJV574" s="44"/>
      <c r="UJW574" s="44"/>
      <c r="UJX574" s="44"/>
      <c r="UJY574" s="44"/>
      <c r="UJZ574" s="44"/>
      <c r="UKA574" s="44"/>
      <c r="UKB574" s="44"/>
      <c r="UKC574" s="44"/>
      <c r="UKD574" s="44"/>
      <c r="UKE574" s="44"/>
      <c r="UKF574" s="44"/>
      <c r="UKG574" s="44"/>
      <c r="UKH574" s="44"/>
      <c r="UKI574" s="44"/>
      <c r="UKJ574" s="44"/>
      <c r="UKK574" s="44"/>
      <c r="UKL574" s="44"/>
      <c r="UKM574" s="44"/>
      <c r="UKN574" s="44"/>
      <c r="UKO574" s="44"/>
      <c r="UKP574" s="44"/>
      <c r="UKQ574" s="44"/>
      <c r="UKR574" s="44"/>
      <c r="UKS574" s="44"/>
      <c r="UKT574" s="44"/>
      <c r="UKU574" s="44"/>
      <c r="UKV574" s="44"/>
      <c r="UKW574" s="44"/>
      <c r="UKX574" s="44"/>
      <c r="UKY574" s="44"/>
      <c r="UKZ574" s="44"/>
      <c r="ULA574" s="44"/>
      <c r="ULB574" s="44"/>
      <c r="ULC574" s="44"/>
      <c r="ULD574" s="44"/>
      <c r="ULE574" s="44"/>
      <c r="ULF574" s="44"/>
      <c r="ULG574" s="44"/>
      <c r="ULH574" s="44"/>
      <c r="ULI574" s="44"/>
      <c r="ULJ574" s="44"/>
      <c r="ULK574" s="44"/>
      <c r="ULL574" s="44"/>
      <c r="ULM574" s="44"/>
      <c r="ULN574" s="44"/>
      <c r="ULO574" s="44"/>
      <c r="ULP574" s="44"/>
      <c r="ULQ574" s="44"/>
      <c r="ULR574" s="44"/>
      <c r="ULS574" s="44"/>
      <c r="ULT574" s="44"/>
      <c r="ULU574" s="44"/>
      <c r="ULV574" s="44"/>
      <c r="ULW574" s="44"/>
      <c r="ULX574" s="44"/>
      <c r="ULY574" s="44"/>
      <c r="ULZ574" s="44"/>
      <c r="UMA574" s="44"/>
      <c r="UMB574" s="44"/>
      <c r="UMC574" s="44"/>
      <c r="UMD574" s="44"/>
      <c r="UME574" s="44"/>
      <c r="UMF574" s="44"/>
      <c r="UMG574" s="44"/>
      <c r="UMH574" s="44"/>
      <c r="UMI574" s="44"/>
      <c r="UMJ574" s="44"/>
      <c r="UMK574" s="44"/>
      <c r="UML574" s="44"/>
      <c r="UMM574" s="44"/>
      <c r="UMN574" s="44"/>
      <c r="UMO574" s="44"/>
      <c r="UMP574" s="44"/>
      <c r="UMQ574" s="44"/>
      <c r="UMR574" s="44"/>
      <c r="UMS574" s="44"/>
      <c r="UMT574" s="44"/>
      <c r="UMU574" s="44"/>
      <c r="UMV574" s="44"/>
      <c r="UMW574" s="44"/>
      <c r="UMX574" s="44"/>
      <c r="UMY574" s="44"/>
      <c r="UMZ574" s="44"/>
      <c r="UNA574" s="44"/>
      <c r="UNB574" s="44"/>
      <c r="UNC574" s="44"/>
      <c r="UND574" s="44"/>
      <c r="UNE574" s="44"/>
      <c r="UNF574" s="44"/>
      <c r="UNG574" s="44"/>
      <c r="UNH574" s="44"/>
      <c r="UNI574" s="44"/>
      <c r="UNJ574" s="44"/>
      <c r="UNK574" s="44"/>
      <c r="UNL574" s="44"/>
      <c r="UNM574" s="44"/>
      <c r="UNN574" s="44"/>
      <c r="UNO574" s="44"/>
      <c r="UNP574" s="44"/>
      <c r="UNQ574" s="44"/>
      <c r="UNR574" s="44"/>
      <c r="UNS574" s="44"/>
      <c r="UNT574" s="44"/>
      <c r="UNU574" s="44"/>
      <c r="UNV574" s="44"/>
      <c r="UNW574" s="44"/>
      <c r="UNX574" s="44"/>
      <c r="UNY574" s="44"/>
      <c r="UNZ574" s="44"/>
      <c r="UOA574" s="44"/>
      <c r="UOB574" s="44"/>
      <c r="UOC574" s="44"/>
      <c r="UOD574" s="44"/>
      <c r="UOE574" s="44"/>
      <c r="UOF574" s="44"/>
      <c r="UOG574" s="44"/>
      <c r="UOH574" s="44"/>
      <c r="UOI574" s="44"/>
      <c r="UOJ574" s="44"/>
      <c r="UOK574" s="44"/>
      <c r="UOL574" s="44"/>
      <c r="UOM574" s="44"/>
      <c r="UON574" s="44"/>
      <c r="UOO574" s="44"/>
      <c r="UOP574" s="44"/>
      <c r="UOQ574" s="44"/>
      <c r="UOR574" s="44"/>
      <c r="UOS574" s="44"/>
      <c r="UOT574" s="44"/>
      <c r="UOU574" s="44"/>
      <c r="UOV574" s="44"/>
      <c r="UOW574" s="44"/>
      <c r="UOX574" s="44"/>
      <c r="UOY574" s="44"/>
      <c r="UOZ574" s="44"/>
      <c r="UPA574" s="44"/>
      <c r="UPB574" s="44"/>
      <c r="UPC574" s="44"/>
      <c r="UPD574" s="44"/>
      <c r="UPE574" s="44"/>
      <c r="UPF574" s="44"/>
      <c r="UPG574" s="44"/>
      <c r="UPH574" s="44"/>
      <c r="UPI574" s="44"/>
      <c r="UPJ574" s="44"/>
      <c r="UPK574" s="44"/>
      <c r="UPL574" s="44"/>
      <c r="UPM574" s="44"/>
      <c r="UPN574" s="44"/>
      <c r="UPO574" s="44"/>
      <c r="UPP574" s="44"/>
      <c r="UPQ574" s="44"/>
      <c r="UPR574" s="44"/>
      <c r="UPS574" s="44"/>
      <c r="UPT574" s="44"/>
      <c r="UPU574" s="44"/>
      <c r="UPV574" s="44"/>
      <c r="UPW574" s="44"/>
      <c r="UPX574" s="44"/>
      <c r="UPY574" s="44"/>
      <c r="UPZ574" s="44"/>
      <c r="UQA574" s="44"/>
      <c r="UQB574" s="44"/>
      <c r="UQC574" s="44"/>
      <c r="UQD574" s="44"/>
      <c r="UQE574" s="44"/>
      <c r="UQF574" s="44"/>
      <c r="UQG574" s="44"/>
      <c r="UQH574" s="44"/>
      <c r="UQI574" s="44"/>
      <c r="UQJ574" s="44"/>
      <c r="UQK574" s="44"/>
      <c r="UQL574" s="44"/>
      <c r="UQM574" s="44"/>
      <c r="UQN574" s="44"/>
      <c r="UQO574" s="44"/>
      <c r="UQP574" s="44"/>
      <c r="UQQ574" s="44"/>
      <c r="UQR574" s="44"/>
      <c r="UQS574" s="44"/>
      <c r="UQT574" s="44"/>
      <c r="UQU574" s="44"/>
      <c r="UQV574" s="44"/>
      <c r="UQW574" s="44"/>
      <c r="UQX574" s="44"/>
      <c r="UQY574" s="44"/>
      <c r="UQZ574" s="44"/>
      <c r="URA574" s="44"/>
      <c r="URB574" s="44"/>
      <c r="URC574" s="44"/>
      <c r="URD574" s="44"/>
      <c r="URE574" s="44"/>
      <c r="URF574" s="44"/>
      <c r="URG574" s="44"/>
      <c r="URH574" s="44"/>
      <c r="URI574" s="44"/>
      <c r="URJ574" s="44"/>
      <c r="URK574" s="44"/>
      <c r="URL574" s="44"/>
      <c r="URM574" s="44"/>
      <c r="URN574" s="44"/>
      <c r="URO574" s="44"/>
      <c r="URP574" s="44"/>
      <c r="URQ574" s="44"/>
      <c r="URR574" s="44"/>
      <c r="URS574" s="44"/>
      <c r="URT574" s="44"/>
      <c r="URU574" s="44"/>
      <c r="URV574" s="44"/>
      <c r="URW574" s="44"/>
      <c r="URX574" s="44"/>
      <c r="URY574" s="44"/>
      <c r="URZ574" s="44"/>
      <c r="USA574" s="44"/>
      <c r="USB574" s="44"/>
      <c r="USC574" s="44"/>
      <c r="USD574" s="44"/>
      <c r="USE574" s="44"/>
      <c r="USF574" s="44"/>
      <c r="USG574" s="44"/>
      <c r="USH574" s="44"/>
      <c r="USI574" s="44"/>
      <c r="USJ574" s="44"/>
      <c r="USK574" s="44"/>
      <c r="USL574" s="44"/>
      <c r="USM574" s="44"/>
      <c r="USN574" s="44"/>
      <c r="USO574" s="44"/>
      <c r="USP574" s="44"/>
      <c r="USQ574" s="44"/>
      <c r="USR574" s="44"/>
      <c r="USS574" s="44"/>
      <c r="UST574" s="44"/>
      <c r="USU574" s="44"/>
      <c r="USV574" s="44"/>
      <c r="USW574" s="44"/>
      <c r="USX574" s="44"/>
      <c r="USY574" s="44"/>
      <c r="USZ574" s="44"/>
      <c r="UTA574" s="44"/>
      <c r="UTB574" s="44"/>
      <c r="UTC574" s="44"/>
      <c r="UTD574" s="44"/>
      <c r="UTE574" s="44"/>
      <c r="UTF574" s="44"/>
      <c r="UTG574" s="44"/>
      <c r="UTH574" s="44"/>
      <c r="UTI574" s="44"/>
      <c r="UTJ574" s="44"/>
      <c r="UTK574" s="44"/>
      <c r="UTL574" s="44"/>
      <c r="UTM574" s="44"/>
      <c r="UTN574" s="44"/>
      <c r="UTO574" s="44"/>
      <c r="UTP574" s="44"/>
      <c r="UTQ574" s="44"/>
      <c r="UTR574" s="44"/>
      <c r="UTS574" s="44"/>
      <c r="UTT574" s="44"/>
      <c r="UTU574" s="44"/>
      <c r="UTV574" s="44"/>
      <c r="UTW574" s="44"/>
      <c r="UTX574" s="44"/>
      <c r="UTY574" s="44"/>
      <c r="UTZ574" s="44"/>
      <c r="UUA574" s="44"/>
      <c r="UUB574" s="44"/>
      <c r="UUC574" s="44"/>
      <c r="UUD574" s="44"/>
      <c r="UUE574" s="44"/>
      <c r="UUF574" s="44"/>
      <c r="UUG574" s="44"/>
      <c r="UUH574" s="44"/>
      <c r="UUI574" s="44"/>
      <c r="UUJ574" s="44"/>
      <c r="UUK574" s="44"/>
      <c r="UUL574" s="44"/>
      <c r="UUM574" s="44"/>
      <c r="UUN574" s="44"/>
      <c r="UUO574" s="44"/>
      <c r="UUP574" s="44"/>
      <c r="UUQ574" s="44"/>
      <c r="UUR574" s="44"/>
      <c r="UUS574" s="44"/>
      <c r="UUT574" s="44"/>
      <c r="UUU574" s="44"/>
      <c r="UUV574" s="44"/>
      <c r="UUW574" s="44"/>
      <c r="UUX574" s="44"/>
      <c r="UUY574" s="44"/>
      <c r="UUZ574" s="44"/>
      <c r="UVA574" s="44"/>
      <c r="UVB574" s="44"/>
      <c r="UVC574" s="44"/>
      <c r="UVD574" s="44"/>
      <c r="UVE574" s="44"/>
      <c r="UVF574" s="44"/>
      <c r="UVG574" s="44"/>
      <c r="UVH574" s="44"/>
      <c r="UVI574" s="44"/>
      <c r="UVJ574" s="44"/>
      <c r="UVK574" s="44"/>
      <c r="UVL574" s="44"/>
      <c r="UVM574" s="44"/>
      <c r="UVN574" s="44"/>
      <c r="UVO574" s="44"/>
      <c r="UVP574" s="44"/>
      <c r="UVQ574" s="44"/>
      <c r="UVR574" s="44"/>
      <c r="UVS574" s="44"/>
      <c r="UVT574" s="44"/>
      <c r="UVU574" s="44"/>
      <c r="UVV574" s="44"/>
      <c r="UVW574" s="44"/>
      <c r="UVX574" s="44"/>
      <c r="UVY574" s="44"/>
      <c r="UVZ574" s="44"/>
      <c r="UWA574" s="44"/>
      <c r="UWB574" s="44"/>
      <c r="UWC574" s="44"/>
      <c r="UWD574" s="44"/>
      <c r="UWE574" s="44"/>
      <c r="UWF574" s="44"/>
      <c r="UWG574" s="44"/>
      <c r="UWH574" s="44"/>
      <c r="UWI574" s="44"/>
      <c r="UWJ574" s="44"/>
      <c r="UWK574" s="44"/>
      <c r="UWL574" s="44"/>
      <c r="UWM574" s="44"/>
      <c r="UWN574" s="44"/>
      <c r="UWO574" s="44"/>
      <c r="UWP574" s="44"/>
      <c r="UWQ574" s="44"/>
      <c r="UWR574" s="44"/>
      <c r="UWS574" s="44"/>
      <c r="UWT574" s="44"/>
      <c r="UWU574" s="44"/>
      <c r="UWV574" s="44"/>
      <c r="UWW574" s="44"/>
      <c r="UWX574" s="44"/>
      <c r="UWY574" s="44"/>
      <c r="UWZ574" s="44"/>
      <c r="UXA574" s="44"/>
      <c r="UXB574" s="44"/>
      <c r="UXC574" s="44"/>
      <c r="UXD574" s="44"/>
      <c r="UXE574" s="44"/>
      <c r="UXF574" s="44"/>
      <c r="UXG574" s="44"/>
      <c r="UXH574" s="44"/>
      <c r="UXI574" s="44"/>
      <c r="UXJ574" s="44"/>
      <c r="UXK574" s="44"/>
      <c r="UXL574" s="44"/>
      <c r="UXM574" s="44"/>
      <c r="UXN574" s="44"/>
      <c r="UXO574" s="44"/>
      <c r="UXP574" s="44"/>
      <c r="UXQ574" s="44"/>
      <c r="UXR574" s="44"/>
      <c r="UXS574" s="44"/>
      <c r="UXT574" s="44"/>
      <c r="UXU574" s="44"/>
      <c r="UXV574" s="44"/>
      <c r="UXW574" s="44"/>
      <c r="UXX574" s="44"/>
      <c r="UXY574" s="44"/>
      <c r="UXZ574" s="44"/>
      <c r="UYA574" s="44"/>
      <c r="UYB574" s="44"/>
      <c r="UYC574" s="44"/>
      <c r="UYD574" s="44"/>
      <c r="UYE574" s="44"/>
      <c r="UYF574" s="44"/>
      <c r="UYG574" s="44"/>
      <c r="UYH574" s="44"/>
      <c r="UYI574" s="44"/>
      <c r="UYJ574" s="44"/>
      <c r="UYK574" s="44"/>
      <c r="UYL574" s="44"/>
      <c r="UYM574" s="44"/>
      <c r="UYN574" s="44"/>
      <c r="UYO574" s="44"/>
      <c r="UYP574" s="44"/>
      <c r="UYQ574" s="44"/>
      <c r="UYR574" s="44"/>
      <c r="UYS574" s="44"/>
      <c r="UYT574" s="44"/>
      <c r="UYU574" s="44"/>
      <c r="UYV574" s="44"/>
      <c r="UYW574" s="44"/>
      <c r="UYX574" s="44"/>
      <c r="UYY574" s="44"/>
      <c r="UYZ574" s="44"/>
      <c r="UZA574" s="44"/>
      <c r="UZB574" s="44"/>
      <c r="UZC574" s="44"/>
      <c r="UZD574" s="44"/>
      <c r="UZE574" s="44"/>
      <c r="UZF574" s="44"/>
      <c r="UZG574" s="44"/>
      <c r="UZH574" s="44"/>
      <c r="UZI574" s="44"/>
      <c r="UZJ574" s="44"/>
      <c r="UZK574" s="44"/>
      <c r="UZL574" s="44"/>
      <c r="UZM574" s="44"/>
      <c r="UZN574" s="44"/>
      <c r="UZO574" s="44"/>
      <c r="UZP574" s="44"/>
      <c r="UZQ574" s="44"/>
      <c r="UZR574" s="44"/>
      <c r="UZS574" s="44"/>
      <c r="UZT574" s="44"/>
      <c r="UZU574" s="44"/>
      <c r="UZV574" s="44"/>
      <c r="UZW574" s="44"/>
      <c r="UZX574" s="44"/>
      <c r="UZY574" s="44"/>
      <c r="UZZ574" s="44"/>
      <c r="VAA574" s="44"/>
      <c r="VAB574" s="44"/>
      <c r="VAC574" s="44"/>
      <c r="VAD574" s="44"/>
      <c r="VAE574" s="44"/>
      <c r="VAF574" s="44"/>
      <c r="VAG574" s="44"/>
      <c r="VAH574" s="44"/>
      <c r="VAI574" s="44"/>
      <c r="VAJ574" s="44"/>
      <c r="VAK574" s="44"/>
      <c r="VAL574" s="44"/>
      <c r="VAM574" s="44"/>
      <c r="VAN574" s="44"/>
      <c r="VAO574" s="44"/>
      <c r="VAP574" s="44"/>
      <c r="VAQ574" s="44"/>
      <c r="VAR574" s="44"/>
      <c r="VAS574" s="44"/>
      <c r="VAT574" s="44"/>
      <c r="VAU574" s="44"/>
      <c r="VAV574" s="44"/>
      <c r="VAW574" s="44"/>
      <c r="VAX574" s="44"/>
      <c r="VAY574" s="44"/>
      <c r="VAZ574" s="44"/>
      <c r="VBA574" s="44"/>
      <c r="VBB574" s="44"/>
      <c r="VBC574" s="44"/>
      <c r="VBD574" s="44"/>
      <c r="VBE574" s="44"/>
      <c r="VBF574" s="44"/>
      <c r="VBG574" s="44"/>
      <c r="VBH574" s="44"/>
      <c r="VBI574" s="44"/>
      <c r="VBJ574" s="44"/>
      <c r="VBK574" s="44"/>
      <c r="VBL574" s="44"/>
      <c r="VBM574" s="44"/>
      <c r="VBN574" s="44"/>
      <c r="VBO574" s="44"/>
      <c r="VBP574" s="44"/>
      <c r="VBQ574" s="44"/>
      <c r="VBR574" s="44"/>
      <c r="VBS574" s="44"/>
      <c r="VBT574" s="44"/>
      <c r="VBU574" s="44"/>
      <c r="VBV574" s="44"/>
      <c r="VBW574" s="44"/>
      <c r="VBX574" s="44"/>
      <c r="VBY574" s="44"/>
      <c r="VBZ574" s="44"/>
      <c r="VCA574" s="44"/>
      <c r="VCB574" s="44"/>
      <c r="VCC574" s="44"/>
      <c r="VCD574" s="44"/>
      <c r="VCE574" s="44"/>
      <c r="VCF574" s="44"/>
      <c r="VCG574" s="44"/>
      <c r="VCH574" s="44"/>
      <c r="VCI574" s="44"/>
      <c r="VCJ574" s="44"/>
      <c r="VCK574" s="44"/>
      <c r="VCL574" s="44"/>
      <c r="VCM574" s="44"/>
      <c r="VCN574" s="44"/>
      <c r="VCO574" s="44"/>
      <c r="VCP574" s="44"/>
      <c r="VCQ574" s="44"/>
      <c r="VCR574" s="44"/>
      <c r="VCS574" s="44"/>
      <c r="VCT574" s="44"/>
      <c r="VCU574" s="44"/>
      <c r="VCV574" s="44"/>
      <c r="VCW574" s="44"/>
      <c r="VCX574" s="44"/>
      <c r="VCY574" s="44"/>
      <c r="VCZ574" s="44"/>
      <c r="VDA574" s="44"/>
      <c r="VDB574" s="44"/>
      <c r="VDC574" s="44"/>
      <c r="VDD574" s="44"/>
      <c r="VDE574" s="44"/>
      <c r="VDF574" s="44"/>
      <c r="VDG574" s="44"/>
      <c r="VDH574" s="44"/>
      <c r="VDI574" s="44"/>
      <c r="VDJ574" s="44"/>
      <c r="VDK574" s="44"/>
      <c r="VDL574" s="44"/>
      <c r="VDM574" s="44"/>
      <c r="VDN574" s="44"/>
      <c r="VDO574" s="44"/>
      <c r="VDP574" s="44"/>
      <c r="VDQ574" s="44"/>
      <c r="VDR574" s="44"/>
      <c r="VDS574" s="44"/>
      <c r="VDT574" s="44"/>
      <c r="VDU574" s="44"/>
      <c r="VDV574" s="44"/>
      <c r="VDW574" s="44"/>
      <c r="VDX574" s="44"/>
      <c r="VDY574" s="44"/>
      <c r="VDZ574" s="44"/>
      <c r="VEA574" s="44"/>
      <c r="VEB574" s="44"/>
      <c r="VEC574" s="44"/>
      <c r="VED574" s="44"/>
      <c r="VEE574" s="44"/>
      <c r="VEF574" s="44"/>
      <c r="VEG574" s="44"/>
      <c r="VEH574" s="44"/>
      <c r="VEI574" s="44"/>
      <c r="VEJ574" s="44"/>
      <c r="VEK574" s="44"/>
      <c r="VEL574" s="44"/>
      <c r="VEM574" s="44"/>
      <c r="VEN574" s="44"/>
      <c r="VEO574" s="44"/>
      <c r="VEP574" s="44"/>
      <c r="VEQ574" s="44"/>
      <c r="VER574" s="44"/>
      <c r="VES574" s="44"/>
      <c r="VET574" s="44"/>
      <c r="VEU574" s="44"/>
      <c r="VEV574" s="44"/>
      <c r="VEW574" s="44"/>
      <c r="VEX574" s="44"/>
      <c r="VEY574" s="44"/>
      <c r="VEZ574" s="44"/>
      <c r="VFA574" s="44"/>
      <c r="VFB574" s="44"/>
      <c r="VFC574" s="44"/>
      <c r="VFD574" s="44"/>
      <c r="VFE574" s="44"/>
      <c r="VFF574" s="44"/>
      <c r="VFG574" s="44"/>
      <c r="VFH574" s="44"/>
      <c r="VFI574" s="44"/>
      <c r="VFJ574" s="44"/>
      <c r="VFK574" s="44"/>
      <c r="VFL574" s="44"/>
      <c r="VFM574" s="44"/>
      <c r="VFN574" s="44"/>
      <c r="VFO574" s="44"/>
      <c r="VFP574" s="44"/>
      <c r="VFQ574" s="44"/>
      <c r="VFR574" s="44"/>
      <c r="VFS574" s="44"/>
      <c r="VFT574" s="44"/>
      <c r="VFU574" s="44"/>
      <c r="VFV574" s="44"/>
      <c r="VFW574" s="44"/>
      <c r="VFX574" s="44"/>
      <c r="VFY574" s="44"/>
      <c r="VFZ574" s="44"/>
      <c r="VGA574" s="44"/>
      <c r="VGB574" s="44"/>
      <c r="VGC574" s="44"/>
      <c r="VGD574" s="44"/>
      <c r="VGE574" s="44"/>
      <c r="VGF574" s="44"/>
      <c r="VGG574" s="44"/>
      <c r="VGH574" s="44"/>
      <c r="VGI574" s="44"/>
      <c r="VGJ574" s="44"/>
      <c r="VGK574" s="44"/>
      <c r="VGL574" s="44"/>
      <c r="VGM574" s="44"/>
      <c r="VGN574" s="44"/>
      <c r="VGO574" s="44"/>
      <c r="VGP574" s="44"/>
      <c r="VGQ574" s="44"/>
      <c r="VGR574" s="44"/>
      <c r="VGS574" s="44"/>
      <c r="VGT574" s="44"/>
      <c r="VGU574" s="44"/>
      <c r="VGV574" s="44"/>
      <c r="VGW574" s="44"/>
      <c r="VGX574" s="44"/>
      <c r="VGY574" s="44"/>
      <c r="VGZ574" s="44"/>
      <c r="VHA574" s="44"/>
      <c r="VHB574" s="44"/>
      <c r="VHC574" s="44"/>
      <c r="VHD574" s="44"/>
      <c r="VHE574" s="44"/>
      <c r="VHF574" s="44"/>
      <c r="VHG574" s="44"/>
      <c r="VHH574" s="44"/>
      <c r="VHI574" s="44"/>
      <c r="VHJ574" s="44"/>
      <c r="VHK574" s="44"/>
      <c r="VHL574" s="44"/>
      <c r="VHM574" s="44"/>
      <c r="VHN574" s="44"/>
      <c r="VHO574" s="44"/>
      <c r="VHP574" s="44"/>
      <c r="VHQ574" s="44"/>
      <c r="VHR574" s="44"/>
      <c r="VHS574" s="44"/>
      <c r="VHT574" s="44"/>
      <c r="VHU574" s="44"/>
      <c r="VHV574" s="44"/>
      <c r="VHW574" s="44"/>
      <c r="VHX574" s="44"/>
      <c r="VHY574" s="44"/>
      <c r="VHZ574" s="44"/>
      <c r="VIA574" s="44"/>
      <c r="VIB574" s="44"/>
      <c r="VIC574" s="44"/>
      <c r="VID574" s="44"/>
      <c r="VIE574" s="44"/>
      <c r="VIF574" s="44"/>
      <c r="VIG574" s="44"/>
      <c r="VIH574" s="44"/>
      <c r="VII574" s="44"/>
      <c r="VIJ574" s="44"/>
      <c r="VIK574" s="44"/>
      <c r="VIL574" s="44"/>
      <c r="VIM574" s="44"/>
      <c r="VIN574" s="44"/>
      <c r="VIO574" s="44"/>
      <c r="VIP574" s="44"/>
      <c r="VIQ574" s="44"/>
      <c r="VIR574" s="44"/>
      <c r="VIS574" s="44"/>
      <c r="VIT574" s="44"/>
      <c r="VIU574" s="44"/>
      <c r="VIV574" s="44"/>
      <c r="VIW574" s="44"/>
      <c r="VIX574" s="44"/>
      <c r="VIY574" s="44"/>
      <c r="VIZ574" s="44"/>
      <c r="VJA574" s="44"/>
      <c r="VJB574" s="44"/>
      <c r="VJC574" s="44"/>
      <c r="VJD574" s="44"/>
      <c r="VJE574" s="44"/>
      <c r="VJF574" s="44"/>
      <c r="VJG574" s="44"/>
      <c r="VJH574" s="44"/>
      <c r="VJI574" s="44"/>
      <c r="VJJ574" s="44"/>
      <c r="VJK574" s="44"/>
      <c r="VJL574" s="44"/>
      <c r="VJM574" s="44"/>
      <c r="VJN574" s="44"/>
      <c r="VJO574" s="44"/>
      <c r="VJP574" s="44"/>
      <c r="VJQ574" s="44"/>
      <c r="VJR574" s="44"/>
      <c r="VJS574" s="44"/>
      <c r="VJT574" s="44"/>
      <c r="VJU574" s="44"/>
      <c r="VJV574" s="44"/>
      <c r="VJW574" s="44"/>
      <c r="VJX574" s="44"/>
      <c r="VJY574" s="44"/>
      <c r="VJZ574" s="44"/>
      <c r="VKA574" s="44"/>
      <c r="VKB574" s="44"/>
      <c r="VKC574" s="44"/>
      <c r="VKD574" s="44"/>
      <c r="VKE574" s="44"/>
      <c r="VKF574" s="44"/>
      <c r="VKG574" s="44"/>
      <c r="VKH574" s="44"/>
      <c r="VKI574" s="44"/>
      <c r="VKJ574" s="44"/>
      <c r="VKK574" s="44"/>
      <c r="VKL574" s="44"/>
      <c r="VKM574" s="44"/>
      <c r="VKN574" s="44"/>
      <c r="VKO574" s="44"/>
      <c r="VKP574" s="44"/>
      <c r="VKQ574" s="44"/>
      <c r="VKR574" s="44"/>
      <c r="VKS574" s="44"/>
      <c r="VKT574" s="44"/>
      <c r="VKU574" s="44"/>
      <c r="VKV574" s="44"/>
      <c r="VKW574" s="44"/>
      <c r="VKX574" s="44"/>
      <c r="VKY574" s="44"/>
      <c r="VKZ574" s="44"/>
      <c r="VLA574" s="44"/>
      <c r="VLB574" s="44"/>
      <c r="VLC574" s="44"/>
      <c r="VLD574" s="44"/>
      <c r="VLE574" s="44"/>
      <c r="VLF574" s="44"/>
      <c r="VLG574" s="44"/>
      <c r="VLH574" s="44"/>
      <c r="VLI574" s="44"/>
      <c r="VLJ574" s="44"/>
      <c r="VLK574" s="44"/>
      <c r="VLL574" s="44"/>
      <c r="VLM574" s="44"/>
      <c r="VLN574" s="44"/>
      <c r="VLO574" s="44"/>
      <c r="VLP574" s="44"/>
      <c r="VLQ574" s="44"/>
      <c r="VLR574" s="44"/>
      <c r="VLS574" s="44"/>
      <c r="VLT574" s="44"/>
      <c r="VLU574" s="44"/>
      <c r="VLV574" s="44"/>
      <c r="VLW574" s="44"/>
      <c r="VLX574" s="44"/>
      <c r="VLY574" s="44"/>
      <c r="VLZ574" s="44"/>
      <c r="VMA574" s="44"/>
      <c r="VMB574" s="44"/>
      <c r="VMC574" s="44"/>
      <c r="VMD574" s="44"/>
      <c r="VME574" s="44"/>
      <c r="VMF574" s="44"/>
      <c r="VMG574" s="44"/>
      <c r="VMH574" s="44"/>
      <c r="VMI574" s="44"/>
      <c r="VMJ574" s="44"/>
      <c r="VMK574" s="44"/>
      <c r="VML574" s="44"/>
      <c r="VMM574" s="44"/>
      <c r="VMN574" s="44"/>
      <c r="VMO574" s="44"/>
      <c r="VMP574" s="44"/>
      <c r="VMQ574" s="44"/>
      <c r="VMR574" s="44"/>
      <c r="VMS574" s="44"/>
      <c r="VMT574" s="44"/>
      <c r="VMU574" s="44"/>
      <c r="VMV574" s="44"/>
      <c r="VMW574" s="44"/>
      <c r="VMX574" s="44"/>
      <c r="VMY574" s="44"/>
      <c r="VMZ574" s="44"/>
      <c r="VNA574" s="44"/>
      <c r="VNB574" s="44"/>
      <c r="VNC574" s="44"/>
      <c r="VND574" s="44"/>
      <c r="VNE574" s="44"/>
      <c r="VNF574" s="44"/>
      <c r="VNG574" s="44"/>
      <c r="VNH574" s="44"/>
      <c r="VNI574" s="44"/>
      <c r="VNJ574" s="44"/>
      <c r="VNK574" s="44"/>
      <c r="VNL574" s="44"/>
      <c r="VNM574" s="44"/>
      <c r="VNN574" s="44"/>
      <c r="VNO574" s="44"/>
      <c r="VNP574" s="44"/>
      <c r="VNQ574" s="44"/>
      <c r="VNR574" s="44"/>
      <c r="VNS574" s="44"/>
      <c r="VNT574" s="44"/>
      <c r="VNU574" s="44"/>
      <c r="VNV574" s="44"/>
      <c r="VNW574" s="44"/>
      <c r="VNX574" s="44"/>
      <c r="VNY574" s="44"/>
      <c r="VNZ574" s="44"/>
      <c r="VOA574" s="44"/>
      <c r="VOB574" s="44"/>
      <c r="VOC574" s="44"/>
      <c r="VOD574" s="44"/>
      <c r="VOE574" s="44"/>
      <c r="VOF574" s="44"/>
      <c r="VOG574" s="44"/>
      <c r="VOH574" s="44"/>
      <c r="VOI574" s="44"/>
      <c r="VOJ574" s="44"/>
      <c r="VOK574" s="44"/>
      <c r="VOL574" s="44"/>
      <c r="VOM574" s="44"/>
      <c r="VON574" s="44"/>
      <c r="VOO574" s="44"/>
      <c r="VOP574" s="44"/>
      <c r="VOQ574" s="44"/>
      <c r="VOR574" s="44"/>
      <c r="VOS574" s="44"/>
      <c r="VOT574" s="44"/>
      <c r="VOU574" s="44"/>
      <c r="VOV574" s="44"/>
      <c r="VOW574" s="44"/>
      <c r="VOX574" s="44"/>
      <c r="VOY574" s="44"/>
      <c r="VOZ574" s="44"/>
      <c r="VPA574" s="44"/>
      <c r="VPB574" s="44"/>
      <c r="VPC574" s="44"/>
      <c r="VPD574" s="44"/>
      <c r="VPE574" s="44"/>
      <c r="VPF574" s="44"/>
      <c r="VPG574" s="44"/>
      <c r="VPH574" s="44"/>
      <c r="VPI574" s="44"/>
      <c r="VPJ574" s="44"/>
      <c r="VPK574" s="44"/>
      <c r="VPL574" s="44"/>
      <c r="VPM574" s="44"/>
      <c r="VPN574" s="44"/>
      <c r="VPO574" s="44"/>
      <c r="VPP574" s="44"/>
      <c r="VPQ574" s="44"/>
      <c r="VPR574" s="44"/>
      <c r="VPS574" s="44"/>
      <c r="VPT574" s="44"/>
      <c r="VPU574" s="44"/>
      <c r="VPV574" s="44"/>
      <c r="VPW574" s="44"/>
      <c r="VPX574" s="44"/>
      <c r="VPY574" s="44"/>
      <c r="VPZ574" s="44"/>
      <c r="VQA574" s="44"/>
      <c r="VQB574" s="44"/>
      <c r="VQC574" s="44"/>
      <c r="VQD574" s="44"/>
      <c r="VQE574" s="44"/>
      <c r="VQF574" s="44"/>
      <c r="VQG574" s="44"/>
      <c r="VQH574" s="44"/>
      <c r="VQI574" s="44"/>
      <c r="VQJ574" s="44"/>
      <c r="VQK574" s="44"/>
      <c r="VQL574" s="44"/>
      <c r="VQM574" s="44"/>
      <c r="VQN574" s="44"/>
      <c r="VQO574" s="44"/>
      <c r="VQP574" s="44"/>
      <c r="VQQ574" s="44"/>
      <c r="VQR574" s="44"/>
      <c r="VQS574" s="44"/>
      <c r="VQT574" s="44"/>
      <c r="VQU574" s="44"/>
      <c r="VQV574" s="44"/>
      <c r="VQW574" s="44"/>
      <c r="VQX574" s="44"/>
      <c r="VQY574" s="44"/>
      <c r="VQZ574" s="44"/>
      <c r="VRA574" s="44"/>
      <c r="VRB574" s="44"/>
      <c r="VRC574" s="44"/>
      <c r="VRD574" s="44"/>
      <c r="VRE574" s="44"/>
      <c r="VRF574" s="44"/>
      <c r="VRG574" s="44"/>
      <c r="VRH574" s="44"/>
      <c r="VRI574" s="44"/>
      <c r="VRJ574" s="44"/>
      <c r="VRK574" s="44"/>
      <c r="VRL574" s="44"/>
      <c r="VRM574" s="44"/>
      <c r="VRN574" s="44"/>
      <c r="VRO574" s="44"/>
      <c r="VRP574" s="44"/>
      <c r="VRQ574" s="44"/>
      <c r="VRR574" s="44"/>
      <c r="VRS574" s="44"/>
      <c r="VRT574" s="44"/>
      <c r="VRU574" s="44"/>
      <c r="VRV574" s="44"/>
      <c r="VRW574" s="44"/>
      <c r="VRX574" s="44"/>
      <c r="VRY574" s="44"/>
      <c r="VRZ574" s="44"/>
      <c r="VSA574" s="44"/>
      <c r="VSB574" s="44"/>
      <c r="VSC574" s="44"/>
      <c r="VSD574" s="44"/>
      <c r="VSE574" s="44"/>
      <c r="VSF574" s="44"/>
      <c r="VSG574" s="44"/>
      <c r="VSH574" s="44"/>
      <c r="VSI574" s="44"/>
      <c r="VSJ574" s="44"/>
      <c r="VSK574" s="44"/>
      <c r="VSL574" s="44"/>
      <c r="VSM574" s="44"/>
      <c r="VSN574" s="44"/>
      <c r="VSO574" s="44"/>
      <c r="VSP574" s="44"/>
      <c r="VSQ574" s="44"/>
      <c r="VSR574" s="44"/>
      <c r="VSS574" s="44"/>
      <c r="VST574" s="44"/>
      <c r="VSU574" s="44"/>
      <c r="VSV574" s="44"/>
      <c r="VSW574" s="44"/>
      <c r="VSX574" s="44"/>
      <c r="VSY574" s="44"/>
      <c r="VSZ574" s="44"/>
      <c r="VTA574" s="44"/>
      <c r="VTB574" s="44"/>
      <c r="VTC574" s="44"/>
      <c r="VTD574" s="44"/>
      <c r="VTE574" s="44"/>
      <c r="VTF574" s="44"/>
      <c r="VTG574" s="44"/>
      <c r="VTH574" s="44"/>
      <c r="VTI574" s="44"/>
      <c r="VTJ574" s="44"/>
      <c r="VTK574" s="44"/>
      <c r="VTL574" s="44"/>
      <c r="VTM574" s="44"/>
      <c r="VTN574" s="44"/>
      <c r="VTO574" s="44"/>
      <c r="VTP574" s="44"/>
      <c r="VTQ574" s="44"/>
      <c r="VTR574" s="44"/>
      <c r="VTS574" s="44"/>
      <c r="VTT574" s="44"/>
      <c r="VTU574" s="44"/>
      <c r="VTV574" s="44"/>
      <c r="VTW574" s="44"/>
      <c r="VTX574" s="44"/>
      <c r="VTY574" s="44"/>
      <c r="VTZ574" s="44"/>
      <c r="VUA574" s="44"/>
      <c r="VUB574" s="44"/>
      <c r="VUC574" s="44"/>
      <c r="VUD574" s="44"/>
      <c r="VUE574" s="44"/>
      <c r="VUF574" s="44"/>
      <c r="VUG574" s="44"/>
      <c r="VUH574" s="44"/>
      <c r="VUI574" s="44"/>
      <c r="VUJ574" s="44"/>
      <c r="VUK574" s="44"/>
      <c r="VUL574" s="44"/>
      <c r="VUM574" s="44"/>
      <c r="VUN574" s="44"/>
      <c r="VUO574" s="44"/>
      <c r="VUP574" s="44"/>
      <c r="VUQ574" s="44"/>
      <c r="VUR574" s="44"/>
      <c r="VUS574" s="44"/>
      <c r="VUT574" s="44"/>
      <c r="VUU574" s="44"/>
      <c r="VUV574" s="44"/>
      <c r="VUW574" s="44"/>
      <c r="VUX574" s="44"/>
      <c r="VUY574" s="44"/>
      <c r="VUZ574" s="44"/>
      <c r="VVA574" s="44"/>
      <c r="VVB574" s="44"/>
      <c r="VVC574" s="44"/>
      <c r="VVD574" s="44"/>
      <c r="VVE574" s="44"/>
      <c r="VVF574" s="44"/>
      <c r="VVG574" s="44"/>
      <c r="VVH574" s="44"/>
      <c r="VVI574" s="44"/>
      <c r="VVJ574" s="44"/>
      <c r="VVK574" s="44"/>
      <c r="VVL574" s="44"/>
      <c r="VVM574" s="44"/>
      <c r="VVN574" s="44"/>
      <c r="VVO574" s="44"/>
      <c r="VVP574" s="44"/>
      <c r="VVQ574" s="44"/>
      <c r="VVR574" s="44"/>
      <c r="VVS574" s="44"/>
      <c r="VVT574" s="44"/>
      <c r="VVU574" s="44"/>
      <c r="VVV574" s="44"/>
      <c r="VVW574" s="44"/>
      <c r="VVX574" s="44"/>
      <c r="VVY574" s="44"/>
      <c r="VVZ574" s="44"/>
      <c r="VWA574" s="44"/>
      <c r="VWB574" s="44"/>
      <c r="VWC574" s="44"/>
      <c r="VWD574" s="44"/>
      <c r="VWE574" s="44"/>
      <c r="VWF574" s="44"/>
      <c r="VWG574" s="44"/>
      <c r="VWH574" s="44"/>
      <c r="VWI574" s="44"/>
      <c r="VWJ574" s="44"/>
      <c r="VWK574" s="44"/>
      <c r="VWL574" s="44"/>
      <c r="VWM574" s="44"/>
      <c r="VWN574" s="44"/>
      <c r="VWO574" s="44"/>
      <c r="VWP574" s="44"/>
      <c r="VWQ574" s="44"/>
      <c r="VWR574" s="44"/>
      <c r="VWS574" s="44"/>
      <c r="VWT574" s="44"/>
      <c r="VWU574" s="44"/>
      <c r="VWV574" s="44"/>
      <c r="VWW574" s="44"/>
      <c r="VWX574" s="44"/>
      <c r="VWY574" s="44"/>
      <c r="VWZ574" s="44"/>
      <c r="VXA574" s="44"/>
      <c r="VXB574" s="44"/>
      <c r="VXC574" s="44"/>
      <c r="VXD574" s="44"/>
      <c r="VXE574" s="44"/>
      <c r="VXF574" s="44"/>
      <c r="VXG574" s="44"/>
      <c r="VXH574" s="44"/>
      <c r="VXI574" s="44"/>
      <c r="VXJ574" s="44"/>
      <c r="VXK574" s="44"/>
      <c r="VXL574" s="44"/>
      <c r="VXM574" s="44"/>
      <c r="VXN574" s="44"/>
      <c r="VXO574" s="44"/>
      <c r="VXP574" s="44"/>
      <c r="VXQ574" s="44"/>
      <c r="VXR574" s="44"/>
      <c r="VXS574" s="44"/>
      <c r="VXT574" s="44"/>
      <c r="VXU574" s="44"/>
      <c r="VXV574" s="44"/>
      <c r="VXW574" s="44"/>
      <c r="VXX574" s="44"/>
      <c r="VXY574" s="44"/>
      <c r="VXZ574" s="44"/>
      <c r="VYA574" s="44"/>
      <c r="VYB574" s="44"/>
      <c r="VYC574" s="44"/>
      <c r="VYD574" s="44"/>
      <c r="VYE574" s="44"/>
      <c r="VYF574" s="44"/>
      <c r="VYG574" s="44"/>
      <c r="VYH574" s="44"/>
      <c r="VYI574" s="44"/>
      <c r="VYJ574" s="44"/>
      <c r="VYK574" s="44"/>
      <c r="VYL574" s="44"/>
      <c r="VYM574" s="44"/>
      <c r="VYN574" s="44"/>
      <c r="VYO574" s="44"/>
      <c r="VYP574" s="44"/>
      <c r="VYQ574" s="44"/>
      <c r="VYR574" s="44"/>
      <c r="VYS574" s="44"/>
      <c r="VYT574" s="44"/>
      <c r="VYU574" s="44"/>
      <c r="VYV574" s="44"/>
      <c r="VYW574" s="44"/>
      <c r="VYX574" s="44"/>
      <c r="VYY574" s="44"/>
      <c r="VYZ574" s="44"/>
      <c r="VZA574" s="44"/>
      <c r="VZB574" s="44"/>
      <c r="VZC574" s="44"/>
      <c r="VZD574" s="44"/>
      <c r="VZE574" s="44"/>
      <c r="VZF574" s="44"/>
      <c r="VZG574" s="44"/>
      <c r="VZH574" s="44"/>
      <c r="VZI574" s="44"/>
      <c r="VZJ574" s="44"/>
      <c r="VZK574" s="44"/>
      <c r="VZL574" s="44"/>
      <c r="VZM574" s="44"/>
      <c r="VZN574" s="44"/>
      <c r="VZO574" s="44"/>
      <c r="VZP574" s="44"/>
      <c r="VZQ574" s="44"/>
      <c r="VZR574" s="44"/>
      <c r="VZS574" s="44"/>
      <c r="VZT574" s="44"/>
      <c r="VZU574" s="44"/>
      <c r="VZV574" s="44"/>
      <c r="VZW574" s="44"/>
      <c r="VZX574" s="44"/>
      <c r="VZY574" s="44"/>
      <c r="VZZ574" s="44"/>
      <c r="WAA574" s="44"/>
      <c r="WAB574" s="44"/>
      <c r="WAC574" s="44"/>
      <c r="WAD574" s="44"/>
      <c r="WAE574" s="44"/>
      <c r="WAF574" s="44"/>
      <c r="WAG574" s="44"/>
      <c r="WAH574" s="44"/>
      <c r="WAI574" s="44"/>
      <c r="WAJ574" s="44"/>
      <c r="WAK574" s="44"/>
      <c r="WAL574" s="44"/>
      <c r="WAM574" s="44"/>
      <c r="WAN574" s="44"/>
      <c r="WAO574" s="44"/>
      <c r="WAP574" s="44"/>
      <c r="WAQ574" s="44"/>
      <c r="WAR574" s="44"/>
      <c r="WAS574" s="44"/>
      <c r="WAT574" s="44"/>
      <c r="WAU574" s="44"/>
      <c r="WAV574" s="44"/>
      <c r="WAW574" s="44"/>
      <c r="WAX574" s="44"/>
      <c r="WAY574" s="44"/>
      <c r="WAZ574" s="44"/>
      <c r="WBA574" s="44"/>
      <c r="WBB574" s="44"/>
      <c r="WBC574" s="44"/>
      <c r="WBD574" s="44"/>
      <c r="WBE574" s="44"/>
      <c r="WBF574" s="44"/>
      <c r="WBG574" s="44"/>
      <c r="WBH574" s="44"/>
      <c r="WBI574" s="44"/>
      <c r="WBJ574" s="44"/>
      <c r="WBK574" s="44"/>
      <c r="WBL574" s="44"/>
      <c r="WBM574" s="44"/>
      <c r="WBN574" s="44"/>
      <c r="WBO574" s="44"/>
      <c r="WBP574" s="44"/>
      <c r="WBQ574" s="44"/>
      <c r="WBR574" s="44"/>
      <c r="WBS574" s="44"/>
      <c r="WBT574" s="44"/>
      <c r="WBU574" s="44"/>
      <c r="WBV574" s="44"/>
      <c r="WBW574" s="44"/>
      <c r="WBX574" s="44"/>
      <c r="WBY574" s="44"/>
      <c r="WBZ574" s="44"/>
      <c r="WCA574" s="44"/>
      <c r="WCB574" s="44"/>
      <c r="WCC574" s="44"/>
      <c r="WCD574" s="44"/>
      <c r="WCE574" s="44"/>
      <c r="WCF574" s="44"/>
      <c r="WCG574" s="44"/>
      <c r="WCH574" s="44"/>
      <c r="WCI574" s="44"/>
      <c r="WCJ574" s="44"/>
      <c r="WCK574" s="44"/>
      <c r="WCL574" s="44"/>
      <c r="WCM574" s="44"/>
      <c r="WCN574" s="44"/>
      <c r="WCO574" s="44"/>
      <c r="WCP574" s="44"/>
      <c r="WCQ574" s="44"/>
      <c r="WCR574" s="44"/>
      <c r="WCS574" s="44"/>
      <c r="WCT574" s="44"/>
      <c r="WCU574" s="44"/>
      <c r="WCV574" s="44"/>
      <c r="WCW574" s="44"/>
      <c r="WCX574" s="44"/>
      <c r="WCY574" s="44"/>
      <c r="WCZ574" s="44"/>
      <c r="WDA574" s="44"/>
      <c r="WDB574" s="44"/>
      <c r="WDC574" s="44"/>
      <c r="WDD574" s="44"/>
      <c r="WDE574" s="44"/>
      <c r="WDF574" s="44"/>
      <c r="WDG574" s="44"/>
      <c r="WDH574" s="44"/>
      <c r="WDI574" s="44"/>
      <c r="WDJ574" s="44"/>
      <c r="WDK574" s="44"/>
      <c r="WDL574" s="44"/>
      <c r="WDM574" s="44"/>
      <c r="WDN574" s="44"/>
      <c r="WDO574" s="44"/>
      <c r="WDP574" s="44"/>
      <c r="WDQ574" s="44"/>
      <c r="WDR574" s="44"/>
      <c r="WDS574" s="44"/>
      <c r="WDT574" s="44"/>
      <c r="WDU574" s="44"/>
      <c r="WDV574" s="44"/>
      <c r="WDW574" s="44"/>
      <c r="WDX574" s="44"/>
      <c r="WDY574" s="44"/>
      <c r="WDZ574" s="44"/>
      <c r="WEA574" s="44"/>
      <c r="WEB574" s="44"/>
      <c r="WEC574" s="44"/>
      <c r="WED574" s="44"/>
      <c r="WEE574" s="44"/>
      <c r="WEF574" s="44"/>
      <c r="WEG574" s="44"/>
      <c r="WEH574" s="44"/>
      <c r="WEI574" s="44"/>
      <c r="WEJ574" s="44"/>
      <c r="WEK574" s="44"/>
      <c r="WEL574" s="44"/>
      <c r="WEM574" s="44"/>
      <c r="WEN574" s="44"/>
      <c r="WEO574" s="44"/>
      <c r="WEP574" s="44"/>
      <c r="WEQ574" s="44"/>
      <c r="WER574" s="44"/>
      <c r="WES574" s="44"/>
      <c r="WET574" s="44"/>
      <c r="WEU574" s="44"/>
      <c r="WEV574" s="44"/>
      <c r="WEW574" s="44"/>
      <c r="WEX574" s="44"/>
      <c r="WEY574" s="44"/>
      <c r="WEZ574" s="44"/>
      <c r="WFA574" s="44"/>
      <c r="WFB574" s="44"/>
      <c r="WFC574" s="44"/>
      <c r="WFD574" s="44"/>
      <c r="WFE574" s="44"/>
      <c r="WFF574" s="44"/>
      <c r="WFG574" s="44"/>
      <c r="WFH574" s="44"/>
      <c r="WFI574" s="44"/>
      <c r="WFJ574" s="44"/>
      <c r="WFK574" s="44"/>
      <c r="WFL574" s="44"/>
      <c r="WFM574" s="44"/>
      <c r="WFN574" s="44"/>
      <c r="WFO574" s="44"/>
      <c r="WFP574" s="44"/>
      <c r="WFQ574" s="44"/>
      <c r="WFR574" s="44"/>
      <c r="WFS574" s="44"/>
      <c r="WFT574" s="44"/>
      <c r="WFU574" s="44"/>
      <c r="WFV574" s="44"/>
      <c r="WFW574" s="44"/>
      <c r="WFX574" s="44"/>
      <c r="WFY574" s="44"/>
      <c r="WFZ574" s="44"/>
      <c r="WGA574" s="44"/>
      <c r="WGB574" s="44"/>
      <c r="WGC574" s="44"/>
      <c r="WGD574" s="44"/>
      <c r="WGE574" s="44"/>
      <c r="WGF574" s="44"/>
      <c r="WGG574" s="44"/>
      <c r="WGH574" s="44"/>
      <c r="WGI574" s="44"/>
      <c r="WGJ574" s="44"/>
      <c r="WGK574" s="44"/>
      <c r="WGL574" s="44"/>
      <c r="WGM574" s="44"/>
      <c r="WGN574" s="44"/>
      <c r="WGO574" s="44"/>
      <c r="WGP574" s="44"/>
      <c r="WGQ574" s="44"/>
      <c r="WGR574" s="44"/>
      <c r="WGS574" s="44"/>
      <c r="WGT574" s="44"/>
      <c r="WGU574" s="44"/>
      <c r="WGV574" s="44"/>
      <c r="WGW574" s="44"/>
      <c r="WGX574" s="44"/>
      <c r="WGY574" s="44"/>
      <c r="WGZ574" s="44"/>
      <c r="WHA574" s="44"/>
      <c r="WHB574" s="44"/>
      <c r="WHC574" s="44"/>
      <c r="WHD574" s="44"/>
      <c r="WHE574" s="44"/>
      <c r="WHF574" s="44"/>
      <c r="WHG574" s="44"/>
      <c r="WHH574" s="44"/>
      <c r="WHI574" s="44"/>
      <c r="WHJ574" s="44"/>
      <c r="WHK574" s="44"/>
      <c r="WHL574" s="44"/>
      <c r="WHM574" s="44"/>
      <c r="WHN574" s="44"/>
      <c r="WHO574" s="44"/>
      <c r="WHP574" s="44"/>
      <c r="WHQ574" s="44"/>
      <c r="WHR574" s="44"/>
      <c r="WHS574" s="44"/>
      <c r="WHT574" s="44"/>
      <c r="WHU574" s="44"/>
      <c r="WHV574" s="44"/>
      <c r="WHW574" s="44"/>
      <c r="WHX574" s="44"/>
      <c r="WHY574" s="44"/>
      <c r="WHZ574" s="44"/>
      <c r="WIA574" s="44"/>
      <c r="WIB574" s="44"/>
      <c r="WIC574" s="44"/>
      <c r="WID574" s="44"/>
      <c r="WIE574" s="44"/>
      <c r="WIF574" s="44"/>
      <c r="WIG574" s="44"/>
      <c r="WIH574" s="44"/>
      <c r="WII574" s="44"/>
      <c r="WIJ574" s="44"/>
      <c r="WIK574" s="44"/>
      <c r="WIL574" s="44"/>
      <c r="WIM574" s="44"/>
      <c r="WIN574" s="44"/>
      <c r="WIO574" s="44"/>
      <c r="WIP574" s="44"/>
      <c r="WIQ574" s="44"/>
      <c r="WIR574" s="44"/>
      <c r="WIS574" s="44"/>
      <c r="WIT574" s="44"/>
      <c r="WIU574" s="44"/>
      <c r="WIV574" s="44"/>
      <c r="WIW574" s="44"/>
      <c r="WIX574" s="44"/>
      <c r="WIY574" s="44"/>
      <c r="WIZ574" s="44"/>
      <c r="WJA574" s="44"/>
      <c r="WJB574" s="44"/>
      <c r="WJC574" s="44"/>
      <c r="WJD574" s="44"/>
      <c r="WJE574" s="44"/>
      <c r="WJF574" s="44"/>
      <c r="WJG574" s="44"/>
      <c r="WJH574" s="44"/>
      <c r="WJI574" s="44"/>
      <c r="WJJ574" s="44"/>
      <c r="WJK574" s="44"/>
      <c r="WJL574" s="44"/>
      <c r="WJM574" s="44"/>
      <c r="WJN574" s="44"/>
      <c r="WJO574" s="44"/>
      <c r="WJP574" s="44"/>
      <c r="WJQ574" s="44"/>
      <c r="WJR574" s="44"/>
      <c r="WJS574" s="44"/>
      <c r="WJT574" s="44"/>
      <c r="WJU574" s="44"/>
      <c r="WJV574" s="44"/>
      <c r="WJW574" s="44"/>
      <c r="WJX574" s="44"/>
      <c r="WJY574" s="44"/>
      <c r="WJZ574" s="44"/>
      <c r="WKA574" s="44"/>
      <c r="WKB574" s="44"/>
      <c r="WKC574" s="44"/>
      <c r="WKD574" s="44"/>
      <c r="WKE574" s="44"/>
      <c r="WKF574" s="44"/>
      <c r="WKG574" s="44"/>
      <c r="WKH574" s="44"/>
      <c r="WKI574" s="44"/>
      <c r="WKJ574" s="44"/>
      <c r="WKK574" s="44"/>
      <c r="WKL574" s="44"/>
      <c r="WKM574" s="44"/>
      <c r="WKN574" s="44"/>
      <c r="WKO574" s="44"/>
      <c r="WKP574" s="44"/>
      <c r="WKQ574" s="44"/>
      <c r="WKR574" s="44"/>
      <c r="WKS574" s="44"/>
      <c r="WKT574" s="44"/>
      <c r="WKU574" s="44"/>
      <c r="WKV574" s="44"/>
      <c r="WKW574" s="44"/>
      <c r="WKX574" s="44"/>
      <c r="WKY574" s="44"/>
      <c r="WKZ574" s="44"/>
      <c r="WLA574" s="44"/>
      <c r="WLB574" s="44"/>
      <c r="WLC574" s="44"/>
      <c r="WLD574" s="44"/>
      <c r="WLE574" s="44"/>
      <c r="WLF574" s="44"/>
      <c r="WLG574" s="44"/>
      <c r="WLH574" s="44"/>
      <c r="WLI574" s="44"/>
      <c r="WLJ574" s="44"/>
      <c r="WLK574" s="44"/>
      <c r="WLL574" s="44"/>
      <c r="WLM574" s="44"/>
      <c r="WLN574" s="44"/>
      <c r="WLO574" s="44"/>
      <c r="WLP574" s="44"/>
      <c r="WLQ574" s="44"/>
      <c r="WLR574" s="44"/>
      <c r="WLS574" s="44"/>
      <c r="WLT574" s="44"/>
      <c r="WLU574" s="44"/>
      <c r="WLV574" s="44"/>
      <c r="WLW574" s="44"/>
      <c r="WLX574" s="44"/>
      <c r="WLY574" s="44"/>
      <c r="WLZ574" s="44"/>
      <c r="WMA574" s="44"/>
      <c r="WMB574" s="44"/>
      <c r="WMC574" s="44"/>
      <c r="WMD574" s="44"/>
      <c r="WME574" s="44"/>
      <c r="WMF574" s="44"/>
      <c r="WMG574" s="44"/>
      <c r="WMH574" s="44"/>
      <c r="WMI574" s="44"/>
      <c r="WMJ574" s="44"/>
      <c r="WMK574" s="44"/>
      <c r="WML574" s="44"/>
      <c r="WMM574" s="44"/>
      <c r="WMN574" s="44"/>
      <c r="WMO574" s="44"/>
      <c r="WMP574" s="44"/>
      <c r="WMQ574" s="44"/>
      <c r="WMR574" s="44"/>
      <c r="WMS574" s="44"/>
      <c r="WMT574" s="44"/>
      <c r="WMU574" s="44"/>
      <c r="WMV574" s="44"/>
      <c r="WMW574" s="44"/>
      <c r="WMX574" s="44"/>
      <c r="WMY574" s="44"/>
      <c r="WMZ574" s="44"/>
      <c r="WNA574" s="44"/>
      <c r="WNB574" s="44"/>
      <c r="WNC574" s="44"/>
      <c r="WND574" s="44"/>
      <c r="WNE574" s="44"/>
      <c r="WNF574" s="44"/>
      <c r="WNG574" s="44"/>
      <c r="WNH574" s="44"/>
      <c r="WNI574" s="44"/>
      <c r="WNJ574" s="44"/>
      <c r="WNK574" s="44"/>
      <c r="WNL574" s="44"/>
      <c r="WNM574" s="44"/>
      <c r="WNN574" s="44"/>
      <c r="WNO574" s="44"/>
      <c r="WNP574" s="44"/>
      <c r="WNQ574" s="44"/>
      <c r="WNR574" s="44"/>
      <c r="WNS574" s="44"/>
      <c r="WNT574" s="44"/>
      <c r="WNU574" s="44"/>
      <c r="WNV574" s="44"/>
      <c r="WNW574" s="44"/>
      <c r="WNX574" s="44"/>
      <c r="WNY574" s="44"/>
      <c r="WNZ574" s="44"/>
      <c r="WOA574" s="44"/>
      <c r="WOB574" s="44"/>
      <c r="WOC574" s="44"/>
      <c r="WOD574" s="44"/>
      <c r="WOE574" s="44"/>
      <c r="WOF574" s="44"/>
      <c r="WOG574" s="44"/>
      <c r="WOH574" s="44"/>
      <c r="WOI574" s="44"/>
      <c r="WOJ574" s="44"/>
      <c r="WOK574" s="44"/>
      <c r="WOL574" s="44"/>
      <c r="WOM574" s="44"/>
      <c r="WON574" s="44"/>
      <c r="WOO574" s="44"/>
      <c r="WOP574" s="44"/>
      <c r="WOQ574" s="44"/>
      <c r="WOR574" s="44"/>
      <c r="WOS574" s="44"/>
      <c r="WOT574" s="44"/>
      <c r="WOU574" s="44"/>
      <c r="WOV574" s="44"/>
      <c r="WOW574" s="44"/>
      <c r="WOX574" s="44"/>
      <c r="WOY574" s="44"/>
      <c r="WOZ574" s="44"/>
      <c r="WPA574" s="44"/>
      <c r="WPB574" s="44"/>
      <c r="WPC574" s="44"/>
      <c r="WPD574" s="44"/>
      <c r="WPE574" s="44"/>
      <c r="WPF574" s="44"/>
      <c r="WPG574" s="44"/>
      <c r="WPH574" s="44"/>
      <c r="WPI574" s="44"/>
      <c r="WPJ574" s="44"/>
      <c r="WPK574" s="44"/>
      <c r="WPL574" s="44"/>
      <c r="WPM574" s="44"/>
      <c r="WPN574" s="44"/>
      <c r="WPO574" s="44"/>
      <c r="WPP574" s="44"/>
      <c r="WPQ574" s="44"/>
      <c r="WPR574" s="44"/>
      <c r="WPS574" s="44"/>
      <c r="WPT574" s="44"/>
      <c r="WPU574" s="44"/>
      <c r="WPV574" s="44"/>
      <c r="WPW574" s="44"/>
      <c r="WPX574" s="44"/>
      <c r="WPY574" s="44"/>
      <c r="WPZ574" s="44"/>
      <c r="WQA574" s="44"/>
      <c r="WQB574" s="44"/>
      <c r="WQC574" s="44"/>
      <c r="WQD574" s="44"/>
      <c r="WQE574" s="44"/>
      <c r="WQF574" s="44"/>
      <c r="WQG574" s="44"/>
      <c r="WQH574" s="44"/>
      <c r="WQI574" s="44"/>
      <c r="WQJ574" s="44"/>
      <c r="WQK574" s="44"/>
      <c r="WQL574" s="44"/>
      <c r="WQM574" s="44"/>
      <c r="WQN574" s="44"/>
      <c r="WQO574" s="44"/>
      <c r="WQP574" s="44"/>
      <c r="WQQ574" s="44"/>
      <c r="WQR574" s="44"/>
      <c r="WQS574" s="44"/>
      <c r="WQT574" s="44"/>
      <c r="WQU574" s="44"/>
      <c r="WQV574" s="44"/>
      <c r="WQW574" s="44"/>
      <c r="WQX574" s="44"/>
      <c r="WQY574" s="44"/>
      <c r="WQZ574" s="44"/>
      <c r="WRA574" s="44"/>
      <c r="WRB574" s="44"/>
      <c r="WRC574" s="44"/>
      <c r="WRD574" s="44"/>
      <c r="WRE574" s="44"/>
      <c r="WRF574" s="44"/>
      <c r="WRG574" s="44"/>
      <c r="WRH574" s="44"/>
      <c r="WRI574" s="44"/>
      <c r="WRJ574" s="44"/>
      <c r="WRK574" s="44"/>
      <c r="WRL574" s="44"/>
      <c r="WRM574" s="44"/>
      <c r="WRN574" s="44"/>
      <c r="WRO574" s="44"/>
      <c r="WRP574" s="44"/>
      <c r="WRQ574" s="44"/>
      <c r="WRR574" s="44"/>
      <c r="WRS574" s="44"/>
      <c r="WRT574" s="44"/>
      <c r="WRU574" s="44"/>
      <c r="WRV574" s="44"/>
      <c r="WRW574" s="44"/>
      <c r="WRX574" s="44"/>
      <c r="WRY574" s="44"/>
      <c r="WRZ574" s="44"/>
      <c r="WSA574" s="44"/>
      <c r="WSB574" s="44"/>
      <c r="WSC574" s="44"/>
      <c r="WSD574" s="44"/>
      <c r="WSE574" s="44"/>
      <c r="WSF574" s="44"/>
      <c r="WSG574" s="44"/>
      <c r="WSH574" s="44"/>
      <c r="WSI574" s="44"/>
      <c r="WSJ574" s="44"/>
      <c r="WSK574" s="44"/>
      <c r="WSL574" s="44"/>
      <c r="WSM574" s="44"/>
      <c r="WSN574" s="44"/>
      <c r="WSO574" s="44"/>
      <c r="WSP574" s="44"/>
      <c r="WSQ574" s="44"/>
      <c r="WSR574" s="44"/>
      <c r="WSS574" s="44"/>
      <c r="WST574" s="44"/>
      <c r="WSU574" s="44"/>
      <c r="WSV574" s="44"/>
      <c r="WSW574" s="44"/>
      <c r="WSX574" s="44"/>
      <c r="WSY574" s="44"/>
      <c r="WSZ574" s="44"/>
      <c r="WTA574" s="44"/>
      <c r="WTB574" s="44"/>
      <c r="WTC574" s="44"/>
      <c r="WTD574" s="44"/>
      <c r="WTE574" s="44"/>
      <c r="WTF574" s="44"/>
      <c r="WTG574" s="44"/>
      <c r="WTH574" s="44"/>
      <c r="WTI574" s="44"/>
      <c r="WTJ574" s="44"/>
      <c r="WTK574" s="44"/>
      <c r="WTL574" s="44"/>
      <c r="WTM574" s="44"/>
      <c r="WTN574" s="44"/>
      <c r="WTO574" s="44"/>
      <c r="WTP574" s="44"/>
      <c r="WTQ574" s="44"/>
      <c r="WTR574" s="44"/>
      <c r="WTS574" s="44"/>
      <c r="WTT574" s="44"/>
      <c r="WTU574" s="44"/>
      <c r="WTV574" s="44"/>
      <c r="WTW574" s="44"/>
      <c r="WTX574" s="44"/>
      <c r="WTY574" s="44"/>
      <c r="WTZ574" s="44"/>
      <c r="WUA574" s="44"/>
      <c r="WUB574" s="44"/>
      <c r="WUC574" s="44"/>
      <c r="WUD574" s="44"/>
      <c r="WUE574" s="44"/>
      <c r="WUF574" s="44"/>
      <c r="WUG574" s="44"/>
      <c r="WUH574" s="44"/>
      <c r="WUI574" s="44"/>
      <c r="WUJ574" s="44"/>
      <c r="WUK574" s="44"/>
      <c r="WUL574" s="44"/>
      <c r="WUM574" s="44"/>
      <c r="WUN574" s="44"/>
      <c r="WUO574" s="44"/>
      <c r="WUP574" s="44"/>
      <c r="WUQ574" s="44"/>
      <c r="WUR574" s="44"/>
      <c r="WUS574" s="44"/>
      <c r="WUT574" s="44"/>
      <c r="WUU574" s="44"/>
      <c r="WUV574" s="44"/>
      <c r="WUW574" s="44"/>
      <c r="WUX574" s="44"/>
      <c r="WUY574" s="44"/>
      <c r="WUZ574" s="44"/>
      <c r="WVA574" s="44"/>
      <c r="WVB574" s="44"/>
      <c r="WVC574" s="44"/>
      <c r="WVD574" s="44"/>
      <c r="WVE574" s="44"/>
      <c r="WVF574" s="44"/>
      <c r="WVG574" s="44"/>
      <c r="WVH574" s="44"/>
      <c r="WVI574" s="44"/>
      <c r="WVJ574" s="44"/>
      <c r="WVK574" s="44"/>
      <c r="WVL574" s="44"/>
      <c r="WVM574" s="44"/>
      <c r="WVN574" s="44"/>
      <c r="WVO574" s="44"/>
      <c r="WVP574" s="44"/>
      <c r="WVQ574" s="44"/>
      <c r="WVR574" s="44"/>
      <c r="WVS574" s="44"/>
      <c r="WVT574" s="44"/>
      <c r="WVU574" s="44"/>
      <c r="WVV574" s="44"/>
      <c r="WVW574" s="44"/>
      <c r="WVX574" s="44"/>
      <c r="WVY574" s="44"/>
      <c r="WVZ574" s="44"/>
      <c r="WWA574" s="44"/>
      <c r="WWB574" s="44"/>
      <c r="WWC574" s="44"/>
      <c r="WWD574" s="44"/>
      <c r="WWE574" s="44"/>
      <c r="WWF574" s="44"/>
      <c r="WWG574" s="44"/>
      <c r="WWH574" s="44"/>
      <c r="WWI574" s="44"/>
      <c r="WWJ574" s="44"/>
      <c r="WWK574" s="44"/>
      <c r="WWL574" s="44"/>
      <c r="WWM574" s="44"/>
      <c r="WWN574" s="44"/>
      <c r="WWO574" s="44"/>
      <c r="WWP574" s="44"/>
      <c r="WWQ574" s="44"/>
      <c r="WWR574" s="44"/>
      <c r="WWS574" s="44"/>
      <c r="WWT574" s="44"/>
      <c r="WWU574" s="44"/>
      <c r="WWV574" s="44"/>
      <c r="WWW574" s="44"/>
      <c r="WWX574" s="44"/>
      <c r="WWY574" s="44"/>
      <c r="WWZ574" s="44"/>
      <c r="WXA574" s="44"/>
      <c r="WXB574" s="44"/>
      <c r="WXC574" s="44"/>
      <c r="WXD574" s="44"/>
      <c r="WXE574" s="44"/>
      <c r="WXF574" s="44"/>
      <c r="WXG574" s="44"/>
      <c r="WXH574" s="44"/>
      <c r="WXI574" s="44"/>
      <c r="WXJ574" s="44"/>
      <c r="WXK574" s="44"/>
      <c r="WXL574" s="44"/>
      <c r="WXM574" s="44"/>
      <c r="WXN574" s="44"/>
      <c r="WXO574" s="44"/>
      <c r="WXP574" s="44"/>
      <c r="WXQ574" s="44"/>
      <c r="WXR574" s="44"/>
      <c r="WXS574" s="44"/>
      <c r="WXT574" s="44"/>
      <c r="WXU574" s="44"/>
      <c r="WXV574" s="44"/>
      <c r="WXW574" s="44"/>
      <c r="WXX574" s="44"/>
      <c r="WXY574" s="44"/>
      <c r="WXZ574" s="44"/>
      <c r="WYA574" s="44"/>
      <c r="WYB574" s="44"/>
      <c r="WYC574" s="44"/>
      <c r="WYD574" s="44"/>
      <c r="WYE574" s="44"/>
      <c r="WYF574" s="44"/>
      <c r="WYG574" s="44"/>
      <c r="WYH574" s="44"/>
      <c r="WYI574" s="44"/>
      <c r="WYJ574" s="44"/>
      <c r="WYK574" s="44"/>
      <c r="WYL574" s="44"/>
      <c r="WYM574" s="44"/>
      <c r="WYN574" s="44"/>
      <c r="WYO574" s="44"/>
      <c r="WYP574" s="44"/>
      <c r="WYQ574" s="44"/>
      <c r="WYR574" s="44"/>
      <c r="WYS574" s="44"/>
      <c r="WYT574" s="44"/>
      <c r="WYU574" s="44"/>
      <c r="WYV574" s="44"/>
      <c r="WYW574" s="44"/>
      <c r="WYX574" s="44"/>
      <c r="WYY574" s="44"/>
      <c r="WYZ574" s="44"/>
      <c r="WZA574" s="44"/>
      <c r="WZB574" s="44"/>
      <c r="WZC574" s="44"/>
      <c r="WZD574" s="44"/>
      <c r="WZE574" s="44"/>
      <c r="WZF574" s="44"/>
      <c r="WZG574" s="44"/>
      <c r="WZH574" s="44"/>
      <c r="WZI574" s="44"/>
      <c r="WZJ574" s="44"/>
      <c r="WZK574" s="44"/>
      <c r="WZL574" s="44"/>
      <c r="WZM574" s="44"/>
      <c r="WZN574" s="44"/>
      <c r="WZO574" s="44"/>
      <c r="WZP574" s="44"/>
      <c r="WZQ574" s="44"/>
      <c r="WZR574" s="44"/>
      <c r="WZS574" s="44"/>
      <c r="WZT574" s="44"/>
      <c r="WZU574" s="44"/>
      <c r="WZV574" s="44"/>
      <c r="WZW574" s="44"/>
      <c r="WZX574" s="44"/>
      <c r="WZY574" s="44"/>
      <c r="WZZ574" s="44"/>
      <c r="XAA574" s="44"/>
      <c r="XAB574" s="44"/>
      <c r="XAC574" s="44"/>
      <c r="XAD574" s="44"/>
      <c r="XAE574" s="44"/>
      <c r="XAF574" s="44"/>
      <c r="XAG574" s="44"/>
      <c r="XAH574" s="44"/>
      <c r="XAI574" s="44"/>
      <c r="XAJ574" s="44"/>
      <c r="XAK574" s="44"/>
      <c r="XAL574" s="44"/>
      <c r="XAM574" s="44"/>
      <c r="XAN574" s="44"/>
      <c r="XAO574" s="44"/>
      <c r="XAP574" s="44"/>
      <c r="XAQ574" s="44"/>
      <c r="XAR574" s="44"/>
      <c r="XAS574" s="44"/>
      <c r="XAT574" s="44"/>
      <c r="XAU574" s="44"/>
      <c r="XAV574" s="44"/>
      <c r="XAW574" s="44"/>
      <c r="XAX574" s="44"/>
      <c r="XAY574" s="44"/>
      <c r="XAZ574" s="44"/>
      <c r="XBA574" s="44"/>
      <c r="XBB574" s="44"/>
      <c r="XBC574" s="44"/>
      <c r="XBD574" s="44"/>
      <c r="XBE574" s="44"/>
      <c r="XBF574" s="44"/>
      <c r="XBG574" s="44"/>
      <c r="XBH574" s="44"/>
      <c r="XBI574" s="44"/>
      <c r="XBJ574" s="44"/>
      <c r="XBK574" s="44"/>
      <c r="XBL574" s="44"/>
      <c r="XBM574" s="44"/>
      <c r="XBN574" s="44"/>
      <c r="XBO574" s="44"/>
      <c r="XBP574" s="44"/>
      <c r="XBQ574" s="44"/>
      <c r="XBR574" s="44"/>
      <c r="XBS574" s="44"/>
      <c r="XBT574" s="44"/>
      <c r="XBU574" s="44"/>
      <c r="XBV574" s="44"/>
      <c r="XBW574" s="44"/>
      <c r="XBX574" s="44"/>
      <c r="XBY574" s="44"/>
      <c r="XBZ574" s="44"/>
      <c r="XCA574" s="44"/>
      <c r="XCB574" s="44"/>
      <c r="XCC574" s="44"/>
      <c r="XCD574" s="44"/>
      <c r="XCE574" s="44"/>
      <c r="XCF574" s="44"/>
      <c r="XCG574" s="44"/>
      <c r="XCH574" s="44"/>
      <c r="XCI574" s="44"/>
      <c r="XCJ574" s="44"/>
      <c r="XCK574" s="44"/>
      <c r="XCL574" s="44"/>
      <c r="XCM574" s="44"/>
      <c r="XCN574" s="44"/>
      <c r="XCO574" s="44"/>
      <c r="XCP574" s="44"/>
      <c r="XCQ574" s="44"/>
      <c r="XCR574" s="44"/>
      <c r="XCS574" s="44"/>
      <c r="XCT574" s="44"/>
      <c r="XCU574" s="44"/>
      <c r="XCV574" s="44"/>
      <c r="XCW574" s="44"/>
      <c r="XCX574" s="44"/>
      <c r="XCY574" s="44"/>
      <c r="XCZ574" s="44"/>
      <c r="XDA574" s="44"/>
      <c r="XDB574" s="44"/>
      <c r="XDC574" s="44"/>
      <c r="XDD574" s="44"/>
      <c r="XDE574" s="44"/>
      <c r="XDF574" s="44"/>
      <c r="XDG574" s="44"/>
      <c r="XDH574" s="44"/>
      <c r="XDI574" s="44"/>
      <c r="XDJ574" s="44"/>
      <c r="XDK574" s="44"/>
      <c r="XDL574" s="44"/>
      <c r="XDM574" s="44"/>
      <c r="XDN574" s="44"/>
      <c r="XDO574" s="44"/>
      <c r="XDP574" s="44"/>
      <c r="XDQ574" s="44"/>
      <c r="XDR574" s="44"/>
      <c r="XDS574" s="44"/>
      <c r="XDT574" s="44"/>
      <c r="XDU574" s="44"/>
      <c r="XDV574" s="44"/>
      <c r="XDW574" s="44"/>
      <c r="XDX574" s="44"/>
      <c r="XDY574" s="44"/>
      <c r="XDZ574" s="44"/>
      <c r="XEA574" s="44"/>
      <c r="XEB574" s="44"/>
      <c r="XEC574" s="44"/>
      <c r="XED574" s="44"/>
      <c r="XEE574" s="44"/>
      <c r="XEF574" s="44"/>
      <c r="XEG574" s="44"/>
      <c r="XEH574" s="44"/>
      <c r="XEI574" s="44"/>
      <c r="XEJ574" s="44"/>
      <c r="XEK574" s="44"/>
      <c r="XEL574" s="44"/>
      <c r="XEM574" s="44"/>
      <c r="XEN574" s="44"/>
      <c r="XEO574" s="44"/>
      <c r="XEP574" s="44"/>
      <c r="XEQ574" s="44"/>
      <c r="XER574" s="44"/>
      <c r="XES574" s="44"/>
      <c r="XET574" s="44"/>
      <c r="XEU574" s="44"/>
      <c r="XEV574" s="44"/>
      <c r="XEW574" s="44"/>
    </row>
    <row r="575" spans="1:16377">
      <c r="A575" s="1115">
        <v>5105120005</v>
      </c>
      <c r="B575" s="1116" t="s">
        <v>690</v>
      </c>
      <c r="C575" s="1312">
        <f>IFERROR(VLOOKUP(A575,'SAP '!$A$3:$C$14709,3,0),0)</f>
        <v>786479.91</v>
      </c>
      <c r="D575" s="1151">
        <f>IFERROR(VLOOKUP(A575,'SAP '!A:D,4,0),0)</f>
        <v>1177167.44</v>
      </c>
      <c r="E575" s="125">
        <f>IFERROR(VLOOKUP($A575,'SAP '!$A$3:$D$391,3,0),0)</f>
        <v>786479.91</v>
      </c>
      <c r="F575" s="1310">
        <f t="shared" si="8"/>
        <v>0</v>
      </c>
    </row>
    <row r="576" spans="1:16377">
      <c r="A576" s="1115">
        <v>5105120006</v>
      </c>
      <c r="B576" s="1116" t="s">
        <v>691</v>
      </c>
      <c r="C576" s="1312">
        <f>IFERROR(VLOOKUP(A576,'SAP '!$A$3:$C$14709,3,0),0)</f>
        <v>132712.53</v>
      </c>
      <c r="D576" s="1151">
        <f>IFERROR(VLOOKUP(A576,'SAP '!A:D,4,0),0)</f>
        <v>2362219.2000000002</v>
      </c>
      <c r="E576" s="125">
        <f>IFERROR(VLOOKUP($A576,'SAP '!$A$3:$D$391,3,0),0)</f>
        <v>132712.53</v>
      </c>
      <c r="F576" s="1310">
        <f t="shared" si="8"/>
        <v>0</v>
      </c>
    </row>
    <row r="577" spans="1:6">
      <c r="A577" s="1115">
        <v>5105120007</v>
      </c>
      <c r="B577" s="1116" t="s">
        <v>1027</v>
      </c>
      <c r="C577" s="1312">
        <f>IFERROR(VLOOKUP(A577,'SAP '!$A$3:$C$14709,3,0),0)</f>
        <v>0</v>
      </c>
      <c r="D577" s="1151">
        <f>IFERROR(VLOOKUP(A577,'SAP '!A:D,4,0),0)</f>
        <v>0</v>
      </c>
      <c r="E577" s="125">
        <f>IFERROR(VLOOKUP($A577,'SAP '!$A$3:$D$391,3,0),0)</f>
        <v>0</v>
      </c>
      <c r="F577" s="1310">
        <f t="shared" si="8"/>
        <v>0</v>
      </c>
    </row>
    <row r="578" spans="1:6">
      <c r="A578" s="1115">
        <v>5105120008</v>
      </c>
      <c r="B578" s="1116" t="s">
        <v>1482</v>
      </c>
      <c r="C578" s="1312">
        <f>IFERROR(VLOOKUP(A578,'SAP '!$A$3:$C$14709,3,0),0)</f>
        <v>313984.86</v>
      </c>
      <c r="D578" s="1151">
        <f>IFERROR(VLOOKUP(A578,'SAP '!A:D,4,0),0)</f>
        <v>119682.4</v>
      </c>
      <c r="E578" s="125">
        <f>IFERROR(VLOOKUP($A578,'SAP '!$A$3:$D$391,3,0),0)</f>
        <v>313984.86</v>
      </c>
      <c r="F578" s="1310">
        <f t="shared" si="8"/>
        <v>0</v>
      </c>
    </row>
    <row r="579" spans="1:6">
      <c r="A579" s="1115">
        <v>5105121000</v>
      </c>
      <c r="B579" s="1116" t="s">
        <v>672</v>
      </c>
      <c r="C579" s="1312">
        <f>IFERROR(VLOOKUP(A579,'SAP '!$A$3:$C$14709,3,0),0)</f>
        <v>4980317.6500000004</v>
      </c>
      <c r="D579" s="1151">
        <f>IFERROR(VLOOKUP(A579,'SAP '!A:D,4,0),0)</f>
        <v>5408105.4100000001</v>
      </c>
      <c r="E579" s="125">
        <f>IFERROR(VLOOKUP($A579,'SAP '!$A$3:$D$391,3,0),0)</f>
        <v>4980317.6500000004</v>
      </c>
      <c r="F579" s="1310">
        <f t="shared" ref="F579:F635" si="9">C579-E579</f>
        <v>0</v>
      </c>
    </row>
    <row r="580" spans="1:6">
      <c r="A580" s="1115">
        <v>5105122000</v>
      </c>
      <c r="B580" s="1116" t="s">
        <v>673</v>
      </c>
      <c r="C580" s="1312">
        <f>IFERROR(VLOOKUP(A580,'SAP '!$A$3:$C$14709,3,0),0)</f>
        <v>390054.68</v>
      </c>
      <c r="D580" s="1151">
        <f>IFERROR(VLOOKUP(A580,'SAP '!A:D,4,0),0)</f>
        <v>587851.62</v>
      </c>
      <c r="E580" s="125">
        <f>IFERROR(VLOOKUP($A580,'SAP '!$A$3:$D$391,3,0),0)</f>
        <v>390054.68</v>
      </c>
      <c r="F580" s="1310">
        <f t="shared" si="9"/>
        <v>0</v>
      </c>
    </row>
    <row r="581" spans="1:6">
      <c r="A581" s="1115">
        <v>5105123000</v>
      </c>
      <c r="B581" s="1116" t="s">
        <v>674</v>
      </c>
      <c r="C581" s="1312">
        <f>IFERROR(VLOOKUP(A581,'SAP '!$A$3:$C$14709,3,0),0)</f>
        <v>53904</v>
      </c>
      <c r="D581" s="1151">
        <f>IFERROR(VLOOKUP(A581,'SAP '!A:D,4,0),0)</f>
        <v>110041</v>
      </c>
      <c r="E581" s="125">
        <f>IFERROR(VLOOKUP($A581,'SAP '!$A$3:$D$391,3,0),0)</f>
        <v>53904</v>
      </c>
      <c r="F581" s="1310">
        <f t="shared" si="9"/>
        <v>0</v>
      </c>
    </row>
    <row r="582" spans="1:6">
      <c r="A582" s="1115">
        <v>5105123002</v>
      </c>
      <c r="B582" s="1116" t="s">
        <v>1026</v>
      </c>
      <c r="C582" s="1312">
        <f>IFERROR(VLOOKUP(A582,'SAP '!$A$3:$C$14709,3,0),0)</f>
        <v>0</v>
      </c>
      <c r="D582" s="1151">
        <f>IFERROR(VLOOKUP(A582,'SAP '!A:D,4,0),0)</f>
        <v>0</v>
      </c>
      <c r="E582" s="125">
        <f>IFERROR(VLOOKUP($A582,'SAP '!$A$3:$D$391,3,0),0)</f>
        <v>0</v>
      </c>
      <c r="F582" s="1310">
        <f t="shared" si="9"/>
        <v>0</v>
      </c>
    </row>
    <row r="583" spans="1:6">
      <c r="A583" s="1115">
        <v>5105124000</v>
      </c>
      <c r="B583" s="1116" t="s">
        <v>675</v>
      </c>
      <c r="C583" s="1312">
        <f>IFERROR(VLOOKUP(A583,'SAP '!$A$3:$C$14709,3,0),0)</f>
        <v>0</v>
      </c>
      <c r="D583" s="1151">
        <f>IFERROR(VLOOKUP(A583,'SAP '!A:D,4,0),0)</f>
        <v>0</v>
      </c>
      <c r="E583" s="125">
        <f>IFERROR(VLOOKUP($A583,'SAP '!$A$3:$D$391,3,0),0)</f>
        <v>0</v>
      </c>
      <c r="F583" s="1310">
        <f t="shared" si="9"/>
        <v>0</v>
      </c>
    </row>
    <row r="584" spans="1:6">
      <c r="A584" s="1115">
        <v>5105125000</v>
      </c>
      <c r="B584" s="1116" t="s">
        <v>676</v>
      </c>
      <c r="C584" s="1312">
        <f>IFERROR(VLOOKUP(A584,'SAP '!$A$3:$C$14709,3,0),0)</f>
        <v>30000</v>
      </c>
      <c r="D584" s="1151">
        <f>IFERROR(VLOOKUP(A584,'SAP '!A:D,4,0),0)</f>
        <v>60000</v>
      </c>
      <c r="E584" s="125">
        <f>IFERROR(VLOOKUP($A584,'SAP '!$A$3:$D$391,3,0),0)</f>
        <v>30000</v>
      </c>
      <c r="F584" s="1310">
        <f t="shared" si="9"/>
        <v>0</v>
      </c>
    </row>
    <row r="585" spans="1:6">
      <c r="A585" s="1115">
        <v>5105125001</v>
      </c>
      <c r="B585" s="1116" t="s">
        <v>204</v>
      </c>
      <c r="C585" s="1312">
        <f>IFERROR(VLOOKUP(A585,'SAP '!$A$3:$C$14709,3,0),0)</f>
        <v>80000</v>
      </c>
      <c r="D585" s="1151">
        <f>IFERROR(VLOOKUP(A585,'SAP '!A:D,4,0),0)</f>
        <v>0</v>
      </c>
      <c r="E585" s="125">
        <f>IFERROR(VLOOKUP($A585,'SAP '!$A$3:$D$391,3,0),0)</f>
        <v>80000</v>
      </c>
      <c r="F585" s="1310">
        <f t="shared" si="9"/>
        <v>0</v>
      </c>
    </row>
    <row r="586" spans="1:6">
      <c r="A586" s="1115">
        <v>5105126000</v>
      </c>
      <c r="B586" s="1116" t="s">
        <v>677</v>
      </c>
      <c r="C586" s="1312">
        <f>IFERROR(VLOOKUP(A586,'SAP '!$A$3:$C$14709,3,0),0)</f>
        <v>0</v>
      </c>
      <c r="D586" s="1151">
        <f>IFERROR(VLOOKUP(A586,'SAP '!A:D,4,0),0)</f>
        <v>0</v>
      </c>
      <c r="E586" s="125">
        <f>IFERROR(VLOOKUP($A586,'SAP '!$A$3:$D$391,3,0),0)</f>
        <v>0</v>
      </c>
      <c r="F586" s="1310">
        <f t="shared" si="9"/>
        <v>0</v>
      </c>
    </row>
    <row r="587" spans="1:6">
      <c r="A587" s="1126">
        <v>5105126001</v>
      </c>
      <c r="B587" s="1127" t="s">
        <v>170</v>
      </c>
      <c r="C587" s="1312">
        <f>IFERROR(VLOOKUP(A587,'SAP '!$A$3:$C$14709,3,0),0)</f>
        <v>0</v>
      </c>
      <c r="D587" s="1151">
        <f>IFERROR(VLOOKUP(A587,'SAP '!A:D,4,0),0)</f>
        <v>256351.56</v>
      </c>
      <c r="E587" s="125">
        <f>IFERROR(VLOOKUP($A587,'SAP '!$A$3:$D$391,3,0),0)</f>
        <v>0</v>
      </c>
      <c r="F587" s="1310">
        <f t="shared" si="9"/>
        <v>0</v>
      </c>
    </row>
    <row r="588" spans="1:6">
      <c r="A588" s="1115">
        <v>5105126002</v>
      </c>
      <c r="B588" s="1116" t="s">
        <v>678</v>
      </c>
      <c r="C588" s="1312">
        <f>IFERROR(VLOOKUP(A588,'SAP '!$A$3:$C$14709,3,0),0)</f>
        <v>0</v>
      </c>
      <c r="D588" s="1151">
        <f>IFERROR(VLOOKUP(A588,'SAP '!A:D,4,0),0)</f>
        <v>0</v>
      </c>
      <c r="E588" s="125">
        <f>IFERROR(VLOOKUP($A588,'SAP '!$A$3:$D$391,3,0),0)</f>
        <v>0</v>
      </c>
      <c r="F588" s="1310">
        <f t="shared" si="9"/>
        <v>0</v>
      </c>
    </row>
    <row r="589" spans="1:6">
      <c r="A589" s="1120">
        <v>5105126003</v>
      </c>
      <c r="B589" s="1120" t="s">
        <v>171</v>
      </c>
      <c r="C589" s="1312">
        <f>IFERROR(VLOOKUP(A589,'SAP '!$A$3:$C$14709,3,0),0)</f>
        <v>0</v>
      </c>
      <c r="D589" s="1151">
        <f>IFERROR(VLOOKUP(A589,'SAP '!A:D,4,0),0)</f>
        <v>0</v>
      </c>
      <c r="E589" s="125">
        <f>IFERROR(VLOOKUP($A589,'SAP '!$A$3:$D$391,3,0),0)</f>
        <v>0</v>
      </c>
      <c r="F589" s="1310">
        <f t="shared" si="9"/>
        <v>0</v>
      </c>
    </row>
    <row r="590" spans="1:6">
      <c r="A590" s="1115">
        <v>5105126004</v>
      </c>
      <c r="B590" s="1116" t="s">
        <v>679</v>
      </c>
      <c r="C590" s="1312">
        <f>IFERROR(VLOOKUP(A590,'SAP '!$A$3:$C$14709,3,0),0)</f>
        <v>0</v>
      </c>
      <c r="D590" s="1151">
        <f>IFERROR(VLOOKUP(A590,'SAP '!A:D,4,0),0)</f>
        <v>0</v>
      </c>
      <c r="E590" s="125">
        <f>IFERROR(VLOOKUP($A590,'SAP '!$A$3:$D$391,3,0),0)</f>
        <v>0</v>
      </c>
      <c r="F590" s="1310">
        <f t="shared" si="9"/>
        <v>0</v>
      </c>
    </row>
    <row r="591" spans="1:6">
      <c r="A591" s="1120">
        <v>5105126005</v>
      </c>
      <c r="B591" s="1120" t="s">
        <v>172</v>
      </c>
      <c r="C591" s="1312">
        <f>IFERROR(VLOOKUP(A591,'SAP '!$A$3:$C$14709,3,0),0)</f>
        <v>0</v>
      </c>
      <c r="D591" s="1151">
        <f>IFERROR(VLOOKUP(A591,'SAP '!A:D,4,0),0)</f>
        <v>0</v>
      </c>
      <c r="E591" s="125">
        <f>IFERROR(VLOOKUP($A591,'SAP '!$A$3:$D$391,3,0),0)</f>
        <v>0</v>
      </c>
      <c r="F591" s="1310">
        <f t="shared" si="9"/>
        <v>0</v>
      </c>
    </row>
    <row r="592" spans="1:6">
      <c r="A592" s="1120">
        <v>5105126006</v>
      </c>
      <c r="B592" s="1120" t="s">
        <v>173</v>
      </c>
      <c r="C592" s="1312">
        <f>IFERROR(VLOOKUP(A592,'SAP '!$A$3:$C$14709,3,0),0)</f>
        <v>0</v>
      </c>
      <c r="D592" s="1151">
        <f>IFERROR(VLOOKUP(A592,'SAP '!A:D,4,0),0)</f>
        <v>0</v>
      </c>
      <c r="E592" s="125">
        <f>IFERROR(VLOOKUP($A592,'SAP '!$A$3:$D$391,3,0),0)</f>
        <v>0</v>
      </c>
      <c r="F592" s="1310">
        <f t="shared" si="9"/>
        <v>0</v>
      </c>
    </row>
    <row r="593" spans="1:6">
      <c r="A593" s="1115">
        <v>5105126007</v>
      </c>
      <c r="B593" s="1116" t="s">
        <v>680</v>
      </c>
      <c r="C593" s="1321">
        <f>IFERROR(VLOOKUP(A593,'SAP '!$A$3:$C$14709,3,0),0)</f>
        <v>0.11</v>
      </c>
      <c r="D593" s="1151">
        <f>IFERROR(VLOOKUP(A593,'SAP '!A:D,4,0),0)</f>
        <v>1.23</v>
      </c>
      <c r="E593" s="125">
        <f>IFERROR(VLOOKUP($A593,'SAP '!$A$3:$D$391,3,0),0)</f>
        <v>0.11</v>
      </c>
      <c r="F593" s="1310">
        <f t="shared" si="9"/>
        <v>0</v>
      </c>
    </row>
    <row r="594" spans="1:6">
      <c r="A594" s="1120">
        <v>5105126009</v>
      </c>
      <c r="B594" s="1120" t="s">
        <v>1130</v>
      </c>
      <c r="C594" s="1312">
        <f>IFERROR(VLOOKUP(A594,'SAP '!$A$3:$C$14709,3,0),0)</f>
        <v>0</v>
      </c>
      <c r="D594" s="1151">
        <f>IFERROR(VLOOKUP(A594,'SAP '!A:D,4,0),0)</f>
        <v>0</v>
      </c>
      <c r="E594" s="125">
        <f>IFERROR(VLOOKUP($A594,'SAP '!$A$3:$D$391,3,0),0)</f>
        <v>0</v>
      </c>
      <c r="F594" s="1310">
        <f t="shared" si="9"/>
        <v>0</v>
      </c>
    </row>
    <row r="595" spans="1:6">
      <c r="A595" s="1115">
        <v>5105126999</v>
      </c>
      <c r="B595" s="1116" t="s">
        <v>681</v>
      </c>
      <c r="C595" s="1312">
        <f>IFERROR(VLOOKUP(A595,'SAP '!$A$3:$C$14709,3,0),0)</f>
        <v>0</v>
      </c>
      <c r="D595" s="1151">
        <f>IFERROR(VLOOKUP(A595,'SAP '!A:D,4,0),0)</f>
        <v>32071.599999999999</v>
      </c>
      <c r="E595" s="125">
        <f>IFERROR(VLOOKUP($A595,'SAP '!$A$3:$D$391,3,0),0)</f>
        <v>0</v>
      </c>
      <c r="F595" s="1310">
        <f t="shared" si="9"/>
        <v>0</v>
      </c>
    </row>
    <row r="596" spans="1:6">
      <c r="A596" s="1115">
        <v>5105128000</v>
      </c>
      <c r="B596" s="1116" t="s">
        <v>682</v>
      </c>
      <c r="C596" s="1312">
        <f>IFERROR(VLOOKUP(A596,'SAP '!$A$3:$C$14709,3,0),0)</f>
        <v>0</v>
      </c>
      <c r="D596" s="1151">
        <f>IFERROR(VLOOKUP(A596,'SAP '!A:D,4,0),0)</f>
        <v>0</v>
      </c>
      <c r="E596" s="125">
        <f>IFERROR(VLOOKUP($A596,'SAP '!$A$3:$D$391,3,0),0)</f>
        <v>0</v>
      </c>
      <c r="F596" s="1310">
        <f t="shared" si="9"/>
        <v>0</v>
      </c>
    </row>
    <row r="597" spans="1:6">
      <c r="A597" s="1120">
        <v>5105130000</v>
      </c>
      <c r="B597" s="1120" t="s">
        <v>174</v>
      </c>
      <c r="C597" s="1312">
        <f>IFERROR(VLOOKUP(A597,'SAP '!$A$3:$C$14709,3,0),0)</f>
        <v>0</v>
      </c>
      <c r="D597" s="1151">
        <f>IFERROR(VLOOKUP(A597,'SAP '!A:D,4,0),0)</f>
        <v>0</v>
      </c>
      <c r="E597" s="125">
        <f>IFERROR(VLOOKUP($A597,'SAP '!$A$3:$D$391,3,0),0)</f>
        <v>0</v>
      </c>
      <c r="F597" s="1310">
        <f t="shared" si="9"/>
        <v>0</v>
      </c>
    </row>
    <row r="598" spans="1:6">
      <c r="A598" s="1115">
        <v>5105130001</v>
      </c>
      <c r="B598" s="1116" t="s">
        <v>683</v>
      </c>
      <c r="C598" s="1312">
        <f>IFERROR(VLOOKUP(A598,'SAP '!$A$3:$C$14709,3,0),0)</f>
        <v>380527.5</v>
      </c>
      <c r="D598" s="1151">
        <f>IFERROR(VLOOKUP(A598,'SAP '!A:D,4,0),0)</f>
        <v>325447.5</v>
      </c>
      <c r="E598" s="125">
        <f>IFERROR(VLOOKUP($A598,'SAP '!$A$3:$D$391,3,0),0)</f>
        <v>380527.5</v>
      </c>
      <c r="F598" s="1310">
        <f t="shared" si="9"/>
        <v>0</v>
      </c>
    </row>
    <row r="599" spans="1:6">
      <c r="A599" s="1115">
        <v>5105132000</v>
      </c>
      <c r="B599" s="1116" t="s">
        <v>210</v>
      </c>
      <c r="C599" s="1312">
        <f>IFERROR(VLOOKUP(A599,'SAP '!$A$3:$C$14709,3,0),0)</f>
        <v>8760</v>
      </c>
      <c r="D599" s="1151">
        <f>IFERROR(VLOOKUP(A599,'SAP '!A:D,4,0),0)</f>
        <v>0</v>
      </c>
      <c r="E599" s="125">
        <f>IFERROR(VLOOKUP($A599,'SAP '!$A$3:$D$391,3,0),0)</f>
        <v>8760</v>
      </c>
      <c r="F599" s="1310">
        <f t="shared" si="9"/>
        <v>0</v>
      </c>
    </row>
    <row r="600" spans="1:6">
      <c r="A600" s="1115">
        <v>5106101000</v>
      </c>
      <c r="B600" s="1116" t="s">
        <v>684</v>
      </c>
      <c r="C600" s="1312">
        <f>IFERROR(VLOOKUP(A600,'SAP '!$A$3:$C$14709,3,0),0)</f>
        <v>878424.66</v>
      </c>
      <c r="D600" s="1151">
        <f>IFERROR(VLOOKUP(A600,'SAP '!A:D,4,0),0)</f>
        <v>878424.66</v>
      </c>
      <c r="E600" s="125">
        <f>IFERROR(VLOOKUP($A600,'SAP '!$A$3:$D$391,3,0),0)</f>
        <v>878424.66</v>
      </c>
      <c r="F600" s="1310">
        <f t="shared" si="9"/>
        <v>0</v>
      </c>
    </row>
    <row r="601" spans="1:6">
      <c r="A601" s="1128">
        <v>5106101001</v>
      </c>
      <c r="B601" s="1129" t="s">
        <v>1133</v>
      </c>
      <c r="C601" s="1312">
        <f>IFERROR(VLOOKUP(A601,'SAP '!$A$3:$C$14709,3,0),0)</f>
        <v>0</v>
      </c>
      <c r="D601" s="1151">
        <f>IFERROR(VLOOKUP(A601,'SAP '!A:D,4,0),0)</f>
        <v>0</v>
      </c>
      <c r="E601" s="125">
        <f>IFERROR(VLOOKUP($A601,'SAP '!$A$3:$D$391,3,0),0)</f>
        <v>0</v>
      </c>
      <c r="F601" s="1310">
        <f t="shared" si="9"/>
        <v>0</v>
      </c>
    </row>
    <row r="602" spans="1:6">
      <c r="A602" s="1115">
        <v>5106102000</v>
      </c>
      <c r="B602" s="1116" t="s">
        <v>685</v>
      </c>
      <c r="C602" s="1312">
        <f>IFERROR(VLOOKUP(A602,'SAP '!$A$3:$C$14709,3,0),0)</f>
        <v>125292.74</v>
      </c>
      <c r="D602" s="1151">
        <f>IFERROR(VLOOKUP(A602,'SAP '!A:D,4,0),0)</f>
        <v>117297.55</v>
      </c>
      <c r="E602" s="125">
        <f>IFERROR(VLOOKUP($A602,'SAP '!$A$3:$D$391,3,0),0)</f>
        <v>125292.74</v>
      </c>
      <c r="F602" s="1310">
        <f t="shared" si="9"/>
        <v>0</v>
      </c>
    </row>
    <row r="603" spans="1:6">
      <c r="A603" s="1115">
        <v>5107101000</v>
      </c>
      <c r="B603" s="1116" t="s">
        <v>693</v>
      </c>
      <c r="C603" s="1312">
        <f>IFERROR(VLOOKUP(A603,'SAP '!$A$3:$C$14709,3,0),0)</f>
        <v>4599547.1900000004</v>
      </c>
      <c r="D603" s="1151">
        <f>IFERROR(VLOOKUP(A603,'SAP '!A:D,4,0),0)</f>
        <v>4131856</v>
      </c>
      <c r="E603" s="125">
        <f>IFERROR(VLOOKUP($A603,'SAP '!$A$3:$D$391,3,0),0)</f>
        <v>4599547.1900000004</v>
      </c>
      <c r="F603" s="1310">
        <f t="shared" si="9"/>
        <v>0</v>
      </c>
    </row>
    <row r="604" spans="1:6">
      <c r="A604" s="1115">
        <v>5107102000</v>
      </c>
      <c r="B604" s="1116" t="s">
        <v>694</v>
      </c>
      <c r="C604" s="1312">
        <f>IFERROR(VLOOKUP(A604,'SAP '!$A$3:$C$14709,3,0),0)</f>
        <v>60935746.600000001</v>
      </c>
      <c r="D604" s="1151">
        <f>IFERROR(VLOOKUP(A604,'SAP '!A:D,4,0),0)</f>
        <v>58337082</v>
      </c>
      <c r="E604" s="125">
        <f>IFERROR(VLOOKUP($A604,'SAP '!$A$3:$D$391,3,0),0)</f>
        <v>60935746.600000001</v>
      </c>
      <c r="F604" s="1310">
        <f t="shared" si="9"/>
        <v>0</v>
      </c>
    </row>
    <row r="605" spans="1:6">
      <c r="A605" s="1115">
        <v>5107103000</v>
      </c>
      <c r="B605" s="1116" t="s">
        <v>695</v>
      </c>
      <c r="C605" s="1312">
        <f>IFERROR(VLOOKUP(A605,'SAP '!$A$3:$C$14709,3,0),0)</f>
        <v>1297549.04</v>
      </c>
      <c r="D605" s="1151">
        <f>IFERROR(VLOOKUP(A605,'SAP '!A:D,4,0),0)</f>
        <v>1434544.84</v>
      </c>
      <c r="E605" s="125">
        <f>IFERROR(VLOOKUP($A605,'SAP '!$A$3:$D$391,3,0),0)</f>
        <v>1297549.04</v>
      </c>
      <c r="F605" s="1310">
        <f t="shared" si="9"/>
        <v>0</v>
      </c>
    </row>
    <row r="606" spans="1:6">
      <c r="A606" s="1115">
        <v>5107103001</v>
      </c>
      <c r="B606" s="1116" t="s">
        <v>696</v>
      </c>
      <c r="C606" s="1312">
        <f>IFERROR(VLOOKUP(A606,'SAP '!$A$3:$C$14709,3,0),0)</f>
        <v>245472.91</v>
      </c>
      <c r="D606" s="1151">
        <f>IFERROR(VLOOKUP(A606,'SAP '!A:D,4,0),0)</f>
        <v>245123</v>
      </c>
      <c r="E606" s="125">
        <f>IFERROR(VLOOKUP($A606,'SAP '!$A$3:$D$391,3,0),0)</f>
        <v>245472.91</v>
      </c>
      <c r="F606" s="1310">
        <f t="shared" si="9"/>
        <v>0</v>
      </c>
    </row>
    <row r="607" spans="1:6">
      <c r="A607" s="1115">
        <v>5107104000</v>
      </c>
      <c r="B607" s="1116" t="s">
        <v>697</v>
      </c>
      <c r="C607" s="1312">
        <f>IFERROR(VLOOKUP(A607,'SAP '!$A$3:$C$14709,3,0),0)</f>
        <v>18010643</v>
      </c>
      <c r="D607" s="1151">
        <f>IFERROR(VLOOKUP(A607,'SAP '!A:D,4,0),0)</f>
        <v>18581271</v>
      </c>
      <c r="E607" s="125">
        <f>IFERROR(VLOOKUP($A607,'SAP '!$A$3:$D$391,3,0),0)</f>
        <v>18010643</v>
      </c>
      <c r="F607" s="1310">
        <f t="shared" si="9"/>
        <v>0</v>
      </c>
    </row>
    <row r="608" spans="1:6">
      <c r="A608" s="1115">
        <v>5107104001</v>
      </c>
      <c r="B608" s="1116" t="s">
        <v>698</v>
      </c>
      <c r="C608" s="1312">
        <f>IFERROR(VLOOKUP(A608,'SAP '!$A$3:$C$14709,3,0),0)</f>
        <v>7440705</v>
      </c>
      <c r="D608" s="1151">
        <f>IFERROR(VLOOKUP(A608,'SAP '!A:D,4,0),0)</f>
        <v>6694113</v>
      </c>
      <c r="E608" s="125">
        <f>IFERROR(VLOOKUP($A608,'SAP '!$A$3:$D$391,3,0),0)</f>
        <v>7440705</v>
      </c>
      <c r="F608" s="1310">
        <f t="shared" si="9"/>
        <v>0</v>
      </c>
    </row>
    <row r="609" spans="1:6">
      <c r="A609" s="1115">
        <v>5107105000</v>
      </c>
      <c r="B609" s="1116" t="s">
        <v>699</v>
      </c>
      <c r="C609" s="1312">
        <f>IFERROR(VLOOKUP(A609,'SAP '!$A$3:$C$14709,3,0),0)</f>
        <v>1128515</v>
      </c>
      <c r="D609" s="1151">
        <f>IFERROR(VLOOKUP(A609,'SAP '!A:D,4,0),0)</f>
        <v>1190087.1299999999</v>
      </c>
      <c r="E609" s="125">
        <f>IFERROR(VLOOKUP($A609,'SAP '!$A$3:$D$391,3,0),0)</f>
        <v>1128515</v>
      </c>
      <c r="F609" s="1310">
        <f t="shared" si="9"/>
        <v>0</v>
      </c>
    </row>
    <row r="610" spans="1:6">
      <c r="A610" s="1115">
        <v>5107106000</v>
      </c>
      <c r="B610" s="1116" t="s">
        <v>700</v>
      </c>
      <c r="C610" s="1312">
        <f>IFERROR(VLOOKUP(A610,'SAP '!$A$3:$C$14709,3,0),0)</f>
        <v>1543759</v>
      </c>
      <c r="D610" s="1151">
        <f>IFERROR(VLOOKUP(A610,'SAP '!A:D,4,0),0)</f>
        <v>1237383</v>
      </c>
      <c r="E610" s="125">
        <f>IFERROR(VLOOKUP($A610,'SAP '!$A$3:$D$391,3,0),0)</f>
        <v>1543759</v>
      </c>
      <c r="F610" s="1310">
        <f t="shared" si="9"/>
        <v>0</v>
      </c>
    </row>
    <row r="611" spans="1:6">
      <c r="A611" s="1120">
        <v>5107107000</v>
      </c>
      <c r="B611" s="1120" t="s">
        <v>175</v>
      </c>
      <c r="C611" s="1312">
        <f>IFERROR(VLOOKUP(A611,'SAP '!$A$3:$C$14709,3,0),0)</f>
        <v>0</v>
      </c>
      <c r="D611" s="1151">
        <f>IFERROR(VLOOKUP(A611,'SAP '!A:D,4,0),0)</f>
        <v>0</v>
      </c>
      <c r="E611" s="125">
        <f>IFERROR(VLOOKUP($A611,'SAP '!$A$3:$D$391,3,0),0)</f>
        <v>0</v>
      </c>
      <c r="F611" s="1310">
        <f t="shared" si="9"/>
        <v>0</v>
      </c>
    </row>
    <row r="612" spans="1:6">
      <c r="A612" s="1120">
        <v>5107108000</v>
      </c>
      <c r="B612" s="1120" t="s">
        <v>176</v>
      </c>
      <c r="C612" s="1312">
        <f>IFERROR(VLOOKUP(A612,'SAP '!$A$3:$C$14709,3,0),0)</f>
        <v>0</v>
      </c>
      <c r="D612" s="1151">
        <f>IFERROR(VLOOKUP(A612,'SAP '!A:D,4,0),0)</f>
        <v>0</v>
      </c>
      <c r="E612" s="125">
        <f>IFERROR(VLOOKUP($A612,'SAP '!$A$3:$D$391,3,0),0)</f>
        <v>0</v>
      </c>
      <c r="F612" s="1310">
        <f t="shared" si="9"/>
        <v>0</v>
      </c>
    </row>
    <row r="613" spans="1:6">
      <c r="A613" s="1115">
        <v>5107202000</v>
      </c>
      <c r="B613" s="1116" t="s">
        <v>701</v>
      </c>
      <c r="C613" s="1312">
        <f>IFERROR(VLOOKUP(A613,'SAP '!$A$3:$C$14709,3,0),0)</f>
        <v>60582390</v>
      </c>
      <c r="D613" s="1151">
        <f>IFERROR(VLOOKUP(A613,'SAP '!A:D,4,0),0)</f>
        <v>48736333.700000003</v>
      </c>
      <c r="E613" s="125">
        <f>IFERROR(VLOOKUP($A613,'SAP '!$A$3:$D$391,3,0),0)</f>
        <v>60582390</v>
      </c>
      <c r="F613" s="1310">
        <f t="shared" si="9"/>
        <v>0</v>
      </c>
    </row>
    <row r="614" spans="1:6">
      <c r="A614" s="1120">
        <v>5108101000</v>
      </c>
      <c r="B614" s="1120" t="s">
        <v>177</v>
      </c>
      <c r="C614" s="1312">
        <f>IFERROR(VLOOKUP(A614,'SAP '!$A$3:$C$14709,3,0),0)</f>
        <v>0</v>
      </c>
      <c r="D614" s="1151">
        <f>IFERROR(VLOOKUP(A614,'SAP '!A:D,4,0),0)</f>
        <v>0</v>
      </c>
      <c r="E614" s="125">
        <f>IFERROR(VLOOKUP($A614,'SAP '!$A$3:$D$391,3,0),0)</f>
        <v>0</v>
      </c>
      <c r="F614" s="1310">
        <f t="shared" si="9"/>
        <v>0</v>
      </c>
    </row>
    <row r="615" spans="1:6">
      <c r="A615" s="1120">
        <v>5108102000</v>
      </c>
      <c r="B615" s="1120" t="s">
        <v>178</v>
      </c>
      <c r="C615" s="1312">
        <f>IFERROR(VLOOKUP(A615,'SAP '!$A$3:$C$14709,3,0),0)</f>
        <v>0</v>
      </c>
      <c r="D615" s="1151">
        <f>IFERROR(VLOOKUP(A615,'SAP '!A:D,4,0),0)</f>
        <v>0</v>
      </c>
      <c r="E615" s="125">
        <f>IFERROR(VLOOKUP($A615,'SAP '!$A$3:$D$391,3,0),0)</f>
        <v>0</v>
      </c>
      <c r="F615" s="1310">
        <f t="shared" si="9"/>
        <v>0</v>
      </c>
    </row>
    <row r="616" spans="1:6">
      <c r="A616" s="1115">
        <v>5110101000</v>
      </c>
      <c r="B616" s="1116" t="s">
        <v>1028</v>
      </c>
      <c r="C616" s="1312">
        <f>IFERROR(VLOOKUP(A616,'SAP '!$A$3:$C$14709,3,0),0)</f>
        <v>0</v>
      </c>
      <c r="D616" s="1151">
        <f>IFERROR(VLOOKUP(A616,'SAP '!A:D,4,0),0)</f>
        <v>0</v>
      </c>
      <c r="E616" s="125">
        <f>IFERROR(VLOOKUP($A616,'SAP '!$A$3:$D$391,3,0),0)</f>
        <v>0</v>
      </c>
      <c r="F616" s="1310">
        <f t="shared" si="9"/>
        <v>0</v>
      </c>
    </row>
    <row r="617" spans="1:6">
      <c r="A617" s="1120">
        <v>5110101001</v>
      </c>
      <c r="B617" s="1120" t="s">
        <v>179</v>
      </c>
      <c r="C617" s="1312">
        <f>IFERROR(VLOOKUP(A617,'SAP '!$A$3:$C$14709,3,0),0)</f>
        <v>0</v>
      </c>
      <c r="D617" s="1151">
        <f>IFERROR(VLOOKUP(A617,'SAP '!A:D,4,0),0)</f>
        <v>0</v>
      </c>
      <c r="E617" s="125">
        <f>IFERROR(VLOOKUP($A617,'SAP '!$A$3:$D$391,3,0),0)</f>
        <v>0</v>
      </c>
      <c r="F617" s="1310">
        <f t="shared" si="9"/>
        <v>0</v>
      </c>
    </row>
    <row r="618" spans="1:6">
      <c r="A618" s="1120">
        <v>5110201000</v>
      </c>
      <c r="B618" s="1120" t="s">
        <v>180</v>
      </c>
      <c r="C618" s="1312">
        <f>IFERROR(VLOOKUP(A618,'SAP '!$A$3:$C$14709,3,0),0)</f>
        <v>0</v>
      </c>
      <c r="D618" s="1151">
        <f>IFERROR(VLOOKUP(A618,'SAP '!A:D,4,0),0)</f>
        <v>0</v>
      </c>
      <c r="E618" s="125">
        <f>IFERROR(VLOOKUP($A618,'SAP '!$A$3:$D$391,3,0),0)</f>
        <v>0</v>
      </c>
      <c r="F618" s="1310">
        <f t="shared" si="9"/>
        <v>0</v>
      </c>
    </row>
    <row r="619" spans="1:6">
      <c r="A619" s="1115">
        <v>5111102000</v>
      </c>
      <c r="B619" s="1116" t="s">
        <v>692</v>
      </c>
      <c r="C619" s="1312">
        <f>IFERROR(VLOOKUP(A619,'SAP '!$A$3:$C$14709,3,0),0)</f>
        <v>534662.04</v>
      </c>
      <c r="D619" s="1151">
        <f>IFERROR(VLOOKUP(A619,'SAP '!A:D,4,0),0)</f>
        <v>309358.56</v>
      </c>
      <c r="E619" s="125">
        <f>IFERROR(VLOOKUP($A619,'SAP '!$A$3:$D$391,3,0),0)</f>
        <v>534662.04</v>
      </c>
      <c r="F619" s="1310">
        <f t="shared" si="9"/>
        <v>0</v>
      </c>
    </row>
    <row r="620" spans="1:6">
      <c r="A620" s="1120">
        <v>6103101000</v>
      </c>
      <c r="B620" s="1120" t="s">
        <v>1042</v>
      </c>
      <c r="C620" s="1161">
        <f>IFERROR(VLOOKUP(A620,'SAP '!$A$3:$C$14709,3,0),0)</f>
        <v>0</v>
      </c>
      <c r="D620" s="1151">
        <f>IFERROR(VLOOKUP(A620,'SAP '!A:D,4,0),0)</f>
        <v>0</v>
      </c>
      <c r="E620" s="125">
        <f>IFERROR(VLOOKUP($A620,'SAP '!$A$3:$D$391,3,0),0)</f>
        <v>0</v>
      </c>
      <c r="F620" s="1310">
        <f t="shared" si="9"/>
        <v>0</v>
      </c>
    </row>
    <row r="621" spans="1:6">
      <c r="A621" s="1120">
        <v>6103101001</v>
      </c>
      <c r="B621" s="1120" t="s">
        <v>1029</v>
      </c>
      <c r="C621" s="1161">
        <f>IFERROR(VLOOKUP(A621,'SAP '!$A$3:$C$14709,3,0),0)</f>
        <v>0</v>
      </c>
      <c r="D621" s="1151">
        <f>IFERROR(VLOOKUP(A621,'SAP '!A:D,4,0),0)</f>
        <v>0</v>
      </c>
      <c r="E621" s="125">
        <f>IFERROR(VLOOKUP($A621,'SAP '!$A$3:$D$391,3,0),0)</f>
        <v>0</v>
      </c>
      <c r="F621" s="1310">
        <f t="shared" si="9"/>
        <v>0</v>
      </c>
    </row>
    <row r="622" spans="1:6">
      <c r="A622" s="1120">
        <v>6109101000</v>
      </c>
      <c r="B622" s="1120" t="s">
        <v>1030</v>
      </c>
      <c r="C622" s="1161">
        <f>IFERROR(VLOOKUP(A622,'SAP '!$A$3:$C$14709,3,0),0)</f>
        <v>0</v>
      </c>
      <c r="D622" s="1151">
        <f>IFERROR(VLOOKUP(A622,'SAP '!A:D,4,0),0)</f>
        <v>0</v>
      </c>
      <c r="E622" s="125">
        <f>IFERROR(VLOOKUP($A622,'SAP '!$A$3:$D$391,3,0),0)</f>
        <v>0</v>
      </c>
      <c r="F622" s="1310">
        <f t="shared" si="9"/>
        <v>0</v>
      </c>
    </row>
    <row r="623" spans="1:6">
      <c r="A623" s="1121">
        <v>7010101001</v>
      </c>
      <c r="B623" s="1122" t="s">
        <v>534</v>
      </c>
      <c r="C623" s="1312">
        <f>IFERROR(VLOOKUP(A623,'SAP '!$A$3:$C$14709,3,0),0)</f>
        <v>-15120</v>
      </c>
      <c r="D623" s="1151">
        <f>IFERROR(VLOOKUP(A623,'SAP '!A:D,4,0),0)</f>
        <v>-1056575</v>
      </c>
      <c r="E623" s="125">
        <f>IFERROR(VLOOKUP($A623,'SAP '!$A$3:$D$391,3,0),0)</f>
        <v>-15120</v>
      </c>
      <c r="F623" s="1310">
        <f t="shared" si="9"/>
        <v>0</v>
      </c>
    </row>
    <row r="624" spans="1:6">
      <c r="A624" s="1121">
        <v>7010101002</v>
      </c>
      <c r="B624" s="1122" t="s">
        <v>535</v>
      </c>
      <c r="C624" s="1312">
        <f>IFERROR(VLOOKUP(A624,'SAP '!$A$3:$C$14709,3,0),0)</f>
        <v>-24782.2</v>
      </c>
      <c r="D624" s="1151">
        <f>IFERROR(VLOOKUP(A624,'SAP '!A:D,4,0),0)</f>
        <v>-1470</v>
      </c>
      <c r="E624" s="125">
        <f>IFERROR(VLOOKUP($A624,'SAP '!$A$3:$D$391,3,0),0)</f>
        <v>-24782.2</v>
      </c>
      <c r="F624" s="1310">
        <f t="shared" si="9"/>
        <v>0</v>
      </c>
    </row>
    <row r="625" spans="1:6">
      <c r="A625" s="1121">
        <v>7010101003</v>
      </c>
      <c r="B625" s="1122" t="s">
        <v>859</v>
      </c>
      <c r="C625" s="1312">
        <f>IFERROR(VLOOKUP(A625,'SAP '!$A$3:$C$14709,3,0),0)</f>
        <v>0</v>
      </c>
      <c r="D625" s="1151">
        <f>IFERROR(VLOOKUP(A625,'SAP '!A:D,4,0),0)</f>
        <v>0</v>
      </c>
      <c r="E625" s="125">
        <f>IFERROR(VLOOKUP($A625,'SAP '!$A$3:$D$391,3,0),0)</f>
        <v>0</v>
      </c>
      <c r="F625" s="1310">
        <f t="shared" si="9"/>
        <v>0</v>
      </c>
    </row>
    <row r="626" spans="1:6">
      <c r="A626" s="1121">
        <v>7010101004</v>
      </c>
      <c r="B626" s="1122" t="s">
        <v>567</v>
      </c>
      <c r="C626" s="1312">
        <f>IFERROR(VLOOKUP(A626,'SAP '!$A$3:$C$14709,3,0),0)</f>
        <v>0</v>
      </c>
      <c r="D626" s="1151">
        <f>IFERROR(VLOOKUP(A626,'SAP '!A:D,4,0),0)</f>
        <v>0</v>
      </c>
      <c r="E626" s="125">
        <f>IFERROR(VLOOKUP($A626,'SAP '!$A$3:$D$391,3,0),0)</f>
        <v>0</v>
      </c>
      <c r="F626" s="1310">
        <f t="shared" si="9"/>
        <v>0</v>
      </c>
    </row>
    <row r="627" spans="1:6">
      <c r="A627" s="1121">
        <v>7010101006</v>
      </c>
      <c r="B627" s="1122" t="s">
        <v>557</v>
      </c>
      <c r="C627" s="1312">
        <f>IFERROR(VLOOKUP(A627,'SAP '!$A$3:$C$14709,3,0),0)</f>
        <v>0</v>
      </c>
      <c r="D627" s="1151">
        <f>IFERROR(VLOOKUP(A627,'SAP '!A:D,4,0),0)</f>
        <v>-71522</v>
      </c>
      <c r="E627" s="125">
        <f>IFERROR(VLOOKUP($A627,'SAP '!$A$3:$D$391,3,0),0)</f>
        <v>0</v>
      </c>
      <c r="F627" s="1310">
        <f t="shared" si="9"/>
        <v>0</v>
      </c>
    </row>
    <row r="628" spans="1:6">
      <c r="A628" s="1121">
        <v>7010101007</v>
      </c>
      <c r="B628" s="1122" t="s">
        <v>860</v>
      </c>
      <c r="C628" s="1312">
        <f>IFERROR(VLOOKUP(A628,'SAP '!$A$3:$C$14709,3,0),0)</f>
        <v>0</v>
      </c>
      <c r="D628" s="1151">
        <f>IFERROR(VLOOKUP(A628,'SAP '!A:D,4,0),0)</f>
        <v>0</v>
      </c>
      <c r="E628" s="125">
        <f>IFERROR(VLOOKUP($A628,'SAP '!$A$3:$D$391,3,0),0)</f>
        <v>0</v>
      </c>
      <c r="F628" s="1310">
        <f t="shared" si="9"/>
        <v>0</v>
      </c>
    </row>
    <row r="629" spans="1:6">
      <c r="A629" s="1121">
        <v>7010101008</v>
      </c>
      <c r="B629" s="1122" t="s">
        <v>568</v>
      </c>
      <c r="C629" s="1312">
        <f>IFERROR(VLOOKUP(A629,'SAP '!$A$3:$C$14709,3,0),0)</f>
        <v>0</v>
      </c>
      <c r="D629" s="1151">
        <f>IFERROR(VLOOKUP(A629,'SAP '!A:D,4,0),0)</f>
        <v>0</v>
      </c>
      <c r="E629" s="125">
        <f>IFERROR(VLOOKUP($A629,'SAP '!$A$3:$D$391,3,0),0)</f>
        <v>0</v>
      </c>
      <c r="F629" s="1310">
        <f t="shared" si="9"/>
        <v>0</v>
      </c>
    </row>
    <row r="630" spans="1:6">
      <c r="A630" s="1121">
        <v>7010101009</v>
      </c>
      <c r="B630" s="1122" t="s">
        <v>558</v>
      </c>
      <c r="C630" s="1312">
        <f>IFERROR(VLOOKUP(A630,'SAP '!$A$3:$C$14709,3,0),0)</f>
        <v>-217239.33</v>
      </c>
      <c r="D630" s="1151">
        <f>IFERROR(VLOOKUP(A630,'SAP '!A:D,4,0),0)</f>
        <v>-30802.5</v>
      </c>
      <c r="E630" s="125">
        <f>IFERROR(VLOOKUP($A630,'SAP '!$A$3:$D$391,3,0),0)</f>
        <v>-217239.33</v>
      </c>
      <c r="F630" s="1310">
        <f t="shared" si="9"/>
        <v>0</v>
      </c>
    </row>
    <row r="631" spans="1:6">
      <c r="A631" s="1121">
        <v>7010101014</v>
      </c>
      <c r="B631" s="1122" t="s">
        <v>536</v>
      </c>
      <c r="C631" s="1312">
        <f>IFERROR(VLOOKUP(A631,'SAP '!$A$3:$C$14709,3,0),0)</f>
        <v>655000</v>
      </c>
      <c r="D631" s="1151">
        <f>IFERROR(VLOOKUP(A631,'SAP '!A:D,4,0),0)</f>
        <v>0</v>
      </c>
      <c r="E631" s="125">
        <f>IFERROR(VLOOKUP($A631,'SAP '!$A$3:$D$391,3,0),0)</f>
        <v>655000</v>
      </c>
      <c r="F631" s="1310">
        <f t="shared" si="9"/>
        <v>0</v>
      </c>
    </row>
    <row r="632" spans="1:6">
      <c r="A632" s="1121">
        <v>7010101015</v>
      </c>
      <c r="B632" s="1122" t="s">
        <v>537</v>
      </c>
      <c r="C632" s="1312">
        <f>IFERROR(VLOOKUP(A632,'SAP '!$A$3:$C$14709,3,0),0)</f>
        <v>82639729.420000002</v>
      </c>
      <c r="D632" s="1151">
        <f>IFERROR(VLOOKUP(A632,'SAP '!A:D,4,0),0)</f>
        <v>0</v>
      </c>
      <c r="E632" s="125">
        <f>IFERROR(VLOOKUP($A632,'SAP '!$A$3:$D$391,3,0),0)</f>
        <v>82639729.420000002</v>
      </c>
      <c r="F632" s="1310">
        <f t="shared" si="9"/>
        <v>0</v>
      </c>
    </row>
    <row r="633" spans="1:6">
      <c r="A633" s="1121">
        <v>7010101017</v>
      </c>
      <c r="B633" s="1122" t="s">
        <v>538</v>
      </c>
      <c r="C633" s="1312">
        <f>IFERROR(VLOOKUP(A633,'SAP '!$A$3:$C$14709,3,0),0)</f>
        <v>-132964.48000000001</v>
      </c>
      <c r="D633" s="1151">
        <f>IFERROR(VLOOKUP(A633,'SAP '!A:D,4,0),0)</f>
        <v>-19315803.18</v>
      </c>
      <c r="E633" s="125">
        <f>IFERROR(VLOOKUP($A633,'SAP '!$A$3:$D$391,3,0),0)</f>
        <v>-132964.48000000001</v>
      </c>
      <c r="F633" s="1310">
        <f t="shared" si="9"/>
        <v>0</v>
      </c>
    </row>
    <row r="634" spans="1:6">
      <c r="A634" s="1121">
        <v>7010101027</v>
      </c>
      <c r="B634" s="1122" t="s">
        <v>559</v>
      </c>
      <c r="C634" s="1312">
        <f>IFERROR(VLOOKUP(A634,'SAP '!$A$3:$C$14709,3,0),0)</f>
        <v>0</v>
      </c>
      <c r="D634" s="1151">
        <f>IFERROR(VLOOKUP(A634,'SAP '!A:D,4,0),0)</f>
        <v>-1000</v>
      </c>
      <c r="E634" s="125">
        <f>IFERROR(VLOOKUP($A634,'SAP '!$A$3:$D$391,3,0),0)</f>
        <v>0</v>
      </c>
      <c r="F634" s="1310">
        <f t="shared" si="9"/>
        <v>0</v>
      </c>
    </row>
    <row r="635" spans="1:6">
      <c r="A635" s="1121">
        <v>7010101028</v>
      </c>
      <c r="B635" s="1122" t="s">
        <v>560</v>
      </c>
      <c r="C635" s="1312">
        <f>IFERROR(VLOOKUP(A635,'SAP '!$A$3:$C$14709,3,0),0)</f>
        <v>665970.75</v>
      </c>
      <c r="D635" s="1151">
        <f>IFERROR(VLOOKUP(A635,'SAP '!A:D,4,0),0)</f>
        <v>0</v>
      </c>
      <c r="E635" s="125">
        <f>IFERROR(VLOOKUP($A635,'SAP '!$A$3:$D$391,3,0),0)</f>
        <v>665970.75</v>
      </c>
      <c r="F635" s="1310">
        <f t="shared" si="9"/>
        <v>0</v>
      </c>
    </row>
    <row r="636" spans="1:6">
      <c r="C636" s="30">
        <f>SUM(C1:C635)</f>
        <v>2018.9999996614642</v>
      </c>
      <c r="D636" s="30">
        <f>SUM(D2:D635)</f>
        <v>-742612079.34000063</v>
      </c>
      <c r="E636" s="125"/>
    </row>
    <row r="637" spans="1:6">
      <c r="E637" s="125"/>
    </row>
    <row r="638" spans="1:6">
      <c r="E638" s="125"/>
    </row>
    <row r="639" spans="1:6">
      <c r="E639" s="125"/>
    </row>
    <row r="640" spans="1:6">
      <c r="E640" s="125"/>
    </row>
    <row r="641" spans="5:5">
      <c r="E641" s="125"/>
    </row>
    <row r="642" spans="5:5">
      <c r="E642" s="125"/>
    </row>
    <row r="643" spans="5:5">
      <c r="E643" s="125"/>
    </row>
    <row r="644" spans="5:5">
      <c r="E644" s="125"/>
    </row>
    <row r="645" spans="5:5">
      <c r="E645" s="125"/>
    </row>
    <row r="646" spans="5:5">
      <c r="E646" s="125"/>
    </row>
    <row r="647" spans="5:5">
      <c r="E647" s="125"/>
    </row>
    <row r="648" spans="5:5">
      <c r="E648" s="125"/>
    </row>
    <row r="649" spans="5:5">
      <c r="E649" s="125"/>
    </row>
    <row r="650" spans="5:5">
      <c r="E650" s="125"/>
    </row>
    <row r="651" spans="5:5">
      <c r="E651" s="125"/>
    </row>
    <row r="652" spans="5:5">
      <c r="E652" s="125"/>
    </row>
    <row r="653" spans="5:5">
      <c r="E653" s="125"/>
    </row>
    <row r="654" spans="5:5">
      <c r="E654" s="125"/>
    </row>
    <row r="655" spans="5:5">
      <c r="E655" s="125"/>
    </row>
    <row r="656" spans="5:5">
      <c r="E656" s="125"/>
    </row>
    <row r="657" spans="2:5">
      <c r="B657" s="56"/>
      <c r="E657" s="125"/>
    </row>
  </sheetData>
  <sortState ref="A2:D634">
    <sortCondition ref="A2:A634"/>
  </sortState>
  <pageMargins left="0.7" right="0.7" top="0.75" bottom="0.75" header="0.3" footer="0.3"/>
  <pageSetup scale="88" orientation="portrait" r:id="rId1"/>
</worksheet>
</file>

<file path=xl/worksheets/sheet20.xml><?xml version="1.0" encoding="utf-8"?>
<worksheet xmlns="http://schemas.openxmlformats.org/spreadsheetml/2006/main" xmlns:r="http://schemas.openxmlformats.org/officeDocument/2006/relationships">
  <sheetPr enableFormatConditionsCalculation="0">
    <tabColor rgb="FF0070C0"/>
  </sheetPr>
  <dimension ref="A1:S26"/>
  <sheetViews>
    <sheetView showGridLines="0" workbookViewId="0">
      <selection activeCell="C1" sqref="C1"/>
    </sheetView>
  </sheetViews>
  <sheetFormatPr defaultColWidth="9.140625" defaultRowHeight="13.5"/>
  <cols>
    <col min="1" max="1" width="16.140625" style="32" customWidth="1"/>
    <col min="2" max="2" width="39.28515625" style="32" bestFit="1" customWidth="1"/>
    <col min="3" max="3" width="15" style="32" bestFit="1" customWidth="1"/>
    <col min="4" max="4" width="14.42578125" style="98" hidden="1" customWidth="1"/>
    <col min="5" max="5" width="3.7109375" style="32" hidden="1" customWidth="1"/>
    <col min="6" max="6" width="107.85546875" style="32" hidden="1" customWidth="1"/>
    <col min="7" max="18" width="9.140625" style="32"/>
    <col min="19" max="19" width="10.28515625" style="32" bestFit="1" customWidth="1"/>
    <col min="20" max="16384" width="9.140625" style="32"/>
  </cols>
  <sheetData>
    <row r="1" spans="1:19" ht="23.25" customHeight="1">
      <c r="A1" s="31"/>
      <c r="B1" s="1512" t="s">
        <v>115</v>
      </c>
      <c r="C1" s="1512"/>
    </row>
    <row r="2" spans="1:19" s="33" customFormat="1" ht="39" customHeight="1">
      <c r="A2" s="1513" t="s">
        <v>21</v>
      </c>
      <c r="B2" s="1514"/>
      <c r="C2" s="36" t="s">
        <v>1049</v>
      </c>
      <c r="D2" s="97" t="s">
        <v>575</v>
      </c>
      <c r="F2" s="33" t="s">
        <v>116</v>
      </c>
    </row>
    <row r="3" spans="1:19" ht="15">
      <c r="A3" s="1510" t="s">
        <v>870</v>
      </c>
      <c r="B3" s="1511"/>
      <c r="C3" s="37">
        <f>'4CF'!C51/1000000</f>
        <v>633.51982384999985</v>
      </c>
      <c r="D3" s="99">
        <v>303.39999999999998</v>
      </c>
      <c r="F3" s="32" t="s">
        <v>117</v>
      </c>
    </row>
    <row r="4" spans="1:19" ht="15">
      <c r="A4" s="1507" t="s">
        <v>119</v>
      </c>
      <c r="B4" s="115" t="s">
        <v>121</v>
      </c>
      <c r="C4" s="102"/>
      <c r="D4" s="100"/>
      <c r="F4" s="32" t="s">
        <v>118</v>
      </c>
    </row>
    <row r="5" spans="1:19" ht="15" customHeight="1">
      <c r="A5" s="1508"/>
      <c r="B5" s="116" t="s">
        <v>123</v>
      </c>
      <c r="C5" s="117">
        <f>'3SOCI'!D8/1000000-C9</f>
        <v>615.96482021999998</v>
      </c>
      <c r="D5" s="38">
        <f>C5/6*2</f>
        <v>205.32160673999999</v>
      </c>
      <c r="F5" s="32" t="s">
        <v>120</v>
      </c>
    </row>
    <row r="6" spans="1:19" ht="15" customHeight="1">
      <c r="A6" s="1508"/>
      <c r="B6" s="116" t="s">
        <v>137</v>
      </c>
      <c r="C6" s="117"/>
      <c r="D6" s="38"/>
      <c r="F6" s="32" t="s">
        <v>122</v>
      </c>
    </row>
    <row r="7" spans="1:19" ht="15">
      <c r="A7" s="1508"/>
      <c r="B7" s="118" t="s">
        <v>125</v>
      </c>
      <c r="C7" s="117"/>
      <c r="D7" s="38"/>
      <c r="F7" s="32" t="s">
        <v>124</v>
      </c>
    </row>
    <row r="8" spans="1:19" ht="15" customHeight="1">
      <c r="A8" s="1508"/>
      <c r="B8" s="116" t="s">
        <v>127</v>
      </c>
      <c r="C8" s="117"/>
      <c r="D8" s="38">
        <v>0</v>
      </c>
      <c r="F8" s="32" t="s">
        <v>126</v>
      </c>
    </row>
    <row r="9" spans="1:19" ht="15" customHeight="1">
      <c r="A9" s="1508"/>
      <c r="B9" s="116" t="s">
        <v>138</v>
      </c>
      <c r="C9" s="117">
        <f>'4CF'!C39/1000000</f>
        <v>0</v>
      </c>
      <c r="D9" s="38">
        <f>C9/6*2</f>
        <v>0</v>
      </c>
      <c r="F9" s="32" t="s">
        <v>128</v>
      </c>
    </row>
    <row r="10" spans="1:19" ht="15">
      <c r="A10" s="1508"/>
      <c r="B10" s="118" t="s">
        <v>129</v>
      </c>
      <c r="C10" s="117"/>
      <c r="D10" s="38"/>
      <c r="F10" s="32" t="s">
        <v>130</v>
      </c>
    </row>
    <row r="11" spans="1:19" ht="13.5" customHeight="1">
      <c r="A11" s="1508"/>
      <c r="B11" s="116" t="s">
        <v>131</v>
      </c>
      <c r="C11" s="117">
        <f>'4CF'!C46/1000000</f>
        <v>0</v>
      </c>
      <c r="D11" s="38">
        <f>C11*3</f>
        <v>0</v>
      </c>
      <c r="F11" s="34"/>
    </row>
    <row r="12" spans="1:19" ht="13.5" customHeight="1">
      <c r="A12" s="1509"/>
      <c r="B12" s="119" t="s">
        <v>216</v>
      </c>
      <c r="C12" s="120">
        <f>'4CF'!C44/1000000</f>
        <v>0</v>
      </c>
      <c r="D12" s="38">
        <v>0</v>
      </c>
      <c r="R12" s="32">
        <f>O12/1000000</f>
        <v>0</v>
      </c>
      <c r="S12" s="32">
        <f>S8+R12</f>
        <v>0</v>
      </c>
    </row>
    <row r="13" spans="1:19" ht="15">
      <c r="A13" s="1507" t="s">
        <v>132</v>
      </c>
      <c r="B13" s="115" t="s">
        <v>121</v>
      </c>
      <c r="C13" s="121"/>
      <c r="D13" s="38"/>
      <c r="E13" s="34"/>
    </row>
    <row r="14" spans="1:19" ht="13.5" customHeight="1">
      <c r="A14" s="1508"/>
      <c r="B14" s="116" t="s">
        <v>136</v>
      </c>
      <c r="C14" s="117" t="e">
        <f>-SUM('3SOCI'!#REF!-'3SOCI'!#REF!-'3SOCI'!#REF!)/1000000-C22</f>
        <v>#REF!</v>
      </c>
      <c r="D14" s="38" t="e">
        <f>C14/6*2</f>
        <v>#REF!</v>
      </c>
      <c r="G14" s="104"/>
    </row>
    <row r="15" spans="1:19" ht="13.5" customHeight="1">
      <c r="A15" s="1508"/>
      <c r="B15" s="116" t="s">
        <v>133</v>
      </c>
      <c r="C15" s="117">
        <f>'4CF'!D32/1000000-'3SOCI'!D27/1000000</f>
        <v>0</v>
      </c>
      <c r="D15" s="38">
        <v>-225</v>
      </c>
    </row>
    <row r="16" spans="1:19" ht="15">
      <c r="A16" s="1508"/>
      <c r="B16" s="118" t="s">
        <v>125</v>
      </c>
      <c r="C16" s="117"/>
      <c r="D16" s="38"/>
      <c r="F16" s="34"/>
    </row>
    <row r="17" spans="1:6" ht="13.5" customHeight="1">
      <c r="A17" s="1508"/>
      <c r="B17" s="116" t="s">
        <v>134</v>
      </c>
      <c r="C17" s="117">
        <f>SUM('4CF'!C35:C37)/1000000</f>
        <v>-16.830817999999994</v>
      </c>
      <c r="D17" s="38">
        <v>-454.68</v>
      </c>
      <c r="F17" s="34"/>
    </row>
    <row r="18" spans="1:6" ht="13.5" customHeight="1">
      <c r="A18" s="1508"/>
      <c r="B18" s="116" t="s">
        <v>211</v>
      </c>
      <c r="C18" s="117">
        <f>('4CF'!C7+'4CF'!C8+'4CF'!C9+'4CF'!D30+'4CF'!C38-'3SOCI'!D33)/1000000-C21</f>
        <v>-169.90352707999998</v>
      </c>
      <c r="D18" s="38">
        <f>C18/6*2</f>
        <v>-56.634509026666656</v>
      </c>
    </row>
    <row r="19" spans="1:6" ht="15">
      <c r="A19" s="1508"/>
      <c r="B19" s="118" t="s">
        <v>129</v>
      </c>
      <c r="C19" s="122"/>
      <c r="D19" s="38"/>
      <c r="F19" s="34"/>
    </row>
    <row r="20" spans="1:6" ht="13.5" customHeight="1">
      <c r="A20" s="1508"/>
      <c r="B20" s="116" t="s">
        <v>546</v>
      </c>
      <c r="C20" s="122">
        <f>('4CF'!C47/1000000)</f>
        <v>0</v>
      </c>
      <c r="D20" s="38">
        <f>C20</f>
        <v>0</v>
      </c>
      <c r="F20" s="34"/>
    </row>
    <row r="21" spans="1:6" ht="13.5" customHeight="1">
      <c r="A21" s="1508"/>
      <c r="B21" s="116" t="s">
        <v>219</v>
      </c>
      <c r="C21" s="122">
        <v>-60</v>
      </c>
      <c r="D21" s="38"/>
      <c r="F21" s="34"/>
    </row>
    <row r="22" spans="1:6" ht="13.5" customHeight="1">
      <c r="A22" s="1508"/>
      <c r="B22" s="116" t="s">
        <v>139</v>
      </c>
      <c r="C22" s="122" t="e">
        <f>-'10N_22-33'!#REF!/1000000</f>
        <v>#REF!</v>
      </c>
      <c r="D22" s="38">
        <f>-6.5*2</f>
        <v>-13</v>
      </c>
    </row>
    <row r="23" spans="1:6" ht="13.5" customHeight="1">
      <c r="A23" s="1508"/>
      <c r="B23" s="116" t="s">
        <v>574</v>
      </c>
      <c r="C23" s="122"/>
      <c r="D23" s="38">
        <f>-21.2/3</f>
        <v>-7.0666666666666664</v>
      </c>
    </row>
    <row r="24" spans="1:6" ht="13.5" customHeight="1">
      <c r="A24" s="1509"/>
      <c r="B24" s="119" t="s">
        <v>545</v>
      </c>
      <c r="C24" s="123">
        <f>'4CF'!C45/1000000</f>
        <v>0</v>
      </c>
      <c r="D24" s="103">
        <v>-20.329999999999998</v>
      </c>
    </row>
    <row r="25" spans="1:6" ht="15">
      <c r="A25" s="1510" t="s">
        <v>135</v>
      </c>
      <c r="B25" s="1511"/>
      <c r="C25" s="37" t="e">
        <f>SUM(C3:C24)</f>
        <v>#REF!</v>
      </c>
      <c r="D25" s="101" t="e">
        <f>SUM(D3:D24)</f>
        <v>#REF!</v>
      </c>
      <c r="F25" s="34"/>
    </row>
    <row r="26" spans="1:6">
      <c r="B26" s="35"/>
      <c r="C26" s="96" t="e">
        <f>C25-'4CF'!C61/1000000</f>
        <v>#REF!</v>
      </c>
    </row>
  </sheetData>
  <mergeCells count="6">
    <mergeCell ref="A13:A24"/>
    <mergeCell ref="A4:A12"/>
    <mergeCell ref="A25:B25"/>
    <mergeCell ref="B1:C1"/>
    <mergeCell ref="A2:B2"/>
    <mergeCell ref="A3:B3"/>
  </mergeCells>
  <pageMargins left="0.7" right="0.7" top="0.75" bottom="0.75" header="0.3" footer="0.3"/>
  <pageSetup orientation="portrait" horizontalDpi="4294967295" verticalDpi="4294967295" r:id="rId1"/>
</worksheet>
</file>

<file path=xl/worksheets/sheet21.xml><?xml version="1.0" encoding="utf-8"?>
<worksheet xmlns="http://schemas.openxmlformats.org/spreadsheetml/2006/main" xmlns:r="http://schemas.openxmlformats.org/officeDocument/2006/relationships">
  <sheetPr enableFormatConditionsCalculation="0">
    <tabColor theme="4"/>
  </sheetPr>
  <dimension ref="A3:I40"/>
  <sheetViews>
    <sheetView showGridLines="0" topLeftCell="A12" workbookViewId="0">
      <selection activeCell="C21" sqref="C21"/>
    </sheetView>
  </sheetViews>
  <sheetFormatPr defaultColWidth="9.140625" defaultRowHeight="15.75"/>
  <cols>
    <col min="1" max="1" width="40.140625" style="4" bestFit="1" customWidth="1"/>
    <col min="2" max="2" width="22.28515625" style="1" bestFit="1" customWidth="1"/>
    <col min="3" max="3" width="18.7109375" style="1" bestFit="1" customWidth="1"/>
    <col min="4" max="4" width="3.7109375" style="1" customWidth="1"/>
    <col min="5" max="5" width="18.7109375" style="9" bestFit="1" customWidth="1"/>
    <col min="6" max="6" width="9.140625" style="1"/>
    <col min="7" max="7" width="16.85546875" style="9" bestFit="1" customWidth="1"/>
    <col min="8" max="8" width="9.140625" style="9"/>
    <col min="9" max="9" width="18.7109375" style="9" bestFit="1" customWidth="1"/>
    <col min="10" max="16384" width="9.140625" style="1"/>
  </cols>
  <sheetData>
    <row r="3" spans="1:9">
      <c r="A3" s="1516" t="s">
        <v>207</v>
      </c>
      <c r="B3" s="1516"/>
      <c r="C3" s="1516"/>
    </row>
    <row r="4" spans="1:9">
      <c r="A4" s="1517" t="s">
        <v>208</v>
      </c>
      <c r="B4" s="1517"/>
      <c r="C4" s="1517"/>
    </row>
    <row r="5" spans="1:9">
      <c r="A5" s="1518" t="s">
        <v>1062</v>
      </c>
      <c r="B5" s="1518"/>
      <c r="C5" s="1518"/>
    </row>
    <row r="6" spans="1:9">
      <c r="A6" s="60"/>
      <c r="B6" s="71"/>
      <c r="C6" s="71"/>
    </row>
    <row r="7" spans="1:9">
      <c r="A7" s="59" t="s">
        <v>194</v>
      </c>
      <c r="B7" s="111">
        <f>Tax!D19</f>
        <v>155784327.74000001</v>
      </c>
      <c r="C7" s="71"/>
      <c r="E7" s="11">
        <v>4358480438.159852</v>
      </c>
      <c r="G7" s="11">
        <f>B7-45330889.54</f>
        <v>110453438.20000002</v>
      </c>
      <c r="I7" s="11">
        <f>E7+45330889.54</f>
        <v>4403811327.699852</v>
      </c>
    </row>
    <row r="8" spans="1:9">
      <c r="A8" s="59" t="s">
        <v>1064</v>
      </c>
      <c r="B8" s="111">
        <f>Tax!D31</f>
        <v>143449587.25</v>
      </c>
      <c r="C8" s="71"/>
      <c r="E8" s="11">
        <v>4495643005.0241184</v>
      </c>
      <c r="G8" s="11">
        <f>B8-19706267.21</f>
        <v>123743320.03999999</v>
      </c>
      <c r="I8" s="11">
        <f>E8+19706267.21</f>
        <v>4515349272.2341185</v>
      </c>
    </row>
    <row r="9" spans="1:9">
      <c r="A9" s="59" t="s">
        <v>205</v>
      </c>
      <c r="B9" s="71"/>
      <c r="C9" s="111">
        <f>B7-B8</f>
        <v>12334740.49000001</v>
      </c>
      <c r="E9" s="11">
        <f>E8-E7</f>
        <v>137162566.8642664</v>
      </c>
      <c r="G9" s="11">
        <f>G7-G8</f>
        <v>-13289881.839999974</v>
      </c>
      <c r="I9" s="11">
        <f>I7-I8</f>
        <v>-111537944.53426647</v>
      </c>
    </row>
    <row r="10" spans="1:9">
      <c r="A10" s="59"/>
      <c r="B10" s="71"/>
      <c r="C10" s="71"/>
      <c r="E10" s="11"/>
    </row>
    <row r="11" spans="1:9">
      <c r="A11" s="59" t="s">
        <v>502</v>
      </c>
      <c r="B11" s="111">
        <f>Tax!D17</f>
        <v>474211</v>
      </c>
      <c r="C11" s="71"/>
    </row>
    <row r="12" spans="1:9">
      <c r="A12" s="59" t="s">
        <v>1063</v>
      </c>
      <c r="B12" s="111">
        <v>34667846.449999996</v>
      </c>
      <c r="C12" s="71"/>
    </row>
    <row r="13" spans="1:9">
      <c r="A13" s="59" t="s">
        <v>503</v>
      </c>
      <c r="B13" s="111">
        <v>12631131.67</v>
      </c>
      <c r="C13" s="71"/>
    </row>
    <row r="14" spans="1:9">
      <c r="A14" s="59" t="s">
        <v>504</v>
      </c>
      <c r="B14" s="111">
        <v>9745744.4100000001</v>
      </c>
      <c r="C14" s="71"/>
    </row>
    <row r="15" spans="1:9">
      <c r="A15" s="59" t="s">
        <v>1182</v>
      </c>
      <c r="B15" s="111">
        <f>+Tax!D23</f>
        <v>0</v>
      </c>
      <c r="C15" s="71"/>
    </row>
    <row r="16" spans="1:9">
      <c r="A16" s="59" t="s">
        <v>1183</v>
      </c>
      <c r="B16" s="111">
        <f>+Tax!D11</f>
        <v>0</v>
      </c>
      <c r="C16" s="71"/>
    </row>
    <row r="17" spans="1:5">
      <c r="A17" s="59"/>
      <c r="B17" s="111"/>
      <c r="C17" s="71"/>
    </row>
    <row r="18" spans="1:5">
      <c r="A18" s="59"/>
      <c r="B18" s="71"/>
      <c r="C18" s="111">
        <f>B11-SUM(B12:B14)+B15+B16</f>
        <v>-56570511.530000001</v>
      </c>
      <c r="E18" s="11">
        <f>C18</f>
        <v>-56570511.530000001</v>
      </c>
    </row>
    <row r="19" spans="1:5">
      <c r="A19" s="59" t="s">
        <v>505</v>
      </c>
      <c r="B19" s="71"/>
      <c r="C19" s="112">
        <f>SUM(C9:C18)</f>
        <v>-44235771.039999992</v>
      </c>
      <c r="D19" s="67"/>
      <c r="E19" s="11">
        <f>SUM(E9:E18)</f>
        <v>80592055.334266394</v>
      </c>
    </row>
    <row r="20" spans="1:5">
      <c r="A20" s="59"/>
      <c r="B20" s="71"/>
      <c r="C20" s="112"/>
    </row>
    <row r="21" spans="1:5">
      <c r="A21" s="59" t="s">
        <v>506</v>
      </c>
      <c r="B21" s="71"/>
      <c r="C21" s="111">
        <f>C19*30%</f>
        <v>-13270731.311999997</v>
      </c>
      <c r="E21" s="11">
        <f>E19*30%</f>
        <v>24177616.600279916</v>
      </c>
    </row>
    <row r="22" spans="1:5">
      <c r="A22" s="59" t="s">
        <v>507</v>
      </c>
      <c r="B22" s="71"/>
      <c r="C22" s="95">
        <v>9659868.5</v>
      </c>
      <c r="E22" s="11">
        <f>C22</f>
        <v>9659868.5</v>
      </c>
    </row>
    <row r="23" spans="1:5">
      <c r="A23" s="113" t="s">
        <v>509</v>
      </c>
      <c r="B23" s="72"/>
      <c r="C23" s="114">
        <f>C21-C22</f>
        <v>-22930599.811999999</v>
      </c>
      <c r="E23" s="124">
        <f>E21-E22</f>
        <v>14517748.100279916</v>
      </c>
    </row>
    <row r="24" spans="1:5" hidden="1">
      <c r="A24" s="68" t="s">
        <v>508</v>
      </c>
      <c r="B24" s="42"/>
      <c r="C24" s="66">
        <f>C21-C22</f>
        <v>-22930599.811999999</v>
      </c>
    </row>
    <row r="25" spans="1:5" hidden="1">
      <c r="C25" s="67" t="e">
        <f>C24-#REF!</f>
        <v>#REF!</v>
      </c>
    </row>
    <row r="26" spans="1:5" hidden="1"/>
    <row r="27" spans="1:5" hidden="1"/>
    <row r="28" spans="1:5">
      <c r="E28" s="11"/>
    </row>
    <row r="29" spans="1:5">
      <c r="A29" s="22" t="str">
        <f>'2SFP'!B61</f>
        <v>For GSA &amp; Associates.</v>
      </c>
    </row>
    <row r="30" spans="1:5">
      <c r="A30" s="3" t="str">
        <f>'2SFP'!B62</f>
        <v>Chartered accountants</v>
      </c>
      <c r="C30" s="67">
        <f>+C23-C22</f>
        <v>-32590468.311999999</v>
      </c>
    </row>
    <row r="31" spans="1:5">
      <c r="A31" s="3" t="str">
        <f>'2SFP'!B63</f>
        <v>(Firm Reg. No. 000257N)</v>
      </c>
      <c r="C31" s="67"/>
    </row>
    <row r="32" spans="1:5">
      <c r="A32" s="3"/>
      <c r="B32" s="1" t="s">
        <v>1184</v>
      </c>
      <c r="C32" s="5">
        <f>+C30</f>
        <v>-32590468.311999999</v>
      </c>
      <c r="D32" s="5"/>
      <c r="E32" s="136"/>
    </row>
    <row r="33" spans="1:5">
      <c r="A33" s="3"/>
      <c r="B33" s="1" t="s">
        <v>1185</v>
      </c>
      <c r="C33" s="5"/>
      <c r="D33" s="5"/>
      <c r="E33" s="5">
        <f>+C32</f>
        <v>-32590468.311999999</v>
      </c>
    </row>
    <row r="34" spans="1:5">
      <c r="A34" s="3"/>
    </row>
    <row r="35" spans="1:5">
      <c r="A35" s="22" t="str">
        <f>'2SFP'!B67</f>
        <v>Tanuj Chugh</v>
      </c>
    </row>
    <row r="36" spans="1:5">
      <c r="A36" s="3" t="str">
        <f>'2SFP'!B68</f>
        <v>Partner</v>
      </c>
    </row>
    <row r="37" spans="1:5">
      <c r="A37" s="3" t="str">
        <f>'2SFP'!B69</f>
        <v>M. No. 529619</v>
      </c>
    </row>
    <row r="38" spans="1:5">
      <c r="A38" s="3"/>
    </row>
    <row r="39" spans="1:5">
      <c r="A39" s="3" t="str">
        <f>'2SFP'!B71</f>
        <v xml:space="preserve">Place: </v>
      </c>
      <c r="B39" s="1515" t="s">
        <v>97</v>
      </c>
      <c r="C39" s="1515"/>
    </row>
    <row r="40" spans="1:5">
      <c r="A40" s="3" t="str">
        <f>'2SFP'!B72</f>
        <v xml:space="preserve">Date: </v>
      </c>
    </row>
  </sheetData>
  <mergeCells count="4">
    <mergeCell ref="B39:C39"/>
    <mergeCell ref="A3:C3"/>
    <mergeCell ref="A4:C4"/>
    <mergeCell ref="A5:C5"/>
  </mergeCells>
  <pageMargins left="1" right="0.7" top="0.75" bottom="0.75" header="0.3" footer="0.3"/>
  <pageSetup scale="90" orientation="portrait" r:id="rId1"/>
</worksheet>
</file>

<file path=xl/worksheets/sheet3.xml><?xml version="1.0" encoding="utf-8"?>
<worksheet xmlns="http://schemas.openxmlformats.org/spreadsheetml/2006/main" xmlns:r="http://schemas.openxmlformats.org/officeDocument/2006/relationships">
  <sheetPr enableFormatConditionsCalculation="0">
    <tabColor rgb="FF00B050"/>
    <pageSetUpPr fitToPage="1"/>
  </sheetPr>
  <dimension ref="B1:I76"/>
  <sheetViews>
    <sheetView showGridLines="0" zoomScaleSheetLayoutView="90" workbookViewId="0">
      <selection activeCell="G40" sqref="G40"/>
    </sheetView>
  </sheetViews>
  <sheetFormatPr defaultColWidth="9.140625" defaultRowHeight="15.75"/>
  <cols>
    <col min="1" max="1" width="4.28515625" style="4" customWidth="1"/>
    <col min="2" max="2" width="43.28515625" style="127" customWidth="1"/>
    <col min="3" max="3" width="10.85546875" style="127" customWidth="1"/>
    <col min="4" max="4" width="26.85546875" style="127" bestFit="1" customWidth="1"/>
    <col min="5" max="5" width="29.7109375" style="127" customWidth="1"/>
    <col min="6" max="6" width="18.7109375" style="4" bestFit="1" customWidth="1"/>
    <col min="7" max="7" width="17.7109375" style="4" bestFit="1" customWidth="1"/>
    <col min="8" max="8" width="14.42578125" style="4" bestFit="1" customWidth="1"/>
    <col min="9" max="16384" width="9.140625" style="4"/>
  </cols>
  <sheetData>
    <row r="1" spans="2:9">
      <c r="B1" s="1324" t="s">
        <v>0</v>
      </c>
      <c r="C1" s="1325"/>
      <c r="D1" s="1325"/>
      <c r="E1" s="1326"/>
    </row>
    <row r="2" spans="2:9">
      <c r="B2" s="1333" t="s">
        <v>1047</v>
      </c>
      <c r="C2" s="1334"/>
      <c r="D2" s="1334"/>
      <c r="E2" s="1335"/>
    </row>
    <row r="3" spans="2:9">
      <c r="B3" s="720"/>
      <c r="C3" s="535"/>
      <c r="D3" s="535"/>
      <c r="E3" s="721" t="s">
        <v>64</v>
      </c>
    </row>
    <row r="4" spans="2:9" ht="31.5">
      <c r="B4" s="222" t="s">
        <v>21</v>
      </c>
      <c r="C4" s="223" t="s">
        <v>99</v>
      </c>
      <c r="D4" s="223" t="s">
        <v>1494</v>
      </c>
      <c r="E4" s="223" t="s">
        <v>1495</v>
      </c>
    </row>
    <row r="5" spans="2:9">
      <c r="B5" s="224" t="s">
        <v>95</v>
      </c>
      <c r="C5" s="145"/>
      <c r="D5" s="543"/>
      <c r="E5" s="204"/>
    </row>
    <row r="6" spans="2:9">
      <c r="B6" s="225" t="s">
        <v>452</v>
      </c>
      <c r="C6" s="145"/>
      <c r="D6" s="205"/>
      <c r="E6" s="156"/>
    </row>
    <row r="7" spans="2:9">
      <c r="B7" s="227" t="s">
        <v>513</v>
      </c>
      <c r="C7" s="228" t="s">
        <v>449</v>
      </c>
      <c r="D7" s="1301">
        <f>'6N_PPE'!K20</f>
        <v>2984685382.3600001</v>
      </c>
      <c r="E7" s="1103">
        <f>'6N_PPE'!K21</f>
        <v>3079705096.1999989</v>
      </c>
      <c r="F7" s="7"/>
      <c r="G7" s="6"/>
    </row>
    <row r="8" spans="2:9">
      <c r="B8" s="229" t="s">
        <v>221</v>
      </c>
      <c r="C8" s="228" t="s">
        <v>450</v>
      </c>
      <c r="D8" s="1301">
        <f>'6N_PPE'!K24</f>
        <v>1071990599.49</v>
      </c>
      <c r="E8" s="1103">
        <f>'6N_PPE'!K25</f>
        <v>1130851871.24</v>
      </c>
      <c r="F8" s="7"/>
      <c r="G8" s="6"/>
    </row>
    <row r="9" spans="2:9">
      <c r="B9" s="229" t="s">
        <v>22</v>
      </c>
      <c r="C9" s="228" t="s">
        <v>451</v>
      </c>
      <c r="D9" s="1302">
        <f>'6N_PPE'!K28</f>
        <v>98344427.919999987</v>
      </c>
      <c r="E9" s="1103">
        <f>'6N_PPE'!K29</f>
        <v>83416952.069999993</v>
      </c>
      <c r="F9" s="7"/>
      <c r="G9" s="6"/>
      <c r="I9" s="6"/>
    </row>
    <row r="10" spans="2:9">
      <c r="B10" s="225" t="s">
        <v>1386</v>
      </c>
      <c r="C10" s="145"/>
      <c r="D10" s="1104"/>
      <c r="E10" s="1104"/>
      <c r="F10" s="7"/>
    </row>
    <row r="11" spans="2:9">
      <c r="B11" s="230" t="s">
        <v>1141</v>
      </c>
      <c r="C11" s="228">
        <v>3</v>
      </c>
      <c r="D11" s="1103">
        <f>'7N_3-12'!C11</f>
        <v>0</v>
      </c>
      <c r="E11" s="1103">
        <f>'7N_3-12'!D11</f>
        <v>0</v>
      </c>
      <c r="F11" s="7"/>
    </row>
    <row r="12" spans="2:9">
      <c r="B12" s="230" t="s">
        <v>1142</v>
      </c>
      <c r="C12" s="228">
        <v>4</v>
      </c>
      <c r="D12" s="1103">
        <f>'7N_3-12'!C19</f>
        <v>190682582.52000001</v>
      </c>
      <c r="E12" s="1103">
        <f>'7N_3-12'!D19</f>
        <v>190682582.52000001</v>
      </c>
      <c r="F12" s="7"/>
    </row>
    <row r="13" spans="2:9">
      <c r="B13" s="230" t="s">
        <v>512</v>
      </c>
      <c r="C13" s="228">
        <v>5</v>
      </c>
      <c r="D13" s="1103">
        <f>'7N_3-12'!C24</f>
        <v>27892023.539999999</v>
      </c>
      <c r="E13" s="1103">
        <f>'7N_3-12'!D24</f>
        <v>27892023.539999999</v>
      </c>
      <c r="F13" s="7"/>
    </row>
    <row r="14" spans="2:9">
      <c r="B14" s="229" t="s">
        <v>1465</v>
      </c>
      <c r="C14" s="228">
        <v>6</v>
      </c>
      <c r="D14" s="1301">
        <f>'7N_3-12'!C48</f>
        <v>1282728.96</v>
      </c>
      <c r="E14" s="1103">
        <f>'7N_3-12'!D48</f>
        <v>1282728.96</v>
      </c>
      <c r="F14" s="7"/>
    </row>
    <row r="15" spans="2:9">
      <c r="B15" s="231" t="s">
        <v>453</v>
      </c>
      <c r="C15" s="226"/>
      <c r="D15" s="1105">
        <f>SUM(D7:D14)</f>
        <v>4374877744.7900009</v>
      </c>
      <c r="E15" s="1105">
        <f>SUM(E7:E14)</f>
        <v>4513831254.5299988</v>
      </c>
      <c r="F15" s="7">
        <f>E15-'[1]2SFP'!$E$15</f>
        <v>0</v>
      </c>
      <c r="G15" s="7">
        <f>D15-F15</f>
        <v>4374877744.7900009</v>
      </c>
    </row>
    <row r="16" spans="2:9">
      <c r="B16" s="147"/>
      <c r="C16" s="145"/>
      <c r="D16" s="1106"/>
      <c r="E16" s="1106"/>
      <c r="F16" s="7"/>
      <c r="G16" s="1303">
        <v>9682582.5199999996</v>
      </c>
    </row>
    <row r="17" spans="2:8">
      <c r="B17" s="233" t="s">
        <v>454</v>
      </c>
      <c r="C17" s="145"/>
      <c r="D17" s="1104"/>
      <c r="E17" s="1107"/>
      <c r="F17" s="7"/>
      <c r="G17" s="1303">
        <v>1282728.96</v>
      </c>
    </row>
    <row r="18" spans="2:8">
      <c r="B18" s="230" t="s">
        <v>23</v>
      </c>
      <c r="C18" s="228">
        <v>7</v>
      </c>
      <c r="D18" s="1301">
        <f>'7N_3-12'!C63</f>
        <v>92461976.879999995</v>
      </c>
      <c r="E18" s="1103">
        <f>'7N_3-12'!D63</f>
        <v>98877103.849999994</v>
      </c>
      <c r="F18" s="7"/>
      <c r="G18" s="1303">
        <f>G17+G16</f>
        <v>10965311.48</v>
      </c>
    </row>
    <row r="19" spans="2:8">
      <c r="B19" s="225" t="s">
        <v>1386</v>
      </c>
      <c r="C19" s="145"/>
      <c r="D19" s="1104"/>
      <c r="E19" s="1104"/>
      <c r="F19" s="7"/>
      <c r="G19" s="7">
        <f>G18-G15</f>
        <v>-4363912433.3100014</v>
      </c>
    </row>
    <row r="20" spans="2:8">
      <c r="B20" s="230" t="s">
        <v>1161</v>
      </c>
      <c r="C20" s="228">
        <v>8</v>
      </c>
      <c r="D20" s="1301">
        <f>'7N_3-12'!C75</f>
        <v>107897308.53000002</v>
      </c>
      <c r="E20" s="1103">
        <f>'7N_3-12'!D75</f>
        <v>108911295.60000001</v>
      </c>
      <c r="F20" s="7"/>
    </row>
    <row r="21" spans="2:8">
      <c r="B21" s="230" t="s">
        <v>1162</v>
      </c>
      <c r="C21" s="228">
        <v>9</v>
      </c>
      <c r="D21" s="1301">
        <f>'7N_3-12'!C85</f>
        <v>865505442.21000004</v>
      </c>
      <c r="E21" s="1103">
        <f>'7N_3-12'!D85</f>
        <v>633519823.84999979</v>
      </c>
      <c r="F21" s="7"/>
    </row>
    <row r="22" spans="2:8">
      <c r="B22" s="230" t="s">
        <v>1163</v>
      </c>
      <c r="C22" s="228">
        <v>10</v>
      </c>
      <c r="D22" s="1201">
        <f>'7N_3-12'!C95</f>
        <v>3337082.9</v>
      </c>
      <c r="E22" s="1103">
        <f>'7N_3-12'!D95</f>
        <v>3337082.9</v>
      </c>
      <c r="F22" s="7"/>
    </row>
    <row r="23" spans="2:8">
      <c r="B23" s="230" t="s">
        <v>211</v>
      </c>
      <c r="C23" s="228">
        <v>11</v>
      </c>
      <c r="D23" s="1304">
        <f>'7N_3-12'!C113</f>
        <v>53923976.960000001</v>
      </c>
      <c r="E23" s="1108">
        <f>'7N_3-12'!D113</f>
        <v>22792738.480000004</v>
      </c>
      <c r="F23" s="7"/>
    </row>
    <row r="24" spans="2:8">
      <c r="B24" s="230" t="s">
        <v>1137</v>
      </c>
      <c r="C24" s="228">
        <v>12</v>
      </c>
      <c r="D24" s="1108">
        <f>'7N_3-12'!C125</f>
        <v>99285178.310000002</v>
      </c>
      <c r="E24" s="1108">
        <f>'7N_3-12'!D125</f>
        <v>99285178.310000002</v>
      </c>
      <c r="F24" s="7"/>
    </row>
    <row r="25" spans="2:8">
      <c r="B25" s="231" t="s">
        <v>455</v>
      </c>
      <c r="C25" s="234"/>
      <c r="D25" s="1109">
        <f>SUM(D18:D24)</f>
        <v>1222410965.79</v>
      </c>
      <c r="E25" s="1109">
        <f>SUM(E18:E24)</f>
        <v>966723222.98999977</v>
      </c>
      <c r="F25" s="7"/>
      <c r="G25" s="7"/>
    </row>
    <row r="26" spans="2:8">
      <c r="B26" s="148"/>
      <c r="C26" s="144"/>
      <c r="D26" s="1110"/>
      <c r="E26" s="1111"/>
      <c r="F26" s="7"/>
    </row>
    <row r="27" spans="2:8">
      <c r="B27" s="235" t="s">
        <v>456</v>
      </c>
      <c r="C27" s="234"/>
      <c r="D27" s="1168">
        <f>D15+D25</f>
        <v>5597288710.5800009</v>
      </c>
      <c r="E27" s="349">
        <f>+E15+E25</f>
        <v>5480554477.5199986</v>
      </c>
      <c r="F27" s="7">
        <f>E27-'[1]2SFP'!$E$27</f>
        <v>0</v>
      </c>
      <c r="G27" s="7"/>
    </row>
    <row r="28" spans="2:8">
      <c r="B28" s="149"/>
      <c r="C28" s="144"/>
      <c r="D28" s="1107"/>
      <c r="E28" s="1107"/>
      <c r="F28" s="7"/>
      <c r="G28" s="7"/>
    </row>
    <row r="29" spans="2:8">
      <c r="B29" s="236" t="s">
        <v>96</v>
      </c>
      <c r="C29" s="144"/>
      <c r="D29" s="1107"/>
      <c r="E29" s="1107"/>
      <c r="F29" s="7"/>
      <c r="G29" s="7"/>
      <c r="H29" s="7"/>
    </row>
    <row r="30" spans="2:8">
      <c r="B30" s="225" t="s">
        <v>105</v>
      </c>
      <c r="C30" s="144"/>
      <c r="D30" s="1107"/>
      <c r="E30" s="1107"/>
      <c r="F30" s="7"/>
    </row>
    <row r="31" spans="2:8">
      <c r="B31" s="238" t="s">
        <v>225</v>
      </c>
      <c r="C31" s="239">
        <v>13</v>
      </c>
      <c r="D31" s="1318">
        <f>'8N_13'!D32</f>
        <v>854082000</v>
      </c>
      <c r="E31" s="1169">
        <f>'8N_13'!F32</f>
        <v>854082000</v>
      </c>
      <c r="F31" s="7"/>
    </row>
    <row r="32" spans="2:8">
      <c r="B32" s="230" t="s">
        <v>228</v>
      </c>
      <c r="C32" s="228"/>
      <c r="D32" s="1103">
        <f>+'5SOCE'!D16+'5SOCE'!E16</f>
        <v>3175169967.5330005</v>
      </c>
      <c r="E32" s="1103">
        <f>'5SOCE'!D10+'5SOCE'!E10</f>
        <v>2949153947.2900004</v>
      </c>
      <c r="F32" s="7">
        <f>E32-'[1]2SFP'!$E$32</f>
        <v>0</v>
      </c>
    </row>
    <row r="33" spans="2:6">
      <c r="B33" s="231" t="s">
        <v>457</v>
      </c>
      <c r="C33" s="240"/>
      <c r="D33" s="349">
        <f>D31+D32</f>
        <v>4029251967.5330005</v>
      </c>
      <c r="E33" s="349">
        <f>E31+E32</f>
        <v>3803235947.2900004</v>
      </c>
      <c r="F33" s="7"/>
    </row>
    <row r="34" spans="2:6">
      <c r="B34" s="146"/>
      <c r="C34" s="150"/>
      <c r="D34" s="1111"/>
      <c r="E34" s="1111"/>
      <c r="F34" s="7"/>
    </row>
    <row r="35" spans="2:6">
      <c r="B35" s="236" t="s">
        <v>1178</v>
      </c>
      <c r="C35" s="237">
        <v>14</v>
      </c>
      <c r="D35" s="1311">
        <f>'9N_14-21'!C15</f>
        <v>87633713.719999999</v>
      </c>
      <c r="E35" s="1112">
        <f>'9N_14-21'!D15</f>
        <v>87633713.719999999</v>
      </c>
      <c r="F35" s="7"/>
    </row>
    <row r="36" spans="2:6">
      <c r="B36" s="151"/>
      <c r="C36" s="150"/>
      <c r="D36" s="1111"/>
      <c r="E36" s="1111"/>
      <c r="F36" s="7"/>
    </row>
    <row r="37" spans="2:6">
      <c r="B37" s="233" t="s">
        <v>1179</v>
      </c>
      <c r="C37" s="144"/>
      <c r="D37" s="1107"/>
      <c r="E37" s="1107"/>
      <c r="F37" s="7"/>
    </row>
    <row r="38" spans="2:6" ht="6.75" customHeight="1">
      <c r="B38" s="233"/>
      <c r="C38" s="144"/>
      <c r="D38" s="1107"/>
      <c r="E38" s="1107"/>
      <c r="F38" s="7"/>
    </row>
    <row r="39" spans="2:6">
      <c r="B39" s="225" t="s">
        <v>1387</v>
      </c>
      <c r="C39" s="144"/>
      <c r="D39" s="1107"/>
      <c r="E39" s="1107"/>
      <c r="F39" s="7"/>
    </row>
    <row r="40" spans="2:6">
      <c r="B40" s="230" t="s">
        <v>1201</v>
      </c>
      <c r="C40" s="228">
        <v>15</v>
      </c>
      <c r="D40" s="1313">
        <f>'9N_14-21'!C31</f>
        <v>602627143.24000001</v>
      </c>
      <c r="E40" s="1108">
        <f>'9N_14-21'!D31</f>
        <v>602627143.24000001</v>
      </c>
      <c r="F40" s="7"/>
    </row>
    <row r="41" spans="2:6">
      <c r="B41" s="230" t="s">
        <v>1202</v>
      </c>
      <c r="C41" s="228">
        <v>16</v>
      </c>
      <c r="D41" s="1314">
        <f>'9N_14-21'!C47</f>
        <v>194250000</v>
      </c>
      <c r="E41" s="1108">
        <f>'9N_14-21'!D47</f>
        <v>155400000</v>
      </c>
      <c r="F41" s="7"/>
    </row>
    <row r="42" spans="2:6">
      <c r="B42" s="230" t="s">
        <v>1286</v>
      </c>
      <c r="C42" s="228">
        <v>5</v>
      </c>
      <c r="D42" s="1108">
        <v>0</v>
      </c>
      <c r="E42" s="1108">
        <v>0</v>
      </c>
      <c r="F42" s="7"/>
    </row>
    <row r="43" spans="2:6">
      <c r="B43" s="230" t="s">
        <v>229</v>
      </c>
      <c r="C43" s="228">
        <v>17</v>
      </c>
      <c r="D43" s="1313">
        <f>'9N_14-21'!C66</f>
        <v>72186244.400000006</v>
      </c>
      <c r="E43" s="1108">
        <f>'9N_14-21'!D66</f>
        <v>57164638.400000006</v>
      </c>
      <c r="F43" s="7"/>
    </row>
    <row r="44" spans="2:6">
      <c r="B44" s="231" t="s">
        <v>458</v>
      </c>
      <c r="C44" s="240"/>
      <c r="D44" s="349">
        <f>SUM(D40:D43)</f>
        <v>869063387.63999999</v>
      </c>
      <c r="E44" s="349">
        <f>SUM(E40:E43)</f>
        <v>815191781.63999999</v>
      </c>
      <c r="F44" s="7"/>
    </row>
    <row r="45" spans="2:6">
      <c r="B45" s="147"/>
      <c r="C45" s="150"/>
      <c r="D45" s="1111"/>
      <c r="E45" s="1111"/>
      <c r="F45" s="7"/>
    </row>
    <row r="46" spans="2:6">
      <c r="B46" s="233" t="s">
        <v>1181</v>
      </c>
      <c r="C46" s="144"/>
      <c r="D46" s="1107"/>
      <c r="E46" s="1107"/>
      <c r="F46" s="7"/>
    </row>
    <row r="47" spans="2:6">
      <c r="B47" s="225" t="s">
        <v>1388</v>
      </c>
      <c r="C47" s="145"/>
      <c r="D47" s="1107"/>
      <c r="E47" s="1107"/>
      <c r="F47" s="7"/>
    </row>
    <row r="48" spans="2:6">
      <c r="B48" s="230" t="s">
        <v>1207</v>
      </c>
      <c r="C48" s="228">
        <v>18</v>
      </c>
      <c r="D48" s="1315">
        <f>'9N_14-21'!C86</f>
        <v>96059036.199999988</v>
      </c>
      <c r="E48" s="1103">
        <f>'9N_14-21'!D86</f>
        <v>171166001.31999999</v>
      </c>
      <c r="F48" s="7"/>
    </row>
    <row r="49" spans="2:7">
      <c r="B49" s="230" t="s">
        <v>1208</v>
      </c>
      <c r="C49" s="228">
        <v>19</v>
      </c>
      <c r="D49" s="1315">
        <f>+'9N_14-21'!C95</f>
        <v>57096410.149999999</v>
      </c>
      <c r="E49" s="1103">
        <f>+'9N_14-21'!D95</f>
        <v>96526009.099999994</v>
      </c>
      <c r="F49" s="7"/>
    </row>
    <row r="50" spans="2:7">
      <c r="B50" s="230" t="s">
        <v>231</v>
      </c>
      <c r="C50" s="228">
        <v>20</v>
      </c>
      <c r="D50" s="1315">
        <f>'9N_14-21'!C104</f>
        <v>318521139.537</v>
      </c>
      <c r="E50" s="1103">
        <f>'9N_14-21'!D104</f>
        <v>236623130.08000001</v>
      </c>
      <c r="F50" s="7"/>
    </row>
    <row r="51" spans="2:7">
      <c r="B51" s="230" t="s">
        <v>243</v>
      </c>
      <c r="C51" s="228">
        <v>21</v>
      </c>
      <c r="D51" s="1315">
        <f>'9N_14-21'!C137</f>
        <v>139663055.80000001</v>
      </c>
      <c r="E51" s="1103">
        <f>'9N_14-21'!D137</f>
        <v>270177894.37</v>
      </c>
      <c r="F51" s="7"/>
    </row>
    <row r="52" spans="2:7">
      <c r="B52" s="231" t="s">
        <v>459</v>
      </c>
      <c r="C52" s="234"/>
      <c r="D52" s="1109">
        <f>SUM(D47:D51)</f>
        <v>611339641.68700004</v>
      </c>
      <c r="E52" s="1109">
        <f>SUM(E47:E51)</f>
        <v>774493034.87</v>
      </c>
      <c r="F52" s="7"/>
    </row>
    <row r="53" spans="2:7">
      <c r="B53" s="147"/>
      <c r="C53" s="144"/>
      <c r="D53" s="1110"/>
      <c r="E53" s="1110"/>
      <c r="F53" s="7"/>
    </row>
    <row r="54" spans="2:7">
      <c r="B54" s="231" t="s">
        <v>1180</v>
      </c>
      <c r="C54" s="240"/>
      <c r="D54" s="1167">
        <f>D44+D52+D35</f>
        <v>1568036743.0470002</v>
      </c>
      <c r="E54" s="1109">
        <f>E44+E52+E35</f>
        <v>1677318530.23</v>
      </c>
      <c r="F54" s="7"/>
    </row>
    <row r="55" spans="2:7">
      <c r="B55" s="148"/>
      <c r="C55" s="150"/>
      <c r="D55" s="1110"/>
      <c r="E55" s="1110"/>
      <c r="F55" s="7"/>
    </row>
    <row r="56" spans="2:7">
      <c r="B56" s="241" t="s">
        <v>460</v>
      </c>
      <c r="C56" s="242"/>
      <c r="D56" s="349">
        <f>D33+D54</f>
        <v>5597288710.5800009</v>
      </c>
      <c r="E56" s="349">
        <f>E33+E54</f>
        <v>5480554477.5200005</v>
      </c>
      <c r="F56" s="7">
        <f>E56-'[1]2SFP'!$E$56</f>
        <v>0</v>
      </c>
      <c r="G56" s="7"/>
    </row>
    <row r="57" spans="2:7">
      <c r="B57" s="722" t="s">
        <v>467</v>
      </c>
      <c r="C57" s="243">
        <v>1</v>
      </c>
      <c r="D57" s="1113">
        <f>D56-D27</f>
        <v>0</v>
      </c>
      <c r="E57" s="723">
        <f>E27-E56</f>
        <v>0</v>
      </c>
      <c r="F57" s="7"/>
    </row>
    <row r="58" spans="2:7">
      <c r="B58" s="1327" t="s">
        <v>98</v>
      </c>
      <c r="C58" s="1328"/>
      <c r="D58" s="1328"/>
      <c r="E58" s="1329"/>
      <c r="F58" s="1303"/>
    </row>
    <row r="59" spans="2:7">
      <c r="B59" s="1327" t="s">
        <v>571</v>
      </c>
      <c r="C59" s="1330"/>
      <c r="D59" s="1330"/>
      <c r="E59" s="1331"/>
      <c r="F59" s="7"/>
    </row>
    <row r="60" spans="2:7">
      <c r="B60" s="1332"/>
      <c r="C60" s="1330"/>
      <c r="D60" s="1330"/>
      <c r="E60" s="1331"/>
    </row>
    <row r="61" spans="2:7">
      <c r="B61" s="236" t="s">
        <v>1092</v>
      </c>
      <c r="C61" s="244"/>
      <c r="D61" s="550"/>
      <c r="E61" s="724" t="s">
        <v>462</v>
      </c>
    </row>
    <row r="62" spans="2:7">
      <c r="B62" s="329" t="s">
        <v>461</v>
      </c>
      <c r="C62" s="245"/>
      <c r="D62" s="245"/>
      <c r="E62" s="725"/>
    </row>
    <row r="63" spans="2:7">
      <c r="B63" s="329" t="s">
        <v>1383</v>
      </c>
      <c r="C63" s="245"/>
      <c r="D63" s="533"/>
      <c r="E63" s="725"/>
    </row>
    <row r="64" spans="2:7">
      <c r="B64" s="329"/>
      <c r="C64" s="245"/>
      <c r="D64" s="245"/>
      <c r="E64" s="338"/>
    </row>
    <row r="65" spans="2:5">
      <c r="B65" s="236"/>
      <c r="C65" s="245"/>
      <c r="D65" s="245"/>
      <c r="E65" s="726" t="s">
        <v>67</v>
      </c>
    </row>
    <row r="66" spans="2:5">
      <c r="B66" s="329"/>
      <c r="C66" s="245"/>
      <c r="D66" s="245"/>
      <c r="E66" s="727"/>
    </row>
    <row r="67" spans="2:5">
      <c r="B67" s="236" t="s">
        <v>1093</v>
      </c>
      <c r="E67" s="338"/>
    </row>
    <row r="68" spans="2:5">
      <c r="B68" s="329" t="s">
        <v>66</v>
      </c>
      <c r="E68" s="338"/>
    </row>
    <row r="69" spans="2:5">
      <c r="B69" s="728" t="s">
        <v>1238</v>
      </c>
      <c r="E69" s="729" t="s">
        <v>97</v>
      </c>
    </row>
    <row r="70" spans="2:5">
      <c r="B70" s="730"/>
      <c r="E70" s="725"/>
    </row>
    <row r="71" spans="2:5">
      <c r="B71" s="329" t="s">
        <v>1384</v>
      </c>
      <c r="E71" s="731"/>
    </row>
    <row r="72" spans="2:5">
      <c r="B72" s="331" t="s">
        <v>1385</v>
      </c>
      <c r="C72" s="732"/>
      <c r="D72" s="732"/>
      <c r="E72" s="733"/>
    </row>
    <row r="73" spans="2:5">
      <c r="B73" s="246"/>
      <c r="D73" s="152"/>
    </row>
    <row r="74" spans="2:5">
      <c r="D74" s="152"/>
    </row>
    <row r="75" spans="2:5">
      <c r="B75" s="153"/>
      <c r="D75" s="154"/>
    </row>
    <row r="76" spans="2:5">
      <c r="D76" s="155"/>
    </row>
  </sheetData>
  <mergeCells count="5">
    <mergeCell ref="B1:E1"/>
    <mergeCell ref="B58:E58"/>
    <mergeCell ref="B59:E59"/>
    <mergeCell ref="B60:E60"/>
    <mergeCell ref="B2:E2"/>
  </mergeCells>
  <pageMargins left="0.95" right="0.26" top="0.56000000000000005" bottom="0.2" header="0.05" footer="0.05"/>
  <pageSetup scale="66" orientation="portrait" r:id="rId1"/>
  <legacyDrawing r:id="rId2"/>
</worksheet>
</file>

<file path=xl/worksheets/sheet4.xml><?xml version="1.0" encoding="utf-8"?>
<worksheet xmlns="http://schemas.openxmlformats.org/spreadsheetml/2006/main" xmlns:r="http://schemas.openxmlformats.org/officeDocument/2006/relationships">
  <sheetPr enableFormatConditionsCalculation="0">
    <tabColor rgb="FF00B050"/>
  </sheetPr>
  <dimension ref="B1:I70"/>
  <sheetViews>
    <sheetView showGridLines="0" tabSelected="1" zoomScale="90" zoomScaleNormal="90" zoomScaleSheetLayoutView="90" zoomScalePageLayoutView="90" workbookViewId="0">
      <selection activeCell="G11" sqref="G11"/>
    </sheetView>
  </sheetViews>
  <sheetFormatPr defaultColWidth="9.140625" defaultRowHeight="15.75"/>
  <cols>
    <col min="1" max="1" width="6.7109375" style="3" customWidth="1"/>
    <col min="2" max="2" width="57.42578125" style="125" customWidth="1"/>
    <col min="3" max="3" width="8.85546875" style="125" customWidth="1"/>
    <col min="4" max="4" width="21.85546875" style="488" customWidth="1"/>
    <col min="5" max="5" width="23.28515625" style="488" bestFit="1" customWidth="1"/>
    <col min="6" max="6" width="18.7109375" style="3" bestFit="1" customWidth="1"/>
    <col min="7" max="7" width="19.7109375" style="3" bestFit="1" customWidth="1"/>
    <col min="8" max="8" width="10.140625" style="3" bestFit="1" customWidth="1"/>
    <col min="9" max="9" width="13.42578125" style="3" bestFit="1" customWidth="1"/>
    <col min="10" max="16384" width="9.140625" style="3"/>
  </cols>
  <sheetData>
    <row r="1" spans="2:9">
      <c r="B1" s="1336" t="str">
        <f>'2SFP'!B1</f>
        <v>BHUTAN TELECOM LIMITED</v>
      </c>
      <c r="C1" s="1337"/>
      <c r="D1" s="1337"/>
      <c r="E1" s="1338"/>
    </row>
    <row r="2" spans="2:9" ht="15.75" customHeight="1">
      <c r="B2" s="1339" t="s">
        <v>1046</v>
      </c>
      <c r="C2" s="1340"/>
      <c r="D2" s="1340"/>
      <c r="E2" s="1341"/>
    </row>
    <row r="3" spans="2:9">
      <c r="B3" s="734"/>
      <c r="C3" s="276"/>
      <c r="D3" s="1075"/>
      <c r="E3" s="1076" t="str">
        <f>'2SFP'!E3</f>
        <v>Amount in Nu.</v>
      </c>
    </row>
    <row r="4" spans="2:9" ht="31.5">
      <c r="B4" s="222" t="str">
        <f>'2SFP'!B4</f>
        <v>Particulars</v>
      </c>
      <c r="C4" s="223" t="str">
        <f>'2SFP'!C4</f>
        <v>Note no.</v>
      </c>
      <c r="D4" s="1077" t="str">
        <f>'2SFP'!D4</f>
        <v>As at 28th February, 2019</v>
      </c>
      <c r="E4" s="1077" t="s">
        <v>1048</v>
      </c>
    </row>
    <row r="5" spans="2:9">
      <c r="B5" s="277" t="s">
        <v>1094</v>
      </c>
      <c r="C5" s="278"/>
      <c r="D5" s="1078"/>
      <c r="E5" s="1079"/>
    </row>
    <row r="6" spans="2:9">
      <c r="B6" s="280" t="s">
        <v>1096</v>
      </c>
      <c r="C6" s="281">
        <v>22</v>
      </c>
      <c r="D6" s="936">
        <f>+'10N_22-33'!E56</f>
        <v>614585518.55000007</v>
      </c>
      <c r="E6" s="936">
        <f>+'10N_22-33'!F56</f>
        <v>572061445.76000011</v>
      </c>
    </row>
    <row r="7" spans="2:9">
      <c r="B7" s="280" t="s">
        <v>1095</v>
      </c>
      <c r="C7" s="281">
        <v>23</v>
      </c>
      <c r="D7" s="936">
        <f>'10N_22-33'!E83</f>
        <v>1379301.67</v>
      </c>
      <c r="E7" s="936">
        <f>'10N_22-33'!F83</f>
        <v>901980.75000000012</v>
      </c>
    </row>
    <row r="8" spans="2:9">
      <c r="B8" s="142"/>
      <c r="C8" s="139"/>
      <c r="D8" s="1080">
        <f>SUM(D6:D7)</f>
        <v>615964820.22000003</v>
      </c>
      <c r="E8" s="1080">
        <f>SUM(E6:E7)</f>
        <v>572963426.51000011</v>
      </c>
      <c r="G8" s="1072"/>
    </row>
    <row r="9" spans="2:9">
      <c r="B9" s="138"/>
      <c r="C9" s="139"/>
      <c r="D9" s="1081"/>
      <c r="E9" s="1082"/>
      <c r="G9" s="1073"/>
      <c r="I9" s="1299"/>
    </row>
    <row r="10" spans="2:9">
      <c r="B10" s="277" t="s">
        <v>1100</v>
      </c>
      <c r="C10" s="139"/>
      <c r="D10" s="1083"/>
      <c r="E10" s="1084"/>
      <c r="G10" s="3">
        <v>9</v>
      </c>
    </row>
    <row r="11" spans="2:9">
      <c r="B11" s="280" t="s">
        <v>1101</v>
      </c>
      <c r="C11" s="281">
        <v>24</v>
      </c>
      <c r="D11" s="936">
        <f>'10N_22-33'!E116</f>
        <v>53682446.050000004</v>
      </c>
      <c r="E11" s="936">
        <f>'10N_22-33'!F116</f>
        <v>55337350.870000005</v>
      </c>
      <c r="G11" s="1073"/>
    </row>
    <row r="12" spans="2:9">
      <c r="B12" s="280" t="s">
        <v>1105</v>
      </c>
      <c r="C12" s="281">
        <v>25</v>
      </c>
      <c r="D12" s="936">
        <f>'10N_22-33'!E123</f>
        <v>6157928.21</v>
      </c>
      <c r="E12" s="936">
        <f>'10N_22-33'!F123</f>
        <v>4557873.87</v>
      </c>
      <c r="G12" s="1072"/>
    </row>
    <row r="13" spans="2:9">
      <c r="B13" s="280" t="s">
        <v>1102</v>
      </c>
      <c r="C13" s="281">
        <v>26</v>
      </c>
      <c r="D13" s="936">
        <f>'10N_22-33'!E146</f>
        <v>40370807.550000004</v>
      </c>
      <c r="E13" s="936">
        <f>'10N_22-33'!F146</f>
        <v>38980686.670000002</v>
      </c>
    </row>
    <row r="14" spans="2:9">
      <c r="B14" s="280" t="s">
        <v>1103</v>
      </c>
      <c r="C14" s="281">
        <v>27</v>
      </c>
      <c r="D14" s="936">
        <f>'10N_22-33'!E157</f>
        <v>29351741.609999999</v>
      </c>
      <c r="E14" s="936">
        <f>'10N_22-33'!F157</f>
        <v>25779471.199999999</v>
      </c>
    </row>
    <row r="15" spans="2:9">
      <c r="B15" s="280" t="s">
        <v>1107</v>
      </c>
      <c r="C15" s="281">
        <v>28</v>
      </c>
      <c r="D15" s="936">
        <f>'10N_22-33'!E176</f>
        <v>155784327.74000001</v>
      </c>
      <c r="E15" s="936">
        <f>'10N_22-33'!F176</f>
        <v>140587793.67000002</v>
      </c>
      <c r="F15" s="30"/>
      <c r="G15" s="1072"/>
    </row>
    <row r="16" spans="2:9">
      <c r="B16" s="280" t="s">
        <v>1106</v>
      </c>
      <c r="C16" s="281">
        <v>29</v>
      </c>
      <c r="D16" s="936">
        <f>'10N_22-33'!E185</f>
        <v>1003717.4</v>
      </c>
      <c r="E16" s="936">
        <f>'10N_22-33'!F185</f>
        <v>995722.21000000008</v>
      </c>
    </row>
    <row r="17" spans="2:9">
      <c r="B17" s="280" t="s">
        <v>1104</v>
      </c>
      <c r="C17" s="281">
        <v>30</v>
      </c>
      <c r="D17" s="936">
        <f>'10N_22-33'!E257</f>
        <v>6678215.959999999</v>
      </c>
      <c r="E17" s="936">
        <f>'10N_22-33'!F257</f>
        <v>5227245.93</v>
      </c>
      <c r="F17" s="1072"/>
    </row>
    <row r="18" spans="2:9">
      <c r="B18" s="141"/>
      <c r="C18" s="139"/>
      <c r="D18" s="1083"/>
      <c r="E18" s="1083"/>
    </row>
    <row r="19" spans="2:9">
      <c r="B19" s="141"/>
      <c r="C19" s="139"/>
      <c r="D19" s="1080">
        <f>SUM(D11:D17)</f>
        <v>293029184.51999998</v>
      </c>
      <c r="E19" s="1080">
        <f>SUM(E11:E17)</f>
        <v>271466144.42000002</v>
      </c>
      <c r="G19" s="1072"/>
      <c r="I19" s="1072"/>
    </row>
    <row r="20" spans="2:9">
      <c r="B20" s="141"/>
      <c r="C20" s="139"/>
      <c r="D20" s="1081"/>
      <c r="E20" s="1081"/>
      <c r="G20" s="1072"/>
    </row>
    <row r="21" spans="2:9" ht="31.5">
      <c r="B21" s="143" t="s">
        <v>1108</v>
      </c>
      <c r="C21" s="139"/>
      <c r="D21" s="1081">
        <f>D8-D19</f>
        <v>322935635.70000005</v>
      </c>
      <c r="E21" s="1081">
        <f>E8-E19</f>
        <v>301497282.09000009</v>
      </c>
      <c r="F21" s="1072"/>
    </row>
    <row r="22" spans="2:9">
      <c r="B22" s="138"/>
      <c r="C22" s="139"/>
      <c r="D22" s="1081"/>
      <c r="E22" s="1084"/>
    </row>
    <row r="23" spans="2:9">
      <c r="B23" s="283" t="s">
        <v>463</v>
      </c>
      <c r="C23" s="278"/>
      <c r="D23" s="1080">
        <f>+D21</f>
        <v>322935635.70000005</v>
      </c>
      <c r="E23" s="1080">
        <f>+E21</f>
        <v>301497282.09000009</v>
      </c>
      <c r="F23" s="1073"/>
      <c r="G23" s="1072"/>
    </row>
    <row r="24" spans="2:9">
      <c r="B24" s="283" t="s">
        <v>522</v>
      </c>
      <c r="C24" s="278">
        <v>31</v>
      </c>
      <c r="D24" s="1078"/>
      <c r="E24" s="1079"/>
      <c r="G24" s="1072"/>
    </row>
    <row r="25" spans="2:9">
      <c r="B25" s="280" t="s">
        <v>1109</v>
      </c>
      <c r="C25" s="281"/>
      <c r="D25" s="936">
        <f>+'10N_22-33'!E266</f>
        <v>0</v>
      </c>
      <c r="E25" s="936">
        <f>'10N_22-33'!F266</f>
        <v>0</v>
      </c>
      <c r="G25" s="1073"/>
    </row>
    <row r="26" spans="2:9">
      <c r="B26" s="280" t="s">
        <v>524</v>
      </c>
      <c r="C26" s="284" t="s">
        <v>93</v>
      </c>
      <c r="D26" s="936">
        <f>Tax!E46</f>
        <v>96919615.457000002</v>
      </c>
      <c r="E26" s="1085">
        <f>D26/D23*E23</f>
        <v>90485525.321953356</v>
      </c>
      <c r="G26" s="1072"/>
    </row>
    <row r="27" spans="2:9">
      <c r="B27" s="280" t="s">
        <v>523</v>
      </c>
      <c r="C27" s="281"/>
      <c r="D27" s="1086">
        <f>'10N_22-33'!E263</f>
        <v>0</v>
      </c>
      <c r="E27" s="1086">
        <f>-SUM('10N_22-33'!F263:F264)</f>
        <v>0</v>
      </c>
      <c r="G27" s="1072"/>
    </row>
    <row r="28" spans="2:9">
      <c r="B28" s="277" t="s">
        <v>468</v>
      </c>
      <c r="C28" s="278"/>
      <c r="D28" s="1087">
        <f>SUM(D25:D27)</f>
        <v>96919615.457000002</v>
      </c>
      <c r="E28" s="1087">
        <f>SUM(E25:E27)</f>
        <v>90485525.321953356</v>
      </c>
    </row>
    <row r="29" spans="2:9">
      <c r="B29" s="287"/>
      <c r="C29" s="278"/>
      <c r="D29" s="1079"/>
      <c r="E29" s="1079"/>
    </row>
    <row r="30" spans="2:9">
      <c r="B30" s="283" t="s">
        <v>464</v>
      </c>
      <c r="C30" s="288"/>
      <c r="D30" s="1087">
        <f>D23-D28</f>
        <v>226016020.24300003</v>
      </c>
      <c r="E30" s="1087">
        <f>E23-E28</f>
        <v>211011756.76804674</v>
      </c>
    </row>
    <row r="31" spans="2:9">
      <c r="B31" s="289"/>
      <c r="C31" s="288"/>
      <c r="D31" s="1079"/>
      <c r="E31" s="1079"/>
    </row>
    <row r="32" spans="2:9">
      <c r="B32" s="290" t="s">
        <v>465</v>
      </c>
      <c r="C32" s="278"/>
      <c r="D32" s="1078"/>
      <c r="E32" s="1079"/>
    </row>
    <row r="33" spans="2:7">
      <c r="B33" s="291" t="s">
        <v>77</v>
      </c>
      <c r="C33" s="281"/>
      <c r="D33" s="936">
        <f>'10N_22-33'!E269</f>
        <v>0</v>
      </c>
      <c r="E33" s="936">
        <f>'10N_22-33'!F269</f>
        <v>0</v>
      </c>
    </row>
    <row r="34" spans="2:7" ht="15.75" customHeight="1">
      <c r="B34" s="291" t="s">
        <v>569</v>
      </c>
      <c r="C34" s="281"/>
      <c r="D34" s="936">
        <f>'10N_22-33'!E270</f>
        <v>0</v>
      </c>
      <c r="E34" s="936">
        <f>-'10N_22-33'!F270</f>
        <v>0</v>
      </c>
    </row>
    <row r="35" spans="2:7">
      <c r="B35" s="291" t="s">
        <v>525</v>
      </c>
      <c r="C35" s="281"/>
      <c r="D35" s="1088">
        <f>D33+D34</f>
        <v>0</v>
      </c>
      <c r="E35" s="1088">
        <f>SUM(E33:E34)</f>
        <v>0</v>
      </c>
    </row>
    <row r="36" spans="2:7">
      <c r="B36" s="292" t="s">
        <v>466</v>
      </c>
      <c r="C36" s="293"/>
      <c r="D36" s="1080">
        <f>D30-D35</f>
        <v>226016020.24300003</v>
      </c>
      <c r="E36" s="1080">
        <f>E30-E35</f>
        <v>211011756.76804674</v>
      </c>
      <c r="F36" s="30"/>
      <c r="G36" s="1072"/>
    </row>
    <row r="37" spans="2:7">
      <c r="B37" s="735" t="s">
        <v>46</v>
      </c>
      <c r="C37" s="294">
        <v>33</v>
      </c>
      <c r="D37" s="295">
        <f>'10N_22-33'!E277</f>
        <v>264.63035193693349</v>
      </c>
      <c r="E37" s="736">
        <f>'10N_22-33'!F277</f>
        <v>247.06264359633704</v>
      </c>
      <c r="G37" s="1072"/>
    </row>
    <row r="38" spans="2:7">
      <c r="B38" s="279" t="str">
        <f>'2SFP'!B57</f>
        <v>Summary of significant accounting policies</v>
      </c>
      <c r="C38" s="296">
        <f>'2SFP'!C57</f>
        <v>1</v>
      </c>
      <c r="D38" s="1089"/>
      <c r="E38" s="1090"/>
      <c r="F38" s="1073"/>
    </row>
    <row r="39" spans="2:7" s="4" customFormat="1">
      <c r="B39" s="329" t="str">
        <f>'2SFP'!B58</f>
        <v>The above accompanying notes are an integral part of the financial statements</v>
      </c>
      <c r="C39" s="245"/>
      <c r="D39" s="533"/>
      <c r="E39" s="1091"/>
      <c r="F39" s="7"/>
    </row>
    <row r="40" spans="2:7" s="4" customFormat="1">
      <c r="B40" s="329" t="s">
        <v>570</v>
      </c>
      <c r="C40" s="245"/>
      <c r="D40" s="533"/>
      <c r="E40" s="1091"/>
    </row>
    <row r="41" spans="2:7">
      <c r="B41" s="141"/>
      <c r="D41" s="1092"/>
      <c r="E41" s="1090"/>
    </row>
    <row r="42" spans="2:7">
      <c r="B42" s="277" t="str">
        <f>'2SFP'!B61</f>
        <v>For GSA &amp; Associates.</v>
      </c>
      <c r="C42" s="296"/>
      <c r="D42" s="1093" t="str">
        <f>'2SFP'!E61</f>
        <v>for and on behalf of board of directors</v>
      </c>
      <c r="E42" s="1094"/>
    </row>
    <row r="43" spans="2:7">
      <c r="B43" s="279" t="str">
        <f>'2SFP'!B62</f>
        <v>Chartered accountants</v>
      </c>
      <c r="C43" s="296"/>
      <c r="D43" s="1092"/>
      <c r="E43" s="1094"/>
    </row>
    <row r="44" spans="2:7">
      <c r="B44" s="279" t="str">
        <f>'2SFP'!B63</f>
        <v>(Firm Reg. No. 000257N)</v>
      </c>
      <c r="C44" s="296"/>
      <c r="D44" s="1092"/>
      <c r="E44" s="1094"/>
    </row>
    <row r="45" spans="2:7">
      <c r="B45" s="279"/>
      <c r="C45" s="296"/>
      <c r="D45" s="1092"/>
      <c r="E45" s="1094"/>
    </row>
    <row r="46" spans="2:7">
      <c r="B46" s="279"/>
      <c r="C46" s="296"/>
      <c r="D46" s="1095" t="str">
        <f>'2SFP'!E65</f>
        <v>Chairman</v>
      </c>
      <c r="E46" s="1094"/>
    </row>
    <row r="47" spans="2:7">
      <c r="B47" s="141"/>
      <c r="D47" s="1092"/>
      <c r="E47" s="1094"/>
    </row>
    <row r="48" spans="2:7">
      <c r="B48" s="277" t="str">
        <f>'2SFP'!B67</f>
        <v>Tanuj Chugh</v>
      </c>
      <c r="D48" s="1092"/>
      <c r="E48" s="1094"/>
    </row>
    <row r="49" spans="2:5">
      <c r="B49" s="279" t="str">
        <f>'2SFP'!B68</f>
        <v>Partner</v>
      </c>
      <c r="C49" s="296"/>
      <c r="D49" s="1092"/>
      <c r="E49" s="1094"/>
    </row>
    <row r="50" spans="2:5">
      <c r="B50" s="279" t="str">
        <f>'2SFP'!B69</f>
        <v>M. No. 529619</v>
      </c>
      <c r="C50" s="296"/>
      <c r="D50" s="1096" t="str">
        <f>'2SFP'!E69</f>
        <v>Chief Executive Officer</v>
      </c>
      <c r="E50" s="1094"/>
    </row>
    <row r="51" spans="2:5">
      <c r="B51" s="279" t="str">
        <f>'2SFP'!B71</f>
        <v xml:space="preserve">Place: </v>
      </c>
      <c r="C51" s="296"/>
      <c r="D51" s="1092"/>
      <c r="E51" s="1090"/>
    </row>
    <row r="52" spans="2:5">
      <c r="B52" s="888" t="str">
        <f>'2SFP'!B72</f>
        <v xml:space="preserve">Date: </v>
      </c>
      <c r="C52" s="889"/>
      <c r="D52" s="1097"/>
      <c r="E52" s="1098"/>
    </row>
    <row r="53" spans="2:5">
      <c r="B53" s="280"/>
      <c r="C53" s="297"/>
      <c r="D53" s="1099"/>
      <c r="E53" s="1094"/>
    </row>
    <row r="54" spans="2:5">
      <c r="B54" s="141"/>
      <c r="E54" s="1094"/>
    </row>
    <row r="55" spans="2:5">
      <c r="B55" s="141" t="s">
        <v>217</v>
      </c>
      <c r="D55" s="488">
        <f>(D30/'2SFP'!D33)</f>
        <v>5.6093791617947239E-2</v>
      </c>
      <c r="E55" s="1094"/>
    </row>
    <row r="56" spans="2:5">
      <c r="B56" s="141" t="s">
        <v>218</v>
      </c>
      <c r="D56" s="488">
        <f>(D8/660)/1000000</f>
        <v>0.93328003063636367</v>
      </c>
      <c r="E56" s="1094"/>
    </row>
    <row r="57" spans="2:5">
      <c r="B57" s="141"/>
      <c r="E57" s="1094"/>
    </row>
    <row r="58" spans="2:5">
      <c r="B58" s="141"/>
      <c r="E58" s="1094"/>
    </row>
    <row r="59" spans="2:5">
      <c r="B59" s="141"/>
      <c r="E59" s="1094"/>
    </row>
    <row r="60" spans="2:5">
      <c r="B60" s="141"/>
      <c r="E60" s="1094"/>
    </row>
    <row r="61" spans="2:5">
      <c r="B61" s="141"/>
      <c r="E61" s="1094"/>
    </row>
    <row r="62" spans="2:5">
      <c r="B62" s="141"/>
      <c r="E62" s="1094"/>
    </row>
    <row r="63" spans="2:5">
      <c r="B63" s="141"/>
      <c r="E63" s="1094"/>
    </row>
    <row r="64" spans="2:5">
      <c r="B64" s="141"/>
      <c r="E64" s="1094"/>
    </row>
    <row r="65" spans="2:5">
      <c r="B65" s="141"/>
      <c r="E65" s="1094"/>
    </row>
    <row r="66" spans="2:5">
      <c r="B66" s="141"/>
      <c r="E66" s="1094"/>
    </row>
    <row r="67" spans="2:5">
      <c r="B67" s="141"/>
      <c r="E67" s="1094"/>
    </row>
    <row r="68" spans="2:5">
      <c r="B68" s="141"/>
      <c r="E68" s="1094"/>
    </row>
    <row r="69" spans="2:5">
      <c r="B69" s="141"/>
      <c r="E69" s="1094"/>
    </row>
    <row r="70" spans="2:5">
      <c r="B70" s="1074"/>
      <c r="C70" s="737"/>
      <c r="D70" s="1100"/>
      <c r="E70" s="1101"/>
    </row>
  </sheetData>
  <sortState ref="B16:E21">
    <sortCondition ref="B16"/>
  </sortState>
  <mergeCells count="2">
    <mergeCell ref="B1:E1"/>
    <mergeCell ref="B2:E2"/>
  </mergeCells>
  <pageMargins left="0.95" right="0.26" top="0.56000000000000005" bottom="0.2" header="0.05" footer="0.05"/>
  <pageSetup scale="81" fitToHeight="0" orientation="portrait" r:id="rId1"/>
</worksheet>
</file>

<file path=xl/worksheets/sheet5.xml><?xml version="1.0" encoding="utf-8"?>
<worksheet xmlns="http://schemas.openxmlformats.org/spreadsheetml/2006/main" xmlns:r="http://schemas.openxmlformats.org/officeDocument/2006/relationships">
  <sheetPr enableFormatConditionsCalculation="0">
    <tabColor rgb="FF00B050"/>
    <pageSetUpPr fitToPage="1"/>
  </sheetPr>
  <dimension ref="A1:K67"/>
  <sheetViews>
    <sheetView showGridLines="0" zoomScaleSheetLayoutView="90" workbookViewId="0">
      <selection activeCell="D8" sqref="D8"/>
    </sheetView>
  </sheetViews>
  <sheetFormatPr defaultColWidth="9.140625" defaultRowHeight="15.75"/>
  <cols>
    <col min="1" max="1" width="3.42578125" style="20" customWidth="1"/>
    <col min="2" max="2" width="52" style="52" customWidth="1"/>
    <col min="3" max="3" width="17.85546875" style="20" bestFit="1" customWidth="1"/>
    <col min="4" max="4" width="19.28515625" style="52" bestFit="1" customWidth="1"/>
    <col min="5" max="5" width="18.140625" style="52" customWidth="1"/>
    <col min="6" max="6" width="19.28515625" style="20" customWidth="1"/>
    <col min="7" max="7" width="18.42578125" style="20" bestFit="1" customWidth="1"/>
    <col min="8" max="8" width="19.42578125" style="20" bestFit="1" customWidth="1"/>
    <col min="9" max="9" width="8.85546875" style="20" bestFit="1" customWidth="1"/>
    <col min="10" max="10" width="19.42578125" style="20" bestFit="1" customWidth="1"/>
    <col min="11" max="11" width="11.7109375" style="20" bestFit="1" customWidth="1"/>
    <col min="12" max="16384" width="9.140625" style="20"/>
  </cols>
  <sheetData>
    <row r="1" spans="1:11" ht="15" customHeight="1">
      <c r="B1" s="1336" t="str">
        <f>'2SFP'!B1</f>
        <v>BHUTAN TELECOM LIMITED</v>
      </c>
      <c r="C1" s="1337"/>
      <c r="D1" s="1337"/>
      <c r="E1" s="1337"/>
      <c r="F1" s="1338"/>
    </row>
    <row r="2" spans="1:11" ht="16.5" customHeight="1">
      <c r="B2" s="1342" t="s">
        <v>1051</v>
      </c>
      <c r="C2" s="1343"/>
      <c r="D2" s="1343"/>
      <c r="E2" s="1343"/>
      <c r="F2" s="1344"/>
      <c r="H2" s="45"/>
    </row>
    <row r="3" spans="1:11">
      <c r="B3" s="734"/>
      <c r="C3" s="536"/>
      <c r="D3" s="276"/>
      <c r="E3" s="276"/>
      <c r="F3" s="738" t="str">
        <f>'2SFP'!E3</f>
        <v>Amount in Nu.</v>
      </c>
      <c r="H3" s="45"/>
    </row>
    <row r="4" spans="1:11" s="8" customFormat="1" ht="44.25" customHeight="1">
      <c r="B4" s="299" t="s">
        <v>21</v>
      </c>
      <c r="C4" s="299" t="s">
        <v>69</v>
      </c>
      <c r="D4" s="299" t="s">
        <v>70</v>
      </c>
      <c r="E4" s="300" t="s">
        <v>68</v>
      </c>
      <c r="F4" s="223" t="s">
        <v>36</v>
      </c>
    </row>
    <row r="5" spans="1:11">
      <c r="B5" s="301" t="s">
        <v>1471</v>
      </c>
      <c r="C5" s="304">
        <v>854082000</v>
      </c>
      <c r="D5" s="1171">
        <f>2891943488.05-63.14</f>
        <v>2891943424.9100003</v>
      </c>
      <c r="E5" s="1171">
        <v>92308400</v>
      </c>
      <c r="F5" s="303">
        <f>C5+D5+E5</f>
        <v>3838333824.9100003</v>
      </c>
      <c r="G5" s="46"/>
      <c r="H5" s="1113">
        <v>3700746116.46</v>
      </c>
      <c r="I5" s="46"/>
      <c r="J5" s="46"/>
      <c r="K5" s="48"/>
    </row>
    <row r="6" spans="1:11">
      <c r="B6" s="305" t="s">
        <v>540</v>
      </c>
      <c r="C6" s="285">
        <v>0</v>
      </c>
      <c r="D6" s="1170">
        <v>0</v>
      </c>
      <c r="E6" s="302">
        <v>0</v>
      </c>
      <c r="F6" s="303">
        <f>C6+D6+E6</f>
        <v>0</v>
      </c>
      <c r="G6" s="46"/>
      <c r="H6" s="47">
        <f>H5-D10</f>
        <v>751592169.1699996</v>
      </c>
      <c r="I6" s="46"/>
      <c r="J6" s="46"/>
      <c r="K6" s="48"/>
    </row>
    <row r="7" spans="1:11">
      <c r="B7" s="306" t="s">
        <v>1239</v>
      </c>
      <c r="C7" s="285">
        <v>0</v>
      </c>
      <c r="D7" s="1170">
        <f>908021171+66689.69</f>
        <v>908087860.69000006</v>
      </c>
      <c r="E7" s="302">
        <v>0</v>
      </c>
      <c r="F7" s="303">
        <f>C7+D7+E7</f>
        <v>908087860.69000006</v>
      </c>
      <c r="G7" s="47">
        <f>D7-'[1]5SOCE'!$D$7</f>
        <v>0</v>
      </c>
      <c r="H7" s="47"/>
      <c r="I7" s="46"/>
      <c r="J7" s="46"/>
      <c r="K7" s="49"/>
    </row>
    <row r="8" spans="1:11" ht="19.5" customHeight="1">
      <c r="B8" s="306" t="s">
        <v>1240</v>
      </c>
      <c r="C8" s="285">
        <v>0</v>
      </c>
      <c r="D8" s="1170">
        <v>-751592160</v>
      </c>
      <c r="E8" s="1170">
        <v>-92308400</v>
      </c>
      <c r="F8" s="303">
        <f>C8+D8+E8</f>
        <v>-843900560</v>
      </c>
      <c r="G8" s="48"/>
      <c r="H8" s="50"/>
      <c r="I8" s="48"/>
      <c r="J8" s="48"/>
      <c r="K8" s="48"/>
    </row>
    <row r="9" spans="1:11">
      <c r="B9" s="309" t="s">
        <v>1242</v>
      </c>
      <c r="C9" s="285">
        <v>0</v>
      </c>
      <c r="D9" s="1170">
        <v>-99285178.310000002</v>
      </c>
      <c r="E9" s="302"/>
      <c r="F9" s="303">
        <f>C9+D9+E9</f>
        <v>-99285178.310000002</v>
      </c>
      <c r="G9" s="46"/>
      <c r="H9" s="47"/>
      <c r="I9" s="46"/>
      <c r="J9" s="46"/>
      <c r="K9" s="51"/>
    </row>
    <row r="10" spans="1:11">
      <c r="B10" s="307" t="s">
        <v>541</v>
      </c>
      <c r="C10" s="308">
        <f>SUM(C5:C9)</f>
        <v>854082000</v>
      </c>
      <c r="D10" s="308">
        <f>SUM(D5:D9)</f>
        <v>2949153947.2900004</v>
      </c>
      <c r="E10" s="308">
        <f>SUM(E5:E9)</f>
        <v>0</v>
      </c>
      <c r="F10" s="308">
        <f>SUM(F5:F9)</f>
        <v>3803235947.2900004</v>
      </c>
      <c r="G10" s="46"/>
      <c r="H10" s="47"/>
      <c r="I10" s="46"/>
      <c r="J10" s="46"/>
      <c r="K10" s="51"/>
    </row>
    <row r="11" spans="1:11" ht="17.25" customHeight="1">
      <c r="B11" s="301" t="s">
        <v>1472</v>
      </c>
      <c r="C11" s="206"/>
      <c r="D11" s="1172"/>
      <c r="E11" s="207"/>
      <c r="F11" s="140">
        <f>C11+D11+E11</f>
        <v>0</v>
      </c>
      <c r="G11" s="46"/>
      <c r="H11" s="47"/>
      <c r="I11" s="46"/>
      <c r="J11" s="46"/>
      <c r="K11" s="51"/>
    </row>
    <row r="12" spans="1:11">
      <c r="B12" s="309" t="s">
        <v>1239</v>
      </c>
      <c r="C12" s="285"/>
      <c r="D12" s="1170">
        <f>'3SOCI'!D36</f>
        <v>226016020.24300003</v>
      </c>
      <c r="E12" s="302"/>
      <c r="F12" s="303">
        <f>C12+D12+E12</f>
        <v>226016020.24300003</v>
      </c>
      <c r="G12" s="48"/>
      <c r="H12" s="50"/>
      <c r="I12" s="48"/>
      <c r="J12" s="48"/>
      <c r="K12" s="48"/>
    </row>
    <row r="13" spans="1:11">
      <c r="A13" s="3"/>
      <c r="B13" s="309" t="s">
        <v>1241</v>
      </c>
      <c r="C13" s="285"/>
      <c r="D13" s="1108"/>
      <c r="E13" s="1170"/>
      <c r="F13" s="303">
        <f>C13+D13+E13</f>
        <v>0</v>
      </c>
      <c r="G13" s="48"/>
      <c r="H13" s="48"/>
      <c r="I13" s="48"/>
      <c r="J13" s="48"/>
      <c r="K13" s="48"/>
    </row>
    <row r="14" spans="1:11" hidden="1">
      <c r="A14" s="3"/>
      <c r="B14" s="309" t="s">
        <v>1138</v>
      </c>
      <c r="C14" s="285"/>
      <c r="D14" s="1108"/>
      <c r="E14" s="302"/>
      <c r="F14" s="303"/>
      <c r="G14" s="48"/>
      <c r="H14" s="48"/>
      <c r="I14" s="48"/>
      <c r="J14" s="48"/>
      <c r="K14" s="48"/>
    </row>
    <row r="15" spans="1:11">
      <c r="A15" s="21"/>
      <c r="B15" s="309" t="s">
        <v>1242</v>
      </c>
      <c r="C15" s="285"/>
      <c r="D15" s="1170"/>
      <c r="E15" s="302"/>
      <c r="F15" s="303">
        <f>SUM(C15:E15)</f>
        <v>0</v>
      </c>
    </row>
    <row r="16" spans="1:11">
      <c r="B16" s="307" t="s">
        <v>1473</v>
      </c>
      <c r="C16" s="286">
        <f>SUM(C10:C15)</f>
        <v>854082000</v>
      </c>
      <c r="D16" s="286">
        <f>SUM(D10:D15)</f>
        <v>3175169967.5330005</v>
      </c>
      <c r="E16" s="286">
        <f>SUM(E10:E15)</f>
        <v>0</v>
      </c>
      <c r="F16" s="286">
        <f>SUM(F10:F15)</f>
        <v>4029251967.5330005</v>
      </c>
      <c r="G16" s="20">
        <v>-3700746116.46</v>
      </c>
    </row>
    <row r="17" spans="1:8" s="44" customFormat="1">
      <c r="A17" s="3"/>
      <c r="B17" s="739"/>
      <c r="C17" s="30"/>
      <c r="D17" s="551">
        <v>-3700746116.46</v>
      </c>
      <c r="E17" s="552">
        <f>SUM(D16:E16)</f>
        <v>3175169967.5330005</v>
      </c>
      <c r="F17" s="740"/>
      <c r="G17" s="1319">
        <v>751592160</v>
      </c>
    </row>
    <row r="18" spans="1:8">
      <c r="A18" s="3"/>
      <c r="B18" s="739"/>
      <c r="C18" s="3"/>
      <c r="D18" s="553">
        <f>D17+D16</f>
        <v>-525576148.92699957</v>
      </c>
      <c r="E18" s="554"/>
      <c r="F18" s="741"/>
      <c r="G18" s="20">
        <f>G16+G17</f>
        <v>-2949153956.46</v>
      </c>
      <c r="H18" s="1320">
        <f>D10+G18</f>
        <v>-9.1699995994567871</v>
      </c>
    </row>
    <row r="19" spans="1:8">
      <c r="A19" s="3"/>
      <c r="B19" s="739"/>
      <c r="C19" s="3"/>
      <c r="D19" s="554"/>
      <c r="E19" s="553"/>
      <c r="F19" s="742"/>
    </row>
    <row r="20" spans="1:8" s="298" customFormat="1" ht="16.5">
      <c r="A20" s="544"/>
      <c r="B20" s="743" t="str">
        <f>'2SFP'!B61</f>
        <v>For GSA &amp; Associates.</v>
      </c>
      <c r="C20" s="544"/>
      <c r="D20" s="555" t="str">
        <f>'2SFP'!E61</f>
        <v>for and on behalf of board of directors</v>
      </c>
      <c r="F20" s="744"/>
    </row>
    <row r="21" spans="1:8" s="298" customFormat="1">
      <c r="A21" s="544"/>
      <c r="B21" s="745" t="str">
        <f>'2SFP'!B62</f>
        <v>Chartered accountants</v>
      </c>
      <c r="C21" s="544"/>
      <c r="D21" s="556"/>
      <c r="F21" s="744"/>
    </row>
    <row r="22" spans="1:8" s="298" customFormat="1">
      <c r="A22" s="544"/>
      <c r="B22" s="745" t="str">
        <f>'2SFP'!B63</f>
        <v>(Firm Reg. No. 000257N)</v>
      </c>
      <c r="C22" s="544"/>
      <c r="D22" s="556"/>
      <c r="F22" s="746"/>
    </row>
    <row r="23" spans="1:8" s="298" customFormat="1">
      <c r="A23" s="544"/>
      <c r="B23" s="745"/>
      <c r="C23" s="544"/>
      <c r="D23" s="556"/>
      <c r="F23" s="746"/>
    </row>
    <row r="24" spans="1:8" s="298" customFormat="1">
      <c r="A24" s="544"/>
      <c r="B24" s="745"/>
      <c r="C24" s="544"/>
      <c r="D24" s="556"/>
      <c r="F24" s="744"/>
    </row>
    <row r="25" spans="1:8" s="298" customFormat="1" ht="16.5">
      <c r="A25" s="544"/>
      <c r="B25" s="745"/>
      <c r="C25" s="544"/>
      <c r="D25" s="545" t="str">
        <f>'4CF'!E68</f>
        <v>Chairman</v>
      </c>
      <c r="F25" s="744"/>
    </row>
    <row r="26" spans="1:8" s="298" customFormat="1" ht="16.5">
      <c r="A26" s="544"/>
      <c r="B26" s="743" t="str">
        <f>'2SFP'!B67</f>
        <v>Tanuj Chugh</v>
      </c>
      <c r="C26" s="544"/>
      <c r="D26" s="556"/>
      <c r="F26" s="746"/>
    </row>
    <row r="27" spans="1:8" s="298" customFormat="1">
      <c r="A27" s="544"/>
      <c r="B27" s="745" t="str">
        <f>'2SFP'!B68</f>
        <v>Partner</v>
      </c>
      <c r="C27" s="544"/>
      <c r="D27" s="556"/>
      <c r="F27" s="746"/>
    </row>
    <row r="28" spans="1:8" s="298" customFormat="1">
      <c r="A28" s="544"/>
      <c r="B28" s="745" t="str">
        <f>'2SFP'!B69</f>
        <v>M. No. 529619</v>
      </c>
      <c r="C28" s="544"/>
      <c r="D28" s="557"/>
      <c r="F28" s="744"/>
    </row>
    <row r="29" spans="1:8" s="298" customFormat="1">
      <c r="B29" s="745"/>
      <c r="D29" s="558"/>
      <c r="F29" s="747"/>
    </row>
    <row r="30" spans="1:8" s="298" customFormat="1" ht="16.5">
      <c r="B30" s="745" t="str">
        <f>'2SFP'!B71</f>
        <v xml:space="preserve">Place: </v>
      </c>
      <c r="D30" s="546" t="str">
        <f>'4CF'!E72</f>
        <v>Chief Executive Officer</v>
      </c>
      <c r="F30" s="747"/>
    </row>
    <row r="31" spans="1:8" s="298" customFormat="1">
      <c r="B31" s="745" t="str">
        <f>'2SFP'!B72</f>
        <v xml:space="preserve">Date: </v>
      </c>
      <c r="D31" s="558"/>
      <c r="E31" s="558"/>
      <c r="F31" s="747"/>
    </row>
    <row r="32" spans="1:8" s="298" customFormat="1">
      <c r="B32" s="748"/>
      <c r="D32" s="558"/>
      <c r="E32" s="558"/>
      <c r="F32" s="747"/>
    </row>
    <row r="33" spans="2:6">
      <c r="B33" s="907"/>
      <c r="C33" s="752"/>
      <c r="D33" s="753"/>
      <c r="E33" s="753"/>
      <c r="F33" s="754"/>
    </row>
    <row r="34" spans="2:6">
      <c r="B34" s="739"/>
      <c r="F34" s="749"/>
    </row>
    <row r="35" spans="2:6">
      <c r="B35" s="750"/>
      <c r="F35" s="749"/>
    </row>
    <row r="36" spans="2:6">
      <c r="B36" s="750"/>
      <c r="F36" s="749"/>
    </row>
    <row r="37" spans="2:6">
      <c r="B37" s="750"/>
      <c r="F37" s="749"/>
    </row>
    <row r="38" spans="2:6">
      <c r="B38" s="750"/>
      <c r="F38" s="749"/>
    </row>
    <row r="39" spans="2:6">
      <c r="B39" s="750"/>
      <c r="F39" s="749"/>
    </row>
    <row r="40" spans="2:6">
      <c r="B40" s="750"/>
      <c r="F40" s="749"/>
    </row>
    <row r="41" spans="2:6">
      <c r="B41" s="750"/>
      <c r="F41" s="749"/>
    </row>
    <row r="42" spans="2:6">
      <c r="B42" s="750"/>
      <c r="F42" s="749"/>
    </row>
    <row r="43" spans="2:6">
      <c r="B43" s="750"/>
      <c r="F43" s="749"/>
    </row>
    <row r="44" spans="2:6">
      <c r="B44" s="750"/>
      <c r="F44" s="749"/>
    </row>
    <row r="45" spans="2:6">
      <c r="B45" s="750"/>
      <c r="F45" s="749"/>
    </row>
    <row r="46" spans="2:6">
      <c r="B46" s="750"/>
      <c r="F46" s="749"/>
    </row>
    <row r="47" spans="2:6">
      <c r="B47" s="750"/>
      <c r="F47" s="749"/>
    </row>
    <row r="48" spans="2:6">
      <c r="B48" s="750"/>
      <c r="F48" s="749"/>
    </row>
    <row r="49" spans="2:6">
      <c r="B49" s="750"/>
      <c r="F49" s="749"/>
    </row>
    <row r="50" spans="2:6">
      <c r="B50" s="750"/>
      <c r="F50" s="749"/>
    </row>
    <row r="51" spans="2:6">
      <c r="B51" s="750"/>
      <c r="F51" s="749"/>
    </row>
    <row r="52" spans="2:6">
      <c r="B52" s="750"/>
      <c r="F52" s="749"/>
    </row>
    <row r="53" spans="2:6">
      <c r="B53" s="750"/>
      <c r="F53" s="749"/>
    </row>
    <row r="54" spans="2:6">
      <c r="B54" s="750"/>
      <c r="F54" s="749"/>
    </row>
    <row r="55" spans="2:6">
      <c r="B55" s="750"/>
      <c r="F55" s="749"/>
    </row>
    <row r="56" spans="2:6">
      <c r="B56" s="750"/>
      <c r="F56" s="749"/>
    </row>
    <row r="57" spans="2:6">
      <c r="B57" s="750"/>
      <c r="F57" s="749"/>
    </row>
    <row r="58" spans="2:6">
      <c r="B58" s="750"/>
      <c r="F58" s="749"/>
    </row>
    <row r="59" spans="2:6">
      <c r="B59" s="750"/>
      <c r="F59" s="749"/>
    </row>
    <row r="60" spans="2:6">
      <c r="B60" s="750"/>
      <c r="F60" s="749"/>
    </row>
    <row r="61" spans="2:6">
      <c r="B61" s="750"/>
      <c r="F61" s="749"/>
    </row>
    <row r="62" spans="2:6">
      <c r="B62" s="750"/>
      <c r="F62" s="749"/>
    </row>
    <row r="63" spans="2:6">
      <c r="B63" s="750"/>
      <c r="F63" s="749"/>
    </row>
    <row r="64" spans="2:6">
      <c r="B64" s="750"/>
      <c r="F64" s="749"/>
    </row>
    <row r="65" spans="2:6">
      <c r="B65" s="750"/>
      <c r="F65" s="749"/>
    </row>
    <row r="66" spans="2:6">
      <c r="B66" s="750"/>
      <c r="F66" s="749"/>
    </row>
    <row r="67" spans="2:6">
      <c r="B67" s="751"/>
      <c r="C67" s="752"/>
      <c r="D67" s="753"/>
      <c r="E67" s="753"/>
      <c r="F67" s="754"/>
    </row>
  </sheetData>
  <mergeCells count="2">
    <mergeCell ref="B2:F2"/>
    <mergeCell ref="B1:F1"/>
  </mergeCells>
  <pageMargins left="0.95" right="0.51" top="0.56000000000000005" bottom="0.2" header="0.05" footer="0.05"/>
  <pageSetup scale="72" orientation="portrait" r:id="rId1"/>
</worksheet>
</file>

<file path=xl/worksheets/sheet6.xml><?xml version="1.0" encoding="utf-8"?>
<worksheet xmlns="http://schemas.openxmlformats.org/spreadsheetml/2006/main" xmlns:r="http://schemas.openxmlformats.org/officeDocument/2006/relationships">
  <sheetPr codeName="Sheet10" enableFormatConditionsCalculation="0">
    <tabColor rgb="FF00B050"/>
  </sheetPr>
  <dimension ref="A1:O89"/>
  <sheetViews>
    <sheetView showGridLines="0" topLeftCell="B1" zoomScaleSheetLayoutView="90" workbookViewId="0">
      <selection activeCell="C7" sqref="C7"/>
    </sheetView>
  </sheetViews>
  <sheetFormatPr defaultColWidth="8.85546875" defaultRowHeight="15.75"/>
  <cols>
    <col min="1" max="1" width="0.140625" style="12" hidden="1" customWidth="1"/>
    <col min="2" max="2" width="59.28515625" style="159" customWidth="1"/>
    <col min="3" max="3" width="19.42578125" style="1262" bestFit="1" customWidth="1"/>
    <col min="4" max="4" width="21.28515625" style="1262" customWidth="1"/>
    <col min="5" max="5" width="19.7109375" style="1262" customWidth="1"/>
    <col min="6" max="6" width="24.7109375" style="1262" customWidth="1"/>
    <col min="7" max="7" width="19.7109375" style="12" bestFit="1" customWidth="1"/>
    <col min="8" max="8" width="19.42578125" style="12" bestFit="1" customWidth="1"/>
    <col min="9" max="10" width="8.85546875" style="12"/>
    <col min="11" max="11" width="20.140625" style="12" bestFit="1" customWidth="1"/>
    <col min="12" max="12" width="14.85546875" style="12" bestFit="1" customWidth="1"/>
    <col min="13" max="13" width="2.140625" style="12" customWidth="1"/>
    <col min="14" max="14" width="18.28515625" style="12" bestFit="1" customWidth="1"/>
    <col min="15" max="15" width="12.85546875" style="12" bestFit="1" customWidth="1"/>
    <col min="16" max="247" width="8.85546875" style="12"/>
    <col min="248" max="248" width="62.7109375" style="12" bestFit="1" customWidth="1"/>
    <col min="249" max="249" width="19" style="12" bestFit="1" customWidth="1"/>
    <col min="250" max="250" width="23.42578125" style="12" bestFit="1" customWidth="1"/>
    <col min="251" max="251" width="8.85546875" style="12"/>
    <col min="252" max="252" width="43.140625" style="12" bestFit="1" customWidth="1"/>
    <col min="253" max="253" width="18.7109375" style="12" bestFit="1" customWidth="1"/>
    <col min="254" max="254" width="19.85546875" style="12" bestFit="1" customWidth="1"/>
    <col min="255" max="255" width="19.42578125" style="12" bestFit="1" customWidth="1"/>
    <col min="256" max="503" width="8.85546875" style="12"/>
    <col min="504" max="504" width="62.7109375" style="12" bestFit="1" customWidth="1"/>
    <col min="505" max="505" width="19" style="12" bestFit="1" customWidth="1"/>
    <col min="506" max="506" width="23.42578125" style="12" bestFit="1" customWidth="1"/>
    <col min="507" max="507" width="8.85546875" style="12"/>
    <col min="508" max="508" width="43.140625" style="12" bestFit="1" customWidth="1"/>
    <col min="509" max="509" width="18.7109375" style="12" bestFit="1" customWidth="1"/>
    <col min="510" max="510" width="19.85546875" style="12" bestFit="1" customWidth="1"/>
    <col min="511" max="511" width="19.42578125" style="12" bestFit="1" customWidth="1"/>
    <col min="512" max="759" width="8.85546875" style="12"/>
    <col min="760" max="760" width="62.7109375" style="12" bestFit="1" customWidth="1"/>
    <col min="761" max="761" width="19" style="12" bestFit="1" customWidth="1"/>
    <col min="762" max="762" width="23.42578125" style="12" bestFit="1" customWidth="1"/>
    <col min="763" max="763" width="8.85546875" style="12"/>
    <col min="764" max="764" width="43.140625" style="12" bestFit="1" customWidth="1"/>
    <col min="765" max="765" width="18.7109375" style="12" bestFit="1" customWidth="1"/>
    <col min="766" max="766" width="19.85546875" style="12" bestFit="1" customWidth="1"/>
    <col min="767" max="767" width="19.42578125" style="12" bestFit="1" customWidth="1"/>
    <col min="768" max="1015" width="8.85546875" style="12"/>
    <col min="1016" max="1016" width="62.7109375" style="12" bestFit="1" customWidth="1"/>
    <col min="1017" max="1017" width="19" style="12" bestFit="1" customWidth="1"/>
    <col min="1018" max="1018" width="23.42578125" style="12" bestFit="1" customWidth="1"/>
    <col min="1019" max="1019" width="8.85546875" style="12"/>
    <col min="1020" max="1020" width="43.140625" style="12" bestFit="1" customWidth="1"/>
    <col min="1021" max="1021" width="18.7109375" style="12" bestFit="1" customWidth="1"/>
    <col min="1022" max="1022" width="19.85546875" style="12" bestFit="1" customWidth="1"/>
    <col min="1023" max="1023" width="19.42578125" style="12" bestFit="1" customWidth="1"/>
    <col min="1024" max="1271" width="8.85546875" style="12"/>
    <col min="1272" max="1272" width="62.7109375" style="12" bestFit="1" customWidth="1"/>
    <col min="1273" max="1273" width="19" style="12" bestFit="1" customWidth="1"/>
    <col min="1274" max="1274" width="23.42578125" style="12" bestFit="1" customWidth="1"/>
    <col min="1275" max="1275" width="8.85546875" style="12"/>
    <col min="1276" max="1276" width="43.140625" style="12" bestFit="1" customWidth="1"/>
    <col min="1277" max="1277" width="18.7109375" style="12" bestFit="1" customWidth="1"/>
    <col min="1278" max="1278" width="19.85546875" style="12" bestFit="1" customWidth="1"/>
    <col min="1279" max="1279" width="19.42578125" style="12" bestFit="1" customWidth="1"/>
    <col min="1280" max="1527" width="8.85546875" style="12"/>
    <col min="1528" max="1528" width="62.7109375" style="12" bestFit="1" customWidth="1"/>
    <col min="1529" max="1529" width="19" style="12" bestFit="1" customWidth="1"/>
    <col min="1530" max="1530" width="23.42578125" style="12" bestFit="1" customWidth="1"/>
    <col min="1531" max="1531" width="8.85546875" style="12"/>
    <col min="1532" max="1532" width="43.140625" style="12" bestFit="1" customWidth="1"/>
    <col min="1533" max="1533" width="18.7109375" style="12" bestFit="1" customWidth="1"/>
    <col min="1534" max="1534" width="19.85546875" style="12" bestFit="1" customWidth="1"/>
    <col min="1535" max="1535" width="19.42578125" style="12" bestFit="1" customWidth="1"/>
    <col min="1536" max="1783" width="8.85546875" style="12"/>
    <col min="1784" max="1784" width="62.7109375" style="12" bestFit="1" customWidth="1"/>
    <col min="1785" max="1785" width="19" style="12" bestFit="1" customWidth="1"/>
    <col min="1786" max="1786" width="23.42578125" style="12" bestFit="1" customWidth="1"/>
    <col min="1787" max="1787" width="8.85546875" style="12"/>
    <col min="1788" max="1788" width="43.140625" style="12" bestFit="1" customWidth="1"/>
    <col min="1789" max="1789" width="18.7109375" style="12" bestFit="1" customWidth="1"/>
    <col min="1790" max="1790" width="19.85546875" style="12" bestFit="1" customWidth="1"/>
    <col min="1791" max="1791" width="19.42578125" style="12" bestFit="1" customWidth="1"/>
    <col min="1792" max="2039" width="8.85546875" style="12"/>
    <col min="2040" max="2040" width="62.7109375" style="12" bestFit="1" customWidth="1"/>
    <col min="2041" max="2041" width="19" style="12" bestFit="1" customWidth="1"/>
    <col min="2042" max="2042" width="23.42578125" style="12" bestFit="1" customWidth="1"/>
    <col min="2043" max="2043" width="8.85546875" style="12"/>
    <col min="2044" max="2044" width="43.140625" style="12" bestFit="1" customWidth="1"/>
    <col min="2045" max="2045" width="18.7109375" style="12" bestFit="1" customWidth="1"/>
    <col min="2046" max="2046" width="19.85546875" style="12" bestFit="1" customWidth="1"/>
    <col min="2047" max="2047" width="19.42578125" style="12" bestFit="1" customWidth="1"/>
    <col min="2048" max="2295" width="8.85546875" style="12"/>
    <col min="2296" max="2296" width="62.7109375" style="12" bestFit="1" customWidth="1"/>
    <col min="2297" max="2297" width="19" style="12" bestFit="1" customWidth="1"/>
    <col min="2298" max="2298" width="23.42578125" style="12" bestFit="1" customWidth="1"/>
    <col min="2299" max="2299" width="8.85546875" style="12"/>
    <col min="2300" max="2300" width="43.140625" style="12" bestFit="1" customWidth="1"/>
    <col min="2301" max="2301" width="18.7109375" style="12" bestFit="1" customWidth="1"/>
    <col min="2302" max="2302" width="19.85546875" style="12" bestFit="1" customWidth="1"/>
    <col min="2303" max="2303" width="19.42578125" style="12" bestFit="1" customWidth="1"/>
    <col min="2304" max="2551" width="8.85546875" style="12"/>
    <col min="2552" max="2552" width="62.7109375" style="12" bestFit="1" customWidth="1"/>
    <col min="2553" max="2553" width="19" style="12" bestFit="1" customWidth="1"/>
    <col min="2554" max="2554" width="23.42578125" style="12" bestFit="1" customWidth="1"/>
    <col min="2555" max="2555" width="8.85546875" style="12"/>
    <col min="2556" max="2556" width="43.140625" style="12" bestFit="1" customWidth="1"/>
    <col min="2557" max="2557" width="18.7109375" style="12" bestFit="1" customWidth="1"/>
    <col min="2558" max="2558" width="19.85546875" style="12" bestFit="1" customWidth="1"/>
    <col min="2559" max="2559" width="19.42578125" style="12" bestFit="1" customWidth="1"/>
    <col min="2560" max="2807" width="8.85546875" style="12"/>
    <col min="2808" max="2808" width="62.7109375" style="12" bestFit="1" customWidth="1"/>
    <col min="2809" max="2809" width="19" style="12" bestFit="1" customWidth="1"/>
    <col min="2810" max="2810" width="23.42578125" style="12" bestFit="1" customWidth="1"/>
    <col min="2811" max="2811" width="8.85546875" style="12"/>
    <col min="2812" max="2812" width="43.140625" style="12" bestFit="1" customWidth="1"/>
    <col min="2813" max="2813" width="18.7109375" style="12" bestFit="1" customWidth="1"/>
    <col min="2814" max="2814" width="19.85546875" style="12" bestFit="1" customWidth="1"/>
    <col min="2815" max="2815" width="19.42578125" style="12" bestFit="1" customWidth="1"/>
    <col min="2816" max="3063" width="8.85546875" style="12"/>
    <col min="3064" max="3064" width="62.7109375" style="12" bestFit="1" customWidth="1"/>
    <col min="3065" max="3065" width="19" style="12" bestFit="1" customWidth="1"/>
    <col min="3066" max="3066" width="23.42578125" style="12" bestFit="1" customWidth="1"/>
    <col min="3067" max="3067" width="8.85546875" style="12"/>
    <col min="3068" max="3068" width="43.140625" style="12" bestFit="1" customWidth="1"/>
    <col min="3069" max="3069" width="18.7109375" style="12" bestFit="1" customWidth="1"/>
    <col min="3070" max="3070" width="19.85546875" style="12" bestFit="1" customWidth="1"/>
    <col min="3071" max="3071" width="19.42578125" style="12" bestFit="1" customWidth="1"/>
    <col min="3072" max="3319" width="8.85546875" style="12"/>
    <col min="3320" max="3320" width="62.7109375" style="12" bestFit="1" customWidth="1"/>
    <col min="3321" max="3321" width="19" style="12" bestFit="1" customWidth="1"/>
    <col min="3322" max="3322" width="23.42578125" style="12" bestFit="1" customWidth="1"/>
    <col min="3323" max="3323" width="8.85546875" style="12"/>
    <col min="3324" max="3324" width="43.140625" style="12" bestFit="1" customWidth="1"/>
    <col min="3325" max="3325" width="18.7109375" style="12" bestFit="1" customWidth="1"/>
    <col min="3326" max="3326" width="19.85546875" style="12" bestFit="1" customWidth="1"/>
    <col min="3327" max="3327" width="19.42578125" style="12" bestFit="1" customWidth="1"/>
    <col min="3328" max="3575" width="8.85546875" style="12"/>
    <col min="3576" max="3576" width="62.7109375" style="12" bestFit="1" customWidth="1"/>
    <col min="3577" max="3577" width="19" style="12" bestFit="1" customWidth="1"/>
    <col min="3578" max="3578" width="23.42578125" style="12" bestFit="1" customWidth="1"/>
    <col min="3579" max="3579" width="8.85546875" style="12"/>
    <col min="3580" max="3580" width="43.140625" style="12" bestFit="1" customWidth="1"/>
    <col min="3581" max="3581" width="18.7109375" style="12" bestFit="1" customWidth="1"/>
    <col min="3582" max="3582" width="19.85546875" style="12" bestFit="1" customWidth="1"/>
    <col min="3583" max="3583" width="19.42578125" style="12" bestFit="1" customWidth="1"/>
    <col min="3584" max="3831" width="8.85546875" style="12"/>
    <col min="3832" max="3832" width="62.7109375" style="12" bestFit="1" customWidth="1"/>
    <col min="3833" max="3833" width="19" style="12" bestFit="1" customWidth="1"/>
    <col min="3834" max="3834" width="23.42578125" style="12" bestFit="1" customWidth="1"/>
    <col min="3835" max="3835" width="8.85546875" style="12"/>
    <col min="3836" max="3836" width="43.140625" style="12" bestFit="1" customWidth="1"/>
    <col min="3837" max="3837" width="18.7109375" style="12" bestFit="1" customWidth="1"/>
    <col min="3838" max="3838" width="19.85546875" style="12" bestFit="1" customWidth="1"/>
    <col min="3839" max="3839" width="19.42578125" style="12" bestFit="1" customWidth="1"/>
    <col min="3840" max="4087" width="8.85546875" style="12"/>
    <col min="4088" max="4088" width="62.7109375" style="12" bestFit="1" customWidth="1"/>
    <col min="4089" max="4089" width="19" style="12" bestFit="1" customWidth="1"/>
    <col min="4090" max="4090" width="23.42578125" style="12" bestFit="1" customWidth="1"/>
    <col min="4091" max="4091" width="8.85546875" style="12"/>
    <col min="4092" max="4092" width="43.140625" style="12" bestFit="1" customWidth="1"/>
    <col min="4093" max="4093" width="18.7109375" style="12" bestFit="1" customWidth="1"/>
    <col min="4094" max="4094" width="19.85546875" style="12" bestFit="1" customWidth="1"/>
    <col min="4095" max="4095" width="19.42578125" style="12" bestFit="1" customWidth="1"/>
    <col min="4096" max="4343" width="8.85546875" style="12"/>
    <col min="4344" max="4344" width="62.7109375" style="12" bestFit="1" customWidth="1"/>
    <col min="4345" max="4345" width="19" style="12" bestFit="1" customWidth="1"/>
    <col min="4346" max="4346" width="23.42578125" style="12" bestFit="1" customWidth="1"/>
    <col min="4347" max="4347" width="8.85546875" style="12"/>
    <col min="4348" max="4348" width="43.140625" style="12" bestFit="1" customWidth="1"/>
    <col min="4349" max="4349" width="18.7109375" style="12" bestFit="1" customWidth="1"/>
    <col min="4350" max="4350" width="19.85546875" style="12" bestFit="1" customWidth="1"/>
    <col min="4351" max="4351" width="19.42578125" style="12" bestFit="1" customWidth="1"/>
    <col min="4352" max="4599" width="8.85546875" style="12"/>
    <col min="4600" max="4600" width="62.7109375" style="12" bestFit="1" customWidth="1"/>
    <col min="4601" max="4601" width="19" style="12" bestFit="1" customWidth="1"/>
    <col min="4602" max="4602" width="23.42578125" style="12" bestFit="1" customWidth="1"/>
    <col min="4603" max="4603" width="8.85546875" style="12"/>
    <col min="4604" max="4604" width="43.140625" style="12" bestFit="1" customWidth="1"/>
    <col min="4605" max="4605" width="18.7109375" style="12" bestFit="1" customWidth="1"/>
    <col min="4606" max="4606" width="19.85546875" style="12" bestFit="1" customWidth="1"/>
    <col min="4607" max="4607" width="19.42578125" style="12" bestFit="1" customWidth="1"/>
    <col min="4608" max="4855" width="8.85546875" style="12"/>
    <col min="4856" max="4856" width="62.7109375" style="12" bestFit="1" customWidth="1"/>
    <col min="4857" max="4857" width="19" style="12" bestFit="1" customWidth="1"/>
    <col min="4858" max="4858" width="23.42578125" style="12" bestFit="1" customWidth="1"/>
    <col min="4859" max="4859" width="8.85546875" style="12"/>
    <col min="4860" max="4860" width="43.140625" style="12" bestFit="1" customWidth="1"/>
    <col min="4861" max="4861" width="18.7109375" style="12" bestFit="1" customWidth="1"/>
    <col min="4862" max="4862" width="19.85546875" style="12" bestFit="1" customWidth="1"/>
    <col min="4863" max="4863" width="19.42578125" style="12" bestFit="1" customWidth="1"/>
    <col min="4864" max="5111" width="8.85546875" style="12"/>
    <col min="5112" max="5112" width="62.7109375" style="12" bestFit="1" customWidth="1"/>
    <col min="5113" max="5113" width="19" style="12" bestFit="1" customWidth="1"/>
    <col min="5114" max="5114" width="23.42578125" style="12" bestFit="1" customWidth="1"/>
    <col min="5115" max="5115" width="8.85546875" style="12"/>
    <col min="5116" max="5116" width="43.140625" style="12" bestFit="1" customWidth="1"/>
    <col min="5117" max="5117" width="18.7109375" style="12" bestFit="1" customWidth="1"/>
    <col min="5118" max="5118" width="19.85546875" style="12" bestFit="1" customWidth="1"/>
    <col min="5119" max="5119" width="19.42578125" style="12" bestFit="1" customWidth="1"/>
    <col min="5120" max="5367" width="8.85546875" style="12"/>
    <col min="5368" max="5368" width="62.7109375" style="12" bestFit="1" customWidth="1"/>
    <col min="5369" max="5369" width="19" style="12" bestFit="1" customWidth="1"/>
    <col min="5370" max="5370" width="23.42578125" style="12" bestFit="1" customWidth="1"/>
    <col min="5371" max="5371" width="8.85546875" style="12"/>
    <col min="5372" max="5372" width="43.140625" style="12" bestFit="1" customWidth="1"/>
    <col min="5373" max="5373" width="18.7109375" style="12" bestFit="1" customWidth="1"/>
    <col min="5374" max="5374" width="19.85546875" style="12" bestFit="1" customWidth="1"/>
    <col min="5375" max="5375" width="19.42578125" style="12" bestFit="1" customWidth="1"/>
    <col min="5376" max="5623" width="8.85546875" style="12"/>
    <col min="5624" max="5624" width="62.7109375" style="12" bestFit="1" customWidth="1"/>
    <col min="5625" max="5625" width="19" style="12" bestFit="1" customWidth="1"/>
    <col min="5626" max="5626" width="23.42578125" style="12" bestFit="1" customWidth="1"/>
    <col min="5627" max="5627" width="8.85546875" style="12"/>
    <col min="5628" max="5628" width="43.140625" style="12" bestFit="1" customWidth="1"/>
    <col min="5629" max="5629" width="18.7109375" style="12" bestFit="1" customWidth="1"/>
    <col min="5630" max="5630" width="19.85546875" style="12" bestFit="1" customWidth="1"/>
    <col min="5631" max="5631" width="19.42578125" style="12" bestFit="1" customWidth="1"/>
    <col min="5632" max="5879" width="8.85546875" style="12"/>
    <col min="5880" max="5880" width="62.7109375" style="12" bestFit="1" customWidth="1"/>
    <col min="5881" max="5881" width="19" style="12" bestFit="1" customWidth="1"/>
    <col min="5882" max="5882" width="23.42578125" style="12" bestFit="1" customWidth="1"/>
    <col min="5883" max="5883" width="8.85546875" style="12"/>
    <col min="5884" max="5884" width="43.140625" style="12" bestFit="1" customWidth="1"/>
    <col min="5885" max="5885" width="18.7109375" style="12" bestFit="1" customWidth="1"/>
    <col min="5886" max="5886" width="19.85546875" style="12" bestFit="1" customWidth="1"/>
    <col min="5887" max="5887" width="19.42578125" style="12" bestFit="1" customWidth="1"/>
    <col min="5888" max="6135" width="8.85546875" style="12"/>
    <col min="6136" max="6136" width="62.7109375" style="12" bestFit="1" customWidth="1"/>
    <col min="6137" max="6137" width="19" style="12" bestFit="1" customWidth="1"/>
    <col min="6138" max="6138" width="23.42578125" style="12" bestFit="1" customWidth="1"/>
    <col min="6139" max="6139" width="8.85546875" style="12"/>
    <col min="6140" max="6140" width="43.140625" style="12" bestFit="1" customWidth="1"/>
    <col min="6141" max="6141" width="18.7109375" style="12" bestFit="1" customWidth="1"/>
    <col min="6142" max="6142" width="19.85546875" style="12" bestFit="1" customWidth="1"/>
    <col min="6143" max="6143" width="19.42578125" style="12" bestFit="1" customWidth="1"/>
    <col min="6144" max="6391" width="8.85546875" style="12"/>
    <col min="6392" max="6392" width="62.7109375" style="12" bestFit="1" customWidth="1"/>
    <col min="6393" max="6393" width="19" style="12" bestFit="1" customWidth="1"/>
    <col min="6394" max="6394" width="23.42578125" style="12" bestFit="1" customWidth="1"/>
    <col min="6395" max="6395" width="8.85546875" style="12"/>
    <col min="6396" max="6396" width="43.140625" style="12" bestFit="1" customWidth="1"/>
    <col min="6397" max="6397" width="18.7109375" style="12" bestFit="1" customWidth="1"/>
    <col min="6398" max="6398" width="19.85546875" style="12" bestFit="1" customWidth="1"/>
    <col min="6399" max="6399" width="19.42578125" style="12" bestFit="1" customWidth="1"/>
    <col min="6400" max="6647" width="8.85546875" style="12"/>
    <col min="6648" max="6648" width="62.7109375" style="12" bestFit="1" customWidth="1"/>
    <col min="6649" max="6649" width="19" style="12" bestFit="1" customWidth="1"/>
    <col min="6650" max="6650" width="23.42578125" style="12" bestFit="1" customWidth="1"/>
    <col min="6651" max="6651" width="8.85546875" style="12"/>
    <col min="6652" max="6652" width="43.140625" style="12" bestFit="1" customWidth="1"/>
    <col min="6653" max="6653" width="18.7109375" style="12" bestFit="1" customWidth="1"/>
    <col min="6654" max="6654" width="19.85546875" style="12" bestFit="1" customWidth="1"/>
    <col min="6655" max="6655" width="19.42578125" style="12" bestFit="1" customWidth="1"/>
    <col min="6656" max="6903" width="8.85546875" style="12"/>
    <col min="6904" max="6904" width="62.7109375" style="12" bestFit="1" customWidth="1"/>
    <col min="6905" max="6905" width="19" style="12" bestFit="1" customWidth="1"/>
    <col min="6906" max="6906" width="23.42578125" style="12" bestFit="1" customWidth="1"/>
    <col min="6907" max="6907" width="8.85546875" style="12"/>
    <col min="6908" max="6908" width="43.140625" style="12" bestFit="1" customWidth="1"/>
    <col min="6909" max="6909" width="18.7109375" style="12" bestFit="1" customWidth="1"/>
    <col min="6910" max="6910" width="19.85546875" style="12" bestFit="1" customWidth="1"/>
    <col min="6911" max="6911" width="19.42578125" style="12" bestFit="1" customWidth="1"/>
    <col min="6912" max="7159" width="8.85546875" style="12"/>
    <col min="7160" max="7160" width="62.7109375" style="12" bestFit="1" customWidth="1"/>
    <col min="7161" max="7161" width="19" style="12" bestFit="1" customWidth="1"/>
    <col min="7162" max="7162" width="23.42578125" style="12" bestFit="1" customWidth="1"/>
    <col min="7163" max="7163" width="8.85546875" style="12"/>
    <col min="7164" max="7164" width="43.140625" style="12" bestFit="1" customWidth="1"/>
    <col min="7165" max="7165" width="18.7109375" style="12" bestFit="1" customWidth="1"/>
    <col min="7166" max="7166" width="19.85546875" style="12" bestFit="1" customWidth="1"/>
    <col min="7167" max="7167" width="19.42578125" style="12" bestFit="1" customWidth="1"/>
    <col min="7168" max="7415" width="8.85546875" style="12"/>
    <col min="7416" max="7416" width="62.7109375" style="12" bestFit="1" customWidth="1"/>
    <col min="7417" max="7417" width="19" style="12" bestFit="1" customWidth="1"/>
    <col min="7418" max="7418" width="23.42578125" style="12" bestFit="1" customWidth="1"/>
    <col min="7419" max="7419" width="8.85546875" style="12"/>
    <col min="7420" max="7420" width="43.140625" style="12" bestFit="1" customWidth="1"/>
    <col min="7421" max="7421" width="18.7109375" style="12" bestFit="1" customWidth="1"/>
    <col min="7422" max="7422" width="19.85546875" style="12" bestFit="1" customWidth="1"/>
    <col min="7423" max="7423" width="19.42578125" style="12" bestFit="1" customWidth="1"/>
    <col min="7424" max="7671" width="8.85546875" style="12"/>
    <col min="7672" max="7672" width="62.7109375" style="12" bestFit="1" customWidth="1"/>
    <col min="7673" max="7673" width="19" style="12" bestFit="1" customWidth="1"/>
    <col min="7674" max="7674" width="23.42578125" style="12" bestFit="1" customWidth="1"/>
    <col min="7675" max="7675" width="8.85546875" style="12"/>
    <col min="7676" max="7676" width="43.140625" style="12" bestFit="1" customWidth="1"/>
    <col min="7677" max="7677" width="18.7109375" style="12" bestFit="1" customWidth="1"/>
    <col min="7678" max="7678" width="19.85546875" style="12" bestFit="1" customWidth="1"/>
    <col min="7679" max="7679" width="19.42578125" style="12" bestFit="1" customWidth="1"/>
    <col min="7680" max="7927" width="8.85546875" style="12"/>
    <col min="7928" max="7928" width="62.7109375" style="12" bestFit="1" customWidth="1"/>
    <col min="7929" max="7929" width="19" style="12" bestFit="1" customWidth="1"/>
    <col min="7930" max="7930" width="23.42578125" style="12" bestFit="1" customWidth="1"/>
    <col min="7931" max="7931" width="8.85546875" style="12"/>
    <col min="7932" max="7932" width="43.140625" style="12" bestFit="1" customWidth="1"/>
    <col min="7933" max="7933" width="18.7109375" style="12" bestFit="1" customWidth="1"/>
    <col min="7934" max="7934" width="19.85546875" style="12" bestFit="1" customWidth="1"/>
    <col min="7935" max="7935" width="19.42578125" style="12" bestFit="1" customWidth="1"/>
    <col min="7936" max="8183" width="8.85546875" style="12"/>
    <col min="8184" max="8184" width="62.7109375" style="12" bestFit="1" customWidth="1"/>
    <col min="8185" max="8185" width="19" style="12" bestFit="1" customWidth="1"/>
    <col min="8186" max="8186" width="23.42578125" style="12" bestFit="1" customWidth="1"/>
    <col min="8187" max="8187" width="8.85546875" style="12"/>
    <col min="8188" max="8188" width="43.140625" style="12" bestFit="1" customWidth="1"/>
    <col min="8189" max="8189" width="18.7109375" style="12" bestFit="1" customWidth="1"/>
    <col min="8190" max="8190" width="19.85546875" style="12" bestFit="1" customWidth="1"/>
    <col min="8191" max="8191" width="19.42578125" style="12" bestFit="1" customWidth="1"/>
    <col min="8192" max="8439" width="8.85546875" style="12"/>
    <col min="8440" max="8440" width="62.7109375" style="12" bestFit="1" customWidth="1"/>
    <col min="8441" max="8441" width="19" style="12" bestFit="1" customWidth="1"/>
    <col min="8442" max="8442" width="23.42578125" style="12" bestFit="1" customWidth="1"/>
    <col min="8443" max="8443" width="8.85546875" style="12"/>
    <col min="8444" max="8444" width="43.140625" style="12" bestFit="1" customWidth="1"/>
    <col min="8445" max="8445" width="18.7109375" style="12" bestFit="1" customWidth="1"/>
    <col min="8446" max="8446" width="19.85546875" style="12" bestFit="1" customWidth="1"/>
    <col min="8447" max="8447" width="19.42578125" style="12" bestFit="1" customWidth="1"/>
    <col min="8448" max="8695" width="8.85546875" style="12"/>
    <col min="8696" max="8696" width="62.7109375" style="12" bestFit="1" customWidth="1"/>
    <col min="8697" max="8697" width="19" style="12" bestFit="1" customWidth="1"/>
    <col min="8698" max="8698" width="23.42578125" style="12" bestFit="1" customWidth="1"/>
    <col min="8699" max="8699" width="8.85546875" style="12"/>
    <col min="8700" max="8700" width="43.140625" style="12" bestFit="1" customWidth="1"/>
    <col min="8701" max="8701" width="18.7109375" style="12" bestFit="1" customWidth="1"/>
    <col min="8702" max="8702" width="19.85546875" style="12" bestFit="1" customWidth="1"/>
    <col min="8703" max="8703" width="19.42578125" style="12" bestFit="1" customWidth="1"/>
    <col min="8704" max="8951" width="8.85546875" style="12"/>
    <col min="8952" max="8952" width="62.7109375" style="12" bestFit="1" customWidth="1"/>
    <col min="8953" max="8953" width="19" style="12" bestFit="1" customWidth="1"/>
    <col min="8954" max="8954" width="23.42578125" style="12" bestFit="1" customWidth="1"/>
    <col min="8955" max="8955" width="8.85546875" style="12"/>
    <col min="8956" max="8956" width="43.140625" style="12" bestFit="1" customWidth="1"/>
    <col min="8957" max="8957" width="18.7109375" style="12" bestFit="1" customWidth="1"/>
    <col min="8958" max="8958" width="19.85546875" style="12" bestFit="1" customWidth="1"/>
    <col min="8959" max="8959" width="19.42578125" style="12" bestFit="1" customWidth="1"/>
    <col min="8960" max="9207" width="8.85546875" style="12"/>
    <col min="9208" max="9208" width="62.7109375" style="12" bestFit="1" customWidth="1"/>
    <col min="9209" max="9209" width="19" style="12" bestFit="1" customWidth="1"/>
    <col min="9210" max="9210" width="23.42578125" style="12" bestFit="1" customWidth="1"/>
    <col min="9211" max="9211" width="8.85546875" style="12"/>
    <col min="9212" max="9212" width="43.140625" style="12" bestFit="1" customWidth="1"/>
    <col min="9213" max="9213" width="18.7109375" style="12" bestFit="1" customWidth="1"/>
    <col min="9214" max="9214" width="19.85546875" style="12" bestFit="1" customWidth="1"/>
    <col min="9215" max="9215" width="19.42578125" style="12" bestFit="1" customWidth="1"/>
    <col min="9216" max="9463" width="8.85546875" style="12"/>
    <col min="9464" max="9464" width="62.7109375" style="12" bestFit="1" customWidth="1"/>
    <col min="9465" max="9465" width="19" style="12" bestFit="1" customWidth="1"/>
    <col min="9466" max="9466" width="23.42578125" style="12" bestFit="1" customWidth="1"/>
    <col min="9467" max="9467" width="8.85546875" style="12"/>
    <col min="9468" max="9468" width="43.140625" style="12" bestFit="1" customWidth="1"/>
    <col min="9469" max="9469" width="18.7109375" style="12" bestFit="1" customWidth="1"/>
    <col min="9470" max="9470" width="19.85546875" style="12" bestFit="1" customWidth="1"/>
    <col min="9471" max="9471" width="19.42578125" style="12" bestFit="1" customWidth="1"/>
    <col min="9472" max="9719" width="8.85546875" style="12"/>
    <col min="9720" max="9720" width="62.7109375" style="12" bestFit="1" customWidth="1"/>
    <col min="9721" max="9721" width="19" style="12" bestFit="1" customWidth="1"/>
    <col min="9722" max="9722" width="23.42578125" style="12" bestFit="1" customWidth="1"/>
    <col min="9723" max="9723" width="8.85546875" style="12"/>
    <col min="9724" max="9724" width="43.140625" style="12" bestFit="1" customWidth="1"/>
    <col min="9725" max="9725" width="18.7109375" style="12" bestFit="1" customWidth="1"/>
    <col min="9726" max="9726" width="19.85546875" style="12" bestFit="1" customWidth="1"/>
    <col min="9727" max="9727" width="19.42578125" style="12" bestFit="1" customWidth="1"/>
    <col min="9728" max="9975" width="8.85546875" style="12"/>
    <col min="9976" max="9976" width="62.7109375" style="12" bestFit="1" customWidth="1"/>
    <col min="9977" max="9977" width="19" style="12" bestFit="1" customWidth="1"/>
    <col min="9978" max="9978" width="23.42578125" style="12" bestFit="1" customWidth="1"/>
    <col min="9979" max="9979" width="8.85546875" style="12"/>
    <col min="9980" max="9980" width="43.140625" style="12" bestFit="1" customWidth="1"/>
    <col min="9981" max="9981" width="18.7109375" style="12" bestFit="1" customWidth="1"/>
    <col min="9982" max="9982" width="19.85546875" style="12" bestFit="1" customWidth="1"/>
    <col min="9983" max="9983" width="19.42578125" style="12" bestFit="1" customWidth="1"/>
    <col min="9984" max="10231" width="8.85546875" style="12"/>
    <col min="10232" max="10232" width="62.7109375" style="12" bestFit="1" customWidth="1"/>
    <col min="10233" max="10233" width="19" style="12" bestFit="1" customWidth="1"/>
    <col min="10234" max="10234" width="23.42578125" style="12" bestFit="1" customWidth="1"/>
    <col min="10235" max="10235" width="8.85546875" style="12"/>
    <col min="10236" max="10236" width="43.140625" style="12" bestFit="1" customWidth="1"/>
    <col min="10237" max="10237" width="18.7109375" style="12" bestFit="1" customWidth="1"/>
    <col min="10238" max="10238" width="19.85546875" style="12" bestFit="1" customWidth="1"/>
    <col min="10239" max="10239" width="19.42578125" style="12" bestFit="1" customWidth="1"/>
    <col min="10240" max="10487" width="8.85546875" style="12"/>
    <col min="10488" max="10488" width="62.7109375" style="12" bestFit="1" customWidth="1"/>
    <col min="10489" max="10489" width="19" style="12" bestFit="1" customWidth="1"/>
    <col min="10490" max="10490" width="23.42578125" style="12" bestFit="1" customWidth="1"/>
    <col min="10491" max="10491" width="8.85546875" style="12"/>
    <col min="10492" max="10492" width="43.140625" style="12" bestFit="1" customWidth="1"/>
    <col min="10493" max="10493" width="18.7109375" style="12" bestFit="1" customWidth="1"/>
    <col min="10494" max="10494" width="19.85546875" style="12" bestFit="1" customWidth="1"/>
    <col min="10495" max="10495" width="19.42578125" style="12" bestFit="1" customWidth="1"/>
    <col min="10496" max="10743" width="8.85546875" style="12"/>
    <col min="10744" max="10744" width="62.7109375" style="12" bestFit="1" customWidth="1"/>
    <col min="10745" max="10745" width="19" style="12" bestFit="1" customWidth="1"/>
    <col min="10746" max="10746" width="23.42578125" style="12" bestFit="1" customWidth="1"/>
    <col min="10747" max="10747" width="8.85546875" style="12"/>
    <col min="10748" max="10748" width="43.140625" style="12" bestFit="1" customWidth="1"/>
    <col min="10749" max="10749" width="18.7109375" style="12" bestFit="1" customWidth="1"/>
    <col min="10750" max="10750" width="19.85546875" style="12" bestFit="1" customWidth="1"/>
    <col min="10751" max="10751" width="19.42578125" style="12" bestFit="1" customWidth="1"/>
    <col min="10752" max="10999" width="8.85546875" style="12"/>
    <col min="11000" max="11000" width="62.7109375" style="12" bestFit="1" customWidth="1"/>
    <col min="11001" max="11001" width="19" style="12" bestFit="1" customWidth="1"/>
    <col min="11002" max="11002" width="23.42578125" style="12" bestFit="1" customWidth="1"/>
    <col min="11003" max="11003" width="8.85546875" style="12"/>
    <col min="11004" max="11004" width="43.140625" style="12" bestFit="1" customWidth="1"/>
    <col min="11005" max="11005" width="18.7109375" style="12" bestFit="1" customWidth="1"/>
    <col min="11006" max="11006" width="19.85546875" style="12" bestFit="1" customWidth="1"/>
    <col min="11007" max="11007" width="19.42578125" style="12" bestFit="1" customWidth="1"/>
    <col min="11008" max="11255" width="8.85546875" style="12"/>
    <col min="11256" max="11256" width="62.7109375" style="12" bestFit="1" customWidth="1"/>
    <col min="11257" max="11257" width="19" style="12" bestFit="1" customWidth="1"/>
    <col min="11258" max="11258" width="23.42578125" style="12" bestFit="1" customWidth="1"/>
    <col min="11259" max="11259" width="8.85546875" style="12"/>
    <col min="11260" max="11260" width="43.140625" style="12" bestFit="1" customWidth="1"/>
    <col min="11261" max="11261" width="18.7109375" style="12" bestFit="1" customWidth="1"/>
    <col min="11262" max="11262" width="19.85546875" style="12" bestFit="1" customWidth="1"/>
    <col min="11263" max="11263" width="19.42578125" style="12" bestFit="1" customWidth="1"/>
    <col min="11264" max="11511" width="8.85546875" style="12"/>
    <col min="11512" max="11512" width="62.7109375" style="12" bestFit="1" customWidth="1"/>
    <col min="11513" max="11513" width="19" style="12" bestFit="1" customWidth="1"/>
    <col min="11514" max="11514" width="23.42578125" style="12" bestFit="1" customWidth="1"/>
    <col min="11515" max="11515" width="8.85546875" style="12"/>
    <col min="11516" max="11516" width="43.140625" style="12" bestFit="1" customWidth="1"/>
    <col min="11517" max="11517" width="18.7109375" style="12" bestFit="1" customWidth="1"/>
    <col min="11518" max="11518" width="19.85546875" style="12" bestFit="1" customWidth="1"/>
    <col min="11519" max="11519" width="19.42578125" style="12" bestFit="1" customWidth="1"/>
    <col min="11520" max="11767" width="8.85546875" style="12"/>
    <col min="11768" max="11768" width="62.7109375" style="12" bestFit="1" customWidth="1"/>
    <col min="11769" max="11769" width="19" style="12" bestFit="1" customWidth="1"/>
    <col min="11770" max="11770" width="23.42578125" style="12" bestFit="1" customWidth="1"/>
    <col min="11771" max="11771" width="8.85546875" style="12"/>
    <col min="11772" max="11772" width="43.140625" style="12" bestFit="1" customWidth="1"/>
    <col min="11773" max="11773" width="18.7109375" style="12" bestFit="1" customWidth="1"/>
    <col min="11774" max="11774" width="19.85546875" style="12" bestFit="1" customWidth="1"/>
    <col min="11775" max="11775" width="19.42578125" style="12" bestFit="1" customWidth="1"/>
    <col min="11776" max="12023" width="8.85546875" style="12"/>
    <col min="12024" max="12024" width="62.7109375" style="12" bestFit="1" customWidth="1"/>
    <col min="12025" max="12025" width="19" style="12" bestFit="1" customWidth="1"/>
    <col min="12026" max="12026" width="23.42578125" style="12" bestFit="1" customWidth="1"/>
    <col min="12027" max="12027" width="8.85546875" style="12"/>
    <col min="12028" max="12028" width="43.140625" style="12" bestFit="1" customWidth="1"/>
    <col min="12029" max="12029" width="18.7109375" style="12" bestFit="1" customWidth="1"/>
    <col min="12030" max="12030" width="19.85546875" style="12" bestFit="1" customWidth="1"/>
    <col min="12031" max="12031" width="19.42578125" style="12" bestFit="1" customWidth="1"/>
    <col min="12032" max="12279" width="8.85546875" style="12"/>
    <col min="12280" max="12280" width="62.7109375" style="12" bestFit="1" customWidth="1"/>
    <col min="12281" max="12281" width="19" style="12" bestFit="1" customWidth="1"/>
    <col min="12282" max="12282" width="23.42578125" style="12" bestFit="1" customWidth="1"/>
    <col min="12283" max="12283" width="8.85546875" style="12"/>
    <col min="12284" max="12284" width="43.140625" style="12" bestFit="1" customWidth="1"/>
    <col min="12285" max="12285" width="18.7109375" style="12" bestFit="1" customWidth="1"/>
    <col min="12286" max="12286" width="19.85546875" style="12" bestFit="1" customWidth="1"/>
    <col min="12287" max="12287" width="19.42578125" style="12" bestFit="1" customWidth="1"/>
    <col min="12288" max="12535" width="8.85546875" style="12"/>
    <col min="12536" max="12536" width="62.7109375" style="12" bestFit="1" customWidth="1"/>
    <col min="12537" max="12537" width="19" style="12" bestFit="1" customWidth="1"/>
    <col min="12538" max="12538" width="23.42578125" style="12" bestFit="1" customWidth="1"/>
    <col min="12539" max="12539" width="8.85546875" style="12"/>
    <col min="12540" max="12540" width="43.140625" style="12" bestFit="1" customWidth="1"/>
    <col min="12541" max="12541" width="18.7109375" style="12" bestFit="1" customWidth="1"/>
    <col min="12542" max="12542" width="19.85546875" style="12" bestFit="1" customWidth="1"/>
    <col min="12543" max="12543" width="19.42578125" style="12" bestFit="1" customWidth="1"/>
    <col min="12544" max="12791" width="8.85546875" style="12"/>
    <col min="12792" max="12792" width="62.7109375" style="12" bestFit="1" customWidth="1"/>
    <col min="12793" max="12793" width="19" style="12" bestFit="1" customWidth="1"/>
    <col min="12794" max="12794" width="23.42578125" style="12" bestFit="1" customWidth="1"/>
    <col min="12795" max="12795" width="8.85546875" style="12"/>
    <col min="12796" max="12796" width="43.140625" style="12" bestFit="1" customWidth="1"/>
    <col min="12797" max="12797" width="18.7109375" style="12" bestFit="1" customWidth="1"/>
    <col min="12798" max="12798" width="19.85546875" style="12" bestFit="1" customWidth="1"/>
    <col min="12799" max="12799" width="19.42578125" style="12" bestFit="1" customWidth="1"/>
    <col min="12800" max="13047" width="8.85546875" style="12"/>
    <col min="13048" max="13048" width="62.7109375" style="12" bestFit="1" customWidth="1"/>
    <col min="13049" max="13049" width="19" style="12" bestFit="1" customWidth="1"/>
    <col min="13050" max="13050" width="23.42578125" style="12" bestFit="1" customWidth="1"/>
    <col min="13051" max="13051" width="8.85546875" style="12"/>
    <col min="13052" max="13052" width="43.140625" style="12" bestFit="1" customWidth="1"/>
    <col min="13053" max="13053" width="18.7109375" style="12" bestFit="1" customWidth="1"/>
    <col min="13054" max="13054" width="19.85546875" style="12" bestFit="1" customWidth="1"/>
    <col min="13055" max="13055" width="19.42578125" style="12" bestFit="1" customWidth="1"/>
    <col min="13056" max="13303" width="8.85546875" style="12"/>
    <col min="13304" max="13304" width="62.7109375" style="12" bestFit="1" customWidth="1"/>
    <col min="13305" max="13305" width="19" style="12" bestFit="1" customWidth="1"/>
    <col min="13306" max="13306" width="23.42578125" style="12" bestFit="1" customWidth="1"/>
    <col min="13307" max="13307" width="8.85546875" style="12"/>
    <col min="13308" max="13308" width="43.140625" style="12" bestFit="1" customWidth="1"/>
    <col min="13309" max="13309" width="18.7109375" style="12" bestFit="1" customWidth="1"/>
    <col min="13310" max="13310" width="19.85546875" style="12" bestFit="1" customWidth="1"/>
    <col min="13311" max="13311" width="19.42578125" style="12" bestFit="1" customWidth="1"/>
    <col min="13312" max="13559" width="8.85546875" style="12"/>
    <col min="13560" max="13560" width="62.7109375" style="12" bestFit="1" customWidth="1"/>
    <col min="13561" max="13561" width="19" style="12" bestFit="1" customWidth="1"/>
    <col min="13562" max="13562" width="23.42578125" style="12" bestFit="1" customWidth="1"/>
    <col min="13563" max="13563" width="8.85546875" style="12"/>
    <col min="13564" max="13564" width="43.140625" style="12" bestFit="1" customWidth="1"/>
    <col min="13565" max="13565" width="18.7109375" style="12" bestFit="1" customWidth="1"/>
    <col min="13566" max="13566" width="19.85546875" style="12" bestFit="1" customWidth="1"/>
    <col min="13567" max="13567" width="19.42578125" style="12" bestFit="1" customWidth="1"/>
    <col min="13568" max="13815" width="8.85546875" style="12"/>
    <col min="13816" max="13816" width="62.7109375" style="12" bestFit="1" customWidth="1"/>
    <col min="13817" max="13817" width="19" style="12" bestFit="1" customWidth="1"/>
    <col min="13818" max="13818" width="23.42578125" style="12" bestFit="1" customWidth="1"/>
    <col min="13819" max="13819" width="8.85546875" style="12"/>
    <col min="13820" max="13820" width="43.140625" style="12" bestFit="1" customWidth="1"/>
    <col min="13821" max="13821" width="18.7109375" style="12" bestFit="1" customWidth="1"/>
    <col min="13822" max="13822" width="19.85546875" style="12" bestFit="1" customWidth="1"/>
    <col min="13823" max="13823" width="19.42578125" style="12" bestFit="1" customWidth="1"/>
    <col min="13824" max="14071" width="8.85546875" style="12"/>
    <col min="14072" max="14072" width="62.7109375" style="12" bestFit="1" customWidth="1"/>
    <col min="14073" max="14073" width="19" style="12" bestFit="1" customWidth="1"/>
    <col min="14074" max="14074" width="23.42578125" style="12" bestFit="1" customWidth="1"/>
    <col min="14075" max="14075" width="8.85546875" style="12"/>
    <col min="14076" max="14076" width="43.140625" style="12" bestFit="1" customWidth="1"/>
    <col min="14077" max="14077" width="18.7109375" style="12" bestFit="1" customWidth="1"/>
    <col min="14078" max="14078" width="19.85546875" style="12" bestFit="1" customWidth="1"/>
    <col min="14079" max="14079" width="19.42578125" style="12" bestFit="1" customWidth="1"/>
    <col min="14080" max="14327" width="8.85546875" style="12"/>
    <col min="14328" max="14328" width="62.7109375" style="12" bestFit="1" customWidth="1"/>
    <col min="14329" max="14329" width="19" style="12" bestFit="1" customWidth="1"/>
    <col min="14330" max="14330" width="23.42578125" style="12" bestFit="1" customWidth="1"/>
    <col min="14331" max="14331" width="8.85546875" style="12"/>
    <col min="14332" max="14332" width="43.140625" style="12" bestFit="1" customWidth="1"/>
    <col min="14333" max="14333" width="18.7109375" style="12" bestFit="1" customWidth="1"/>
    <col min="14334" max="14334" width="19.85546875" style="12" bestFit="1" customWidth="1"/>
    <col min="14335" max="14335" width="19.42578125" style="12" bestFit="1" customWidth="1"/>
    <col min="14336" max="14583" width="8.85546875" style="12"/>
    <col min="14584" max="14584" width="62.7109375" style="12" bestFit="1" customWidth="1"/>
    <col min="14585" max="14585" width="19" style="12" bestFit="1" customWidth="1"/>
    <col min="14586" max="14586" width="23.42578125" style="12" bestFit="1" customWidth="1"/>
    <col min="14587" max="14587" width="8.85546875" style="12"/>
    <col min="14588" max="14588" width="43.140625" style="12" bestFit="1" customWidth="1"/>
    <col min="14589" max="14589" width="18.7109375" style="12" bestFit="1" customWidth="1"/>
    <col min="14590" max="14590" width="19.85546875" style="12" bestFit="1" customWidth="1"/>
    <col min="14591" max="14591" width="19.42578125" style="12" bestFit="1" customWidth="1"/>
    <col min="14592" max="14839" width="8.85546875" style="12"/>
    <col min="14840" max="14840" width="62.7109375" style="12" bestFit="1" customWidth="1"/>
    <col min="14841" max="14841" width="19" style="12" bestFit="1" customWidth="1"/>
    <col min="14842" max="14842" width="23.42578125" style="12" bestFit="1" customWidth="1"/>
    <col min="14843" max="14843" width="8.85546875" style="12"/>
    <col min="14844" max="14844" width="43.140625" style="12" bestFit="1" customWidth="1"/>
    <col min="14845" max="14845" width="18.7109375" style="12" bestFit="1" customWidth="1"/>
    <col min="14846" max="14846" width="19.85546875" style="12" bestFit="1" customWidth="1"/>
    <col min="14847" max="14847" width="19.42578125" style="12" bestFit="1" customWidth="1"/>
    <col min="14848" max="15095" width="8.85546875" style="12"/>
    <col min="15096" max="15096" width="62.7109375" style="12" bestFit="1" customWidth="1"/>
    <col min="15097" max="15097" width="19" style="12" bestFit="1" customWidth="1"/>
    <col min="15098" max="15098" width="23.42578125" style="12" bestFit="1" customWidth="1"/>
    <col min="15099" max="15099" width="8.85546875" style="12"/>
    <col min="15100" max="15100" width="43.140625" style="12" bestFit="1" customWidth="1"/>
    <col min="15101" max="15101" width="18.7109375" style="12" bestFit="1" customWidth="1"/>
    <col min="15102" max="15102" width="19.85546875" style="12" bestFit="1" customWidth="1"/>
    <col min="15103" max="15103" width="19.42578125" style="12" bestFit="1" customWidth="1"/>
    <col min="15104" max="15351" width="8.85546875" style="12"/>
    <col min="15352" max="15352" width="62.7109375" style="12" bestFit="1" customWidth="1"/>
    <col min="15353" max="15353" width="19" style="12" bestFit="1" customWidth="1"/>
    <col min="15354" max="15354" width="23.42578125" style="12" bestFit="1" customWidth="1"/>
    <col min="15355" max="15355" width="8.85546875" style="12"/>
    <col min="15356" max="15356" width="43.140625" style="12" bestFit="1" customWidth="1"/>
    <col min="15357" max="15357" width="18.7109375" style="12" bestFit="1" customWidth="1"/>
    <col min="15358" max="15358" width="19.85546875" style="12" bestFit="1" customWidth="1"/>
    <col min="15359" max="15359" width="19.42578125" style="12" bestFit="1" customWidth="1"/>
    <col min="15360" max="15607" width="8.85546875" style="12"/>
    <col min="15608" max="15608" width="62.7109375" style="12" bestFit="1" customWidth="1"/>
    <col min="15609" max="15609" width="19" style="12" bestFit="1" customWidth="1"/>
    <col min="15610" max="15610" width="23.42578125" style="12" bestFit="1" customWidth="1"/>
    <col min="15611" max="15611" width="8.85546875" style="12"/>
    <col min="15612" max="15612" width="43.140625" style="12" bestFit="1" customWidth="1"/>
    <col min="15613" max="15613" width="18.7109375" style="12" bestFit="1" customWidth="1"/>
    <col min="15614" max="15614" width="19.85546875" style="12" bestFit="1" customWidth="1"/>
    <col min="15615" max="15615" width="19.42578125" style="12" bestFit="1" customWidth="1"/>
    <col min="15616" max="15863" width="8.85546875" style="12"/>
    <col min="15864" max="15864" width="62.7109375" style="12" bestFit="1" customWidth="1"/>
    <col min="15865" max="15865" width="19" style="12" bestFit="1" customWidth="1"/>
    <col min="15866" max="15866" width="23.42578125" style="12" bestFit="1" customWidth="1"/>
    <col min="15867" max="15867" width="8.85546875" style="12"/>
    <col min="15868" max="15868" width="43.140625" style="12" bestFit="1" customWidth="1"/>
    <col min="15869" max="15869" width="18.7109375" style="12" bestFit="1" customWidth="1"/>
    <col min="15870" max="15870" width="19.85546875" style="12" bestFit="1" customWidth="1"/>
    <col min="15871" max="15871" width="19.42578125" style="12" bestFit="1" customWidth="1"/>
    <col min="15872" max="16119" width="8.85546875" style="12"/>
    <col min="16120" max="16120" width="62.7109375" style="12" bestFit="1" customWidth="1"/>
    <col min="16121" max="16121" width="19" style="12" bestFit="1" customWidth="1"/>
    <col min="16122" max="16122" width="23.42578125" style="12" bestFit="1" customWidth="1"/>
    <col min="16123" max="16123" width="8.85546875" style="12"/>
    <col min="16124" max="16124" width="43.140625" style="12" bestFit="1" customWidth="1"/>
    <col min="16125" max="16125" width="18.7109375" style="12" bestFit="1" customWidth="1"/>
    <col min="16126" max="16126" width="19.85546875" style="12" bestFit="1" customWidth="1"/>
    <col min="16127" max="16127" width="19.42578125" style="12" bestFit="1" customWidth="1"/>
    <col min="16128" max="16379" width="8.85546875" style="12"/>
    <col min="16380" max="16384" width="9.140625" style="12" customWidth="1"/>
  </cols>
  <sheetData>
    <row r="1" spans="2:8">
      <c r="B1" s="1324" t="str">
        <f>'2SFP'!B1</f>
        <v>BHUTAN TELECOM LIMITED</v>
      </c>
      <c r="C1" s="1325"/>
      <c r="D1" s="1325"/>
      <c r="E1" s="1325"/>
      <c r="F1" s="1326"/>
      <c r="G1" s="24"/>
    </row>
    <row r="2" spans="2:8">
      <c r="B2" s="1333" t="s">
        <v>1050</v>
      </c>
      <c r="C2" s="1334"/>
      <c r="D2" s="1334"/>
      <c r="E2" s="1334"/>
      <c r="F2" s="1335"/>
    </row>
    <row r="3" spans="2:8">
      <c r="B3" s="1347" t="s">
        <v>64</v>
      </c>
      <c r="C3" s="1348"/>
      <c r="D3" s="1348"/>
      <c r="E3" s="1348"/>
      <c r="F3" s="1349"/>
    </row>
    <row r="4" spans="2:8">
      <c r="B4" s="310" t="s">
        <v>21</v>
      </c>
      <c r="C4" s="1345">
        <v>2019</v>
      </c>
      <c r="D4" s="1346"/>
      <c r="E4" s="1345">
        <v>2018</v>
      </c>
      <c r="F4" s="1345"/>
    </row>
    <row r="5" spans="2:8">
      <c r="B5" s="311" t="s">
        <v>249</v>
      </c>
      <c r="C5" s="1233"/>
      <c r="D5" s="1234"/>
      <c r="E5" s="1235"/>
      <c r="F5" s="1236"/>
      <c r="H5" s="202"/>
    </row>
    <row r="6" spans="2:8" s="14" customFormat="1">
      <c r="B6" s="312" t="s">
        <v>60</v>
      </c>
      <c r="C6" s="942">
        <f>'3SOCI'!D23</f>
        <v>322935635.70000005</v>
      </c>
      <c r="D6" s="952"/>
      <c r="E6" s="942">
        <v>1365425825.3961716</v>
      </c>
      <c r="F6" s="943"/>
      <c r="G6" s="13"/>
      <c r="H6" s="18"/>
    </row>
    <row r="7" spans="2:8" s="14" customFormat="1">
      <c r="B7" s="313" t="s">
        <v>192</v>
      </c>
      <c r="C7" s="942">
        <f>('2SFP'!D50-'2SFP'!E50)+('2SFP'!D43-'2SFP'!E43)+('2SFP'!D42-'2SFP'!E42)-'3SOCI'!D28</f>
        <v>0</v>
      </c>
      <c r="D7" s="952"/>
      <c r="E7" s="942">
        <v>19307887.728851438</v>
      </c>
      <c r="F7" s="943"/>
      <c r="G7" s="18"/>
      <c r="H7" s="13"/>
    </row>
    <row r="8" spans="2:8" s="15" customFormat="1">
      <c r="B8" s="314" t="s">
        <v>80</v>
      </c>
      <c r="C8" s="942"/>
      <c r="D8" s="952"/>
      <c r="E8" s="942">
        <v>-1055927.49</v>
      </c>
      <c r="F8" s="943"/>
      <c r="G8" s="203"/>
      <c r="H8" s="23"/>
    </row>
    <row r="9" spans="2:8" s="15" customFormat="1">
      <c r="B9" s="314" t="s">
        <v>1057</v>
      </c>
      <c r="C9" s="942"/>
      <c r="D9" s="952"/>
      <c r="E9" s="942">
        <v>2514248.2999999998</v>
      </c>
      <c r="F9" s="943"/>
      <c r="G9" s="203"/>
      <c r="H9" s="23"/>
    </row>
    <row r="10" spans="2:8" s="14" customFormat="1">
      <c r="B10" s="314" t="s">
        <v>78</v>
      </c>
      <c r="C10" s="942"/>
      <c r="D10" s="952"/>
      <c r="E10" s="942"/>
      <c r="F10" s="943"/>
    </row>
    <row r="11" spans="2:8" s="14" customFormat="1">
      <c r="B11" s="315" t="s">
        <v>220</v>
      </c>
      <c r="C11" s="1237"/>
      <c r="D11" s="951">
        <f>SUM(C6:C10)</f>
        <v>322935635.70000005</v>
      </c>
      <c r="E11" s="944"/>
      <c r="F11" s="945">
        <f>SUM(E6:E10)</f>
        <v>1386192033.9350228</v>
      </c>
    </row>
    <row r="12" spans="2:8" s="14" customFormat="1">
      <c r="B12" s="316" t="s">
        <v>65</v>
      </c>
      <c r="C12" s="1237"/>
      <c r="D12" s="951"/>
      <c r="E12" s="944"/>
      <c r="F12" s="946"/>
    </row>
    <row r="13" spans="2:8" s="14" customFormat="1">
      <c r="B13" s="314" t="s">
        <v>2</v>
      </c>
      <c r="C13" s="942">
        <f>'10N_22-33'!E176</f>
        <v>155784327.74000001</v>
      </c>
      <c r="D13" s="952"/>
      <c r="E13" s="942">
        <v>952836073.99000001</v>
      </c>
      <c r="F13" s="943"/>
    </row>
    <row r="14" spans="2:8" s="14" customFormat="1">
      <c r="B14" s="314" t="s">
        <v>202</v>
      </c>
      <c r="C14" s="942">
        <f>'10N_22-33'!E182+'10N_22-33'!E184</f>
        <v>878424.66</v>
      </c>
      <c r="D14" s="952"/>
      <c r="E14" s="942">
        <v>51275301.299999997</v>
      </c>
      <c r="F14" s="943"/>
    </row>
    <row r="15" spans="2:8" s="14" customFormat="1">
      <c r="B15" s="314" t="s">
        <v>3</v>
      </c>
      <c r="C15" s="942">
        <f>-'10N_22-33'!E69</f>
        <v>-114775.03999999999</v>
      </c>
      <c r="D15" s="952">
        <f>SUM(C13:C15)</f>
        <v>156547977.36000001</v>
      </c>
      <c r="E15" s="942">
        <v>-11746876.01</v>
      </c>
      <c r="F15" s="943">
        <f>SUM(E13:E15)</f>
        <v>992364499.27999997</v>
      </c>
      <c r="G15" s="18"/>
    </row>
    <row r="16" spans="2:8" s="14" customFormat="1" ht="31.5">
      <c r="B16" s="315" t="s">
        <v>250</v>
      </c>
      <c r="C16" s="1237"/>
      <c r="D16" s="951">
        <f>SUM(D11:D15)</f>
        <v>479483613.06000006</v>
      </c>
      <c r="E16" s="944"/>
      <c r="F16" s="945">
        <f>SUM(F11:F15)</f>
        <v>2378556533.215023</v>
      </c>
    </row>
    <row r="17" spans="2:8" s="14" customFormat="1">
      <c r="B17" s="313" t="s">
        <v>79</v>
      </c>
      <c r="C17" s="942">
        <f>'2SFP'!E18-'2SFP'!D18</f>
        <v>6415126.9699999988</v>
      </c>
      <c r="D17" s="1238"/>
      <c r="E17" s="942">
        <v>8131842.1500000209</v>
      </c>
      <c r="F17" s="943"/>
      <c r="G17" s="13"/>
      <c r="H17" s="18"/>
    </row>
    <row r="18" spans="2:8" s="14" customFormat="1">
      <c r="B18" s="313" t="s">
        <v>235</v>
      </c>
      <c r="C18" s="942">
        <f>'2SFP'!E20-'2SFP'!D20</f>
        <v>1013987.0699999928</v>
      </c>
      <c r="D18" s="1238"/>
      <c r="E18" s="942">
        <v>18151037.951099977</v>
      </c>
      <c r="F18" s="943"/>
      <c r="G18" s="18"/>
      <c r="H18" s="18"/>
    </row>
    <row r="19" spans="2:8" s="14" customFormat="1">
      <c r="B19" s="313" t="s">
        <v>237</v>
      </c>
      <c r="C19" s="942">
        <f>'2SFP'!E22-'2SFP'!D22</f>
        <v>0</v>
      </c>
      <c r="D19" s="1238"/>
      <c r="E19" s="942">
        <v>-476440.89999999991</v>
      </c>
      <c r="F19" s="943"/>
      <c r="G19" s="13"/>
      <c r="H19" s="18"/>
    </row>
    <row r="20" spans="2:8" s="14" customFormat="1">
      <c r="B20" s="313" t="s">
        <v>236</v>
      </c>
      <c r="C20" s="942">
        <f>'2SFP'!E23-'2SFP'!D23</f>
        <v>-31131238.479999997</v>
      </c>
      <c r="D20" s="952"/>
      <c r="E20" s="942">
        <v>-18677611.060000002</v>
      </c>
      <c r="F20" s="943"/>
      <c r="G20" s="13"/>
      <c r="H20" s="18"/>
    </row>
    <row r="21" spans="2:8" s="14" customFormat="1">
      <c r="B21" s="313" t="s">
        <v>238</v>
      </c>
      <c r="C21" s="942">
        <f>'2SFP'!E13-'2SFP'!D13</f>
        <v>0</v>
      </c>
      <c r="D21" s="952"/>
      <c r="E21" s="942">
        <v>-18232155.000999987</v>
      </c>
      <c r="F21" s="943"/>
      <c r="G21" s="13"/>
      <c r="H21" s="18"/>
    </row>
    <row r="22" spans="2:8" s="14" customFormat="1">
      <c r="B22" s="313" t="s">
        <v>1041</v>
      </c>
      <c r="C22" s="942">
        <f>'2SFP'!E11-'2SFP'!D11</f>
        <v>0</v>
      </c>
      <c r="D22" s="952"/>
      <c r="E22" s="942">
        <v>92308400</v>
      </c>
      <c r="F22" s="943"/>
      <c r="G22" s="13"/>
      <c r="H22" s="18"/>
    </row>
    <row r="23" spans="2:8" s="14" customFormat="1">
      <c r="B23" s="313" t="s">
        <v>239</v>
      </c>
      <c r="C23" s="942">
        <f>+'7N_3-12'!D15-'7N_3-12'!C15-'7N_3-12'!D16+'7N_3-12'!C16</f>
        <v>0</v>
      </c>
      <c r="D23" s="952"/>
      <c r="E23" s="942">
        <v>-59000000</v>
      </c>
      <c r="F23" s="943"/>
      <c r="G23" s="13"/>
      <c r="H23" s="18"/>
    </row>
    <row r="24" spans="2:8" s="14" customFormat="1">
      <c r="B24" s="313" t="s">
        <v>240</v>
      </c>
      <c r="C24" s="942">
        <f>'2SFP'!E14-'2SFP'!D14</f>
        <v>0</v>
      </c>
      <c r="D24" s="952"/>
      <c r="E24" s="942">
        <v>-1282728.96</v>
      </c>
      <c r="F24" s="943"/>
      <c r="G24" s="13"/>
      <c r="H24" s="18"/>
    </row>
    <row r="25" spans="2:8" s="14" customFormat="1">
      <c r="B25" s="313" t="s">
        <v>241</v>
      </c>
      <c r="C25" s="942">
        <f>'2SFP'!D48-'2SFP'!E48</f>
        <v>-75106965.120000005</v>
      </c>
      <c r="D25" s="952"/>
      <c r="E25" s="942">
        <v>68212099.099999979</v>
      </c>
      <c r="F25" s="943"/>
      <c r="H25" s="18"/>
    </row>
    <row r="26" spans="2:8" s="14" customFormat="1" ht="16.5">
      <c r="B26" s="313" t="s">
        <v>242</v>
      </c>
      <c r="C26" s="942">
        <f>-('2SFP'!E51-'2SFP'!D51)</f>
        <v>-130514838.56999999</v>
      </c>
      <c r="D26" s="1239"/>
      <c r="E26" s="942">
        <v>144397972.87931097</v>
      </c>
      <c r="F26" s="943"/>
      <c r="G26" s="13"/>
      <c r="H26" s="18"/>
    </row>
    <row r="27" spans="2:8" s="14" customFormat="1">
      <c r="B27" s="313" t="s">
        <v>1273</v>
      </c>
      <c r="C27" s="942">
        <f>-('2SFP'!E49-'2SFP'!D49)</f>
        <v>-39429598.949999996</v>
      </c>
      <c r="D27" s="952"/>
      <c r="E27" s="942">
        <v>433805.50977951288</v>
      </c>
      <c r="F27" s="943"/>
      <c r="G27" s="13"/>
      <c r="H27" s="18"/>
    </row>
    <row r="28" spans="2:8" s="14" customFormat="1">
      <c r="B28" s="313" t="s">
        <v>1275</v>
      </c>
      <c r="C28" s="942">
        <f>+'2SFP'!E24-'2SFP'!D24</f>
        <v>0</v>
      </c>
      <c r="D28" s="952"/>
      <c r="E28" s="942">
        <v>-99285178.310000002</v>
      </c>
      <c r="F28" s="943"/>
      <c r="G28" s="13"/>
      <c r="H28" s="18"/>
    </row>
    <row r="29" spans="2:8" s="14" customFormat="1">
      <c r="B29" s="313" t="s">
        <v>1274</v>
      </c>
      <c r="C29" s="942">
        <f>-('2SFP'!E41-'2SFP'!D41)</f>
        <v>38850000</v>
      </c>
      <c r="D29" s="952"/>
      <c r="E29" s="942">
        <v>-38850000</v>
      </c>
      <c r="F29" s="943"/>
      <c r="G29" s="13"/>
      <c r="H29" s="18"/>
    </row>
    <row r="30" spans="2:8" s="14" customFormat="1">
      <c r="B30" s="313" t="s">
        <v>1276</v>
      </c>
      <c r="C30" s="942">
        <f>-('2SFP'!E35-'2SFP'!D35)</f>
        <v>0</v>
      </c>
      <c r="D30" s="952">
        <f>SUM(C17:C30)</f>
        <v>-229903527.07999998</v>
      </c>
      <c r="E30" s="942">
        <v>-23323851.030000001</v>
      </c>
      <c r="F30" s="943">
        <f>SUM(E17:E30)</f>
        <v>72507192.329190463</v>
      </c>
      <c r="G30" s="13"/>
      <c r="H30" s="18"/>
    </row>
    <row r="31" spans="2:8" s="14" customFormat="1">
      <c r="B31" s="316" t="s">
        <v>59</v>
      </c>
      <c r="C31" s="1237"/>
      <c r="D31" s="951">
        <f>SUM(D16:D30)</f>
        <v>249580085.98000008</v>
      </c>
      <c r="E31" s="944"/>
      <c r="F31" s="951">
        <f>SUM(F16:F30)</f>
        <v>2451063725.5442133</v>
      </c>
      <c r="H31" s="18"/>
    </row>
    <row r="32" spans="2:8" s="14" customFormat="1">
      <c r="B32" s="313" t="s">
        <v>58</v>
      </c>
      <c r="C32" s="942"/>
      <c r="D32" s="952"/>
      <c r="E32" s="942"/>
      <c r="F32" s="952">
        <v>-441029091.67785096</v>
      </c>
      <c r="H32" s="18"/>
    </row>
    <row r="33" spans="2:15" s="14" customFormat="1">
      <c r="B33" s="318" t="s">
        <v>251</v>
      </c>
      <c r="C33" s="1240"/>
      <c r="D33" s="1238">
        <f>SUM(D31:D32)</f>
        <v>249580085.98000008</v>
      </c>
      <c r="E33" s="942"/>
      <c r="F33" s="947">
        <f>SUM(F31:F32)</f>
        <v>2010034633.8663623</v>
      </c>
      <c r="G33" s="13"/>
    </row>
    <row r="34" spans="2:15" s="14" customFormat="1">
      <c r="B34" s="319" t="s">
        <v>252</v>
      </c>
      <c r="C34" s="942"/>
      <c r="D34" s="952"/>
      <c r="E34" s="942"/>
      <c r="F34" s="943"/>
      <c r="H34" s="18"/>
    </row>
    <row r="35" spans="2:15" s="14" customFormat="1">
      <c r="B35" s="313" t="s">
        <v>244</v>
      </c>
      <c r="C35" s="948">
        <f>-'6N_PPE'!D20</f>
        <v>-182223.9</v>
      </c>
      <c r="D35" s="952"/>
      <c r="E35" s="942">
        <v>-407444263.65571219</v>
      </c>
      <c r="F35" s="943"/>
      <c r="L35" s="16"/>
      <c r="O35" s="16"/>
    </row>
    <row r="36" spans="2:15" s="14" customFormat="1">
      <c r="B36" s="313" t="s">
        <v>245</v>
      </c>
      <c r="C36" s="948">
        <f>-'6N_PPE'!D24</f>
        <v>-1721118.25</v>
      </c>
      <c r="D36" s="952"/>
      <c r="E36" s="942">
        <v>-145319454.88065022</v>
      </c>
      <c r="F36" s="943"/>
      <c r="L36" s="16"/>
    </row>
    <row r="37" spans="2:15" s="14" customFormat="1">
      <c r="B37" s="313" t="s">
        <v>246</v>
      </c>
      <c r="C37" s="948">
        <f>'2SFP'!E9-'2SFP'!D9</f>
        <v>-14927475.849999994</v>
      </c>
      <c r="D37" s="952"/>
      <c r="E37" s="942">
        <v>-68339937.409999996</v>
      </c>
      <c r="F37" s="943"/>
    </row>
    <row r="38" spans="2:15" s="14" customFormat="1">
      <c r="B38" s="313" t="s">
        <v>563</v>
      </c>
      <c r="C38" s="948">
        <v>0</v>
      </c>
      <c r="D38" s="952"/>
      <c r="E38" s="942">
        <v>1963000</v>
      </c>
      <c r="F38" s="943"/>
      <c r="L38" s="17"/>
    </row>
    <row r="39" spans="2:15" s="14" customFormat="1">
      <c r="B39" s="313" t="s">
        <v>3</v>
      </c>
      <c r="C39" s="948"/>
      <c r="D39" s="952"/>
      <c r="E39" s="942"/>
      <c r="F39" s="943"/>
    </row>
    <row r="40" spans="2:15" s="14" customFormat="1">
      <c r="B40" s="313" t="s">
        <v>247</v>
      </c>
      <c r="C40" s="948">
        <f>-C15</f>
        <v>114775.03999999999</v>
      </c>
      <c r="D40" s="952"/>
      <c r="E40" s="948">
        <v>11746876.01</v>
      </c>
      <c r="F40" s="943"/>
      <c r="L40" s="16"/>
    </row>
    <row r="41" spans="2:15" s="14" customFormat="1">
      <c r="B41" s="313" t="s">
        <v>248</v>
      </c>
      <c r="C41" s="948">
        <v>0</v>
      </c>
      <c r="D41" s="952"/>
      <c r="E41" s="948">
        <v>0</v>
      </c>
      <c r="F41" s="943"/>
      <c r="L41" s="16"/>
    </row>
    <row r="42" spans="2:15" s="14" customFormat="1">
      <c r="B42" s="316" t="s">
        <v>253</v>
      </c>
      <c r="C42" s="1237"/>
      <c r="D42" s="951">
        <f>SUM(C35:C41)</f>
        <v>-16716042.959999993</v>
      </c>
      <c r="E42" s="944"/>
      <c r="F42" s="945">
        <f>SUM(E35:E41)</f>
        <v>-607393779.93636239</v>
      </c>
      <c r="G42" s="13"/>
    </row>
    <row r="43" spans="2:15" s="14" customFormat="1">
      <c r="B43" s="317" t="s">
        <v>254</v>
      </c>
      <c r="C43" s="944"/>
      <c r="D43" s="1241"/>
      <c r="E43" s="944"/>
      <c r="F43" s="946"/>
    </row>
    <row r="44" spans="2:15" s="14" customFormat="1">
      <c r="B44" s="313" t="s">
        <v>448</v>
      </c>
      <c r="C44" s="942">
        <f>'2SFP'!D40-'2SFP'!E40</f>
        <v>0</v>
      </c>
      <c r="D44" s="952"/>
      <c r="E44" s="942">
        <v>-45988254.460000038</v>
      </c>
      <c r="F44" s="943"/>
    </row>
    <row r="45" spans="2:15" s="14" customFormat="1">
      <c r="B45" s="313" t="s">
        <v>230</v>
      </c>
      <c r="C45" s="942">
        <v>0</v>
      </c>
      <c r="D45" s="952"/>
      <c r="E45" s="942">
        <v>0</v>
      </c>
      <c r="F45" s="943"/>
    </row>
    <row r="46" spans="2:15" s="14" customFormat="1">
      <c r="B46" s="313" t="s">
        <v>255</v>
      </c>
      <c r="C46" s="942">
        <v>0</v>
      </c>
      <c r="D46" s="952"/>
      <c r="E46" s="942">
        <v>0</v>
      </c>
      <c r="F46" s="943"/>
    </row>
    <row r="47" spans="2:15" s="14" customFormat="1">
      <c r="B47" s="313" t="s">
        <v>256</v>
      </c>
      <c r="C47" s="942">
        <f>'5SOCE'!F13</f>
        <v>0</v>
      </c>
      <c r="D47" s="952"/>
      <c r="E47" s="942">
        <v>-843900560</v>
      </c>
      <c r="F47" s="943"/>
    </row>
    <row r="48" spans="2:15" s="14" customFormat="1">
      <c r="B48" s="313" t="s">
        <v>257</v>
      </c>
      <c r="C48" s="942">
        <f>-C14</f>
        <v>-878424.66</v>
      </c>
      <c r="D48" s="952"/>
      <c r="E48" s="942">
        <v>-51275301.299999997</v>
      </c>
      <c r="F48" s="943"/>
    </row>
    <row r="49" spans="2:8" s="14" customFormat="1">
      <c r="B49" s="316" t="s">
        <v>258</v>
      </c>
      <c r="C49" s="1237"/>
      <c r="D49" s="951">
        <f>SUM(C44:C48)</f>
        <v>-878424.66</v>
      </c>
      <c r="E49" s="944"/>
      <c r="F49" s="945">
        <f>SUM(E44:E48)</f>
        <v>-941164115.75999999</v>
      </c>
    </row>
    <row r="50" spans="2:8" s="14" customFormat="1">
      <c r="B50" s="316" t="s">
        <v>259</v>
      </c>
      <c r="C50" s="1237"/>
      <c r="D50" s="951">
        <f>D49+D42+D33</f>
        <v>231985618.36000007</v>
      </c>
      <c r="E50" s="944"/>
      <c r="F50" s="945">
        <f>F49+F42+F33</f>
        <v>461476738.16999984</v>
      </c>
    </row>
    <row r="51" spans="2:8" s="14" customFormat="1">
      <c r="B51" s="313" t="s">
        <v>109</v>
      </c>
      <c r="C51" s="942">
        <f>E52</f>
        <v>633519823.8499999</v>
      </c>
      <c r="D51" s="952" t="s">
        <v>93</v>
      </c>
      <c r="E51" s="942">
        <v>172043085.68000001</v>
      </c>
      <c r="F51" s="943"/>
      <c r="G51" s="18"/>
      <c r="H51" s="13"/>
    </row>
    <row r="52" spans="2:8" s="14" customFormat="1">
      <c r="B52" s="313" t="s">
        <v>108</v>
      </c>
      <c r="C52" s="942">
        <f>C61</f>
        <v>865505442.21000004</v>
      </c>
      <c r="D52" s="952"/>
      <c r="E52" s="942">
        <v>633519823.8499999</v>
      </c>
      <c r="F52" s="943"/>
      <c r="G52" s="18"/>
    </row>
    <row r="53" spans="2:8" s="14" customFormat="1">
      <c r="B53" s="320" t="s">
        <v>259</v>
      </c>
      <c r="C53" s="1242"/>
      <c r="D53" s="1243">
        <f>C52-C51</f>
        <v>231985618.36000013</v>
      </c>
      <c r="E53" s="949"/>
      <c r="F53" s="950">
        <f>E52-E51</f>
        <v>461476738.1699999</v>
      </c>
      <c r="G53" s="18"/>
    </row>
    <row r="54" spans="2:8" s="14" customFormat="1">
      <c r="B54" s="755"/>
      <c r="C54" s="488"/>
      <c r="D54" s="488">
        <f>D50-D53</f>
        <v>0</v>
      </c>
      <c r="E54" s="1244"/>
      <c r="F54" s="1265">
        <f>F50-F53</f>
        <v>0</v>
      </c>
      <c r="G54" s="18"/>
      <c r="H54" s="18"/>
    </row>
    <row r="55" spans="2:8" s="14" customFormat="1" ht="31.5">
      <c r="B55" s="321" t="s">
        <v>260</v>
      </c>
      <c r="C55" s="1263">
        <v>2019</v>
      </c>
      <c r="D55" s="1264">
        <v>2018</v>
      </c>
      <c r="E55" s="1245"/>
      <c r="F55" s="1246"/>
    </row>
    <row r="56" spans="2:8" s="14" customFormat="1">
      <c r="B56" s="322" t="s">
        <v>62</v>
      </c>
      <c r="C56" s="1099">
        <f>+'7N_3-12'!C80</f>
        <v>-182445</v>
      </c>
      <c r="D56" s="1173">
        <v>1209913.31</v>
      </c>
      <c r="E56" s="1247"/>
      <c r="F56" s="1094"/>
    </row>
    <row r="57" spans="2:8" s="14" customFormat="1">
      <c r="B57" s="322" t="s">
        <v>573</v>
      </c>
      <c r="C57" s="1099">
        <f>'7N_3-12'!C84</f>
        <v>865687887.21000004</v>
      </c>
      <c r="D57" s="1173">
        <v>632309910.53999984</v>
      </c>
      <c r="E57" s="1247"/>
      <c r="F57" s="1094"/>
    </row>
    <row r="58" spans="2:8" s="14" customFormat="1">
      <c r="B58" s="322" t="s">
        <v>63</v>
      </c>
      <c r="C58" s="1099">
        <v>0</v>
      </c>
      <c r="D58" s="1173">
        <v>0</v>
      </c>
      <c r="E58" s="1247"/>
      <c r="F58" s="1094"/>
    </row>
    <row r="59" spans="2:8" s="14" customFormat="1">
      <c r="B59" s="315" t="s">
        <v>261</v>
      </c>
      <c r="C59" s="295">
        <f>SUM(C56:C58)</f>
        <v>865505442.21000004</v>
      </c>
      <c r="D59" s="736">
        <f>SUM(D56:D58)</f>
        <v>633519823.84999979</v>
      </c>
      <c r="E59" s="1248"/>
      <c r="F59" s="1094"/>
    </row>
    <row r="60" spans="2:8" s="14" customFormat="1">
      <c r="B60" s="322" t="s">
        <v>572</v>
      </c>
      <c r="C60" s="1092"/>
      <c r="D60" s="1090"/>
      <c r="E60" s="1247"/>
      <c r="F60" s="1094"/>
      <c r="G60" s="19"/>
    </row>
    <row r="61" spans="2:8" s="14" customFormat="1" ht="31.5">
      <c r="B61" s="324" t="s">
        <v>262</v>
      </c>
      <c r="C61" s="1174">
        <f>+C59+C60</f>
        <v>865505442.21000004</v>
      </c>
      <c r="D61" s="1175">
        <f>+D59+D60</f>
        <v>633519823.84999979</v>
      </c>
      <c r="E61" s="1249"/>
      <c r="F61" s="1101"/>
    </row>
    <row r="62" spans="2:8" s="14" customFormat="1">
      <c r="B62" s="756" t="s">
        <v>263</v>
      </c>
      <c r="C62" s="488"/>
      <c r="D62" s="488"/>
      <c r="E62" s="488"/>
      <c r="F62" s="1094"/>
    </row>
    <row r="63" spans="2:8" s="14" customFormat="1">
      <c r="B63" s="755"/>
      <c r="C63" s="488"/>
      <c r="D63" s="488"/>
      <c r="E63" s="488"/>
      <c r="F63" s="1094"/>
    </row>
    <row r="64" spans="2:8" s="325" customFormat="1">
      <c r="B64" s="757" t="str">
        <f>'2SFP'!B61</f>
        <v>For GSA &amp; Associates.</v>
      </c>
      <c r="C64" s="1092"/>
      <c r="D64" s="295"/>
      <c r="E64" s="295" t="str">
        <f>'2SFP'!E61</f>
        <v>for and on behalf of board of directors</v>
      </c>
      <c r="F64" s="1090"/>
    </row>
    <row r="65" spans="2:8" s="14" customFormat="1">
      <c r="B65" s="756" t="str">
        <f>'2SFP'!B62</f>
        <v>Chartered accountants</v>
      </c>
      <c r="C65" s="488"/>
      <c r="D65" s="1092"/>
      <c r="E65" s="1092"/>
      <c r="F65" s="1094"/>
    </row>
    <row r="66" spans="2:8" s="14" customFormat="1">
      <c r="B66" s="756" t="str">
        <f>'2SFP'!B63</f>
        <v>(Firm Reg. No. 000257N)</v>
      </c>
      <c r="C66" s="1232"/>
      <c r="D66" s="295"/>
      <c r="E66" s="1092"/>
      <c r="F66" s="1094"/>
      <c r="H66" s="3"/>
    </row>
    <row r="67" spans="2:8" s="14" customFormat="1">
      <c r="B67" s="758"/>
      <c r="C67" s="1250"/>
      <c r="D67" s="1093"/>
      <c r="E67" s="1092"/>
      <c r="F67" s="1094"/>
      <c r="H67" s="3"/>
    </row>
    <row r="68" spans="2:8" s="14" customFormat="1">
      <c r="B68" s="758"/>
      <c r="C68" s="1232"/>
      <c r="D68" s="295"/>
      <c r="E68" s="1095" t="str">
        <f>'2SFP'!E65</f>
        <v>Chairman</v>
      </c>
      <c r="F68" s="1251"/>
      <c r="G68" s="3"/>
      <c r="H68" s="3"/>
    </row>
    <row r="69" spans="2:8" s="14" customFormat="1">
      <c r="B69" s="758"/>
      <c r="C69" s="1232"/>
      <c r="D69" s="295"/>
      <c r="E69" s="1092"/>
      <c r="F69" s="1094"/>
      <c r="G69" s="3"/>
      <c r="H69" s="3"/>
    </row>
    <row r="70" spans="2:8" s="14" customFormat="1">
      <c r="B70" s="757" t="str">
        <f>'2SFP'!B67</f>
        <v>Tanuj Chugh</v>
      </c>
      <c r="C70" s="488"/>
      <c r="D70" s="1092"/>
      <c r="E70" s="1092"/>
      <c r="F70" s="1094"/>
      <c r="G70" s="3"/>
      <c r="H70" s="3"/>
    </row>
    <row r="71" spans="2:8" s="14" customFormat="1">
      <c r="B71" s="756" t="str">
        <f>'2SFP'!B68</f>
        <v>Partner</v>
      </c>
      <c r="C71" s="1252"/>
      <c r="D71" s="1092"/>
      <c r="E71" s="1092"/>
      <c r="F71" s="1094"/>
      <c r="G71" s="3"/>
      <c r="H71" s="3"/>
    </row>
    <row r="72" spans="2:8" s="14" customFormat="1">
      <c r="B72" s="759" t="str">
        <f>'2SFP'!B69</f>
        <v>M. No. 529619</v>
      </c>
      <c r="C72" s="1253"/>
      <c r="D72" s="1097"/>
      <c r="E72" s="1254" t="str">
        <f>'2SFP'!E69</f>
        <v>Chief Executive Officer</v>
      </c>
      <c r="F72" s="1255"/>
      <c r="G72" s="3"/>
      <c r="H72" s="3"/>
    </row>
    <row r="73" spans="2:8" s="14" customFormat="1">
      <c r="B73" s="559"/>
      <c r="C73" s="1256"/>
      <c r="D73" s="1092"/>
      <c r="E73" s="1092"/>
      <c r="F73" s="1257"/>
      <c r="G73" s="3"/>
      <c r="H73" s="3"/>
    </row>
    <row r="74" spans="2:8" s="14" customFormat="1">
      <c r="B74" s="559" t="str">
        <f>'2SFP'!B71</f>
        <v xml:space="preserve">Place: </v>
      </c>
      <c r="C74" s="1099"/>
      <c r="D74" s="488"/>
      <c r="E74" s="488"/>
      <c r="F74" s="1257"/>
    </row>
    <row r="75" spans="2:8" s="14" customFormat="1" ht="16.5" thickBot="1">
      <c r="B75" s="560" t="str">
        <f>'2SFP'!B72</f>
        <v xml:space="preserve">Date: </v>
      </c>
      <c r="C75" s="1258"/>
      <c r="D75" s="1259"/>
      <c r="E75" s="1259"/>
      <c r="F75" s="1260"/>
    </row>
    <row r="76" spans="2:8" s="14" customFormat="1">
      <c r="B76" s="158"/>
      <c r="C76" s="1261"/>
      <c r="D76" s="1261"/>
      <c r="E76" s="1261"/>
      <c r="F76" s="1261"/>
    </row>
    <row r="77" spans="2:8" s="14" customFormat="1">
      <c r="B77" s="158"/>
      <c r="C77" s="1261"/>
      <c r="D77" s="1261"/>
      <c r="E77" s="1261"/>
      <c r="F77" s="1261"/>
    </row>
    <row r="78" spans="2:8" s="14" customFormat="1">
      <c r="B78" s="158"/>
      <c r="C78" s="1261"/>
      <c r="D78" s="1261"/>
      <c r="E78" s="1261"/>
      <c r="F78" s="1261"/>
    </row>
    <row r="79" spans="2:8" s="14" customFormat="1">
      <c r="B79" s="158"/>
      <c r="C79" s="1261"/>
      <c r="D79" s="1261"/>
      <c r="E79" s="1261"/>
      <c r="F79" s="1261"/>
    </row>
    <row r="80" spans="2:8" s="14" customFormat="1">
      <c r="B80" s="158"/>
      <c r="C80" s="1261"/>
      <c r="D80" s="1261"/>
      <c r="E80" s="1261"/>
      <c r="F80" s="1261"/>
    </row>
    <row r="81" spans="2:6" s="14" customFormat="1">
      <c r="B81" s="158"/>
      <c r="C81" s="1261"/>
      <c r="D81" s="1261"/>
      <c r="E81" s="1261"/>
      <c r="F81" s="1261"/>
    </row>
    <row r="82" spans="2:6" s="14" customFormat="1">
      <c r="B82" s="158"/>
      <c r="C82" s="1261"/>
      <c r="D82" s="1261"/>
      <c r="E82" s="1261"/>
      <c r="F82" s="1261"/>
    </row>
    <row r="83" spans="2:6" s="14" customFormat="1">
      <c r="B83" s="158"/>
      <c r="C83" s="1261"/>
      <c r="D83" s="1261"/>
      <c r="E83" s="1261"/>
      <c r="F83" s="1261"/>
    </row>
    <row r="84" spans="2:6" s="14" customFormat="1">
      <c r="B84" s="158"/>
      <c r="C84" s="1261"/>
      <c r="D84" s="1261"/>
      <c r="E84" s="1261"/>
      <c r="F84" s="1261"/>
    </row>
    <row r="85" spans="2:6" s="14" customFormat="1">
      <c r="B85" s="158"/>
      <c r="C85" s="1261"/>
      <c r="D85" s="1261"/>
      <c r="E85" s="1261"/>
      <c r="F85" s="1261"/>
    </row>
    <row r="86" spans="2:6" s="14" customFormat="1">
      <c r="B86" s="158"/>
      <c r="C86" s="1261"/>
      <c r="D86" s="1261"/>
      <c r="E86" s="1261"/>
      <c r="F86" s="1261"/>
    </row>
    <row r="87" spans="2:6" s="14" customFormat="1">
      <c r="B87" s="158"/>
      <c r="C87" s="1261"/>
      <c r="D87" s="1261"/>
      <c r="E87" s="1261"/>
      <c r="F87" s="1261"/>
    </row>
    <row r="88" spans="2:6" s="14" customFormat="1">
      <c r="B88" s="158"/>
      <c r="C88" s="1261"/>
      <c r="D88" s="1261"/>
      <c r="E88" s="1261"/>
      <c r="F88" s="1261"/>
    </row>
    <row r="89" spans="2:6" s="14" customFormat="1">
      <c r="B89" s="158"/>
      <c r="C89" s="1261"/>
      <c r="D89" s="1261"/>
      <c r="E89" s="1261"/>
      <c r="F89" s="1261"/>
    </row>
  </sheetData>
  <mergeCells count="5">
    <mergeCell ref="C4:D4"/>
    <mergeCell ref="E4:F4"/>
    <mergeCell ref="B1:F1"/>
    <mergeCell ref="B2:F2"/>
    <mergeCell ref="B3:F3"/>
  </mergeCells>
  <pageMargins left="0.88" right="0.26" top="0.56000000000000005" bottom="0.2" header="0.05" footer="0.05"/>
  <pageSetup paperSize="9" scale="62" fitToWidth="0" fitToHeight="0" orientation="portrait" r:id="rId1"/>
</worksheet>
</file>

<file path=xl/worksheets/sheet7.xml><?xml version="1.0" encoding="utf-8"?>
<worksheet xmlns="http://schemas.openxmlformats.org/spreadsheetml/2006/main" xmlns:r="http://schemas.openxmlformats.org/officeDocument/2006/relationships">
  <sheetPr enableFormatConditionsCalculation="0">
    <tabColor rgb="FF00B050"/>
    <pageSetUpPr fitToPage="1"/>
  </sheetPr>
  <dimension ref="B1:P71"/>
  <sheetViews>
    <sheetView showGridLines="0" topLeftCell="A12" zoomScale="70" zoomScaleNormal="70" zoomScaleSheetLayoutView="77" zoomScalePageLayoutView="70" workbookViewId="0">
      <selection activeCell="H27" sqref="H27"/>
    </sheetView>
  </sheetViews>
  <sheetFormatPr defaultColWidth="9.140625" defaultRowHeight="15.75"/>
  <cols>
    <col min="1" max="1" width="3.42578125" style="965" customWidth="1"/>
    <col min="2" max="2" width="28.85546875" style="251" customWidth="1"/>
    <col min="3" max="3" width="23.42578125" style="251" customWidth="1"/>
    <col min="4" max="4" width="21.28515625" style="266" bestFit="1" customWidth="1"/>
    <col min="5" max="5" width="19.85546875" style="251" bestFit="1" customWidth="1"/>
    <col min="6" max="7" width="23.42578125" style="251" bestFit="1" customWidth="1"/>
    <col min="8" max="8" width="21" style="266" bestFit="1" customWidth="1"/>
    <col min="9" max="9" width="19.28515625" style="251" customWidth="1"/>
    <col min="10" max="10" width="23.140625" style="251" bestFit="1" customWidth="1"/>
    <col min="11" max="12" width="23.42578125" style="251" bestFit="1" customWidth="1"/>
    <col min="13" max="13" width="18.7109375" style="965" bestFit="1" customWidth="1"/>
    <col min="14" max="14" width="16.85546875" style="965" bestFit="1" customWidth="1"/>
    <col min="15" max="15" width="9.140625" style="965"/>
    <col min="16" max="16" width="15.42578125" style="965" bestFit="1" customWidth="1"/>
    <col min="17" max="17" width="14" style="965" bestFit="1" customWidth="1"/>
    <col min="18" max="16384" width="9.140625" style="965"/>
  </cols>
  <sheetData>
    <row r="1" spans="2:16">
      <c r="B1" s="1356" t="str">
        <f>'2SFP'!B1</f>
        <v>BHUTAN TELECOM LIMITED</v>
      </c>
      <c r="C1" s="1357"/>
      <c r="D1" s="1357"/>
      <c r="E1" s="1357"/>
      <c r="F1" s="1357"/>
      <c r="G1" s="1357"/>
      <c r="H1" s="1357"/>
      <c r="I1" s="1357"/>
      <c r="J1" s="1357"/>
      <c r="K1" s="1357"/>
      <c r="L1" s="1358"/>
    </row>
    <row r="2" spans="2:16">
      <c r="B2" s="1362" t="s">
        <v>1052</v>
      </c>
      <c r="C2" s="1363"/>
      <c r="D2" s="1363"/>
      <c r="E2" s="1363"/>
      <c r="F2" s="1363"/>
      <c r="G2" s="1363"/>
      <c r="H2" s="1363"/>
      <c r="I2" s="1363"/>
      <c r="J2" s="1363"/>
      <c r="K2" s="1363"/>
      <c r="L2" s="1364"/>
    </row>
    <row r="3" spans="2:16">
      <c r="B3" s="224" t="s">
        <v>514</v>
      </c>
      <c r="L3" s="760" t="str">
        <f>'2SFP'!E3</f>
        <v>Amount in Nu.</v>
      </c>
    </row>
    <row r="4" spans="2:16" ht="18" customHeight="1">
      <c r="B4" s="1360" t="s">
        <v>21</v>
      </c>
      <c r="C4" s="1359" t="s">
        <v>73</v>
      </c>
      <c r="D4" s="1360"/>
      <c r="E4" s="1360"/>
      <c r="F4" s="1360"/>
      <c r="G4" s="1361" t="s">
        <v>74</v>
      </c>
      <c r="H4" s="1361"/>
      <c r="I4" s="1361"/>
      <c r="J4" s="1361"/>
      <c r="K4" s="1361" t="s">
        <v>75</v>
      </c>
      <c r="L4" s="1361"/>
    </row>
    <row r="5" spans="2:16">
      <c r="B5" s="1365"/>
      <c r="C5" s="252" t="s">
        <v>539</v>
      </c>
      <c r="D5" s="253" t="s">
        <v>106</v>
      </c>
      <c r="E5" s="537" t="s">
        <v>107</v>
      </c>
      <c r="F5" s="254" t="s">
        <v>1053</v>
      </c>
      <c r="G5" s="252" t="s">
        <v>539</v>
      </c>
      <c r="H5" s="253" t="s">
        <v>106</v>
      </c>
      <c r="I5" s="537" t="s">
        <v>107</v>
      </c>
      <c r="J5" s="254" t="s">
        <v>1053</v>
      </c>
      <c r="K5" s="254" t="s">
        <v>1053</v>
      </c>
      <c r="L5" s="252" t="s">
        <v>539</v>
      </c>
    </row>
    <row r="6" spans="2:16" s="872" customFormat="1">
      <c r="B6" s="255" t="s">
        <v>1143</v>
      </c>
      <c r="C6" s="1130">
        <v>0</v>
      </c>
      <c r="D6" s="533"/>
      <c r="E6" s="534"/>
      <c r="F6" s="534">
        <f>C6+D6-E6</f>
        <v>0</v>
      </c>
      <c r="G6" s="1131">
        <v>0</v>
      </c>
      <c r="H6" s="533"/>
      <c r="I6" s="534"/>
      <c r="J6" s="968">
        <f>G6+H6-I6</f>
        <v>0</v>
      </c>
      <c r="K6" s="1130">
        <f>F6-J6</f>
        <v>0</v>
      </c>
      <c r="L6" s="968">
        <f>C6-G6</f>
        <v>0</v>
      </c>
      <c r="M6" s="966"/>
    </row>
    <row r="7" spans="2:16" s="872" customFormat="1" ht="16.5">
      <c r="B7" s="255"/>
      <c r="C7" s="1130"/>
      <c r="D7" s="533"/>
      <c r="E7" s="534"/>
      <c r="F7" s="534"/>
      <c r="G7" s="1131"/>
      <c r="H7" s="533"/>
      <c r="I7" s="534"/>
      <c r="J7" s="968"/>
      <c r="K7" s="1130"/>
      <c r="L7" s="968"/>
      <c r="M7" s="966"/>
      <c r="P7" s="873"/>
    </row>
    <row r="8" spans="2:16" s="872" customFormat="1">
      <c r="B8" s="255" t="s">
        <v>1144</v>
      </c>
      <c r="C8" s="1130">
        <v>675562674.23000002</v>
      </c>
      <c r="D8" s="533"/>
      <c r="E8" s="534"/>
      <c r="F8" s="534">
        <f>C8+D8-E8</f>
        <v>675562674.23000002</v>
      </c>
      <c r="G8" s="1131">
        <v>207403931.95000002</v>
      </c>
      <c r="H8" s="533">
        <v>4599547.1900000004</v>
      </c>
      <c r="I8" s="534"/>
      <c r="J8" s="968">
        <f>G8+H8-I8</f>
        <v>212003479.14000002</v>
      </c>
      <c r="K8" s="1130">
        <f>F8-J8</f>
        <v>463559195.09000003</v>
      </c>
      <c r="L8" s="968">
        <f>C8-G8</f>
        <v>468158742.27999997</v>
      </c>
      <c r="M8" s="966"/>
    </row>
    <row r="9" spans="2:16" s="872" customFormat="1">
      <c r="B9" s="255"/>
      <c r="C9" s="1130"/>
      <c r="D9" s="533"/>
      <c r="E9" s="534"/>
      <c r="F9" s="534"/>
      <c r="G9" s="1131"/>
      <c r="H9" s="533"/>
      <c r="I9" s="534"/>
      <c r="J9" s="968"/>
      <c r="K9" s="1130"/>
      <c r="L9" s="968"/>
      <c r="M9" s="966"/>
    </row>
    <row r="10" spans="2:16" s="872" customFormat="1">
      <c r="B10" s="255" t="s">
        <v>1145</v>
      </c>
      <c r="C10" s="1130">
        <v>6380130786.7699995</v>
      </c>
      <c r="D10" s="533"/>
      <c r="E10" s="534"/>
      <c r="F10" s="534">
        <f>C10+D10-E10</f>
        <v>6380130786.7699995</v>
      </c>
      <c r="G10" s="1131">
        <v>4664047176.999999</v>
      </c>
      <c r="H10" s="533">
        <v>62479505.600000001</v>
      </c>
      <c r="I10" s="534"/>
      <c r="J10" s="968">
        <f>G10+H10-I10</f>
        <v>4726526682.5999994</v>
      </c>
      <c r="K10" s="1130">
        <f>F10-J10</f>
        <v>1653604104.1700001</v>
      </c>
      <c r="L10" s="968">
        <f>C10-G10-0.11</f>
        <v>1716083609.6600006</v>
      </c>
      <c r="M10" s="966"/>
    </row>
    <row r="11" spans="2:16" s="872" customFormat="1" ht="16.5">
      <c r="B11" s="255"/>
      <c r="C11" s="1130"/>
      <c r="D11" s="533"/>
      <c r="E11" s="534"/>
      <c r="F11" s="534"/>
      <c r="G11" s="1131"/>
      <c r="H11" s="533"/>
      <c r="I11" s="534"/>
      <c r="J11" s="968"/>
      <c r="K11" s="1130"/>
      <c r="L11" s="968"/>
      <c r="M11" s="966"/>
      <c r="P11" s="873"/>
    </row>
    <row r="12" spans="2:16" s="872" customFormat="1">
      <c r="B12" s="255" t="s">
        <v>1146</v>
      </c>
      <c r="C12" s="1130">
        <v>103332221.32000001</v>
      </c>
      <c r="D12" s="533">
        <v>37880</v>
      </c>
      <c r="E12" s="534"/>
      <c r="F12" s="534">
        <f>C12+D12-E12</f>
        <v>103370101.32000001</v>
      </c>
      <c r="G12" s="1131">
        <v>88515488.540000007</v>
      </c>
      <c r="H12" s="533">
        <v>1297549.04</v>
      </c>
      <c r="I12" s="534"/>
      <c r="J12" s="968">
        <f>G12+H12-I12</f>
        <v>89813037.580000013</v>
      </c>
      <c r="K12" s="1130">
        <f>F12-J12</f>
        <v>13557063.739999995</v>
      </c>
      <c r="L12" s="968">
        <f>C12-G12+0.15</f>
        <v>14816732.930000002</v>
      </c>
      <c r="M12" s="966"/>
    </row>
    <row r="13" spans="2:16" s="872" customFormat="1">
      <c r="B13" s="255"/>
      <c r="C13" s="1130"/>
      <c r="D13" s="533"/>
      <c r="E13" s="534"/>
      <c r="F13" s="534"/>
      <c r="G13" s="1131"/>
      <c r="H13" s="533"/>
      <c r="I13" s="534"/>
      <c r="J13" s="968"/>
      <c r="K13" s="1130"/>
      <c r="L13" s="968"/>
      <c r="M13" s="966"/>
    </row>
    <row r="14" spans="2:16" s="872" customFormat="1">
      <c r="B14" s="255" t="s">
        <v>1147</v>
      </c>
      <c r="C14" s="1130">
        <v>2045132941.97</v>
      </c>
      <c r="D14" s="533"/>
      <c r="E14" s="534"/>
      <c r="F14" s="534">
        <f>C14+D14-E14</f>
        <v>2045132941.97</v>
      </c>
      <c r="G14" s="1131">
        <v>1185551100.9000001</v>
      </c>
      <c r="H14" s="533">
        <v>25451348</v>
      </c>
      <c r="I14" s="534"/>
      <c r="J14" s="968">
        <f t="shared" ref="J14:J18" si="0">G14+H14-I14</f>
        <v>1211002448.9000001</v>
      </c>
      <c r="K14" s="1130">
        <f>F14-J14</f>
        <v>834130493.06999993</v>
      </c>
      <c r="L14" s="968">
        <f>C14-G14</f>
        <v>859581841.06999993</v>
      </c>
      <c r="M14" s="966"/>
    </row>
    <row r="15" spans="2:16" s="872" customFormat="1">
      <c r="B15" s="255"/>
      <c r="C15" s="1130"/>
      <c r="D15" s="533"/>
      <c r="E15" s="534"/>
      <c r="F15" s="534"/>
      <c r="G15" s="1131"/>
      <c r="H15" s="533"/>
      <c r="I15" s="534"/>
      <c r="J15" s="968"/>
      <c r="K15" s="1130"/>
      <c r="L15" s="968"/>
      <c r="M15" s="966"/>
    </row>
    <row r="16" spans="2:16" s="872" customFormat="1">
      <c r="B16" s="255" t="s">
        <v>1148</v>
      </c>
      <c r="C16" s="1130">
        <v>20837977.290000003</v>
      </c>
      <c r="D16" s="533">
        <v>144343.9</v>
      </c>
      <c r="E16" s="534"/>
      <c r="F16" s="534">
        <f>C16+D16-E16</f>
        <v>20982321.190000001</v>
      </c>
      <c r="G16" s="1131">
        <v>13964618.989999998</v>
      </c>
      <c r="H16" s="533">
        <v>245472.91</v>
      </c>
      <c r="I16" s="534"/>
      <c r="J16" s="968">
        <f t="shared" si="0"/>
        <v>14210091.899999999</v>
      </c>
      <c r="K16" s="1130">
        <f>F16-J16</f>
        <v>6772229.2900000028</v>
      </c>
      <c r="L16" s="968">
        <f>C16-G16</f>
        <v>6873358.3000000045</v>
      </c>
      <c r="M16" s="966"/>
    </row>
    <row r="17" spans="2:13" s="872" customFormat="1">
      <c r="B17" s="255"/>
      <c r="C17" s="1130"/>
      <c r="D17" s="533"/>
      <c r="E17" s="534"/>
      <c r="F17" s="534"/>
      <c r="G17" s="1131"/>
      <c r="H17" s="533"/>
      <c r="I17" s="534"/>
      <c r="J17" s="968"/>
      <c r="K17" s="1130"/>
      <c r="L17" s="968"/>
      <c r="M17" s="966"/>
    </row>
    <row r="18" spans="2:13" s="872" customFormat="1">
      <c r="B18" s="255" t="s">
        <v>1149</v>
      </c>
      <c r="C18" s="1130">
        <v>76372431.189999998</v>
      </c>
      <c r="D18" s="533"/>
      <c r="E18" s="534"/>
      <c r="F18" s="534">
        <f>C18+D18-E18</f>
        <v>76372431.189999998</v>
      </c>
      <c r="G18" s="1131">
        <v>62181619.189999998</v>
      </c>
      <c r="H18" s="533">
        <v>1128515</v>
      </c>
      <c r="I18" s="534"/>
      <c r="J18" s="968">
        <f t="shared" si="0"/>
        <v>63310134.189999998</v>
      </c>
      <c r="K18" s="1130">
        <f>F18-J18</f>
        <v>13062297</v>
      </c>
      <c r="L18" s="968">
        <f t="shared" ref="L18" si="1">C18-G18</f>
        <v>14190812</v>
      </c>
      <c r="M18" s="966"/>
    </row>
    <row r="19" spans="2:13" s="872" customFormat="1">
      <c r="B19" s="255"/>
      <c r="C19" s="1130"/>
      <c r="D19" s="533"/>
      <c r="E19" s="534"/>
      <c r="F19" s="534"/>
      <c r="G19" s="1131"/>
      <c r="H19" s="533"/>
      <c r="I19" s="534"/>
      <c r="J19" s="968"/>
      <c r="K19" s="1130"/>
      <c r="L19" s="968"/>
      <c r="M19" s="966"/>
    </row>
    <row r="20" spans="2:13" s="872" customFormat="1">
      <c r="B20" s="257" t="s">
        <v>76</v>
      </c>
      <c r="C20" s="1132">
        <f>SUM(C6:C18)</f>
        <v>9301369032.7700005</v>
      </c>
      <c r="D20" s="1133">
        <f>SUM(D6:D18)</f>
        <v>182223.9</v>
      </c>
      <c r="E20" s="1133">
        <f>SUM(E6:E18)</f>
        <v>0</v>
      </c>
      <c r="F20" s="1133">
        <f t="shared" ref="F20:I20" si="2">SUM(F6:F18)</f>
        <v>9301551256.6700001</v>
      </c>
      <c r="G20" s="1132">
        <f t="shared" si="2"/>
        <v>6221663936.5699987</v>
      </c>
      <c r="H20" s="1133">
        <f t="shared" si="2"/>
        <v>95201937.739999995</v>
      </c>
      <c r="I20" s="1133">
        <f t="shared" si="2"/>
        <v>0</v>
      </c>
      <c r="J20" s="1134">
        <f>SUM(J6:J18)</f>
        <v>6316865874.3099985</v>
      </c>
      <c r="K20" s="1132">
        <f>SUM(K6:K18)</f>
        <v>2984685382.3600001</v>
      </c>
      <c r="L20" s="1134">
        <f>SUM(L6:L18)</f>
        <v>3079705096.2400007</v>
      </c>
      <c r="M20" s="966"/>
    </row>
    <row r="21" spans="2:13" s="872" customFormat="1">
      <c r="B21" s="258" t="s">
        <v>265</v>
      </c>
      <c r="C21" s="1135">
        <v>9058351919.8099995</v>
      </c>
      <c r="D21" s="1136">
        <v>407444262.91000003</v>
      </c>
      <c r="E21" s="1136">
        <v>164427149.94999999</v>
      </c>
      <c r="F21" s="1136">
        <f>C21+D21-E21</f>
        <v>9301369032.7699986</v>
      </c>
      <c r="G21" s="1135">
        <v>5335022051.9699993</v>
      </c>
      <c r="H21" s="1136">
        <v>948362535.79000008</v>
      </c>
      <c r="I21" s="1136">
        <v>61720651.190000005</v>
      </c>
      <c r="J21" s="1137">
        <f>G21+H21-I21</f>
        <v>6221663936.5699997</v>
      </c>
      <c r="K21" s="1135">
        <f>F21-J21</f>
        <v>3079705096.1999989</v>
      </c>
      <c r="L21" s="1137">
        <v>3723329867.8800006</v>
      </c>
      <c r="M21" s="966"/>
    </row>
    <row r="22" spans="2:13" s="872" customFormat="1">
      <c r="B22" s="259"/>
      <c r="C22" s="1138"/>
      <c r="D22" s="1138"/>
      <c r="E22" s="1138"/>
      <c r="F22" s="1138"/>
      <c r="G22" s="1138"/>
      <c r="H22" s="1138"/>
      <c r="I22" s="1138"/>
      <c r="J22" s="1138"/>
      <c r="K22" s="1138"/>
      <c r="L22" s="1139"/>
      <c r="M22" s="966"/>
    </row>
    <row r="23" spans="2:13" s="872" customFormat="1">
      <c r="B23" s="761" t="s">
        <v>516</v>
      </c>
      <c r="C23" s="534"/>
      <c r="D23" s="534"/>
      <c r="E23" s="534"/>
      <c r="F23" s="534"/>
      <c r="G23" s="534"/>
      <c r="H23" s="534"/>
      <c r="I23" s="534"/>
      <c r="J23" s="534"/>
      <c r="K23" s="534"/>
      <c r="L23" s="968"/>
      <c r="M23" s="966"/>
    </row>
    <row r="24" spans="2:13" s="872" customFormat="1">
      <c r="B24" s="260" t="s">
        <v>1150</v>
      </c>
      <c r="C24" s="1135">
        <v>2491429738.77</v>
      </c>
      <c r="D24" s="1140">
        <v>1721118.25</v>
      </c>
      <c r="E24" s="1136">
        <v>0</v>
      </c>
      <c r="F24" s="1137">
        <f>C24+D24-E24</f>
        <v>2493150857.02</v>
      </c>
      <c r="G24" s="1141">
        <v>1360577867.53</v>
      </c>
      <c r="H24" s="1140">
        <v>60582390</v>
      </c>
      <c r="I24" s="1136"/>
      <c r="J24" s="1137">
        <f>G24+H24-I24</f>
        <v>1421160257.53</v>
      </c>
      <c r="K24" s="1135">
        <f>F24-J24</f>
        <v>1071990599.49</v>
      </c>
      <c r="L24" s="1137">
        <f>C24-G24</f>
        <v>1130851871.24</v>
      </c>
      <c r="M24" s="966"/>
    </row>
    <row r="25" spans="2:13" s="872" customFormat="1">
      <c r="B25" s="261" t="s">
        <v>266</v>
      </c>
      <c r="C25" s="1142">
        <v>1569110284.3300002</v>
      </c>
      <c r="D25" s="1138">
        <v>922319454.43999994</v>
      </c>
      <c r="E25" s="1138">
        <v>0</v>
      </c>
      <c r="F25" s="1137">
        <f>C25+D25</f>
        <v>2491429738.77</v>
      </c>
      <c r="G25" s="1142">
        <v>481603885.85000002</v>
      </c>
      <c r="H25" s="1138">
        <v>878973981.67999995</v>
      </c>
      <c r="I25" s="1138"/>
      <c r="J25" s="1137">
        <f>G25+H25</f>
        <v>1360577867.53</v>
      </c>
      <c r="K25" s="1135">
        <f>F25-J25</f>
        <v>1130851871.24</v>
      </c>
      <c r="L25" s="1137">
        <f>C25-G25</f>
        <v>1087506398.48</v>
      </c>
      <c r="M25" s="966"/>
    </row>
    <row r="26" spans="2:13" s="872" customFormat="1">
      <c r="B26" s="761"/>
      <c r="C26" s="534"/>
      <c r="D26" s="534"/>
      <c r="E26" s="534"/>
      <c r="F26" s="534"/>
      <c r="G26" s="534"/>
      <c r="H26" s="534"/>
      <c r="I26" s="534"/>
      <c r="J26" s="534"/>
      <c r="K26" s="534"/>
      <c r="L26" s="968"/>
    </row>
    <row r="27" spans="2:13" s="872" customFormat="1">
      <c r="B27" s="761" t="s">
        <v>515</v>
      </c>
      <c r="C27" s="534"/>
      <c r="D27" s="534"/>
      <c r="E27" s="534"/>
      <c r="F27" s="534"/>
      <c r="G27" s="534"/>
      <c r="H27" s="534">
        <f>H20+H24</f>
        <v>155784327.74000001</v>
      </c>
      <c r="I27" s="534"/>
      <c r="J27" s="534"/>
      <c r="K27" s="534">
        <f>K24+K20</f>
        <v>4056675981.8500004</v>
      </c>
      <c r="L27" s="968"/>
    </row>
    <row r="28" spans="2:13" s="872" customFormat="1">
      <c r="B28" s="262" t="s">
        <v>22</v>
      </c>
      <c r="C28" s="1143">
        <v>83416952.069999993</v>
      </c>
      <c r="D28" s="1144">
        <v>14927475.85</v>
      </c>
      <c r="E28" s="1145"/>
      <c r="F28" s="1146">
        <f>C28+D28</f>
        <v>98344427.919999987</v>
      </c>
      <c r="G28" s="1143"/>
      <c r="H28" s="1145"/>
      <c r="I28" s="1145"/>
      <c r="J28" s="1146"/>
      <c r="K28" s="1143">
        <f>F28-J28</f>
        <v>98344427.919999987</v>
      </c>
      <c r="L28" s="1146">
        <f>C28-G28</f>
        <v>83416952.069999993</v>
      </c>
    </row>
    <row r="29" spans="2:13" s="872" customFormat="1">
      <c r="B29" s="261" t="s">
        <v>266</v>
      </c>
      <c r="C29" s="1142">
        <v>15077014.659999996</v>
      </c>
      <c r="D29" s="1138">
        <v>68339937.409999996</v>
      </c>
      <c r="E29" s="1138"/>
      <c r="F29" s="1139">
        <f>C29+D29</f>
        <v>83416952.069999993</v>
      </c>
      <c r="G29" s="1142"/>
      <c r="H29" s="1138"/>
      <c r="I29" s="1138"/>
      <c r="J29" s="1139"/>
      <c r="K29" s="1142">
        <f>F29-J29</f>
        <v>83416952.069999993</v>
      </c>
      <c r="L29" s="1139"/>
    </row>
    <row r="30" spans="2:13">
      <c r="B30" s="967"/>
      <c r="C30" s="534"/>
      <c r="D30" s="534"/>
      <c r="E30" s="534"/>
      <c r="F30" s="534">
        <f>F20+F24</f>
        <v>11794702113.690001</v>
      </c>
      <c r="G30" s="534"/>
      <c r="H30" s="534"/>
      <c r="I30" s="534"/>
      <c r="J30" s="534"/>
      <c r="K30" s="534"/>
      <c r="L30" s="968"/>
    </row>
    <row r="31" spans="2:13">
      <c r="B31" s="1350" t="s">
        <v>1470</v>
      </c>
      <c r="C31" s="1351"/>
      <c r="D31" s="1351"/>
      <c r="E31" s="1351"/>
      <c r="F31" s="1351"/>
      <c r="G31" s="1351"/>
      <c r="H31" s="1351"/>
      <c r="I31" s="1351"/>
      <c r="J31" s="1351"/>
      <c r="K31" s="1351"/>
      <c r="L31" s="1352"/>
    </row>
    <row r="32" spans="2:13" ht="30" customHeight="1">
      <c r="B32" s="1350"/>
      <c r="C32" s="1351"/>
      <c r="D32" s="1351"/>
      <c r="E32" s="1351"/>
      <c r="F32" s="1351"/>
      <c r="G32" s="1351"/>
      <c r="H32" s="1351"/>
      <c r="I32" s="1351"/>
      <c r="J32" s="1351"/>
      <c r="K32" s="1351"/>
      <c r="L32" s="1352"/>
    </row>
    <row r="33" spans="2:12" ht="19.5" customHeight="1">
      <c r="B33" s="1353" t="s">
        <v>1197</v>
      </c>
      <c r="C33" s="1354"/>
      <c r="D33" s="1354"/>
      <c r="E33" s="1354"/>
      <c r="F33" s="1354"/>
      <c r="G33" s="1354"/>
      <c r="H33" s="1354"/>
      <c r="I33" s="1354"/>
      <c r="J33" s="1354"/>
      <c r="K33" s="1354"/>
      <c r="L33" s="1355"/>
    </row>
    <row r="34" spans="2:12" ht="20.25" customHeight="1">
      <c r="B34" s="1353" t="s">
        <v>1279</v>
      </c>
      <c r="C34" s="1354"/>
      <c r="D34" s="1354"/>
      <c r="E34" s="1354"/>
      <c r="F34" s="1354"/>
      <c r="G34" s="1354"/>
      <c r="H34" s="1354"/>
      <c r="I34" s="1354"/>
      <c r="J34" s="1354"/>
      <c r="K34" s="1354"/>
      <c r="L34" s="1355"/>
    </row>
    <row r="35" spans="2:12" ht="20.25" customHeight="1">
      <c r="B35" s="974" t="s">
        <v>1280</v>
      </c>
      <c r="C35" s="972"/>
      <c r="D35" s="972"/>
      <c r="E35" s="972"/>
      <c r="F35" s="972"/>
      <c r="G35" s="972"/>
      <c r="H35" s="972"/>
      <c r="I35" s="972"/>
      <c r="J35" s="972"/>
      <c r="K35" s="972"/>
      <c r="L35" s="973"/>
    </row>
    <row r="36" spans="2:12" ht="20.25" customHeight="1">
      <c r="B36" s="974" t="s">
        <v>1198</v>
      </c>
      <c r="C36" s="270"/>
      <c r="D36" s="270"/>
      <c r="E36" s="270"/>
      <c r="F36" s="270"/>
      <c r="G36" s="270"/>
      <c r="H36" s="270"/>
      <c r="I36" s="270"/>
      <c r="J36" s="270"/>
      <c r="K36" s="270"/>
      <c r="L36" s="975"/>
    </row>
    <row r="37" spans="2:12" ht="12" customHeight="1">
      <c r="B37" s="969"/>
      <c r="C37" s="970"/>
      <c r="D37" s="970"/>
      <c r="E37" s="970"/>
      <c r="F37" s="970"/>
      <c r="G37" s="970"/>
      <c r="H37" s="970"/>
      <c r="I37" s="970"/>
      <c r="J37" s="970"/>
      <c r="K37" s="970"/>
      <c r="L37" s="971"/>
    </row>
    <row r="38" spans="2:12">
      <c r="B38" s="224" t="s">
        <v>517</v>
      </c>
      <c r="E38" s="266"/>
      <c r="F38" s="266"/>
      <c r="G38" s="534"/>
      <c r="I38" s="660"/>
      <c r="J38" s="266"/>
      <c r="K38" s="266"/>
      <c r="L38" s="762"/>
    </row>
    <row r="39" spans="2:12">
      <c r="B39" s="263" t="s">
        <v>518</v>
      </c>
      <c r="C39" s="263" t="s">
        <v>92</v>
      </c>
      <c r="E39" s="266"/>
      <c r="F39" s="266"/>
      <c r="G39" s="534"/>
      <c r="K39" s="661"/>
      <c r="L39" s="762"/>
    </row>
    <row r="40" spans="2:12">
      <c r="B40" s="264" t="s">
        <v>81</v>
      </c>
      <c r="C40" s="265" t="s">
        <v>26</v>
      </c>
      <c r="F40" s="266"/>
      <c r="G40" s="534"/>
      <c r="J40" s="266"/>
      <c r="K40" s="661"/>
      <c r="L40" s="762"/>
    </row>
    <row r="41" spans="2:12">
      <c r="B41" s="264" t="s">
        <v>82</v>
      </c>
      <c r="C41" s="265"/>
      <c r="K41" s="661"/>
      <c r="L41" s="762"/>
    </row>
    <row r="42" spans="2:12">
      <c r="B42" s="267" t="s">
        <v>267</v>
      </c>
      <c r="C42" s="265" t="s">
        <v>83</v>
      </c>
      <c r="E42" s="268"/>
      <c r="I42" s="269"/>
      <c r="J42" s="270"/>
      <c r="L42" s="762"/>
    </row>
    <row r="43" spans="2:12" ht="31.5">
      <c r="B43" s="271" t="s">
        <v>268</v>
      </c>
      <c r="C43" s="265" t="s">
        <v>84</v>
      </c>
      <c r="L43" s="762"/>
    </row>
    <row r="44" spans="2:12">
      <c r="B44" s="267" t="s">
        <v>269</v>
      </c>
      <c r="C44" s="265" t="s">
        <v>27</v>
      </c>
      <c r="L44" s="762"/>
    </row>
    <row r="45" spans="2:12">
      <c r="B45" s="264" t="s">
        <v>270</v>
      </c>
      <c r="C45" s="265"/>
      <c r="L45" s="762"/>
    </row>
    <row r="46" spans="2:12">
      <c r="B46" s="267" t="s">
        <v>85</v>
      </c>
      <c r="C46" s="265" t="s">
        <v>86</v>
      </c>
      <c r="L46" s="762"/>
    </row>
    <row r="47" spans="2:12">
      <c r="B47" s="267" t="s">
        <v>87</v>
      </c>
      <c r="C47" s="265" t="s">
        <v>91</v>
      </c>
      <c r="I47" s="272"/>
      <c r="L47" s="762"/>
    </row>
    <row r="48" spans="2:12">
      <c r="B48" s="264" t="s">
        <v>271</v>
      </c>
      <c r="C48" s="265"/>
      <c r="E48" s="268"/>
      <c r="L48" s="762"/>
    </row>
    <row r="49" spans="2:12">
      <c r="B49" s="267" t="s">
        <v>272</v>
      </c>
      <c r="C49" s="265" t="s">
        <v>27</v>
      </c>
      <c r="L49" s="762"/>
    </row>
    <row r="50" spans="2:12">
      <c r="B50" s="267" t="s">
        <v>87</v>
      </c>
      <c r="C50" s="265" t="s">
        <v>88</v>
      </c>
      <c r="L50" s="762"/>
    </row>
    <row r="51" spans="2:12">
      <c r="B51" s="264" t="s">
        <v>89</v>
      </c>
      <c r="C51" s="265" t="s">
        <v>88</v>
      </c>
      <c r="L51" s="762"/>
    </row>
    <row r="52" spans="2:12">
      <c r="B52" s="264" t="s">
        <v>273</v>
      </c>
      <c r="C52" s="265" t="s">
        <v>27</v>
      </c>
      <c r="L52" s="762"/>
    </row>
    <row r="53" spans="2:12">
      <c r="B53" s="264" t="s">
        <v>90</v>
      </c>
      <c r="C53" s="265" t="s">
        <v>27</v>
      </c>
      <c r="I53" s="269"/>
      <c r="L53" s="762"/>
    </row>
    <row r="54" spans="2:12">
      <c r="B54" s="273" t="s">
        <v>274</v>
      </c>
      <c r="C54" s="274" t="s">
        <v>27</v>
      </c>
      <c r="I54" s="269"/>
      <c r="L54" s="762"/>
    </row>
    <row r="55" spans="2:12" ht="31.5">
      <c r="B55" s="273" t="s">
        <v>1432</v>
      </c>
      <c r="C55" s="275" t="s">
        <v>1151</v>
      </c>
      <c r="L55" s="762"/>
    </row>
    <row r="56" spans="2:12" ht="16.5" thickBot="1">
      <c r="B56" s="763"/>
      <c r="C56" s="662"/>
      <c r="D56" s="663"/>
      <c r="E56" s="662"/>
      <c r="F56" s="662"/>
      <c r="G56" s="662"/>
      <c r="H56" s="663"/>
      <c r="I56" s="662"/>
      <c r="J56" s="662"/>
      <c r="K56" s="662"/>
      <c r="L56" s="764"/>
    </row>
    <row r="57" spans="2:12">
      <c r="B57" s="976"/>
      <c r="L57" s="762"/>
    </row>
    <row r="58" spans="2:12">
      <c r="B58" s="976"/>
      <c r="L58" s="762"/>
    </row>
    <row r="59" spans="2:12">
      <c r="B59" s="976"/>
      <c r="L59" s="762"/>
    </row>
    <row r="60" spans="2:12">
      <c r="B60" s="976"/>
      <c r="L60" s="762"/>
    </row>
    <row r="61" spans="2:12">
      <c r="B61" s="976"/>
      <c r="L61" s="762"/>
    </row>
    <row r="62" spans="2:12">
      <c r="B62" s="976"/>
      <c r="L62" s="762"/>
    </row>
    <row r="63" spans="2:12">
      <c r="B63" s="976"/>
      <c r="L63" s="762"/>
    </row>
    <row r="64" spans="2:12">
      <c r="B64" s="976"/>
      <c r="L64" s="762"/>
    </row>
    <row r="65" spans="2:12">
      <c r="B65" s="976"/>
      <c r="L65" s="762"/>
    </row>
    <row r="66" spans="2:12">
      <c r="B66" s="976"/>
      <c r="L66" s="762"/>
    </row>
    <row r="67" spans="2:12">
      <c r="B67" s="976"/>
      <c r="L67" s="762"/>
    </row>
    <row r="68" spans="2:12">
      <c r="B68" s="976"/>
      <c r="L68" s="762"/>
    </row>
    <row r="69" spans="2:12">
      <c r="B69" s="976"/>
      <c r="L69" s="762"/>
    </row>
    <row r="70" spans="2:12">
      <c r="B70" s="976"/>
      <c r="L70" s="762"/>
    </row>
    <row r="71" spans="2:12">
      <c r="B71" s="977"/>
      <c r="C71" s="978"/>
      <c r="D71" s="979"/>
      <c r="E71" s="978"/>
      <c r="F71" s="978"/>
      <c r="G71" s="978"/>
      <c r="H71" s="979"/>
      <c r="I71" s="978"/>
      <c r="J71" s="978"/>
      <c r="K71" s="978"/>
      <c r="L71" s="980"/>
    </row>
  </sheetData>
  <mergeCells count="9">
    <mergeCell ref="B31:L32"/>
    <mergeCell ref="B34:L34"/>
    <mergeCell ref="B33:L33"/>
    <mergeCell ref="B1:L1"/>
    <mergeCell ref="C4:F4"/>
    <mergeCell ref="G4:J4"/>
    <mergeCell ref="B2:L2"/>
    <mergeCell ref="K4:L4"/>
    <mergeCell ref="B4:B5"/>
  </mergeCells>
  <pageMargins left="0.37" right="0.51" top="1.41" bottom="0.2" header="0.05" footer="0.05"/>
  <pageSetup paperSize="9" scale="51" orientation="landscape" r:id="rId1"/>
</worksheet>
</file>

<file path=xl/worksheets/sheet8.xml><?xml version="1.0" encoding="utf-8"?>
<worksheet xmlns="http://schemas.openxmlformats.org/spreadsheetml/2006/main" xmlns:r="http://schemas.openxmlformats.org/officeDocument/2006/relationships">
  <sheetPr enableFormatConditionsCalculation="0">
    <tabColor rgb="FF00B050"/>
  </sheetPr>
  <dimension ref="A1:F130"/>
  <sheetViews>
    <sheetView showGridLines="0" showWhiteSpace="0" topLeftCell="A51" zoomScaleSheetLayoutView="90" workbookViewId="0">
      <selection activeCell="C62" sqref="C62"/>
    </sheetView>
  </sheetViews>
  <sheetFormatPr defaultColWidth="9.140625" defaultRowHeight="15.75"/>
  <cols>
    <col min="1" max="1" width="12.42578125" style="4" bestFit="1" customWidth="1"/>
    <col min="2" max="2" width="58.7109375" style="127" bestFit="1" customWidth="1"/>
    <col min="3" max="3" width="29.140625" style="155" bestFit="1" customWidth="1"/>
    <col min="4" max="4" width="29.7109375" style="155" bestFit="1" customWidth="1"/>
    <col min="5" max="5" width="9.140625" style="4"/>
    <col min="6" max="6" width="14.28515625" style="4" bestFit="1" customWidth="1"/>
    <col min="7" max="16302" width="9.140625" style="4"/>
    <col min="16303" max="16303" width="12.42578125" style="4" bestFit="1" customWidth="1"/>
    <col min="16304" max="16384" width="9.140625" style="4"/>
  </cols>
  <sheetData>
    <row r="1" spans="1:4">
      <c r="B1" s="1324" t="s">
        <v>0</v>
      </c>
      <c r="C1" s="1325"/>
      <c r="D1" s="1326"/>
    </row>
    <row r="2" spans="1:4">
      <c r="B2" s="1366" t="s">
        <v>1052</v>
      </c>
      <c r="C2" s="1367"/>
      <c r="D2" s="1368"/>
    </row>
    <row r="3" spans="1:4">
      <c r="B3" s="903"/>
      <c r="C3" s="533"/>
      <c r="D3" s="1184" t="str">
        <f>'2SFP'!E3</f>
        <v>Amount in Nu.</v>
      </c>
    </row>
    <row r="4" spans="1:4" ht="31.5">
      <c r="B4" s="222" t="str">
        <f>'2SFP'!B4</f>
        <v>Particulars</v>
      </c>
      <c r="C4" s="1077" t="str">
        <f>'2SFP'!D4</f>
        <v>As at 28th February, 2019</v>
      </c>
      <c r="D4" s="1185" t="str">
        <f>'2SFP'!E4</f>
        <v>As at 31st December ,  2018</v>
      </c>
    </row>
    <row r="5" spans="1:4">
      <c r="B5" s="236"/>
      <c r="C5" s="1112"/>
      <c r="D5" s="1091"/>
    </row>
    <row r="6" spans="1:4">
      <c r="B6" s="236" t="s">
        <v>519</v>
      </c>
      <c r="C6" s="1186"/>
      <c r="D6" s="1187"/>
    </row>
    <row r="7" spans="1:4">
      <c r="B7" s="332" t="s">
        <v>111</v>
      </c>
      <c r="C7" s="1108"/>
      <c r="D7" s="723"/>
    </row>
    <row r="8" spans="1:4">
      <c r="A8" s="4">
        <v>1205310000</v>
      </c>
      <c r="B8" s="332" t="s">
        <v>1382</v>
      </c>
      <c r="C8" s="1108">
        <f>IFERROR(VLOOKUP(A8,Trial!$A$2:$D$9992,3,0),0)</f>
        <v>0</v>
      </c>
      <c r="D8" s="723">
        <f>IFERROR(VLOOKUP(A8,Trial!$A$2:$D$9992,4,0),0)</f>
        <v>0</v>
      </c>
    </row>
    <row r="9" spans="1:4">
      <c r="B9" s="332" t="s">
        <v>1433</v>
      </c>
      <c r="C9" s="1108"/>
      <c r="D9" s="1188"/>
    </row>
    <row r="10" spans="1:4" ht="90">
      <c r="B10" s="538" t="s">
        <v>1434</v>
      </c>
      <c r="C10" s="1108"/>
      <c r="D10" s="1188"/>
    </row>
    <row r="11" spans="1:4">
      <c r="B11" s="777" t="s">
        <v>114</v>
      </c>
      <c r="C11" s="1148">
        <f>SUM(C8:C9)</f>
        <v>0</v>
      </c>
      <c r="D11" s="1189">
        <f>SUM(D8:D9)</f>
        <v>0</v>
      </c>
    </row>
    <row r="12" spans="1:4">
      <c r="B12" s="236" t="s">
        <v>114</v>
      </c>
      <c r="C12" s="533"/>
      <c r="D12" s="1091"/>
    </row>
    <row r="13" spans="1:4" ht="31.5">
      <c r="B13" s="222" t="str">
        <f>+B4</f>
        <v>Particulars</v>
      </c>
      <c r="C13" s="1077" t="str">
        <f>+C4</f>
        <v>As at 28th February, 2019</v>
      </c>
      <c r="D13" s="1077" t="str">
        <f>+D4</f>
        <v>As at 31st December ,  2018</v>
      </c>
    </row>
    <row r="14" spans="1:4">
      <c r="B14" s="236" t="s">
        <v>469</v>
      </c>
      <c r="C14" s="1186"/>
      <c r="D14" s="1187"/>
    </row>
    <row r="15" spans="1:4">
      <c r="A15" s="3">
        <v>1206103000</v>
      </c>
      <c r="B15" s="280" t="s">
        <v>1153</v>
      </c>
      <c r="C15" s="1108">
        <f>IFERROR(VLOOKUP(A15,Trial!$A$2:$D$9992,3,0),0)</f>
        <v>180000000</v>
      </c>
      <c r="D15" s="723">
        <f>IFERROR(VLOOKUP(A15,Trial!$A$2:$D$9992,4,0),0)</f>
        <v>180000000</v>
      </c>
    </row>
    <row r="16" spans="1:4">
      <c r="A16" s="4">
        <v>1205201001</v>
      </c>
      <c r="B16" s="332" t="s">
        <v>150</v>
      </c>
      <c r="C16" s="1108">
        <f>IFERROR(VLOOKUP(A16,Trial!$A$2:$D$10047,3,0),0)</f>
        <v>1000000</v>
      </c>
      <c r="D16" s="723">
        <f>IFERROR(VLOOKUP(A16,Trial!$A$2:$D$9992,4,0),0)</f>
        <v>1000000</v>
      </c>
    </row>
    <row r="17" spans="1:4">
      <c r="A17" s="4">
        <v>1205213001</v>
      </c>
      <c r="B17" s="332" t="s">
        <v>1152</v>
      </c>
      <c r="C17" s="1108">
        <f>IFERROR(VLOOKUP(A17,Trial!$A$2:$D$9992,3,0),0)</f>
        <v>9682582.5199999996</v>
      </c>
      <c r="D17" s="723">
        <f>IFERROR(VLOOKUP(A17,Trial!$A$2:$D$9992,4,0),0)</f>
        <v>9682582.5199999996</v>
      </c>
    </row>
    <row r="18" spans="1:4">
      <c r="B18" s="332" t="s">
        <v>1154</v>
      </c>
      <c r="C18" s="1108"/>
      <c r="D18" s="723"/>
    </row>
    <row r="19" spans="1:4">
      <c r="B19" s="904" t="s">
        <v>114</v>
      </c>
      <c r="C19" s="349">
        <f>SUM(C15:C17)</f>
        <v>190682582.52000001</v>
      </c>
      <c r="D19" s="1114">
        <f>SUM(D15:D17)</f>
        <v>190682582.52000001</v>
      </c>
    </row>
    <row r="20" spans="1:4">
      <c r="B20" s="236" t="s">
        <v>114</v>
      </c>
      <c r="C20" s="1190"/>
      <c r="D20" s="1187"/>
    </row>
    <row r="21" spans="1:4" ht="31.5">
      <c r="B21" s="222" t="str">
        <f>+B13</f>
        <v>Particulars</v>
      </c>
      <c r="C21" s="1077" t="str">
        <f>+C13</f>
        <v>As at 28th February, 2019</v>
      </c>
      <c r="D21" s="1077" t="str">
        <f>+D13</f>
        <v>As at 31st December ,  2018</v>
      </c>
    </row>
    <row r="22" spans="1:4">
      <c r="B22" s="236" t="s">
        <v>470</v>
      </c>
      <c r="C22" s="1186"/>
      <c r="D22" s="1187"/>
    </row>
    <row r="23" spans="1:4">
      <c r="A23" s="3">
        <v>1212101001</v>
      </c>
      <c r="B23" s="280" t="s">
        <v>520</v>
      </c>
      <c r="C23" s="1108">
        <f>IFERROR(VLOOKUP(A23,Trial!$A$2:$D$9992,3,0),0)</f>
        <v>27892023.539999999</v>
      </c>
      <c r="D23" s="723">
        <f>IFERROR(VLOOKUP(A23,Trial!$A$2:$D$9992,4,0),0)</f>
        <v>27892023.539999999</v>
      </c>
    </row>
    <row r="24" spans="1:4">
      <c r="B24" s="329" t="s">
        <v>114</v>
      </c>
      <c r="C24" s="349">
        <f>SUM(C23)</f>
        <v>27892023.539999999</v>
      </c>
      <c r="D24" s="1114">
        <f>SUM(D23)</f>
        <v>27892023.539999999</v>
      </c>
    </row>
    <row r="25" spans="1:4">
      <c r="B25" s="329"/>
      <c r="C25" s="1186"/>
      <c r="D25" s="1187"/>
    </row>
    <row r="26" spans="1:4">
      <c r="B26" s="329"/>
      <c r="C26" s="1186"/>
      <c r="D26" s="1187"/>
    </row>
    <row r="27" spans="1:4">
      <c r="B27" s="236" t="s">
        <v>1244</v>
      </c>
      <c r="C27" s="1186"/>
      <c r="D27" s="1187"/>
    </row>
    <row r="28" spans="1:4">
      <c r="B28" s="329"/>
      <c r="C28" s="1186"/>
      <c r="D28" s="1187"/>
    </row>
    <row r="29" spans="1:4">
      <c r="B29" s="332" t="s">
        <v>1254</v>
      </c>
      <c r="C29" s="1108">
        <f>+D23</f>
        <v>27892023.539999999</v>
      </c>
      <c r="D29" s="723">
        <v>-6783501.8300000001</v>
      </c>
    </row>
    <row r="30" spans="1:4">
      <c r="B30" s="332" t="s">
        <v>1281</v>
      </c>
      <c r="C30" s="1108">
        <f>+DT!C32+6187294.8</f>
        <v>-26403173.511999998</v>
      </c>
      <c r="D30" s="723">
        <v>16443370.83</v>
      </c>
    </row>
    <row r="31" spans="1:4">
      <c r="B31" s="332" t="s">
        <v>1250</v>
      </c>
      <c r="C31" s="1108">
        <f>'3SOCI'!D34</f>
        <v>0</v>
      </c>
      <c r="D31" s="723">
        <v>0</v>
      </c>
    </row>
    <row r="32" spans="1:4">
      <c r="B32" s="335" t="s">
        <v>1378</v>
      </c>
      <c r="C32" s="1191">
        <f>SUM(C29:C31)</f>
        <v>1488850.0280000009</v>
      </c>
      <c r="D32" s="1188">
        <v>9659869</v>
      </c>
    </row>
    <row r="33" spans="1:4">
      <c r="B33" s="905"/>
      <c r="C33" s="1192"/>
      <c r="D33" s="1193"/>
    </row>
    <row r="34" spans="1:4">
      <c r="B34" s="329"/>
      <c r="C34" s="533"/>
      <c r="D34" s="1187"/>
    </row>
    <row r="35" spans="1:4" ht="31.5">
      <c r="B35" s="539" t="str">
        <f>+B21</f>
        <v>Particulars</v>
      </c>
      <c r="C35" s="1077" t="str">
        <f>+C21</f>
        <v>As at 28th February, 2019</v>
      </c>
      <c r="D35" s="1077" t="str">
        <f>+D21</f>
        <v>As at 31st December ,  2018</v>
      </c>
    </row>
    <row r="36" spans="1:4">
      <c r="B36" s="236" t="s">
        <v>471</v>
      </c>
      <c r="C36" s="1112"/>
      <c r="D36" s="1091"/>
    </row>
    <row r="37" spans="1:4">
      <c r="A37" s="4">
        <v>1206105000</v>
      </c>
      <c r="B37" s="329" t="s">
        <v>1031</v>
      </c>
      <c r="C37" s="1112">
        <f>IFERROR(VLOOKUP(A37,Trial!$A$2:$D$9992,3,0),0)</f>
        <v>0</v>
      </c>
      <c r="D37" s="1091">
        <f>IFERROR(VLOOKUP(A37,Trial!$A$2:$D$9992,4,0),0)</f>
        <v>0</v>
      </c>
    </row>
    <row r="38" spans="1:4">
      <c r="A38" s="4">
        <v>1205101000</v>
      </c>
      <c r="B38" s="329" t="s">
        <v>147</v>
      </c>
      <c r="C38" s="1112">
        <f>IFERROR(VLOOKUP(A38,Trial!$A$2:$D$10047,3,0),0)</f>
        <v>0</v>
      </c>
      <c r="D38" s="1091">
        <f>IFERROR(VLOOKUP(A38,Trial!$A$2:$D$9992,4,0),0)</f>
        <v>0</v>
      </c>
    </row>
    <row r="39" spans="1:4">
      <c r="A39" s="4">
        <v>1205101001</v>
      </c>
      <c r="B39" s="329" t="s">
        <v>148</v>
      </c>
      <c r="C39" s="1112">
        <f>IFERROR(VLOOKUP(A39,Trial!$A$2:$D$10047,3,0),0)</f>
        <v>0</v>
      </c>
      <c r="D39" s="1091">
        <f>IFERROR(VLOOKUP(A39,Trial!$A$2:$D$9992,4,0),0)</f>
        <v>0</v>
      </c>
    </row>
    <row r="40" spans="1:4">
      <c r="A40" s="4">
        <v>1205201000</v>
      </c>
      <c r="B40" s="329" t="s">
        <v>149</v>
      </c>
      <c r="C40" s="1112">
        <f>IFERROR(VLOOKUP(A40,Trial!$A$2:$D$10047,3,0),0)</f>
        <v>0</v>
      </c>
      <c r="D40" s="1091">
        <f>IFERROR(VLOOKUP(A40,Trial!$A$2:$D$9992,4,0),0)</f>
        <v>0</v>
      </c>
    </row>
    <row r="41" spans="1:4">
      <c r="A41" s="4">
        <v>1205210000</v>
      </c>
      <c r="B41" s="329" t="s">
        <v>151</v>
      </c>
      <c r="C41" s="1112">
        <f>IFERROR(VLOOKUP(A41,Trial!$A$2:$D$10047,3,0),0)</f>
        <v>0</v>
      </c>
      <c r="D41" s="1091">
        <f>IFERROR(VLOOKUP(A41,Trial!$A$2:$D$9992,4,0),0)</f>
        <v>0</v>
      </c>
    </row>
    <row r="42" spans="1:4">
      <c r="A42" s="4">
        <v>1206101000</v>
      </c>
      <c r="B42" s="329" t="s">
        <v>152</v>
      </c>
      <c r="C42" s="1112">
        <f>IFERROR(VLOOKUP(A42,Trial!$A$2:$D$10047,3,0),0)</f>
        <v>0</v>
      </c>
      <c r="D42" s="1091">
        <f>IFERROR(VLOOKUP(A42,Trial!$A$2:$D$9992,4,0),0)</f>
        <v>0</v>
      </c>
    </row>
    <row r="43" spans="1:4">
      <c r="A43" s="4">
        <v>1206101001</v>
      </c>
      <c r="B43" s="329" t="s">
        <v>153</v>
      </c>
      <c r="C43" s="1112">
        <f>IFERROR(VLOOKUP(A43,Trial!$A$2:$D$10047,3,0),0)</f>
        <v>0</v>
      </c>
      <c r="D43" s="1091">
        <f>IFERROR(VLOOKUP(A43,Trial!$A$2:$D$9992,4,0),0)</f>
        <v>0</v>
      </c>
    </row>
    <row r="44" spans="1:4">
      <c r="A44" s="4">
        <v>1206102000</v>
      </c>
      <c r="B44" s="329" t="s">
        <v>154</v>
      </c>
      <c r="C44" s="1112">
        <f>IFERROR(VLOOKUP(A44,Trial!$A$2:$D$10047,3,0),0)</f>
        <v>0</v>
      </c>
      <c r="D44" s="1091">
        <f>IFERROR(VLOOKUP(A44,Trial!$A$2:$D$9992,4,0),0)</f>
        <v>0</v>
      </c>
    </row>
    <row r="45" spans="1:4">
      <c r="A45" s="4">
        <v>1206108001</v>
      </c>
      <c r="B45" s="332" t="s">
        <v>1168</v>
      </c>
      <c r="C45" s="1108">
        <f>IFERROR(VLOOKUP(A45,Trial!$A$2:$D$9992,3,0),0)</f>
        <v>1282728.96</v>
      </c>
      <c r="D45" s="1091">
        <f>IFERROR(VLOOKUP(A45,Trial!$A$2:$D$9992,4,0),0)</f>
        <v>1282728.96</v>
      </c>
    </row>
    <row r="46" spans="1:4">
      <c r="A46" s="4">
        <v>1206104001</v>
      </c>
      <c r="B46" s="332" t="s">
        <v>155</v>
      </c>
      <c r="C46" s="1108">
        <f>IFERROR(VLOOKUP(A46,Trial!$A$2:$D$10047,3,0),0)</f>
        <v>0</v>
      </c>
      <c r="D46" s="1091">
        <f>IFERROR(VLOOKUP(A46,Trial!$A$2:$D$9992,4,0),0)</f>
        <v>0</v>
      </c>
    </row>
    <row r="47" spans="1:4">
      <c r="B47" s="332" t="s">
        <v>1155</v>
      </c>
      <c r="C47" s="1108"/>
      <c r="D47" s="723"/>
    </row>
    <row r="48" spans="1:4">
      <c r="B48" s="904" t="s">
        <v>114</v>
      </c>
      <c r="C48" s="349">
        <f>SUM(C37:C46)</f>
        <v>1282728.96</v>
      </c>
      <c r="D48" s="1114">
        <f>SUM(D37:D46)</f>
        <v>1282728.96</v>
      </c>
    </row>
    <row r="49" spans="1:4">
      <c r="B49" s="329" t="s">
        <v>114</v>
      </c>
      <c r="C49" s="1190"/>
      <c r="D49" s="1187"/>
    </row>
    <row r="50" spans="1:4" ht="31.5">
      <c r="B50" s="539" t="str">
        <f>+B35</f>
        <v>Particulars</v>
      </c>
      <c r="C50" s="1077" t="str">
        <f>+C35</f>
        <v>As at 28th February, 2019</v>
      </c>
      <c r="D50" s="1077" t="str">
        <f>+D35</f>
        <v>As at 31st December ,  2018</v>
      </c>
    </row>
    <row r="51" spans="1:4">
      <c r="B51" s="236" t="s">
        <v>472</v>
      </c>
      <c r="C51" s="1112"/>
      <c r="D51" s="1091"/>
    </row>
    <row r="52" spans="1:4">
      <c r="A52" s="4">
        <v>1111301000</v>
      </c>
      <c r="B52" s="329" t="s">
        <v>294</v>
      </c>
      <c r="C52" s="1112">
        <f>IFERROR(VLOOKUP(A52,Trial!$A$2:$D$9992,3,0),0)</f>
        <v>761499.76</v>
      </c>
      <c r="D52" s="1091">
        <f>IFERROR(VLOOKUP(A52,Trial!$A$2:$D$9992,4,0),0)</f>
        <v>862363.71</v>
      </c>
    </row>
    <row r="53" spans="1:4">
      <c r="A53" s="4">
        <v>1111301001</v>
      </c>
      <c r="B53" s="329" t="s">
        <v>295</v>
      </c>
      <c r="C53" s="1112">
        <f>IFERROR(VLOOKUP(A53,Trial!$A$2:$D$9992,3,0),0)</f>
        <v>2939743.82</v>
      </c>
      <c r="D53" s="1091">
        <f>IFERROR(VLOOKUP(A53,Trial!$A$2:$D$9992,4,0),0)</f>
        <v>3340300.56</v>
      </c>
    </row>
    <row r="54" spans="1:4">
      <c r="A54" s="4">
        <v>1111301002</v>
      </c>
      <c r="B54" s="329" t="s">
        <v>296</v>
      </c>
      <c r="C54" s="1112">
        <f>IFERROR(VLOOKUP(A54,Trial!$A$2:$D$9992,3,0),0)</f>
        <v>22592702.550000001</v>
      </c>
      <c r="D54" s="1091">
        <f>IFERROR(VLOOKUP(A54,Trial!$A$2:$D$9992,4,0),0)</f>
        <v>22829188.75</v>
      </c>
    </row>
    <row r="55" spans="1:4">
      <c r="A55" s="4">
        <v>1111301003</v>
      </c>
      <c r="B55" s="329" t="s">
        <v>297</v>
      </c>
      <c r="C55" s="1112">
        <f>IFERROR(VLOOKUP(A55,Trial!$A$2:$D$9992,3,0),0)</f>
        <v>5950</v>
      </c>
      <c r="D55" s="1091">
        <f>IFERROR(VLOOKUP(A55,Trial!$A$2:$D$9992,4,0),0)</f>
        <v>28540</v>
      </c>
    </row>
    <row r="56" spans="1:4">
      <c r="A56" s="4">
        <v>1111301004</v>
      </c>
      <c r="B56" s="329" t="s">
        <v>298</v>
      </c>
      <c r="C56" s="1112">
        <f>IFERROR(VLOOKUP(A56,Trial!$A$2:$D$9992,3,0),0)</f>
        <v>1359187.14</v>
      </c>
      <c r="D56" s="1091">
        <f>IFERROR(VLOOKUP(A56,Trial!$A$2:$D$9992,4,0),0)</f>
        <v>2030088.63</v>
      </c>
    </row>
    <row r="57" spans="1:4">
      <c r="A57" s="4">
        <v>1111301005</v>
      </c>
      <c r="B57" s="329" t="s">
        <v>299</v>
      </c>
      <c r="C57" s="1112">
        <f>IFERROR(VLOOKUP(A57,Trial!$A$2:$D$9992,3,0),0)</f>
        <v>1041971.24</v>
      </c>
      <c r="D57" s="1091">
        <f>IFERROR(VLOOKUP(A57,Trial!$A$2:$D$9992,4,0),0)</f>
        <v>1093718.04</v>
      </c>
    </row>
    <row r="58" spans="1:4">
      <c r="B58" s="332" t="s">
        <v>298</v>
      </c>
      <c r="C58" s="1108">
        <f>SUM(C52:C57)</f>
        <v>28701054.510000002</v>
      </c>
      <c r="D58" s="723">
        <f>SUM(D52:D57)</f>
        <v>30184199.689999998</v>
      </c>
    </row>
    <row r="59" spans="1:4">
      <c r="A59" s="4">
        <v>1111301008</v>
      </c>
      <c r="B59" s="332" t="s">
        <v>1158</v>
      </c>
      <c r="C59" s="1108">
        <f>IFERROR(VLOOKUP(A59,Trial!$A$2:$D$9992,3,0),0)</f>
        <v>53401514.18</v>
      </c>
      <c r="D59" s="723">
        <f>IFERROR(VLOOKUP(A59,Trial!$A$2:$D$9992,4,0),0)</f>
        <v>59553250.07</v>
      </c>
    </row>
    <row r="60" spans="1:4">
      <c r="A60" s="4">
        <v>1111301007</v>
      </c>
      <c r="B60" s="332" t="s">
        <v>1156</v>
      </c>
      <c r="C60" s="1108">
        <f>IFERROR(VLOOKUP(A60,Trial!$A$2:$D$9992,3,0),0)</f>
        <v>19068262.190000001</v>
      </c>
      <c r="D60" s="723">
        <f>IFERROR(VLOOKUP(A60,Trial!$A$2:$D$9992,4,0),0)</f>
        <v>17848508.09</v>
      </c>
    </row>
    <row r="61" spans="1:4">
      <c r="B61" s="236" t="s">
        <v>1157</v>
      </c>
      <c r="C61" s="349">
        <f>SUM(C58:C60)</f>
        <v>101170830.88</v>
      </c>
      <c r="D61" s="1114">
        <f>SUM(D58:D60)</f>
        <v>107585957.84999999</v>
      </c>
    </row>
    <row r="62" spans="1:4">
      <c r="A62" s="4">
        <v>1111302001</v>
      </c>
      <c r="B62" s="336" t="s">
        <v>1467</v>
      </c>
      <c r="C62" s="1108">
        <f>IFERROR(VLOOKUP(A62,Trial!$A$2:$D$9992,3,0),0)</f>
        <v>-8708854</v>
      </c>
      <c r="D62" s="723">
        <f>IFERROR(VLOOKUP(A62,Trial!$A$2:$D$9992,4,0),0)</f>
        <v>-8708854</v>
      </c>
    </row>
    <row r="63" spans="1:4">
      <c r="B63" s="242" t="s">
        <v>1468</v>
      </c>
      <c r="C63" s="349">
        <f>SUM(C61:C62)</f>
        <v>92461976.879999995</v>
      </c>
      <c r="D63" s="349">
        <f>SUM(D61:D62)</f>
        <v>98877103.849999994</v>
      </c>
    </row>
    <row r="64" spans="1:4">
      <c r="B64" s="902"/>
      <c r="C64" s="1194"/>
      <c r="D64" s="1195"/>
    </row>
    <row r="65" spans="1:4" ht="31.5">
      <c r="B65" s="539" t="str">
        <f>+B50</f>
        <v>Particulars</v>
      </c>
      <c r="C65" s="1077" t="str">
        <f>+C50</f>
        <v>As at 28th February, 2019</v>
      </c>
      <c r="D65" s="1077" t="str">
        <f>+D50</f>
        <v>As at 31st December ,  2018</v>
      </c>
    </row>
    <row r="66" spans="1:4">
      <c r="B66" s="236" t="s">
        <v>473</v>
      </c>
      <c r="C66" s="1112"/>
      <c r="D66" s="1091"/>
    </row>
    <row r="67" spans="1:4">
      <c r="B67" s="332" t="s">
        <v>100</v>
      </c>
      <c r="C67" s="1108"/>
      <c r="D67" s="723"/>
    </row>
    <row r="68" spans="1:4">
      <c r="A68" s="4">
        <v>1107101000</v>
      </c>
      <c r="B68" s="332" t="s">
        <v>1032</v>
      </c>
      <c r="C68" s="1108">
        <f>IFERROR(VLOOKUP(A68,Trial!$A$2:$D$9992,3,0),0)</f>
        <v>124321725.93000001</v>
      </c>
      <c r="D68" s="723">
        <f>IFERROR(VLOOKUP(A68,Trial!$A$2:$D$9992,4,0),0)</f>
        <v>124694678.72</v>
      </c>
    </row>
    <row r="69" spans="1:4">
      <c r="A69" s="4">
        <v>1107102000</v>
      </c>
      <c r="B69" s="332" t="s">
        <v>435</v>
      </c>
      <c r="C69" s="1108">
        <f>IFERROR(VLOOKUP(A69,Trial!$A$2:$D$9992,3,0),0)</f>
        <v>0</v>
      </c>
      <c r="D69" s="723">
        <f>IFERROR(VLOOKUP(A69,Trial!$A$2:$D$9992,4,0),0)</f>
        <v>0</v>
      </c>
    </row>
    <row r="70" spans="1:4">
      <c r="A70" s="4">
        <v>1107104000</v>
      </c>
      <c r="B70" s="332" t="s">
        <v>1033</v>
      </c>
      <c r="C70" s="1108">
        <f>IFERROR(VLOOKUP(A70,Trial!$A$2:$D$9992,3,0),0)</f>
        <v>14253913.109999999</v>
      </c>
      <c r="D70" s="723">
        <f>IFERROR(VLOOKUP(A70,Trial!$A$2:$D$9992,4,0),0)</f>
        <v>14894947.390000001</v>
      </c>
    </row>
    <row r="71" spans="1:4">
      <c r="B71" s="329"/>
      <c r="C71" s="1186">
        <f>SUM(C68:C70)</f>
        <v>138575639.04000002</v>
      </c>
      <c r="D71" s="1187">
        <f>SUM(D68:D70)</f>
        <v>139589626.11000001</v>
      </c>
    </row>
    <row r="72" spans="1:4">
      <c r="A72" s="4">
        <v>1107103000</v>
      </c>
      <c r="B72" s="332" t="s">
        <v>1159</v>
      </c>
      <c r="C72" s="1108">
        <f>IFERROR(VLOOKUP(A72,Trial!$A$2:$D$9992,3,0),0)</f>
        <v>-30678330.510000002</v>
      </c>
      <c r="D72" s="723">
        <f>IFERROR(VLOOKUP(A72,Trial!$A$2:$D$9992,4,0),0)</f>
        <v>-30678330.510000002</v>
      </c>
    </row>
    <row r="73" spans="1:4">
      <c r="A73" s="4" t="s">
        <v>114</v>
      </c>
      <c r="B73" s="332" t="s">
        <v>114</v>
      </c>
      <c r="C73" s="1191"/>
      <c r="D73" s="1188"/>
    </row>
    <row r="74" spans="1:4">
      <c r="B74" s="332"/>
      <c r="C74" s="1108"/>
      <c r="D74" s="723"/>
    </row>
    <row r="75" spans="1:4">
      <c r="B75" s="777" t="s">
        <v>1282</v>
      </c>
      <c r="C75" s="1148">
        <f>SUM(C71:C72)</f>
        <v>107897308.53000002</v>
      </c>
      <c r="D75" s="1189">
        <f>SUM(D71:D72)</f>
        <v>108911295.60000001</v>
      </c>
    </row>
    <row r="76" spans="1:4">
      <c r="B76" s="329" t="s">
        <v>114</v>
      </c>
      <c r="C76" s="1190"/>
      <c r="D76" s="1187"/>
    </row>
    <row r="77" spans="1:4" ht="31.5">
      <c r="B77" s="539" t="str">
        <f>+B65</f>
        <v>Particulars</v>
      </c>
      <c r="C77" s="1077" t="str">
        <f>+C65</f>
        <v>As at 28th February, 2019</v>
      </c>
      <c r="D77" s="1077" t="str">
        <f>+D65</f>
        <v>As at 31st December ,  2018</v>
      </c>
    </row>
    <row r="78" spans="1:4">
      <c r="B78" s="236" t="s">
        <v>474</v>
      </c>
      <c r="C78" s="1112"/>
      <c r="D78" s="1091"/>
    </row>
    <row r="79" spans="1:4">
      <c r="A79" s="3"/>
      <c r="B79" s="332" t="s">
        <v>1034</v>
      </c>
      <c r="C79" s="1108"/>
      <c r="D79" s="723"/>
    </row>
    <row r="80" spans="1:4">
      <c r="A80" s="3"/>
      <c r="B80" s="332" t="s">
        <v>223</v>
      </c>
      <c r="C80" s="1108">
        <f>SUM(Trial!C2:C4)</f>
        <v>-182445</v>
      </c>
      <c r="D80" s="1108">
        <f>SUM(Trial!D2:D4)</f>
        <v>1209913.31</v>
      </c>
    </row>
    <row r="81" spans="1:4">
      <c r="B81" s="332" t="s">
        <v>1435</v>
      </c>
      <c r="C81" s="1108"/>
      <c r="D81" s="723"/>
    </row>
    <row r="82" spans="1:4">
      <c r="B82" s="332" t="s">
        <v>114</v>
      </c>
      <c r="C82" s="1108"/>
      <c r="D82" s="723"/>
    </row>
    <row r="83" spans="1:4">
      <c r="B83" s="236" t="s">
        <v>224</v>
      </c>
      <c r="C83" s="1112"/>
      <c r="D83" s="1091"/>
    </row>
    <row r="84" spans="1:4">
      <c r="B84" s="332" t="s">
        <v>1160</v>
      </c>
      <c r="C84" s="1196">
        <f>SUM(Trial!C5:C296)</f>
        <v>865687887.21000004</v>
      </c>
      <c r="D84" s="1196">
        <f>SUM(Trial!D5:D296)</f>
        <v>632309910.53999984</v>
      </c>
    </row>
    <row r="85" spans="1:4">
      <c r="B85" s="242" t="s">
        <v>521</v>
      </c>
      <c r="C85" s="349">
        <f>C84+C80</f>
        <v>865505442.21000004</v>
      </c>
      <c r="D85" s="1114">
        <f>D84+D80</f>
        <v>633519823.84999979</v>
      </c>
    </row>
    <row r="86" spans="1:4">
      <c r="B86" s="329" t="s">
        <v>114</v>
      </c>
      <c r="C86" s="1190"/>
      <c r="D86" s="1187"/>
    </row>
    <row r="87" spans="1:4" ht="31.5">
      <c r="B87" s="539" t="str">
        <f>+B77</f>
        <v>Particulars</v>
      </c>
      <c r="C87" s="1077" t="str">
        <f>+C77</f>
        <v>As at 28th February, 2019</v>
      </c>
      <c r="D87" s="1077" t="str">
        <f>+D77</f>
        <v>As at 31st December ,  2018</v>
      </c>
    </row>
    <row r="88" spans="1:4">
      <c r="B88" s="236" t="s">
        <v>475</v>
      </c>
      <c r="C88" s="1112"/>
      <c r="D88" s="1091"/>
    </row>
    <row r="89" spans="1:4">
      <c r="B89" s="332" t="s">
        <v>100</v>
      </c>
      <c r="C89" s="1108"/>
      <c r="D89" s="723"/>
    </row>
    <row r="90" spans="1:4" ht="30">
      <c r="B90" s="336" t="s">
        <v>101</v>
      </c>
      <c r="C90" s="1197"/>
      <c r="D90" s="1198"/>
    </row>
    <row r="91" spans="1:4">
      <c r="A91" s="4">
        <v>1107203000</v>
      </c>
      <c r="B91" s="332" t="s">
        <v>820</v>
      </c>
      <c r="C91" s="1108">
        <f>IFERROR(VLOOKUP(A91,Trial!$A$2:$D$9992,3,0),0)</f>
        <v>1265005.6499999999</v>
      </c>
      <c r="D91" s="723">
        <f>IFERROR(VLOOKUP(A91,Trial!$A$2:$D$9992,4,0),0)</f>
        <v>1265005.6499999999</v>
      </c>
    </row>
    <row r="92" spans="1:4">
      <c r="A92" s="4">
        <v>1109101000</v>
      </c>
      <c r="B92" s="332" t="s">
        <v>824</v>
      </c>
      <c r="C92" s="1305">
        <f>IFERROR(VLOOKUP(A92,Trial!$A$2:$D$9992,3,0),0)</f>
        <v>64264.35</v>
      </c>
      <c r="D92" s="723">
        <f>IFERROR(VLOOKUP(A92,Trial!$A$2:$D$9992,4,0),0)</f>
        <v>64264.35</v>
      </c>
    </row>
    <row r="93" spans="1:4">
      <c r="A93" s="4">
        <v>1107215000</v>
      </c>
      <c r="B93" s="332" t="s">
        <v>823</v>
      </c>
      <c r="C93" s="1108">
        <f>IFERROR(VLOOKUP(A93,Trial!$A$2:$D$9992,3,0),0)</f>
        <v>2007812.9</v>
      </c>
      <c r="D93" s="723">
        <f>IFERROR(VLOOKUP(A93,Trial!$A$2:$D$9992,4,0),0)</f>
        <v>2007812.9</v>
      </c>
    </row>
    <row r="94" spans="1:4">
      <c r="A94" s="4">
        <v>1107212000</v>
      </c>
      <c r="B94" s="329" t="s">
        <v>144</v>
      </c>
      <c r="C94" s="1112">
        <f>IFERROR(VLOOKUP(A94,Trial!$A$2:$D$10047,3,0),0)</f>
        <v>0</v>
      </c>
      <c r="D94" s="1091">
        <f>IFERROR(VLOOKUP(A94,Trial!$A$2:$D$9999,4,0),0)</f>
        <v>0</v>
      </c>
    </row>
    <row r="95" spans="1:4">
      <c r="B95" s="904" t="s">
        <v>114</v>
      </c>
      <c r="C95" s="349">
        <f>SUM(C91:C94)</f>
        <v>3337082.9</v>
      </c>
      <c r="D95" s="1114">
        <f>SUM(D91:D94)</f>
        <v>3337082.9</v>
      </c>
    </row>
    <row r="96" spans="1:4">
      <c r="B96" s="329"/>
      <c r="C96" s="1190"/>
      <c r="D96" s="1187"/>
    </row>
    <row r="97" spans="1:6" ht="31.5">
      <c r="B97" s="539" t="str">
        <f>+B87</f>
        <v>Particulars</v>
      </c>
      <c r="C97" s="1077" t="str">
        <f>+C87</f>
        <v>As at 28th February, 2019</v>
      </c>
      <c r="D97" s="1077" t="str">
        <f>+D87</f>
        <v>As at 31st December ,  2018</v>
      </c>
    </row>
    <row r="98" spans="1:6">
      <c r="B98" s="236" t="s">
        <v>476</v>
      </c>
      <c r="C98" s="1112"/>
      <c r="D98" s="1091"/>
    </row>
    <row r="99" spans="1:6">
      <c r="B99" s="329"/>
      <c r="C99" s="1112"/>
      <c r="D99" s="1091"/>
    </row>
    <row r="100" spans="1:6">
      <c r="A100" s="4">
        <v>1107214000</v>
      </c>
      <c r="B100" s="332" t="s">
        <v>1164</v>
      </c>
      <c r="C100" s="1305">
        <f>IFERROR(VLOOKUP(A100,Trial!$A$2:$D$9992,3,0),0)</f>
        <v>40153405.390000001</v>
      </c>
      <c r="D100" s="723">
        <f>IFERROR(VLOOKUP(A100,Trial!$A$2:$D$9992,4,0),0)</f>
        <v>21171721.940000001</v>
      </c>
      <c r="E100" s="1303"/>
      <c r="F100" s="7"/>
    </row>
    <row r="101" spans="1:6">
      <c r="A101" s="4">
        <v>1107214001</v>
      </c>
      <c r="B101" s="332" t="s">
        <v>1165</v>
      </c>
      <c r="C101" s="1305">
        <f>IFERROR(VLOOKUP(A101,Trial!$A$2:$D$9992,3,0),0)</f>
        <v>767113.19</v>
      </c>
      <c r="D101" s="723">
        <f>IFERROR(VLOOKUP(A101,Trial!$A$2:$D$9992,4,0),0)</f>
        <v>767113.19</v>
      </c>
    </row>
    <row r="102" spans="1:6">
      <c r="A102" s="4">
        <v>1109104000</v>
      </c>
      <c r="B102" s="332" t="s">
        <v>825</v>
      </c>
      <c r="C102" s="1305">
        <f>IFERROR(VLOOKUP(A102,Trial!$A$2:$D$9992,3,0),0)</f>
        <v>72609.09</v>
      </c>
      <c r="D102" s="723">
        <f>IFERROR(VLOOKUP(A102,Trial!$A$2:$D$9992,4,0),0)</f>
        <v>0</v>
      </c>
    </row>
    <row r="103" spans="1:6">
      <c r="A103" s="4">
        <v>1109104001</v>
      </c>
      <c r="B103" s="332" t="s">
        <v>826</v>
      </c>
      <c r="C103" s="1305">
        <f>IFERROR(VLOOKUP(A103,Trial!$A$2:$D$9992,3,0),0)</f>
        <v>198590.91</v>
      </c>
      <c r="D103" s="723">
        <f>IFERROR(VLOOKUP(A103,Trial!$A$2:$D$9992,4,0),0)</f>
        <v>0</v>
      </c>
    </row>
    <row r="104" spans="1:6">
      <c r="A104" s="4">
        <v>1109104002</v>
      </c>
      <c r="B104" s="332" t="s">
        <v>1166</v>
      </c>
      <c r="C104" s="1305">
        <f>IFERROR(VLOOKUP(A104,Trial!$A$2:$D$9992,3,0),0)</f>
        <v>966960.77</v>
      </c>
      <c r="D104" s="723">
        <f>IFERROR(VLOOKUP(A104,Trial!$A$2:$D$9992,4,0),0)</f>
        <v>37976.620000000003</v>
      </c>
    </row>
    <row r="105" spans="1:6">
      <c r="A105" s="4">
        <v>1109104003</v>
      </c>
      <c r="B105" s="332" t="s">
        <v>828</v>
      </c>
      <c r="C105" s="1305">
        <f>IFERROR(VLOOKUP(A105,Trial!$A$2:$D$9992,3,0),0)</f>
        <v>10770676</v>
      </c>
      <c r="D105" s="723">
        <f>IFERROR(VLOOKUP(A105,Trial!$A$2:$D$9992,4,0),0)</f>
        <v>0</v>
      </c>
      <c r="F105" s="1303"/>
    </row>
    <row r="106" spans="1:6">
      <c r="B106" s="332" t="s">
        <v>264</v>
      </c>
      <c r="C106" s="1108"/>
      <c r="D106" s="723">
        <f>IFERROR(VLOOKUP(A106,Trial!$A$2:$D$9992,4,0),0)</f>
        <v>0</v>
      </c>
      <c r="F106" s="1303"/>
    </row>
    <row r="107" spans="1:6">
      <c r="A107" s="4">
        <v>1109105000</v>
      </c>
      <c r="B107" s="332" t="s">
        <v>1167</v>
      </c>
      <c r="C107" s="1305">
        <f>IFERROR(VLOOKUP(A107,Trial!$A$2:$D$9992,3,0),0)</f>
        <v>100847</v>
      </c>
      <c r="D107" s="723">
        <f>IFERROR(VLOOKUP(A107,Trial!$A$2:$D$9992,4,0),0)</f>
        <v>99486</v>
      </c>
      <c r="F107" s="1303"/>
    </row>
    <row r="108" spans="1:6">
      <c r="B108" s="335" t="s">
        <v>1131</v>
      </c>
      <c r="C108" s="1108"/>
      <c r="D108" s="723">
        <f>IFERROR(VLOOKUP(A108,Trial!$A$2:$D$9992,4,0),0)</f>
        <v>0</v>
      </c>
    </row>
    <row r="109" spans="1:6">
      <c r="A109" s="961">
        <v>1109203000</v>
      </c>
      <c r="B109" s="280" t="s">
        <v>206</v>
      </c>
      <c r="C109" s="1305">
        <f>IFERROR(VLOOKUP(A109,Trial!$A$2:$D$9992,3,0),0)</f>
        <v>466198.29</v>
      </c>
      <c r="D109" s="723">
        <f>IFERROR(VLOOKUP(A109,Trial!$A$2:$D$9992,4,0),0)</f>
        <v>288864.40999999997</v>
      </c>
    </row>
    <row r="110" spans="1:6">
      <c r="A110" s="3">
        <v>1109201000</v>
      </c>
      <c r="B110" s="280" t="s">
        <v>146</v>
      </c>
      <c r="C110" s="1108">
        <f>IFERROR(VLOOKUP(A110,Trial!$A$2:$D$9992,3,0),0)</f>
        <v>0</v>
      </c>
      <c r="D110" s="723">
        <f>IFERROR(VLOOKUP(A110,Trial!$A$2:$D$9992,4,0),0)</f>
        <v>0</v>
      </c>
    </row>
    <row r="111" spans="1:6">
      <c r="A111" s="3">
        <v>1109108001</v>
      </c>
      <c r="B111" s="280" t="s">
        <v>1128</v>
      </c>
      <c r="C111" s="1108">
        <f>IFERROR(VLOOKUP(A111,Trial!$A$2:$D$9992,3,0),0)</f>
        <v>427576.32000000001</v>
      </c>
      <c r="D111" s="723">
        <f>IFERROR(VLOOKUP(A111,Trial!$A$2:$D$9992,4,0),0)</f>
        <v>427576.32000000001</v>
      </c>
    </row>
    <row r="112" spans="1:6">
      <c r="A112" s="3">
        <v>1107215001</v>
      </c>
      <c r="B112" s="279" t="s">
        <v>145</v>
      </c>
      <c r="C112" s="1112">
        <f>IFERROR(VLOOKUP(A112,Trial!$A$2:$D$10047,3,0),0)</f>
        <v>0</v>
      </c>
      <c r="D112" s="723">
        <f>IFERROR(VLOOKUP(A112,Trial!$A$2:$D$9992,4,0),0)</f>
        <v>0</v>
      </c>
    </row>
    <row r="113" spans="1:4">
      <c r="B113" s="331"/>
      <c r="C113" s="349">
        <f>SUM(C100:C112)</f>
        <v>53923976.960000001</v>
      </c>
      <c r="D113" s="1114">
        <f>SUM(D100:D112)</f>
        <v>22792738.480000004</v>
      </c>
    </row>
    <row r="114" spans="1:4">
      <c r="B114" s="332" t="s">
        <v>1169</v>
      </c>
      <c r="C114" s="1199"/>
      <c r="D114" s="1188"/>
    </row>
    <row r="115" spans="1:4">
      <c r="B115" s="332" t="s">
        <v>1170</v>
      </c>
      <c r="C115" s="1199"/>
      <c r="D115" s="1188"/>
    </row>
    <row r="116" spans="1:4">
      <c r="B116" s="1378" t="s">
        <v>1171</v>
      </c>
      <c r="C116" s="1379"/>
      <c r="D116" s="1380"/>
    </row>
    <row r="117" spans="1:4">
      <c r="B117" s="1378" t="s">
        <v>1436</v>
      </c>
      <c r="C117" s="1379"/>
      <c r="D117" s="1380"/>
    </row>
    <row r="118" spans="1:4">
      <c r="B118" s="332" t="s">
        <v>1173</v>
      </c>
      <c r="C118" s="1199"/>
      <c r="D118" s="1188"/>
    </row>
    <row r="119" spans="1:4">
      <c r="B119" s="332" t="s">
        <v>1172</v>
      </c>
      <c r="C119" s="1199"/>
      <c r="D119" s="1188"/>
    </row>
    <row r="120" spans="1:4">
      <c r="B120" s="906"/>
      <c r="C120" s="1200"/>
      <c r="D120" s="1193"/>
    </row>
    <row r="121" spans="1:4">
      <c r="B121" s="912"/>
      <c r="C121" s="1194"/>
      <c r="D121" s="1195"/>
    </row>
    <row r="122" spans="1:4" ht="31.5">
      <c r="B122" s="539" t="str">
        <f>+B97</f>
        <v>Particulars</v>
      </c>
      <c r="C122" s="1077" t="str">
        <f>+C97</f>
        <v>As at 28th February, 2019</v>
      </c>
      <c r="D122" s="1077" t="str">
        <f>+D97</f>
        <v>As at 31st December ,  2018</v>
      </c>
    </row>
    <row r="123" spans="1:4">
      <c r="B123" s="236" t="s">
        <v>1174</v>
      </c>
      <c r="C123" s="1112"/>
      <c r="D123" s="1091"/>
    </row>
    <row r="124" spans="1:4">
      <c r="A124" s="4">
        <v>1109109001</v>
      </c>
      <c r="B124" s="332" t="s">
        <v>1175</v>
      </c>
      <c r="C124" s="1108">
        <f>IFERROR(VLOOKUP(A124,Trial!$A$2:$D$9992,3,0),0)</f>
        <v>99285178.310000002</v>
      </c>
      <c r="D124" s="723">
        <f>IFERROR(VLOOKUP(A124,Trial!$A$2:$D$9992,4,0),0)</f>
        <v>99285178.310000002</v>
      </c>
    </row>
    <row r="125" spans="1:4">
      <c r="B125" s="331"/>
      <c r="C125" s="349">
        <f>C124</f>
        <v>99285178.310000002</v>
      </c>
      <c r="D125" s="1114">
        <f>D124</f>
        <v>99285178.310000002</v>
      </c>
    </row>
    <row r="126" spans="1:4">
      <c r="B126" s="1369" t="s">
        <v>1437</v>
      </c>
      <c r="C126" s="1370"/>
      <c r="D126" s="1371"/>
    </row>
    <row r="127" spans="1:4">
      <c r="B127" s="1372"/>
      <c r="C127" s="1373"/>
      <c r="D127" s="1374"/>
    </row>
    <row r="128" spans="1:4">
      <c r="B128" s="1372"/>
      <c r="C128" s="1373"/>
      <c r="D128" s="1374"/>
    </row>
    <row r="129" spans="2:4">
      <c r="B129" s="1372"/>
      <c r="C129" s="1373"/>
      <c r="D129" s="1374"/>
    </row>
    <row r="130" spans="2:4">
      <c r="B130" s="1375"/>
      <c r="C130" s="1376"/>
      <c r="D130" s="1377"/>
    </row>
  </sheetData>
  <mergeCells count="5">
    <mergeCell ref="B1:D1"/>
    <mergeCell ref="B2:D2"/>
    <mergeCell ref="B126:D130"/>
    <mergeCell ref="B116:D116"/>
    <mergeCell ref="B117:D117"/>
  </mergeCells>
  <printOptions horizontalCentered="1"/>
  <pageMargins left="0" right="0" top="0" bottom="0.19685039370078741" header="3.937007874015748E-2" footer="3.937007874015748E-2"/>
  <pageSetup paperSize="9" scale="80" orientation="portrait" r:id="rId1"/>
  <rowBreaks count="2" manualBreakCount="2">
    <brk id="63" max="16383" man="1"/>
    <brk id="120" max="16383" man="1"/>
  </rowBreaks>
  <legacyDrawing r:id="rId2"/>
</worksheet>
</file>

<file path=xl/worksheets/sheet9.xml><?xml version="1.0" encoding="utf-8"?>
<worksheet xmlns="http://schemas.openxmlformats.org/spreadsheetml/2006/main" xmlns:r="http://schemas.openxmlformats.org/officeDocument/2006/relationships">
  <sheetPr enableFormatConditionsCalculation="0">
    <tabColor rgb="FF00B050"/>
  </sheetPr>
  <dimension ref="A1:F33"/>
  <sheetViews>
    <sheetView showGridLines="0" showWhiteSpace="0" zoomScaleSheetLayoutView="90" workbookViewId="0">
      <selection activeCell="E33" sqref="E33"/>
    </sheetView>
  </sheetViews>
  <sheetFormatPr defaultColWidth="9.140625" defaultRowHeight="15.75"/>
  <cols>
    <col min="1" max="1" width="12.42578125" style="4" bestFit="1" customWidth="1"/>
    <col min="2" max="2" width="30.42578125" style="127" customWidth="1"/>
    <col min="3" max="3" width="12.85546875" style="127" customWidth="1"/>
    <col min="4" max="4" width="18.42578125" style="127" bestFit="1" customWidth="1"/>
    <col min="5" max="5" width="22.140625" style="184" customWidth="1"/>
    <col min="6" max="6" width="22.42578125" style="184" customWidth="1"/>
    <col min="7" max="7" width="18.7109375" style="4" bestFit="1" customWidth="1"/>
    <col min="8" max="8" width="5.85546875" style="4" customWidth="1"/>
    <col min="9" max="9" width="10.7109375" style="4" customWidth="1"/>
    <col min="10" max="12" width="17.28515625" style="4" bestFit="1" customWidth="1"/>
    <col min="13" max="13" width="16.85546875" style="4" bestFit="1" customWidth="1"/>
    <col min="14" max="14" width="13" style="4" customWidth="1"/>
    <col min="15" max="16384" width="9.140625" style="4"/>
  </cols>
  <sheetData>
    <row r="1" spans="1:6">
      <c r="B1" s="1324" t="str">
        <f>'2SFP'!B1</f>
        <v>BHUTAN TELECOM LIMITED</v>
      </c>
      <c r="C1" s="1325"/>
      <c r="D1" s="1325"/>
      <c r="E1" s="1325"/>
      <c r="F1" s="1326"/>
    </row>
    <row r="2" spans="1:6">
      <c r="B2" s="1362" t="s">
        <v>1052</v>
      </c>
      <c r="C2" s="1363"/>
      <c r="D2" s="1363"/>
      <c r="E2" s="1363"/>
      <c r="F2" s="1364"/>
    </row>
    <row r="3" spans="1:6">
      <c r="B3" s="224"/>
      <c r="C3" s="245"/>
      <c r="D3" s="245"/>
      <c r="E3" s="561"/>
      <c r="F3" s="765" t="str">
        <f>'2SFP'!E3</f>
        <v>Amount in Nu.</v>
      </c>
    </row>
    <row r="4" spans="1:6" ht="31.5">
      <c r="B4" s="1411" t="str">
        <f>'2SFP'!B4</f>
        <v>Particulars</v>
      </c>
      <c r="C4" s="1411"/>
      <c r="D4" s="1411"/>
      <c r="E4" s="326" t="str">
        <f>'2SFP'!D4</f>
        <v>As at 28th February, 2019</v>
      </c>
      <c r="F4" s="326" t="str">
        <f>'2SFP'!E4</f>
        <v>As at 31st December ,  2018</v>
      </c>
    </row>
    <row r="5" spans="1:6">
      <c r="B5" s="337" t="s">
        <v>1176</v>
      </c>
      <c r="C5" s="245"/>
      <c r="D5" s="338"/>
      <c r="E5" s="256"/>
      <c r="F5" s="339"/>
    </row>
    <row r="6" spans="1:6">
      <c r="B6" s="236" t="s">
        <v>225</v>
      </c>
      <c r="C6" s="245"/>
      <c r="D6" s="338"/>
      <c r="E6" s="256"/>
      <c r="F6" s="328"/>
    </row>
    <row r="7" spans="1:6">
      <c r="B7" s="236" t="s">
        <v>102</v>
      </c>
      <c r="C7" s="340"/>
      <c r="D7" s="341"/>
      <c r="E7" s="256"/>
      <c r="F7" s="328"/>
    </row>
    <row r="8" spans="1:6">
      <c r="B8" s="1405" t="s">
        <v>24</v>
      </c>
      <c r="C8" s="1406"/>
      <c r="D8" s="1407"/>
      <c r="E8" s="1210">
        <v>1500000000</v>
      </c>
      <c r="F8" s="1211">
        <v>1500000000</v>
      </c>
    </row>
    <row r="9" spans="1:6">
      <c r="B9" s="163"/>
      <c r="C9" s="161"/>
      <c r="D9" s="162"/>
      <c r="E9" s="1212"/>
      <c r="F9" s="1213"/>
    </row>
    <row r="10" spans="1:6">
      <c r="B10" s="148" t="s">
        <v>226</v>
      </c>
      <c r="C10" s="161"/>
      <c r="D10" s="162"/>
      <c r="E10" s="772"/>
      <c r="F10" s="1214"/>
    </row>
    <row r="11" spans="1:6">
      <c r="A11" s="3">
        <v>3101101000</v>
      </c>
      <c r="B11" s="1408" t="s">
        <v>25</v>
      </c>
      <c r="C11" s="1409"/>
      <c r="D11" s="1410"/>
      <c r="E11" s="1158">
        <f>ABS(IFERROR(VLOOKUP(A11,Trial!$A$2:$D$9992,3,0),0))</f>
        <v>854082000</v>
      </c>
      <c r="F11" s="1215">
        <f>ABS(IFERROR(VLOOKUP(A11,Trial!$A$2:$D$9992,4,0),0))</f>
        <v>854082000</v>
      </c>
    </row>
    <row r="12" spans="1:6">
      <c r="B12" s="236" t="s">
        <v>110</v>
      </c>
      <c r="C12" s="245"/>
      <c r="D12" s="338"/>
      <c r="E12" s="1208">
        <f>E11</f>
        <v>854082000</v>
      </c>
      <c r="F12" s="1114">
        <f>SUM(F11)</f>
        <v>854082000</v>
      </c>
    </row>
    <row r="13" spans="1:6">
      <c r="B13" s="157"/>
      <c r="C13" s="164"/>
      <c r="D13" s="165"/>
      <c r="E13" s="160"/>
      <c r="F13" s="166"/>
    </row>
    <row r="14" spans="1:6">
      <c r="B14" s="766"/>
      <c r="C14" s="168"/>
      <c r="D14" s="168"/>
      <c r="E14" s="169"/>
      <c r="F14" s="767"/>
    </row>
    <row r="15" spans="1:6">
      <c r="B15" s="768" t="s">
        <v>103</v>
      </c>
      <c r="C15" s="167"/>
      <c r="D15" s="167"/>
      <c r="E15" s="170"/>
      <c r="F15" s="769"/>
    </row>
    <row r="16" spans="1:6">
      <c r="B16" s="1381" t="s">
        <v>1177</v>
      </c>
      <c r="C16" s="1382"/>
      <c r="D16" s="1382"/>
      <c r="E16" s="1382"/>
      <c r="F16" s="1383"/>
    </row>
    <row r="17" spans="2:6">
      <c r="B17" s="770"/>
      <c r="C17" s="171"/>
      <c r="D17" s="171"/>
      <c r="E17" s="172"/>
      <c r="F17" s="771"/>
    </row>
    <row r="18" spans="2:6">
      <c r="B18" s="1397" t="s">
        <v>227</v>
      </c>
      <c r="C18" s="1398"/>
      <c r="D18" s="171"/>
      <c r="E18" s="172"/>
      <c r="F18" s="771"/>
    </row>
    <row r="19" spans="2:6">
      <c r="B19" s="1399" t="s">
        <v>37</v>
      </c>
      <c r="C19" s="1401" t="str">
        <f>E4</f>
        <v>As at 28th February, 2019</v>
      </c>
      <c r="D19" s="1402"/>
      <c r="E19" s="1403" t="str">
        <f>F4</f>
        <v>As at 31st December ,  2018</v>
      </c>
      <c r="F19" s="1404"/>
    </row>
    <row r="20" spans="2:6" ht="47.25">
      <c r="B20" s="1400"/>
      <c r="C20" s="342" t="s">
        <v>38</v>
      </c>
      <c r="D20" s="343" t="s">
        <v>39</v>
      </c>
      <c r="E20" s="346" t="s">
        <v>38</v>
      </c>
      <c r="F20" s="345" t="s">
        <v>39</v>
      </c>
    </row>
    <row r="21" spans="2:6" ht="30">
      <c r="B21" s="347" t="s">
        <v>40</v>
      </c>
      <c r="C21" s="1207">
        <v>854082</v>
      </c>
      <c r="D21" s="547">
        <v>100</v>
      </c>
      <c r="E21" s="1209">
        <v>854082</v>
      </c>
      <c r="F21" s="348">
        <v>100</v>
      </c>
    </row>
    <row r="22" spans="2:6">
      <c r="B22" s="349" t="s">
        <v>1</v>
      </c>
      <c r="C22" s="1208">
        <f>SUM(C21)</f>
        <v>854082</v>
      </c>
      <c r="D22" s="232">
        <f>SUM(D21)</f>
        <v>100</v>
      </c>
      <c r="E22" s="349">
        <f>SUM(E21)</f>
        <v>854082</v>
      </c>
      <c r="F22" s="330">
        <f>SUM(F21)</f>
        <v>100</v>
      </c>
    </row>
    <row r="23" spans="2:6">
      <c r="B23" s="772"/>
      <c r="C23" s="173"/>
      <c r="D23" s="174"/>
      <c r="E23" s="175"/>
      <c r="F23" s="773"/>
    </row>
    <row r="24" spans="2:6">
      <c r="B24" s="772"/>
      <c r="C24" s="173"/>
      <c r="D24" s="174"/>
      <c r="E24" s="175"/>
      <c r="F24" s="773"/>
    </row>
    <row r="25" spans="2:6">
      <c r="B25" s="768" t="s">
        <v>61</v>
      </c>
      <c r="C25" s="176"/>
      <c r="D25" s="177"/>
      <c r="E25" s="1384"/>
      <c r="F25" s="1385"/>
    </row>
    <row r="26" spans="2:6">
      <c r="B26" s="1386" t="s">
        <v>21</v>
      </c>
      <c r="C26" s="1389" t="str">
        <f>C19</f>
        <v>As at 28th February, 2019</v>
      </c>
      <c r="D26" s="1390"/>
      <c r="E26" s="1391" t="str">
        <f>E19</f>
        <v>As at 31st December ,  2018</v>
      </c>
      <c r="F26" s="1392"/>
    </row>
    <row r="27" spans="2:6">
      <c r="B27" s="1387"/>
      <c r="C27" s="1393" t="s">
        <v>41</v>
      </c>
      <c r="D27" s="1394"/>
      <c r="E27" s="1395" t="s">
        <v>71</v>
      </c>
      <c r="F27" s="1396"/>
    </row>
    <row r="28" spans="2:6" ht="31.5">
      <c r="B28" s="1388"/>
      <c r="C28" s="342" t="s">
        <v>42</v>
      </c>
      <c r="D28" s="350" t="s">
        <v>64</v>
      </c>
      <c r="E28" s="344" t="s">
        <v>42</v>
      </c>
      <c r="F28" s="282" t="s">
        <v>64</v>
      </c>
    </row>
    <row r="29" spans="2:6" ht="30">
      <c r="B29" s="351" t="s">
        <v>43</v>
      </c>
      <c r="C29" s="1202">
        <f>+C21</f>
        <v>854082</v>
      </c>
      <c r="D29" s="1203">
        <f>C29*1000</f>
        <v>854082000</v>
      </c>
      <c r="E29" s="1202">
        <f>+E21</f>
        <v>854082</v>
      </c>
      <c r="F29" s="1203">
        <f>+E29*1000</f>
        <v>854082000</v>
      </c>
    </row>
    <row r="30" spans="2:6">
      <c r="B30" s="351" t="s">
        <v>104</v>
      </c>
      <c r="C30" s="1202">
        <v>0</v>
      </c>
      <c r="D30" s="1203">
        <v>0</v>
      </c>
      <c r="E30" s="1204">
        <v>0</v>
      </c>
      <c r="F30" s="1205">
        <v>0</v>
      </c>
    </row>
    <row r="31" spans="2:6" ht="30">
      <c r="B31" s="351" t="s">
        <v>44</v>
      </c>
      <c r="C31" s="1202">
        <v>0</v>
      </c>
      <c r="D31" s="1203">
        <v>0</v>
      </c>
      <c r="E31" s="1202">
        <v>0</v>
      </c>
      <c r="F31" s="1203">
        <v>0</v>
      </c>
    </row>
    <row r="32" spans="2:6" ht="31.5">
      <c r="B32" s="352" t="s">
        <v>45</v>
      </c>
      <c r="C32" s="1206">
        <f t="shared" ref="C32:F32" si="0">C29+C30-C31</f>
        <v>854082</v>
      </c>
      <c r="D32" s="1080">
        <f>D29+D30-D31</f>
        <v>854082000</v>
      </c>
      <c r="E32" s="1206">
        <f t="shared" si="0"/>
        <v>854082</v>
      </c>
      <c r="F32" s="1080">
        <f t="shared" si="0"/>
        <v>854082000</v>
      </c>
    </row>
    <row r="33" spans="2:6">
      <c r="B33" s="167"/>
      <c r="C33" s="178"/>
      <c r="D33" s="178"/>
      <c r="E33" s="209"/>
      <c r="F33" s="209"/>
    </row>
  </sheetData>
  <mergeCells count="16">
    <mergeCell ref="B8:D8"/>
    <mergeCell ref="B11:D11"/>
    <mergeCell ref="B2:F2"/>
    <mergeCell ref="B1:F1"/>
    <mergeCell ref="B4:D4"/>
    <mergeCell ref="B16:F16"/>
    <mergeCell ref="E25:F25"/>
    <mergeCell ref="B26:B28"/>
    <mergeCell ref="C26:D26"/>
    <mergeCell ref="E26:F26"/>
    <mergeCell ref="C27:D27"/>
    <mergeCell ref="E27:F27"/>
    <mergeCell ref="B18:C18"/>
    <mergeCell ref="B19:B20"/>
    <mergeCell ref="C19:D19"/>
    <mergeCell ref="E19:F19"/>
  </mergeCells>
  <printOptions horizontalCentered="1"/>
  <pageMargins left="0.94488188976377963" right="0.27559055118110237" top="0.55118110236220474" bottom="0.19685039370078741" header="3.937007874015748E-2" footer="3.937007874015748E-2"/>
  <pageSetup paperSize="9" scale="85" orientation="portrait" r:id="rId1"/>
  <colBreaks count="1" manualBreakCount="1">
    <brk id="6" max="52" man="1"/>
  </col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SAP </vt:lpstr>
      <vt:lpstr>Trial</vt:lpstr>
      <vt:lpstr>2SFP</vt:lpstr>
      <vt:lpstr>3SOCI</vt:lpstr>
      <vt:lpstr>5SOCE</vt:lpstr>
      <vt:lpstr>4CF</vt:lpstr>
      <vt:lpstr>6N_PPE</vt:lpstr>
      <vt:lpstr>7N_3-12</vt:lpstr>
      <vt:lpstr>8N_13</vt:lpstr>
      <vt:lpstr>9N_14-21</vt:lpstr>
      <vt:lpstr>10N_22-33</vt:lpstr>
      <vt:lpstr>Note 32</vt:lpstr>
      <vt:lpstr>10FV_34</vt:lpstr>
      <vt:lpstr>11FRM_35</vt:lpstr>
      <vt:lpstr>12CapMgt_36</vt:lpstr>
      <vt:lpstr>Note 37</vt:lpstr>
      <vt:lpstr>Ratio</vt:lpstr>
      <vt:lpstr>Tax</vt:lpstr>
      <vt:lpstr>13IFRS</vt:lpstr>
      <vt:lpstr>CFs</vt:lpstr>
      <vt:lpstr>DT</vt:lpstr>
      <vt:lpstr>'10FV_34'!Print_Area</vt:lpstr>
      <vt:lpstr>'10N_22-33'!Print_Area</vt:lpstr>
      <vt:lpstr>'11FRM_35'!Print_Area</vt:lpstr>
      <vt:lpstr>'2SFP'!Print_Area</vt:lpstr>
      <vt:lpstr>'3SOCI'!Print_Area</vt:lpstr>
      <vt:lpstr>'4CF'!Print_Area</vt:lpstr>
      <vt:lpstr>'5SOCE'!Print_Area</vt:lpstr>
      <vt:lpstr>'6N_PPE'!Print_Area</vt:lpstr>
      <vt:lpstr>'8N_13'!Print_Area</vt:lpstr>
      <vt:lpstr>'9N_14-21'!Print_Area</vt:lpstr>
      <vt:lpstr>'Note 32'!Print_Area</vt:lpstr>
      <vt:lpstr>'Note 37'!Print_Area</vt:lpstr>
      <vt:lpstr>Ratio!Print_Area</vt:lpstr>
      <vt:lpstr>'SAP '!Print_Area</vt:lpstr>
      <vt:lpstr>Tax!Print_Area</vt:lpstr>
      <vt:lpstr>Trial!Print_Area</vt:lpstr>
      <vt:lpstr>Trial_Balance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Work.</dc:title>
  <dc:creator>Phub Dorji.</dc:creator>
  <cp:lastModifiedBy>Tshering</cp:lastModifiedBy>
  <cp:lastPrinted>2019-02-14T18:38:17Z</cp:lastPrinted>
  <dcterms:created xsi:type="dcterms:W3CDTF">2009-10-27T07:25:09Z</dcterms:created>
  <dcterms:modified xsi:type="dcterms:W3CDTF">2019-08-22T08:30:27Z</dcterms:modified>
</cp:coreProperties>
</file>