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20730" windowHeight="11760" tabRatio="956" activeTab="2"/>
  </bookViews>
  <sheets>
    <sheet name="SAP " sheetId="61" r:id="rId1"/>
    <sheet name="Trial" sheetId="58" r:id="rId2"/>
    <sheet name="3SOCI" sheetId="23" r:id="rId3"/>
    <sheet name="2SFP" sheetId="31" r:id="rId4"/>
    <sheet name="4CF" sheetId="15" r:id="rId5"/>
    <sheet name="6N_PPE" sheetId="26" r:id="rId6"/>
    <sheet name="7N_3-12" sheetId="24" r:id="rId7"/>
    <sheet name="8N_13" sheetId="48" r:id="rId8"/>
    <sheet name="9N_14-21" sheetId="49" r:id="rId9"/>
    <sheet name="10N_22-33" sheetId="60" r:id="rId10"/>
    <sheet name="Note 32" sheetId="72" state="hidden" r:id="rId11"/>
    <sheet name="10FV_34" sheetId="65" state="hidden" r:id="rId12"/>
    <sheet name="11FRM_35" sheetId="66" state="hidden" r:id="rId13"/>
    <sheet name="12CapMgt_36" sheetId="67" state="hidden" r:id="rId14"/>
    <sheet name="Note 37" sheetId="73" state="hidden" r:id="rId15"/>
    <sheet name="Ratio" sheetId="32" state="hidden" r:id="rId16"/>
    <sheet name="Tax" sheetId="52" r:id="rId17"/>
    <sheet name="5SOCE" sheetId="34" r:id="rId18"/>
    <sheet name="13IFRS" sheetId="68" state="hidden" r:id="rId19"/>
    <sheet name="CFs" sheetId="54" state="hidden" r:id="rId20"/>
    <sheet name="DT" sheetId="63" state="hidden" r:id="rId21"/>
  </sheets>
  <externalReferences>
    <externalReference r:id="rId22"/>
    <externalReference r:id="rId23"/>
    <externalReference r:id="rId24"/>
    <externalReference r:id="rId25"/>
  </externalReferences>
  <definedNames>
    <definedName name="_xlnm._FilterDatabase" localSheetId="9" hidden="1">'10N_22-33'!$A$4:$F$284</definedName>
    <definedName name="_xlnm._FilterDatabase" localSheetId="19" hidden="1">CFs!$B$2:$D$26</definedName>
    <definedName name="_xlnm._FilterDatabase" localSheetId="0" hidden="1">'SAP '!$A$1:$D$392</definedName>
    <definedName name="_xlnm._FilterDatabase" localSheetId="1" hidden="1">Trial!$A$1:$D$639</definedName>
    <definedName name="_xlnm.Print_Area" localSheetId="11">'10FV_34'!$A$1:$G$71</definedName>
    <definedName name="_xlnm.Print_Area" localSheetId="9">'10N_22-33'!$A$1:$F$284</definedName>
    <definedName name="_xlnm.Print_Area" localSheetId="12">'11FRM_35'!$A$1:$J$118</definedName>
    <definedName name="_xlnm.Print_Area" localSheetId="3">'2SFP'!$B$1:$E$72</definedName>
    <definedName name="_xlnm.Print_Area" localSheetId="2">'3SOCI'!$B$1:$E$52</definedName>
    <definedName name="_xlnm.Print_Area" localSheetId="4">'4CF'!$A$1:$F$75</definedName>
    <definedName name="_xlnm.Print_Area" localSheetId="17">'5SOCE'!$B$1:$F$33</definedName>
    <definedName name="_xlnm.Print_Area" localSheetId="5">'6N_PPE'!$B$1:$L$56</definedName>
    <definedName name="_xlnm.Print_Area" localSheetId="7">'8N_13'!$B$1:$F$32</definedName>
    <definedName name="_xlnm.Print_Area" localSheetId="8">'9N_14-21'!$A$1:$D$138</definedName>
    <definedName name="_xlnm.Print_Area" localSheetId="10">'Note 32'!$A$1:$E$35</definedName>
    <definedName name="_xlnm.Print_Area" localSheetId="14">'Note 37'!$A$1:$G$114</definedName>
    <definedName name="_xlnm.Print_Area" localSheetId="15">Ratio!$B$1:$I$50</definedName>
    <definedName name="_xlnm.Print_Area" localSheetId="0">'SAP '!$A$1:$D$350</definedName>
    <definedName name="_xlnm.Print_Area" localSheetId="16">Tax!$C$2:$E$51</definedName>
    <definedName name="_xlnm.Print_Area" localSheetId="1">Trial!$A$1:$D$638</definedName>
    <definedName name="Trial_Balance">Trial!$A:$D</definedName>
  </definedNames>
  <calcPr calcId="124519" concurrentCalc="0"/>
  <fileRecoveryPr autoRecover="0"/>
  <extLst xmlns:x14="http://schemas.microsoft.com/office/spreadsheetml/2009/9/main">
    <ext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467" i="58"/>
  <c r="E37" i="60"/>
  <c r="C468" i="58"/>
  <c r="E38" i="60"/>
  <c r="C470" i="58"/>
  <c r="E39" i="60"/>
  <c r="C471" i="58"/>
  <c r="E40" i="60"/>
  <c r="C485" i="58"/>
  <c r="E41" i="60"/>
  <c r="E42"/>
  <c r="C457" i="58"/>
  <c r="E25" i="60"/>
  <c r="C458" i="58"/>
  <c r="E26" i="60"/>
  <c r="C459" i="58"/>
  <c r="E27" i="60"/>
  <c r="C460" i="58"/>
  <c r="E28" i="60"/>
  <c r="C461" i="58"/>
  <c r="E29" i="60"/>
  <c r="C463" i="58"/>
  <c r="E30" i="60"/>
  <c r="C472" i="58"/>
  <c r="E31" i="60"/>
  <c r="C473" i="58"/>
  <c r="E32" i="60"/>
  <c r="C474" i="58"/>
  <c r="E33" i="60"/>
  <c r="C465" i="58"/>
  <c r="E34" i="60"/>
  <c r="C466" i="58"/>
  <c r="E35" i="60"/>
  <c r="E36"/>
  <c r="C450" i="58"/>
  <c r="E12" i="60"/>
  <c r="C451" i="58"/>
  <c r="E13" i="60"/>
  <c r="C452" i="58"/>
  <c r="E14" i="60"/>
  <c r="C453" i="58"/>
  <c r="E15" i="60"/>
  <c r="C456" i="58"/>
  <c r="E16" i="60"/>
  <c r="C469" i="58"/>
  <c r="E17" i="60"/>
  <c r="C475" i="58"/>
  <c r="E18" i="60"/>
  <c r="C447" i="58"/>
  <c r="E19" i="60"/>
  <c r="C448" i="58"/>
  <c r="E20" i="60"/>
  <c r="C449" i="58"/>
  <c r="E21" i="60"/>
  <c r="C499" i="58"/>
  <c r="E22" i="60"/>
  <c r="C498" i="58"/>
  <c r="E23" i="60"/>
  <c r="E24"/>
  <c r="C445" i="58"/>
  <c r="E9" i="60"/>
  <c r="C444" i="58"/>
  <c r="E10" i="60"/>
  <c r="E11"/>
  <c r="E43"/>
  <c r="C484" i="58"/>
  <c r="E53" i="60"/>
  <c r="C483" i="58"/>
  <c r="E54" i="60"/>
  <c r="E55"/>
  <c r="C446" i="58"/>
  <c r="E46" i="60"/>
  <c r="C454" i="58"/>
  <c r="E47" i="60"/>
  <c r="C455" i="58"/>
  <c r="E48" i="60"/>
  <c r="C464" i="58"/>
  <c r="E49" i="60"/>
  <c r="C462" i="58"/>
  <c r="E50" i="60"/>
  <c r="C487" i="58"/>
  <c r="E51" i="60"/>
  <c r="E52"/>
  <c r="E56"/>
  <c r="E57"/>
  <c r="D6" i="23"/>
  <c r="C488" i="58"/>
  <c r="E65" i="60"/>
  <c r="C489" i="58"/>
  <c r="E66" i="60"/>
  <c r="C502" i="58"/>
  <c r="E70" i="60"/>
  <c r="C491" i="58"/>
  <c r="E76" i="60"/>
  <c r="C496" i="58"/>
  <c r="E77" i="60"/>
  <c r="C477" i="58"/>
  <c r="E78" i="60"/>
  <c r="C478" i="58"/>
  <c r="E79" i="60"/>
  <c r="C479" i="58"/>
  <c r="E80" i="60"/>
  <c r="C480" i="58"/>
  <c r="E81" i="60"/>
  <c r="C481" i="58"/>
  <c r="E82" i="60"/>
  <c r="C482" i="58"/>
  <c r="E83" i="60"/>
  <c r="C497" i="58"/>
  <c r="E68" i="60"/>
  <c r="C596" i="58"/>
  <c r="E69" i="60"/>
  <c r="E84"/>
  <c r="C500" i="58"/>
  <c r="E85" i="60"/>
  <c r="E75"/>
  <c r="E74"/>
  <c r="E86"/>
  <c r="D7" i="23"/>
  <c r="D8"/>
  <c r="C554" i="58"/>
  <c r="E115" i="60"/>
  <c r="C553" i="58"/>
  <c r="E116" i="60"/>
  <c r="C560" i="58"/>
  <c r="E117" i="60"/>
  <c r="E118"/>
  <c r="C524" i="58"/>
  <c r="E106" i="60"/>
  <c r="C522" i="58"/>
  <c r="E107" i="60"/>
  <c r="C517" i="58"/>
  <c r="E108" i="60"/>
  <c r="C516" i="58"/>
  <c r="E109" i="60"/>
  <c r="C525" i="58"/>
  <c r="E110" i="60"/>
  <c r="C523" i="58"/>
  <c r="E111" i="60"/>
  <c r="C507" i="58"/>
  <c r="E112" i="60"/>
  <c r="C505" i="58"/>
  <c r="E113" i="60"/>
  <c r="E114"/>
  <c r="C514" i="58"/>
  <c r="E99" i="60"/>
  <c r="C511" i="58"/>
  <c r="E100" i="60"/>
  <c r="C515" i="58"/>
  <c r="E101" i="60"/>
  <c r="C513" i="58"/>
  <c r="E102" i="60"/>
  <c r="C512" i="58"/>
  <c r="E103" i="60"/>
  <c r="C582" i="58"/>
  <c r="E104" i="60"/>
  <c r="E105"/>
  <c r="C581" i="58"/>
  <c r="E90" i="60"/>
  <c r="C580" i="58"/>
  <c r="E91" i="60"/>
  <c r="C579" i="58"/>
  <c r="E92" i="60"/>
  <c r="C577" i="58"/>
  <c r="E93" i="60"/>
  <c r="C578" i="58"/>
  <c r="E94" i="60"/>
  <c r="C575" i="58"/>
  <c r="E95" i="60"/>
  <c r="C576" i="58"/>
  <c r="E96" i="60"/>
  <c r="C572" i="58"/>
  <c r="E97" i="60"/>
  <c r="E98"/>
  <c r="E119"/>
  <c r="D11" i="23"/>
  <c r="C509" i="58"/>
  <c r="E124" i="60"/>
  <c r="C510" i="58"/>
  <c r="E125" i="60"/>
  <c r="E126"/>
  <c r="D12" i="23"/>
  <c r="C538" i="58"/>
  <c r="E143" i="60"/>
  <c r="C539" i="58"/>
  <c r="E144" i="60"/>
  <c r="C540" i="58"/>
  <c r="E145" i="60"/>
  <c r="C544" i="58"/>
  <c r="E146" i="60"/>
  <c r="C543" i="58"/>
  <c r="E147" i="60"/>
  <c r="E148"/>
  <c r="C534" i="58"/>
  <c r="E138" i="60"/>
  <c r="C535" i="58"/>
  <c r="E139" i="60"/>
  <c r="C536" i="58"/>
  <c r="E140" i="60"/>
  <c r="C545" i="58"/>
  <c r="E141" i="60"/>
  <c r="E142"/>
  <c r="C548" i="58"/>
  <c r="E137" i="60"/>
  <c r="C547" i="58"/>
  <c r="E136" i="60"/>
  <c r="C529" i="58"/>
  <c r="E129" i="60"/>
  <c r="C530" i="58"/>
  <c r="E130" i="60"/>
  <c r="C531" i="58"/>
  <c r="E131" i="60"/>
  <c r="C532" i="58"/>
  <c r="E132" i="60"/>
  <c r="C546" i="58"/>
  <c r="E133" i="60"/>
  <c r="C533" i="58"/>
  <c r="E134" i="60"/>
  <c r="E135"/>
  <c r="E149"/>
  <c r="D13" i="23"/>
  <c r="C552" i="58"/>
  <c r="E158" i="60"/>
  <c r="E159"/>
  <c r="C550" i="58"/>
  <c r="E155" i="60"/>
  <c r="C573" i="58"/>
  <c r="E157" i="60"/>
  <c r="C556" i="58"/>
  <c r="E156" i="60"/>
  <c r="C549" i="58"/>
  <c r="E154" i="60"/>
  <c r="E160"/>
  <c r="D14" i="23"/>
  <c r="C616" i="58"/>
  <c r="E176" i="60"/>
  <c r="E178"/>
  <c r="C606" i="58"/>
  <c r="E164" i="60"/>
  <c r="C607" i="58"/>
  <c r="E165" i="60"/>
  <c r="C617" i="58"/>
  <c r="E166" i="60"/>
  <c r="C608" i="58"/>
  <c r="E167" i="60"/>
  <c r="C609" i="58"/>
  <c r="E168" i="60"/>
  <c r="C610" i="58"/>
  <c r="E169" i="60"/>
  <c r="C611" i="58"/>
  <c r="E170" i="60"/>
  <c r="C612" i="58"/>
  <c r="E171" i="60"/>
  <c r="C613" i="58"/>
  <c r="E172" i="60"/>
  <c r="C614" i="58"/>
  <c r="E173" i="60"/>
  <c r="C615" i="58"/>
  <c r="E174" i="60"/>
  <c r="E175"/>
  <c r="E179"/>
  <c r="D15" i="23"/>
  <c r="C603" i="58"/>
  <c r="E185" i="60"/>
  <c r="C605" i="58"/>
  <c r="E186" i="60"/>
  <c r="C604" i="58"/>
  <c r="E187" i="60"/>
  <c r="E188"/>
  <c r="D16" i="23"/>
  <c r="C586" i="58"/>
  <c r="E243" i="60"/>
  <c r="C568" i="58"/>
  <c r="E244" i="60"/>
  <c r="C558" i="58"/>
  <c r="E245" i="60"/>
  <c r="C559" i="58"/>
  <c r="E246" i="60"/>
  <c r="C567" i="58"/>
  <c r="E247" i="60"/>
  <c r="C569" i="58"/>
  <c r="E248" i="60"/>
  <c r="C583" i="58"/>
  <c r="E249" i="60"/>
  <c r="C602" i="58"/>
  <c r="E250" i="60"/>
  <c r="C585" i="58"/>
  <c r="E251" i="60"/>
  <c r="C598" i="58"/>
  <c r="E252" i="60"/>
  <c r="C574" i="58"/>
  <c r="E253" i="60"/>
  <c r="C622" i="58"/>
  <c r="E256" i="60"/>
  <c r="C501" i="58"/>
  <c r="E257" i="60"/>
  <c r="E259"/>
  <c r="C506" i="58"/>
  <c r="E234" i="60"/>
  <c r="C519" i="58"/>
  <c r="E235" i="60"/>
  <c r="C520" i="58"/>
  <c r="E236" i="60"/>
  <c r="C504" i="58"/>
  <c r="E237" i="60"/>
  <c r="C521" i="58"/>
  <c r="E238" i="60"/>
  <c r="C503" i="58"/>
  <c r="E240" i="60"/>
  <c r="E241"/>
  <c r="C518" i="58"/>
  <c r="E233" i="60"/>
  <c r="C591" i="58"/>
  <c r="E225" i="60"/>
  <c r="C495" i="58"/>
  <c r="E226" i="60"/>
  <c r="C589" i="58"/>
  <c r="E227" i="60"/>
  <c r="C590" i="58"/>
  <c r="E228" i="60"/>
  <c r="C593" i="58"/>
  <c r="E229" i="60"/>
  <c r="C493" i="58"/>
  <c r="E230" i="60"/>
  <c r="C494" i="58"/>
  <c r="E231" i="60"/>
  <c r="E232"/>
  <c r="C563" i="58"/>
  <c r="E220" i="60"/>
  <c r="C564" i="58"/>
  <c r="E221" i="60"/>
  <c r="E223"/>
  <c r="C562" i="58"/>
  <c r="E224" i="60"/>
  <c r="E222"/>
  <c r="C587" i="58"/>
  <c r="E217" i="60"/>
  <c r="C588" i="58"/>
  <c r="E218" i="60"/>
  <c r="E219"/>
  <c r="C551" i="58"/>
  <c r="E214" i="60"/>
  <c r="C599" i="58"/>
  <c r="E215" i="60"/>
  <c r="E216"/>
  <c r="C594" i="58"/>
  <c r="E210" i="60"/>
  <c r="C595" i="58"/>
  <c r="E211" i="60"/>
  <c r="C486" i="58"/>
  <c r="E212" i="60"/>
  <c r="E213"/>
  <c r="C571" i="58"/>
  <c r="E207" i="60"/>
  <c r="C570" i="58"/>
  <c r="E208" i="60"/>
  <c r="E209"/>
  <c r="C555" i="58"/>
  <c r="E204" i="60"/>
  <c r="C508" i="58"/>
  <c r="E205" i="60"/>
  <c r="E206"/>
  <c r="C600" i="58"/>
  <c r="E201" i="60"/>
  <c r="C601" i="58"/>
  <c r="E202" i="60"/>
  <c r="E203"/>
  <c r="C561" i="58"/>
  <c r="E194" i="60"/>
  <c r="C566" i="58"/>
  <c r="E195" i="60"/>
  <c r="C592" i="58"/>
  <c r="E196" i="60"/>
  <c r="C526" i="58"/>
  <c r="E197" i="60"/>
  <c r="C557" i="58"/>
  <c r="E198" i="60"/>
  <c r="C584" i="58"/>
  <c r="E199" i="60"/>
  <c r="C527" i="58"/>
  <c r="E200" i="60"/>
  <c r="C597" i="58"/>
  <c r="E242" i="60"/>
  <c r="E260"/>
  <c r="D17" i="23"/>
  <c r="D19"/>
  <c r="D21"/>
  <c r="D23"/>
  <c r="C623" i="58"/>
  <c r="E272" i="60"/>
  <c r="D33" i="23"/>
  <c r="D7" i="52"/>
  <c r="D15"/>
  <c r="D17"/>
  <c r="D19"/>
  <c r="D21"/>
  <c r="E27"/>
  <c r="D34"/>
  <c r="E40"/>
  <c r="E42"/>
  <c r="E46"/>
  <c r="D26" i="23"/>
  <c r="D467" i="58"/>
  <c r="F37" i="60"/>
  <c r="D468" i="58"/>
  <c r="F38" i="60"/>
  <c r="D470" i="58"/>
  <c r="F39" i="60"/>
  <c r="D471" i="58"/>
  <c r="F40" i="60"/>
  <c r="D485" i="58"/>
  <c r="F41" i="60"/>
  <c r="F42"/>
  <c r="D457" i="58"/>
  <c r="F25" i="60"/>
  <c r="D458" i="58"/>
  <c r="F26" i="60"/>
  <c r="D459" i="58"/>
  <c r="F27" i="60"/>
  <c r="D460" i="58"/>
  <c r="F28" i="60"/>
  <c r="D461" i="58"/>
  <c r="F29" i="60"/>
  <c r="D463" i="58"/>
  <c r="F30" i="60"/>
  <c r="D472" i="58"/>
  <c r="F31" i="60"/>
  <c r="D473" i="58"/>
  <c r="F32" i="60"/>
  <c r="D474" i="58"/>
  <c r="F33" i="60"/>
  <c r="D465" i="58"/>
  <c r="F34" i="60"/>
  <c r="D466" i="58"/>
  <c r="F35" i="60"/>
  <c r="F36"/>
  <c r="D450" i="58"/>
  <c r="F12" i="60"/>
  <c r="D451" i="58"/>
  <c r="F13" i="60"/>
  <c r="D452" i="58"/>
  <c r="F14" i="60"/>
  <c r="D453" i="58"/>
  <c r="F15" i="60"/>
  <c r="D456" i="58"/>
  <c r="F16" i="60"/>
  <c r="D469" i="58"/>
  <c r="F17" i="60"/>
  <c r="D475" i="58"/>
  <c r="F18" i="60"/>
  <c r="D447" i="58"/>
  <c r="F19" i="60"/>
  <c r="D448" i="58"/>
  <c r="F20" i="60"/>
  <c r="D449" i="58"/>
  <c r="F21" i="60"/>
  <c r="D499" i="58"/>
  <c r="F22" i="60"/>
  <c r="F23"/>
  <c r="F24"/>
  <c r="D445" i="58"/>
  <c r="F9" i="60"/>
  <c r="D444" i="58"/>
  <c r="F10" i="60"/>
  <c r="F11"/>
  <c r="F43"/>
  <c r="D484" i="58"/>
  <c r="F53" i="60"/>
  <c r="D483" i="58"/>
  <c r="F54" i="60"/>
  <c r="F55"/>
  <c r="D446" i="58"/>
  <c r="F46" i="60"/>
  <c r="D454" i="58"/>
  <c r="F47" i="60"/>
  <c r="D455" i="58"/>
  <c r="F48" i="60"/>
  <c r="D464" i="58"/>
  <c r="F49" i="60"/>
  <c r="D462" i="58"/>
  <c r="F50" i="60"/>
  <c r="D487" i="58"/>
  <c r="F51" i="60"/>
  <c r="F52"/>
  <c r="F56"/>
  <c r="F57"/>
  <c r="E6" i="23"/>
  <c r="D488" i="58"/>
  <c r="F65" i="60"/>
  <c r="D489" i="58"/>
  <c r="F66" i="60"/>
  <c r="D502" i="58"/>
  <c r="F70" i="60"/>
  <c r="D491" i="58"/>
  <c r="F76" i="60"/>
  <c r="D496" i="58"/>
  <c r="F77" i="60"/>
  <c r="D477" i="58"/>
  <c r="F78" i="60"/>
  <c r="D478" i="58"/>
  <c r="F79" i="60"/>
  <c r="D481" i="58"/>
  <c r="F82" i="60"/>
  <c r="D482" i="58"/>
  <c r="F83" i="60"/>
  <c r="D497" i="58"/>
  <c r="F68" i="60"/>
  <c r="D596" i="58"/>
  <c r="F69" i="60"/>
  <c r="F84"/>
  <c r="D500" i="58"/>
  <c r="F85" i="60"/>
  <c r="F75"/>
  <c r="F86"/>
  <c r="E7" i="23"/>
  <c r="E8"/>
  <c r="D554" i="58"/>
  <c r="F115" i="60"/>
  <c r="D553" i="58"/>
  <c r="F116" i="60"/>
  <c r="D560" i="58"/>
  <c r="F117" i="60"/>
  <c r="F118"/>
  <c r="D524" i="58"/>
  <c r="F106" i="60"/>
  <c r="D522" i="58"/>
  <c r="F107" i="60"/>
  <c r="D517" i="58"/>
  <c r="F108" i="60"/>
  <c r="D516" i="58"/>
  <c r="F109" i="60"/>
  <c r="D525" i="58"/>
  <c r="F110" i="60"/>
  <c r="D523" i="58"/>
  <c r="F111" i="60"/>
  <c r="D507" i="58"/>
  <c r="F112" i="60"/>
  <c r="D505" i="58"/>
  <c r="F113" i="60"/>
  <c r="F114"/>
  <c r="D514" i="58"/>
  <c r="F99" i="60"/>
  <c r="D511" i="58"/>
  <c r="F100" i="60"/>
  <c r="D515" i="58"/>
  <c r="F101" i="60"/>
  <c r="D513" i="58"/>
  <c r="F102" i="60"/>
  <c r="D512" i="58"/>
  <c r="F103" i="60"/>
  <c r="D582" i="58"/>
  <c r="F104" i="60"/>
  <c r="F105"/>
  <c r="D581" i="58"/>
  <c r="F90" i="60"/>
  <c r="D580" i="58"/>
  <c r="F91" i="60"/>
  <c r="D579" i="58"/>
  <c r="F92" i="60"/>
  <c r="D577" i="58"/>
  <c r="F93" i="60"/>
  <c r="D578" i="58"/>
  <c r="F94" i="60"/>
  <c r="D575" i="58"/>
  <c r="F95" i="60"/>
  <c r="D576" i="58"/>
  <c r="F96" i="60"/>
  <c r="D572" i="58"/>
  <c r="F97" i="60"/>
  <c r="F98"/>
  <c r="F119"/>
  <c r="E11" i="23"/>
  <c r="D509" i="58"/>
  <c r="F124" i="60"/>
  <c r="D510" i="58"/>
  <c r="F125" i="60"/>
  <c r="F126"/>
  <c r="E12" i="23"/>
  <c r="D538" i="58"/>
  <c r="F143" i="60"/>
  <c r="D539" i="58"/>
  <c r="F144" i="60"/>
  <c r="D540" i="58"/>
  <c r="F145" i="60"/>
  <c r="D544" i="58"/>
  <c r="F146" i="60"/>
  <c r="D543" i="58"/>
  <c r="F147" i="60"/>
  <c r="F148"/>
  <c r="D534" i="58"/>
  <c r="F138" i="60"/>
  <c r="D535" i="58"/>
  <c r="F139" i="60"/>
  <c r="D536" i="58"/>
  <c r="F140" i="60"/>
  <c r="D545" i="58"/>
  <c r="F141" i="60"/>
  <c r="F142"/>
  <c r="D548" i="58"/>
  <c r="F137" i="60"/>
  <c r="D547" i="58"/>
  <c r="F136" i="60"/>
  <c r="D529" i="58"/>
  <c r="F129" i="60"/>
  <c r="D530" i="58"/>
  <c r="F130" i="60"/>
  <c r="D531" i="58"/>
  <c r="F131" i="60"/>
  <c r="D532" i="58"/>
  <c r="F132" i="60"/>
  <c r="D546" i="58"/>
  <c r="F133" i="60"/>
  <c r="D533" i="58"/>
  <c r="F134" i="60"/>
  <c r="F135"/>
  <c r="F149"/>
  <c r="E13" i="23"/>
  <c r="D552" i="58"/>
  <c r="F158" i="60"/>
  <c r="F159"/>
  <c r="D573" i="58"/>
  <c r="F157" i="60"/>
  <c r="D556" i="58"/>
  <c r="F156" i="60"/>
  <c r="D549" i="58"/>
  <c r="F154" i="60"/>
  <c r="D550" i="58"/>
  <c r="F155" i="60"/>
  <c r="F160"/>
  <c r="E14" i="23"/>
  <c r="D616" i="58"/>
  <c r="F176" i="60"/>
  <c r="F178"/>
  <c r="D606" i="58"/>
  <c r="F164" i="60"/>
  <c r="D607" i="58"/>
  <c r="F165" i="60"/>
  <c r="D608" i="58"/>
  <c r="F167" i="60"/>
  <c r="D609" i="58"/>
  <c r="F168" i="60"/>
  <c r="D610" i="58"/>
  <c r="F169" i="60"/>
  <c r="D611" i="58"/>
  <c r="F170" i="60"/>
  <c r="D612" i="58"/>
  <c r="F171" i="60"/>
  <c r="D613" i="58"/>
  <c r="F172" i="60"/>
  <c r="D614" i="58"/>
  <c r="F173" i="60"/>
  <c r="D615" i="58"/>
  <c r="F174" i="60"/>
  <c r="F175"/>
  <c r="F179"/>
  <c r="E15" i="23"/>
  <c r="D603" i="58"/>
  <c r="F185" i="60"/>
  <c r="D605" i="58"/>
  <c r="F186" i="60"/>
  <c r="D604" i="58"/>
  <c r="F187" i="60"/>
  <c r="F188"/>
  <c r="E16" i="23"/>
  <c r="D586" i="58"/>
  <c r="F243" i="60"/>
  <c r="D568" i="58"/>
  <c r="F244" i="60"/>
  <c r="D558" i="58"/>
  <c r="F245" i="60"/>
  <c r="D559" i="58"/>
  <c r="F246" i="60"/>
  <c r="D567" i="58"/>
  <c r="F247" i="60"/>
  <c r="D569" i="58"/>
  <c r="F248" i="60"/>
  <c r="D583" i="58"/>
  <c r="F249" i="60"/>
  <c r="D602" i="58"/>
  <c r="F250" i="60"/>
  <c r="D585" i="58"/>
  <c r="F251" i="60"/>
  <c r="D598" i="58"/>
  <c r="F252" i="60"/>
  <c r="D574" i="58"/>
  <c r="F253" i="60"/>
  <c r="D622" i="58"/>
  <c r="F256" i="60"/>
  <c r="D501" i="58"/>
  <c r="F257" i="60"/>
  <c r="F259"/>
  <c r="D506" i="58"/>
  <c r="F234" i="60"/>
  <c r="D519" i="58"/>
  <c r="F235" i="60"/>
  <c r="D520" i="58"/>
  <c r="F236" i="60"/>
  <c r="D504" i="58"/>
  <c r="F237" i="60"/>
  <c r="D521" i="58"/>
  <c r="F238" i="60"/>
  <c r="D528" i="58"/>
  <c r="F239" i="60"/>
  <c r="D503" i="58"/>
  <c r="F240" i="60"/>
  <c r="F241"/>
  <c r="D518" i="58"/>
  <c r="F233" i="60"/>
  <c r="D591" i="58"/>
  <c r="F225" i="60"/>
  <c r="D495" i="58"/>
  <c r="F226" i="60"/>
  <c r="D589" i="58"/>
  <c r="F227" i="60"/>
  <c r="D590" i="58"/>
  <c r="F228" i="60"/>
  <c r="D593" i="58"/>
  <c r="F229" i="60"/>
  <c r="D493" i="58"/>
  <c r="F230" i="60"/>
  <c r="D494" i="58"/>
  <c r="F231" i="60"/>
  <c r="F232"/>
  <c r="D563" i="58"/>
  <c r="F220" i="60"/>
  <c r="D564" i="58"/>
  <c r="F221" i="60"/>
  <c r="F223"/>
  <c r="D562" i="58"/>
  <c r="F224" i="60"/>
  <c r="F222"/>
  <c r="D587" i="58"/>
  <c r="F217" i="60"/>
  <c r="D588" i="58"/>
  <c r="F218" i="60"/>
  <c r="F219"/>
  <c r="D551" i="58"/>
  <c r="F214" i="60"/>
  <c r="D599" i="58"/>
  <c r="F215" i="60"/>
  <c r="F216"/>
  <c r="D594" i="58"/>
  <c r="F210" i="60"/>
  <c r="D595" i="58"/>
  <c r="F211" i="60"/>
  <c r="D486" i="58"/>
  <c r="F212" i="60"/>
  <c r="F213"/>
  <c r="D571" i="58"/>
  <c r="F207" i="60"/>
  <c r="D570" i="58"/>
  <c r="F208" i="60"/>
  <c r="F209"/>
  <c r="D555" i="58"/>
  <c r="F204" i="60"/>
  <c r="D508" i="58"/>
  <c r="F205" i="60"/>
  <c r="F206"/>
  <c r="D600" i="58"/>
  <c r="F201" i="60"/>
  <c r="D601" i="58"/>
  <c r="F202" i="60"/>
  <c r="F203"/>
  <c r="D561" i="58"/>
  <c r="F194" i="60"/>
  <c r="D566" i="58"/>
  <c r="F195" i="60"/>
  <c r="D592" i="58"/>
  <c r="F196" i="60"/>
  <c r="D526" i="58"/>
  <c r="F197" i="60"/>
  <c r="D557" i="58"/>
  <c r="F198" i="60"/>
  <c r="D584" i="58"/>
  <c r="F199" i="60"/>
  <c r="D527" i="58"/>
  <c r="F200" i="60"/>
  <c r="D597" i="58"/>
  <c r="F242" i="60"/>
  <c r="F260"/>
  <c r="E17" i="23"/>
  <c r="E19"/>
  <c r="E21"/>
  <c r="E23"/>
  <c r="E26" l="1"/>
  <c r="N24" i="26"/>
  <c r="N20"/>
  <c r="C1" i="61"/>
  <c r="C421" i="58"/>
  <c r="D7" i="34"/>
  <c r="D9"/>
  <c r="D10"/>
  <c r="F9"/>
  <c r="D5"/>
  <c r="K8" i="26"/>
  <c r="J8"/>
  <c r="C66" i="58"/>
  <c r="F28" i="26"/>
  <c r="D79" i="60"/>
  <c r="D4" i="23"/>
  <c r="F74" i="60"/>
  <c r="D1" i="61"/>
  <c r="B4" i="23"/>
  <c r="F25" i="26"/>
  <c r="J25"/>
  <c r="D10" i="49"/>
  <c r="E31" i="31"/>
  <c r="D32" i="48"/>
  <c r="E29"/>
  <c r="D134" i="49"/>
  <c r="D133"/>
  <c r="D101"/>
  <c r="D100"/>
  <c r="D94"/>
  <c r="D82"/>
  <c r="D81"/>
  <c r="D80"/>
  <c r="D79"/>
  <c r="D76"/>
  <c r="D75"/>
  <c r="D62"/>
  <c r="D42"/>
  <c r="D112" i="24"/>
  <c r="D111"/>
  <c r="D110"/>
  <c r="D109"/>
  <c r="D108"/>
  <c r="D107"/>
  <c r="D106"/>
  <c r="D105"/>
  <c r="D104"/>
  <c r="D103"/>
  <c r="D102"/>
  <c r="D101"/>
  <c r="D80"/>
  <c r="D84"/>
  <c r="D62"/>
  <c r="F21" i="26"/>
  <c r="K21"/>
  <c r="E7" i="31"/>
  <c r="D17" i="24"/>
  <c r="D16"/>
  <c r="D46"/>
  <c r="D45"/>
  <c r="D44"/>
  <c r="D43"/>
  <c r="D42"/>
  <c r="D41"/>
  <c r="D40"/>
  <c r="D39"/>
  <c r="D38"/>
  <c r="E9" i="31"/>
  <c r="J21" i="26"/>
  <c r="L25"/>
  <c r="K25"/>
  <c r="E8" i="31"/>
  <c r="K29" i="26"/>
  <c r="F29"/>
  <c r="E20"/>
  <c r="D638" i="58"/>
  <c r="D637"/>
  <c r="D636"/>
  <c r="D635"/>
  <c r="D634"/>
  <c r="D633"/>
  <c r="D632"/>
  <c r="D631"/>
  <c r="D630"/>
  <c r="D629"/>
  <c r="D628"/>
  <c r="D627"/>
  <c r="D626"/>
  <c r="D625"/>
  <c r="F273" i="60"/>
  <c r="E34" i="23"/>
  <c r="D624" i="58"/>
  <c r="D623"/>
  <c r="D621"/>
  <c r="D620"/>
  <c r="D619"/>
  <c r="D618"/>
  <c r="D617"/>
  <c r="D565"/>
  <c r="D542"/>
  <c r="D541"/>
  <c r="D537"/>
  <c r="D492"/>
  <c r="D490"/>
  <c r="D476"/>
  <c r="F266" i="60"/>
  <c r="D443" i="58"/>
  <c r="D442"/>
  <c r="D441"/>
  <c r="D440"/>
  <c r="D439"/>
  <c r="F53" i="15"/>
  <c r="D639" i="58"/>
  <c r="F258" i="60"/>
  <c r="E16" i="34"/>
  <c r="C16"/>
  <c r="E10"/>
  <c r="C10"/>
  <c r="C382" i="58"/>
  <c r="F12" i="26"/>
  <c r="F6"/>
  <c r="F14"/>
  <c r="F16"/>
  <c r="F18"/>
  <c r="J12"/>
  <c r="K12"/>
  <c r="J10"/>
  <c r="C103" i="49"/>
  <c r="J24" i="26"/>
  <c r="C6" i="58"/>
  <c r="C638"/>
  <c r="C637"/>
  <c r="C636"/>
  <c r="C635"/>
  <c r="C634"/>
  <c r="C633"/>
  <c r="C632"/>
  <c r="C631"/>
  <c r="C630"/>
  <c r="C629"/>
  <c r="C628"/>
  <c r="C627"/>
  <c r="C626"/>
  <c r="C625"/>
  <c r="C624"/>
  <c r="C621"/>
  <c r="C620"/>
  <c r="C619"/>
  <c r="C618"/>
  <c r="C565"/>
  <c r="C542"/>
  <c r="C541"/>
  <c r="C537"/>
  <c r="C528"/>
  <c r="C492"/>
  <c r="C490"/>
  <c r="C476"/>
  <c r="C443"/>
  <c r="C442"/>
  <c r="C441"/>
  <c r="C440"/>
  <c r="C439"/>
  <c r="C438"/>
  <c r="C437"/>
  <c r="C436"/>
  <c r="C435"/>
  <c r="C434"/>
  <c r="C433"/>
  <c r="C432"/>
  <c r="C431"/>
  <c r="C430"/>
  <c r="C429"/>
  <c r="C428"/>
  <c r="C427"/>
  <c r="C426"/>
  <c r="C425"/>
  <c r="C9" i="49"/>
  <c r="C424" i="58"/>
  <c r="C423"/>
  <c r="C422"/>
  <c r="C420"/>
  <c r="C419"/>
  <c r="C418"/>
  <c r="C417"/>
  <c r="C416"/>
  <c r="C415"/>
  <c r="C414"/>
  <c r="C413"/>
  <c r="C412"/>
  <c r="C411"/>
  <c r="C410"/>
  <c r="C409"/>
  <c r="C408"/>
  <c r="C407"/>
  <c r="C406"/>
  <c r="C405"/>
  <c r="C404"/>
  <c r="C403"/>
  <c r="C402"/>
  <c r="C401"/>
  <c r="C400"/>
  <c r="C399"/>
  <c r="C398"/>
  <c r="C397"/>
  <c r="C396"/>
  <c r="C395"/>
  <c r="C394"/>
  <c r="C393"/>
  <c r="C392"/>
  <c r="C391"/>
  <c r="C27" i="49"/>
  <c r="C390" i="58"/>
  <c r="C389"/>
  <c r="C388"/>
  <c r="C387"/>
  <c r="C386"/>
  <c r="C385"/>
  <c r="C384"/>
  <c r="C383"/>
  <c r="C381"/>
  <c r="C380"/>
  <c r="C379"/>
  <c r="C378"/>
  <c r="C377"/>
  <c r="C376"/>
  <c r="C375"/>
  <c r="C374"/>
  <c r="C373"/>
  <c r="C372"/>
  <c r="C371"/>
  <c r="C370"/>
  <c r="C369"/>
  <c r="C368"/>
  <c r="C367"/>
  <c r="C366"/>
  <c r="C365"/>
  <c r="C364"/>
  <c r="C363"/>
  <c r="C362"/>
  <c r="C361"/>
  <c r="C360"/>
  <c r="C359"/>
  <c r="C358"/>
  <c r="C357"/>
  <c r="C356"/>
  <c r="C355"/>
  <c r="C354"/>
  <c r="C353"/>
  <c r="C352"/>
  <c r="C351"/>
  <c r="C350"/>
  <c r="C349"/>
  <c r="C348"/>
  <c r="C347"/>
  <c r="C346"/>
  <c r="C345"/>
  <c r="C344"/>
  <c r="C343"/>
  <c r="C342"/>
  <c r="C341"/>
  <c r="C340"/>
  <c r="C339"/>
  <c r="C338"/>
  <c r="C337"/>
  <c r="C336"/>
  <c r="C335"/>
  <c r="C334"/>
  <c r="C333"/>
  <c r="C332"/>
  <c r="C331"/>
  <c r="C330"/>
  <c r="C329"/>
  <c r="C328"/>
  <c r="C327"/>
  <c r="C326"/>
  <c r="C325"/>
  <c r="C324"/>
  <c r="C323"/>
  <c r="C322"/>
  <c r="C321"/>
  <c r="C320"/>
  <c r="C319"/>
  <c r="C318"/>
  <c r="C317"/>
  <c r="C316"/>
  <c r="C315"/>
  <c r="C314"/>
  <c r="C313"/>
  <c r="C312"/>
  <c r="C311"/>
  <c r="C310"/>
  <c r="C309"/>
  <c r="C308"/>
  <c r="C307"/>
  <c r="C306"/>
  <c r="C305"/>
  <c r="C304"/>
  <c r="C303"/>
  <c r="C302"/>
  <c r="C301"/>
  <c r="C300"/>
  <c r="C299"/>
  <c r="C298"/>
  <c r="C297"/>
  <c r="C296"/>
  <c r="C295"/>
  <c r="C294"/>
  <c r="C293"/>
  <c r="C292"/>
  <c r="C291"/>
  <c r="C290"/>
  <c r="C289"/>
  <c r="C288"/>
  <c r="C287"/>
  <c r="C286"/>
  <c r="C285"/>
  <c r="C284"/>
  <c r="C283"/>
  <c r="C282"/>
  <c r="C281"/>
  <c r="C280"/>
  <c r="C279"/>
  <c r="C278"/>
  <c r="C277"/>
  <c r="C276"/>
  <c r="C275"/>
  <c r="C274"/>
  <c r="C273"/>
  <c r="C272"/>
  <c r="C271"/>
  <c r="C270"/>
  <c r="C269"/>
  <c r="C268"/>
  <c r="C267"/>
  <c r="C266"/>
  <c r="C265"/>
  <c r="C264"/>
  <c r="C263"/>
  <c r="C262"/>
  <c r="C261"/>
  <c r="C260"/>
  <c r="C259"/>
  <c r="C258"/>
  <c r="C257"/>
  <c r="C256"/>
  <c r="C255"/>
  <c r="C254"/>
  <c r="C253"/>
  <c r="C252"/>
  <c r="C251"/>
  <c r="C250"/>
  <c r="C249"/>
  <c r="C248"/>
  <c r="C247"/>
  <c r="C246"/>
  <c r="C245"/>
  <c r="C244"/>
  <c r="C243"/>
  <c r="C242"/>
  <c r="C241"/>
  <c r="C240"/>
  <c r="C239"/>
  <c r="C238"/>
  <c r="C237"/>
  <c r="C236"/>
  <c r="C235"/>
  <c r="C234"/>
  <c r="C233"/>
  <c r="C232"/>
  <c r="C231"/>
  <c r="C230"/>
  <c r="C229"/>
  <c r="C228"/>
  <c r="C227"/>
  <c r="C226"/>
  <c r="C225"/>
  <c r="C224"/>
  <c r="C223"/>
  <c r="C222"/>
  <c r="C221"/>
  <c r="C220"/>
  <c r="C219"/>
  <c r="C218"/>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5"/>
  <c r="C4"/>
  <c r="C3"/>
  <c r="C2"/>
  <c r="D167" i="60"/>
  <c r="D164"/>
  <c r="C639" i="58"/>
  <c r="C84" i="24"/>
  <c r="C80"/>
  <c r="C114" i="49"/>
  <c r="C62" i="24"/>
  <c r="C94" i="49"/>
  <c r="C72" i="24"/>
  <c r="C82" i="49"/>
  <c r="E268" i="60"/>
  <c r="C109" i="24"/>
  <c r="C111"/>
  <c r="C45"/>
  <c r="C10" i="49"/>
  <c r="C42"/>
  <c r="C47"/>
  <c r="C124" i="24"/>
  <c r="C23"/>
  <c r="C111" i="49"/>
  <c r="C110" i="24"/>
  <c r="C133" i="49"/>
  <c r="C51" i="15"/>
  <c r="F31"/>
  <c r="F30"/>
  <c r="F11"/>
  <c r="F15"/>
  <c r="F16"/>
  <c r="F42"/>
  <c r="F49"/>
  <c r="F33"/>
  <c r="F50"/>
  <c r="F54"/>
  <c r="C79" i="49"/>
  <c r="A58" i="65"/>
  <c r="F38" i="32"/>
  <c r="D20" i="34"/>
  <c r="E44" i="73"/>
  <c r="J53"/>
  <c r="I53"/>
  <c r="J42"/>
  <c r="I39"/>
  <c r="M16"/>
  <c r="F27"/>
  <c r="F24"/>
  <c r="F26"/>
  <c r="L24"/>
  <c r="K26"/>
  <c r="J24"/>
  <c r="I24"/>
  <c r="J29"/>
  <c r="I27"/>
  <c r="G11"/>
  <c r="J21"/>
  <c r="J9"/>
  <c r="L6" i="26"/>
  <c r="F5" i="34"/>
  <c r="C20" i="26"/>
  <c r="E97" i="73"/>
  <c r="E96"/>
  <c r="H95"/>
  <c r="H97"/>
  <c r="E95"/>
  <c r="H90"/>
  <c r="G90"/>
  <c r="F90"/>
  <c r="E89"/>
  <c r="E88"/>
  <c r="E87"/>
  <c r="D85"/>
  <c r="F82"/>
  <c r="E82"/>
  <c r="H83"/>
  <c r="G83"/>
  <c r="G85"/>
  <c r="F81"/>
  <c r="F79"/>
  <c r="E79"/>
  <c r="F78"/>
  <c r="E78"/>
  <c r="F77"/>
  <c r="F76"/>
  <c r="E76"/>
  <c r="F75"/>
  <c r="E75"/>
  <c r="E74"/>
  <c r="F73"/>
  <c r="F72"/>
  <c r="E72"/>
  <c r="F71"/>
  <c r="G68"/>
  <c r="F67"/>
  <c r="F68"/>
  <c r="H65"/>
  <c r="H68"/>
  <c r="E65"/>
  <c r="E68"/>
  <c r="G53"/>
  <c r="G46"/>
  <c r="F44"/>
  <c r="G37"/>
  <c r="E35"/>
  <c r="G29"/>
  <c r="E28"/>
  <c r="E27"/>
  <c r="M20"/>
  <c r="E26"/>
  <c r="M19"/>
  <c r="E25"/>
  <c r="M18"/>
  <c r="E22"/>
  <c r="M15"/>
  <c r="G19"/>
  <c r="F18"/>
  <c r="E18"/>
  <c r="E17"/>
  <c r="E16"/>
  <c r="E15"/>
  <c r="E13"/>
  <c r="F12"/>
  <c r="E12"/>
  <c r="F11"/>
  <c r="E11"/>
  <c r="E73"/>
  <c r="F83"/>
  <c r="F85"/>
  <c r="E19"/>
  <c r="G55"/>
  <c r="G92"/>
  <c r="G98"/>
  <c r="H85"/>
  <c r="H92"/>
  <c r="H98"/>
  <c r="F29"/>
  <c r="G57"/>
  <c r="G31"/>
  <c r="E90"/>
  <c r="F19"/>
  <c r="F46"/>
  <c r="E24"/>
  <c r="E71"/>
  <c r="E29"/>
  <c r="E31"/>
  <c r="M17"/>
  <c r="F31"/>
  <c r="E83"/>
  <c r="E85"/>
  <c r="E92"/>
  <c r="E98"/>
  <c r="F92"/>
  <c r="F98"/>
  <c r="F31" i="66"/>
  <c r="F32"/>
  <c r="D31"/>
  <c r="D32"/>
  <c r="C31"/>
  <c r="C32"/>
  <c r="B31"/>
  <c r="B32"/>
  <c r="E26"/>
  <c r="E31"/>
  <c r="E32"/>
  <c r="B2" i="72"/>
  <c r="B1"/>
  <c r="D46" i="49"/>
  <c r="D90"/>
  <c r="E108" i="66"/>
  <c r="E109"/>
  <c r="E105"/>
  <c r="E106"/>
  <c r="D108"/>
  <c r="D109"/>
  <c r="D105"/>
  <c r="D106"/>
  <c r="C67"/>
  <c r="A67"/>
  <c r="A66"/>
  <c r="A65"/>
  <c r="A64"/>
  <c r="E54"/>
  <c r="A62" i="65"/>
  <c r="A65"/>
  <c r="A64"/>
  <c r="A63"/>
  <c r="A61"/>
  <c r="A60"/>
  <c r="A59"/>
  <c r="A54"/>
  <c r="A53"/>
  <c r="A52"/>
  <c r="A51"/>
  <c r="D50"/>
  <c r="E50"/>
  <c r="A50"/>
  <c r="B46"/>
  <c r="C46"/>
  <c r="A46"/>
  <c r="A48"/>
  <c r="A47"/>
  <c r="G71" i="72"/>
  <c r="G70"/>
  <c r="F69"/>
  <c r="G69"/>
  <c r="D69"/>
  <c r="G68"/>
  <c r="D68"/>
  <c r="G67"/>
  <c r="G66"/>
  <c r="G72"/>
  <c r="F64"/>
  <c r="G64"/>
  <c r="D64"/>
  <c r="E26"/>
  <c r="E27"/>
  <c r="F72"/>
  <c r="F73"/>
  <c r="D66"/>
  <c r="D64" i="49"/>
  <c r="C100"/>
  <c r="C50"/>
  <c r="D50"/>
  <c r="D72" i="72"/>
  <c r="B16" i="63"/>
  <c r="B15"/>
  <c r="D124" i="24"/>
  <c r="D125"/>
  <c r="E24" i="31"/>
  <c r="L12" i="26"/>
  <c r="L10"/>
  <c r="C125" i="24"/>
  <c r="D24" i="31"/>
  <c r="D27" i="65"/>
  <c r="B64"/>
  <c r="C64"/>
  <c r="C28" i="15"/>
  <c r="G27" i="65"/>
  <c r="D47" i="49"/>
  <c r="E41" i="31"/>
  <c r="G23" i="65"/>
  <c r="D60"/>
  <c r="E60"/>
  <c r="D67" i="66"/>
  <c r="E67"/>
  <c r="C66"/>
  <c r="E66"/>
  <c r="D64" i="65"/>
  <c r="E64"/>
  <c r="D23"/>
  <c r="B60"/>
  <c r="C60"/>
  <c r="D12" i="49"/>
  <c r="D8"/>
  <c r="D13"/>
  <c r="D9"/>
  <c r="E16" i="72"/>
  <c r="E17"/>
  <c r="D25" i="49"/>
  <c r="D27"/>
  <c r="D7"/>
  <c r="D11"/>
  <c r="D243" i="60"/>
  <c r="D234"/>
  <c r="D145"/>
  <c r="D239"/>
  <c r="D113"/>
  <c r="D229"/>
  <c r="D250"/>
  <c r="D255"/>
  <c r="D254"/>
  <c r="D85"/>
  <c r="D226"/>
  <c r="D73"/>
  <c r="D74"/>
  <c r="D72"/>
  <c r="D231"/>
  <c r="D22"/>
  <c r="D14" i="49"/>
  <c r="D15"/>
  <c r="D210" i="60"/>
  <c r="D221"/>
  <c r="D157"/>
  <c r="D245"/>
  <c r="D214"/>
  <c r="D204"/>
  <c r="D158"/>
  <c r="D102"/>
  <c r="D107"/>
  <c r="D96"/>
  <c r="D83"/>
  <c r="E35" i="31"/>
  <c r="D21" i="49"/>
  <c r="D272" i="60"/>
  <c r="D268"/>
  <c r="D267"/>
  <c r="D256"/>
  <c r="D174"/>
  <c r="D176"/>
  <c r="D173"/>
  <c r="D172"/>
  <c r="D171"/>
  <c r="D170"/>
  <c r="D169"/>
  <c r="D168"/>
  <c r="D165"/>
  <c r="D207"/>
  <c r="D228"/>
  <c r="D202"/>
  <c r="D186"/>
  <c r="D215"/>
  <c r="D252"/>
  <c r="D69"/>
  <c r="D218"/>
  <c r="D217"/>
  <c r="D251"/>
  <c r="D249"/>
  <c r="D97"/>
  <c r="D248"/>
  <c r="D247"/>
  <c r="D244"/>
  <c r="D195"/>
  <c r="D220"/>
  <c r="D194"/>
  <c r="D117"/>
  <c r="D198"/>
  <c r="D246"/>
  <c r="D155"/>
  <c r="D101"/>
  <c r="D99"/>
  <c r="D110"/>
  <c r="D238"/>
  <c r="D236"/>
  <c r="D116"/>
  <c r="D225"/>
  <c r="D227"/>
  <c r="D201"/>
  <c r="D211"/>
  <c r="D125"/>
  <c r="D124"/>
  <c r="D205"/>
  <c r="D115"/>
  <c r="D104"/>
  <c r="D136"/>
  <c r="D133"/>
  <c r="D141"/>
  <c r="D147"/>
  <c r="D146"/>
  <c r="D144"/>
  <c r="D143"/>
  <c r="D140"/>
  <c r="D139"/>
  <c r="D138"/>
  <c r="D134"/>
  <c r="D132"/>
  <c r="D131"/>
  <c r="D100"/>
  <c r="D129"/>
  <c r="D78"/>
  <c r="D10"/>
  <c r="D9"/>
  <c r="D253"/>
  <c r="D224"/>
  <c r="D156"/>
  <c r="D199"/>
  <c r="D106"/>
  <c r="D111"/>
  <c r="D200"/>
  <c r="D108"/>
  <c r="D109"/>
  <c r="D235"/>
  <c r="D233"/>
  <c r="D90"/>
  <c r="D91"/>
  <c r="D92"/>
  <c r="D94"/>
  <c r="D93"/>
  <c r="D112"/>
  <c r="D257"/>
  <c r="D71"/>
  <c r="D212"/>
  <c r="D70"/>
  <c r="D68"/>
  <c r="D84"/>
  <c r="D77"/>
  <c r="D230"/>
  <c r="D76"/>
  <c r="D67"/>
  <c r="D66"/>
  <c r="D65"/>
  <c r="D41"/>
  <c r="D53"/>
  <c r="D54"/>
  <c r="D51"/>
  <c r="D50"/>
  <c r="D49"/>
  <c r="D48"/>
  <c r="D47"/>
  <c r="D21"/>
  <c r="D46"/>
  <c r="D40"/>
  <c r="D39"/>
  <c r="D38"/>
  <c r="D37"/>
  <c r="D35"/>
  <c r="D34"/>
  <c r="D33"/>
  <c r="D32"/>
  <c r="D31"/>
  <c r="D30"/>
  <c r="D29"/>
  <c r="D28"/>
  <c r="D27"/>
  <c r="D26"/>
  <c r="D25"/>
  <c r="D20"/>
  <c r="D19"/>
  <c r="D18"/>
  <c r="D17"/>
  <c r="D16"/>
  <c r="D15"/>
  <c r="D14"/>
  <c r="D13"/>
  <c r="D12"/>
  <c r="E39" i="73"/>
  <c r="F39"/>
  <c r="A40" i="63"/>
  <c r="A39"/>
  <c r="A37"/>
  <c r="A36"/>
  <c r="A35"/>
  <c r="A31"/>
  <c r="A30"/>
  <c r="A29"/>
  <c r="E9"/>
  <c r="I8"/>
  <c r="I7"/>
  <c r="I9"/>
  <c r="M45" i="66"/>
  <c r="M46"/>
  <c r="M47"/>
  <c r="M48"/>
  <c r="N48"/>
  <c r="O48"/>
  <c r="P48"/>
  <c r="M49"/>
  <c r="E22" i="63"/>
  <c r="M50" i="66"/>
  <c r="N49"/>
  <c r="O49"/>
  <c r="F10" i="26"/>
  <c r="K10"/>
  <c r="P49" i="66"/>
  <c r="N50"/>
  <c r="O50"/>
  <c r="M51"/>
  <c r="F8" i="26"/>
  <c r="P50" i="66"/>
  <c r="M52"/>
  <c r="N52"/>
  <c r="N51"/>
  <c r="O51"/>
  <c r="D20" i="26"/>
  <c r="P51" i="66"/>
  <c r="O52"/>
  <c r="P52"/>
  <c r="C62" i="49"/>
  <c r="C64"/>
  <c r="B8" i="63"/>
  <c r="G8"/>
  <c r="H20" i="26"/>
  <c r="H27"/>
  <c r="E67" i="60"/>
  <c r="E71"/>
  <c r="E267"/>
  <c r="E273"/>
  <c r="D34" i="23"/>
  <c r="F13" i="34"/>
  <c r="D29" i="49"/>
  <c r="D24"/>
  <c r="D108"/>
  <c r="D65"/>
  <c r="D99"/>
  <c r="D103"/>
  <c r="C55"/>
  <c r="C56"/>
  <c r="C57"/>
  <c r="C58"/>
  <c r="C59"/>
  <c r="D54"/>
  <c r="D55"/>
  <c r="D56"/>
  <c r="D57"/>
  <c r="D58"/>
  <c r="D59"/>
  <c r="D52" i="24"/>
  <c r="D53"/>
  <c r="D54"/>
  <c r="D55"/>
  <c r="D56"/>
  <c r="D57"/>
  <c r="D60"/>
  <c r="D59"/>
  <c r="D68"/>
  <c r="D69"/>
  <c r="D72"/>
  <c r="D70"/>
  <c r="C69"/>
  <c r="D91"/>
  <c r="D92"/>
  <c r="G18" i="65"/>
  <c r="D54"/>
  <c r="E54"/>
  <c r="D94" i="24"/>
  <c r="C94"/>
  <c r="D93"/>
  <c r="G17" i="65"/>
  <c r="D51"/>
  <c r="E51"/>
  <c r="D100" i="24"/>
  <c r="C102"/>
  <c r="C103"/>
  <c r="C105"/>
  <c r="C112"/>
  <c r="D23"/>
  <c r="G13" i="65"/>
  <c r="D15" i="24"/>
  <c r="D37"/>
  <c r="C38"/>
  <c r="C39"/>
  <c r="C40"/>
  <c r="C41"/>
  <c r="C42"/>
  <c r="C43"/>
  <c r="C44"/>
  <c r="C46"/>
  <c r="D74" i="49"/>
  <c r="D78"/>
  <c r="D77"/>
  <c r="D93"/>
  <c r="D91"/>
  <c r="D92"/>
  <c r="C116"/>
  <c r="C117"/>
  <c r="C118"/>
  <c r="C119"/>
  <c r="C120"/>
  <c r="C121"/>
  <c r="C122"/>
  <c r="C123"/>
  <c r="C124"/>
  <c r="C125"/>
  <c r="C126"/>
  <c r="C127"/>
  <c r="C128"/>
  <c r="C130"/>
  <c r="C135"/>
  <c r="D110"/>
  <c r="D111"/>
  <c r="D113"/>
  <c r="D114"/>
  <c r="D115"/>
  <c r="D116"/>
  <c r="D117"/>
  <c r="D118"/>
  <c r="D119"/>
  <c r="D120"/>
  <c r="D121"/>
  <c r="D122"/>
  <c r="D123"/>
  <c r="D124"/>
  <c r="D125"/>
  <c r="D126"/>
  <c r="D127"/>
  <c r="D128"/>
  <c r="D129"/>
  <c r="D8" i="24"/>
  <c r="D11"/>
  <c r="E11" i="31"/>
  <c r="D22" i="54"/>
  <c r="D23"/>
  <c r="C35" i="15"/>
  <c r="C36"/>
  <c r="L28" i="26"/>
  <c r="E61" i="66"/>
  <c r="F6" i="60"/>
  <c r="J6" i="26"/>
  <c r="J14"/>
  <c r="K14"/>
  <c r="J16"/>
  <c r="K16"/>
  <c r="J18"/>
  <c r="K18"/>
  <c r="F24"/>
  <c r="K24"/>
  <c r="G49" i="32"/>
  <c r="G44"/>
  <c r="G38"/>
  <c r="F44"/>
  <c r="F48"/>
  <c r="F49"/>
  <c r="F46"/>
  <c r="F45"/>
  <c r="F40"/>
  <c r="F39"/>
  <c r="B31" i="34"/>
  <c r="B30"/>
  <c r="B28"/>
  <c r="B27"/>
  <c r="B26"/>
  <c r="B22"/>
  <c r="B21"/>
  <c r="B20"/>
  <c r="E64" i="15"/>
  <c r="C38" i="23"/>
  <c r="B38"/>
  <c r="I50" i="66"/>
  <c r="I51"/>
  <c r="E98"/>
  <c r="E91"/>
  <c r="E78"/>
  <c r="E77"/>
  <c r="E76"/>
  <c r="E72"/>
  <c r="E73"/>
  <c r="E74"/>
  <c r="E75"/>
  <c r="D79"/>
  <c r="B19" i="65"/>
  <c r="C19"/>
  <c r="G55"/>
  <c r="F55"/>
  <c r="I29"/>
  <c r="H29"/>
  <c r="I19"/>
  <c r="H19"/>
  <c r="F19"/>
  <c r="E19"/>
  <c r="C79" i="66"/>
  <c r="F66" i="65"/>
  <c r="J19"/>
  <c r="G66"/>
  <c r="J29"/>
  <c r="F22" i="48"/>
  <c r="E22"/>
  <c r="C22"/>
  <c r="D22"/>
  <c r="F11" i="34"/>
  <c r="F8"/>
  <c r="F6"/>
  <c r="E6" i="60"/>
  <c r="B1" i="15"/>
  <c r="L8" i="26"/>
  <c r="L16"/>
  <c r="F11" i="48"/>
  <c r="F12"/>
  <c r="C11" i="54"/>
  <c r="L24" i="26"/>
  <c r="C6" i="60"/>
  <c r="F3"/>
  <c r="C1"/>
  <c r="R12" i="54"/>
  <c r="S12"/>
  <c r="D59" i="15"/>
  <c r="D61"/>
  <c r="Q38" i="52"/>
  <c r="B64" i="15"/>
  <c r="B65"/>
  <c r="B66"/>
  <c r="E68"/>
  <c r="D25" i="34"/>
  <c r="B70" i="15"/>
  <c r="B71"/>
  <c r="B72"/>
  <c r="E72"/>
  <c r="D30" i="34"/>
  <c r="B74" i="15"/>
  <c r="B75"/>
  <c r="B51" i="23"/>
  <c r="D42"/>
  <c r="F3" i="34"/>
  <c r="L3" i="26"/>
  <c r="B1"/>
  <c r="B1" i="34"/>
  <c r="D4" i="49"/>
  <c r="D22"/>
  <c r="D40"/>
  <c r="D52"/>
  <c r="C4"/>
  <c r="C22"/>
  <c r="C40"/>
  <c r="C52"/>
  <c r="B4"/>
  <c r="B22"/>
  <c r="B40"/>
  <c r="B52"/>
  <c r="D3"/>
  <c r="B1"/>
  <c r="B4" i="48"/>
  <c r="F3"/>
  <c r="F4"/>
  <c r="E19"/>
  <c r="E26"/>
  <c r="E4"/>
  <c r="C19"/>
  <c r="C26"/>
  <c r="B1"/>
  <c r="E32"/>
  <c r="C29"/>
  <c r="C32"/>
  <c r="B1" i="23"/>
  <c r="D3" i="24"/>
  <c r="D4"/>
  <c r="D13"/>
  <c r="D21"/>
  <c r="D35"/>
  <c r="D50"/>
  <c r="D65"/>
  <c r="D77"/>
  <c r="D87"/>
  <c r="D97"/>
  <c r="D122"/>
  <c r="C4"/>
  <c r="C13"/>
  <c r="C21"/>
  <c r="C35"/>
  <c r="C50"/>
  <c r="C65"/>
  <c r="C77"/>
  <c r="C87"/>
  <c r="C97"/>
  <c r="C122"/>
  <c r="B4"/>
  <c r="B13"/>
  <c r="B21"/>
  <c r="B35"/>
  <c r="B50"/>
  <c r="B65"/>
  <c r="B77"/>
  <c r="B87"/>
  <c r="B97"/>
  <c r="B122"/>
  <c r="C4" i="23"/>
  <c r="B39"/>
  <c r="D50"/>
  <c r="D46"/>
  <c r="B52"/>
  <c r="B50"/>
  <c r="B49"/>
  <c r="B48"/>
  <c r="B44"/>
  <c r="B43"/>
  <c r="B42"/>
  <c r="E3"/>
  <c r="L14" i="26"/>
  <c r="I20"/>
  <c r="G20"/>
  <c r="L18"/>
  <c r="F15" i="34"/>
  <c r="E62" i="66"/>
  <c r="D86" i="49"/>
  <c r="D131"/>
  <c r="D95"/>
  <c r="J20" i="26"/>
  <c r="D15" i="67"/>
  <c r="D8" i="31"/>
  <c r="C8" i="24"/>
  <c r="C11"/>
  <c r="D11" i="31"/>
  <c r="C92" i="49"/>
  <c r="C74"/>
  <c r="C8"/>
  <c r="C7"/>
  <c r="C129"/>
  <c r="C113"/>
  <c r="C91"/>
  <c r="C78"/>
  <c r="C15" i="24"/>
  <c r="D11" i="65"/>
  <c r="C107" i="24"/>
  <c r="C92"/>
  <c r="D18" i="65"/>
  <c r="B54"/>
  <c r="C54"/>
  <c r="C68" i="24"/>
  <c r="C56"/>
  <c r="C52"/>
  <c r="C29" i="49"/>
  <c r="D47" i="66"/>
  <c r="G47"/>
  <c r="C76" i="49"/>
  <c r="C16" i="24"/>
  <c r="D12" i="65"/>
  <c r="B50"/>
  <c r="C50"/>
  <c r="C37" i="24"/>
  <c r="C48"/>
  <c r="D14" i="31"/>
  <c r="C17" i="24"/>
  <c r="B48" i="65"/>
  <c r="C48"/>
  <c r="C101" i="24"/>
  <c r="C91"/>
  <c r="C59"/>
  <c r="C55"/>
  <c r="C54" i="49"/>
  <c r="C61"/>
  <c r="C65"/>
  <c r="E269" i="60"/>
  <c r="D25" i="23"/>
  <c r="C13" i="49"/>
  <c r="E11" i="48"/>
  <c r="E12"/>
  <c r="C12" i="49"/>
  <c r="C134"/>
  <c r="C115"/>
  <c r="C110"/>
  <c r="C109"/>
  <c r="C93"/>
  <c r="D26" i="65"/>
  <c r="C75" i="49"/>
  <c r="C104" i="24"/>
  <c r="C100"/>
  <c r="C60"/>
  <c r="C54"/>
  <c r="C81" i="49"/>
  <c r="K28" i="26"/>
  <c r="C93" i="24"/>
  <c r="D17" i="65"/>
  <c r="B51"/>
  <c r="C51"/>
  <c r="C70" i="24"/>
  <c r="C57"/>
  <c r="C53"/>
  <c r="C52" i="66"/>
  <c r="E52"/>
  <c r="C80" i="49"/>
  <c r="D29" i="48"/>
  <c r="D31" i="31"/>
  <c r="F63" i="60"/>
  <c r="F88"/>
  <c r="F121"/>
  <c r="F127"/>
  <c r="F152"/>
  <c r="F162"/>
  <c r="F183"/>
  <c r="F192"/>
  <c r="F264"/>
  <c r="F275"/>
  <c r="E63"/>
  <c r="E88"/>
  <c r="E121"/>
  <c r="E127"/>
  <c r="E152"/>
  <c r="E162"/>
  <c r="E183"/>
  <c r="E192"/>
  <c r="E264"/>
  <c r="E275"/>
  <c r="C63"/>
  <c r="C88"/>
  <c r="C121"/>
  <c r="C127"/>
  <c r="C152"/>
  <c r="C162"/>
  <c r="C183"/>
  <c r="C192"/>
  <c r="C264"/>
  <c r="C275"/>
  <c r="D71" i="49"/>
  <c r="D88"/>
  <c r="D97"/>
  <c r="D106"/>
  <c r="B71"/>
  <c r="B88"/>
  <c r="B97"/>
  <c r="B106"/>
  <c r="C71"/>
  <c r="C88"/>
  <c r="C97"/>
  <c r="C106"/>
  <c r="G28" i="65"/>
  <c r="D65"/>
  <c r="E65"/>
  <c r="C64" i="66"/>
  <c r="E64"/>
  <c r="G26" i="65"/>
  <c r="D63"/>
  <c r="E63"/>
  <c r="G22"/>
  <c r="D59"/>
  <c r="E59"/>
  <c r="G24"/>
  <c r="D61"/>
  <c r="E61"/>
  <c r="G10"/>
  <c r="D46"/>
  <c r="E46"/>
  <c r="C65" i="66"/>
  <c r="E65"/>
  <c r="D24" i="24"/>
  <c r="E13" i="31"/>
  <c r="C29" i="24"/>
  <c r="C108" i="49"/>
  <c r="C48" i="66"/>
  <c r="C25" i="49"/>
  <c r="C24"/>
  <c r="G25" i="65"/>
  <c r="D109" i="49"/>
  <c r="D41" i="31"/>
  <c r="E43" i="73"/>
  <c r="D104" i="49"/>
  <c r="E50" i="31"/>
  <c r="D61" i="49"/>
  <c r="D26"/>
  <c r="G21" i="65"/>
  <c r="D113" i="24"/>
  <c r="E23" i="31"/>
  <c r="D71" i="24"/>
  <c r="D75"/>
  <c r="E20" i="31"/>
  <c r="D58" i="24"/>
  <c r="D61"/>
  <c r="D63"/>
  <c r="E18" i="31"/>
  <c r="D19" i="24"/>
  <c r="E12" i="31"/>
  <c r="D47" i="65"/>
  <c r="K6" i="26"/>
  <c r="K20"/>
  <c r="L20"/>
  <c r="C47" i="15"/>
  <c r="C20" i="54"/>
  <c r="D20"/>
  <c r="C15" i="67"/>
  <c r="F71" i="60"/>
  <c r="F272"/>
  <c r="E33" i="23"/>
  <c r="E35"/>
  <c r="F268" i="60"/>
  <c r="F267"/>
  <c r="F269"/>
  <c r="E25" i="23"/>
  <c r="F67" i="60"/>
  <c r="C9" i="54"/>
  <c r="D9"/>
  <c r="C15" i="15"/>
  <c r="C40"/>
  <c r="C22" i="54"/>
  <c r="D48" i="65"/>
  <c r="E48"/>
  <c r="F20" i="26"/>
  <c r="F30"/>
  <c r="D48" i="24"/>
  <c r="E14" i="31"/>
  <c r="C56" i="15"/>
  <c r="G11" i="65"/>
  <c r="C24" i="54"/>
  <c r="D11"/>
  <c r="E79" i="66"/>
  <c r="G16" i="65"/>
  <c r="D52"/>
  <c r="E52"/>
  <c r="D95" i="24"/>
  <c r="E22" i="31"/>
  <c r="F29" i="48"/>
  <c r="F32"/>
  <c r="D85" i="24"/>
  <c r="E21" i="31"/>
  <c r="C95" i="24"/>
  <c r="E258" i="60"/>
  <c r="C66" i="49"/>
  <c r="D43" i="31"/>
  <c r="C26" i="49"/>
  <c r="C28"/>
  <c r="C31"/>
  <c r="C11"/>
  <c r="C14"/>
  <c r="C15"/>
  <c r="C77"/>
  <c r="C86"/>
  <c r="C131"/>
  <c r="C137"/>
  <c r="D16" i="65"/>
  <c r="B52"/>
  <c r="C52"/>
  <c r="D22" i="31"/>
  <c r="C19" i="15"/>
  <c r="K27" i="26"/>
  <c r="D9" i="31"/>
  <c r="C37" i="15"/>
  <c r="C95" i="49"/>
  <c r="C14" i="15"/>
  <c r="C48"/>
  <c r="C113" i="24"/>
  <c r="D23" i="31"/>
  <c r="E123" i="60"/>
  <c r="B47" i="65"/>
  <c r="C47"/>
  <c r="E12" i="72"/>
  <c r="E25" i="31"/>
  <c r="D137" i="49"/>
  <c r="E15" i="31"/>
  <c r="E49"/>
  <c r="E50" i="73"/>
  <c r="D28" i="65"/>
  <c r="C53" i="66"/>
  <c r="E53"/>
  <c r="D13" i="65"/>
  <c r="D60" i="66"/>
  <c r="D68"/>
  <c r="D22" i="65"/>
  <c r="B59"/>
  <c r="C59"/>
  <c r="C19" i="24"/>
  <c r="D12" i="31"/>
  <c r="E47" i="66"/>
  <c r="J10" i="32"/>
  <c r="D13" i="72"/>
  <c r="D34"/>
  <c r="C58" i="24"/>
  <c r="C61"/>
  <c r="C63"/>
  <c r="D18" i="31"/>
  <c r="D24" i="65"/>
  <c r="B61"/>
  <c r="C61"/>
  <c r="C23" i="15"/>
  <c r="C71" i="24"/>
  <c r="C3" i="54"/>
  <c r="D35" i="23"/>
  <c r="D7" i="31"/>
  <c r="E51" i="73"/>
  <c r="G14" i="65"/>
  <c r="D49"/>
  <c r="E49"/>
  <c r="C22" i="15"/>
  <c r="C29"/>
  <c r="D28" i="49"/>
  <c r="D31"/>
  <c r="E40" i="31"/>
  <c r="D58" i="65"/>
  <c r="E58"/>
  <c r="C63" i="66"/>
  <c r="D62" i="65"/>
  <c r="E62"/>
  <c r="B63"/>
  <c r="C63"/>
  <c r="C51" i="66"/>
  <c r="E51"/>
  <c r="E47" i="65"/>
  <c r="F270" i="60"/>
  <c r="E13" i="72"/>
  <c r="E34"/>
  <c r="F123" i="60"/>
  <c r="D66" i="49"/>
  <c r="E27" i="23"/>
  <c r="C24" i="15"/>
  <c r="G15" i="65"/>
  <c r="C17" i="15"/>
  <c r="C13"/>
  <c r="D15"/>
  <c r="D42"/>
  <c r="C17" i="54"/>
  <c r="B11" i="63"/>
  <c r="C18"/>
  <c r="E18"/>
  <c r="E19"/>
  <c r="E21"/>
  <c r="E23"/>
  <c r="E27" i="31"/>
  <c r="G260" i="60"/>
  <c r="F44"/>
  <c r="E51" i="31"/>
  <c r="E52" i="73"/>
  <c r="E48" i="31"/>
  <c r="E49" i="73"/>
  <c r="E43" i="31"/>
  <c r="E45" i="73"/>
  <c r="B65" i="65"/>
  <c r="C65"/>
  <c r="C75" i="24"/>
  <c r="D20" i="31"/>
  <c r="D51"/>
  <c r="D48"/>
  <c r="D49"/>
  <c r="C27" i="15"/>
  <c r="E60" i="66"/>
  <c r="C49"/>
  <c r="E49"/>
  <c r="D25" i="65"/>
  <c r="C50" i="66"/>
  <c r="E50"/>
  <c r="C31" i="24"/>
  <c r="D26" i="72"/>
  <c r="D27"/>
  <c r="F45" i="52"/>
  <c r="E66" i="65"/>
  <c r="D66"/>
  <c r="G29"/>
  <c r="C68" i="66"/>
  <c r="E63"/>
  <c r="D21" i="65"/>
  <c r="G19"/>
  <c r="D53"/>
  <c r="E14" i="72"/>
  <c r="E23"/>
  <c r="E35"/>
  <c r="C20" i="15"/>
  <c r="E44" i="31"/>
  <c r="C21" i="49"/>
  <c r="D35" i="31"/>
  <c r="C30" i="15"/>
  <c r="C25"/>
  <c r="E68" i="66"/>
  <c r="C26" i="15"/>
  <c r="D14" i="65"/>
  <c r="B49"/>
  <c r="C49"/>
  <c r="E52" i="31"/>
  <c r="B62" i="65"/>
  <c r="C62"/>
  <c r="E44" i="60"/>
  <c r="E42" i="73"/>
  <c r="E46"/>
  <c r="C56" i="66"/>
  <c r="B58" i="65"/>
  <c r="D29"/>
  <c r="D40" i="31"/>
  <c r="D48" i="66"/>
  <c r="E53" i="65"/>
  <c r="E55"/>
  <c r="D55"/>
  <c r="F60" i="60"/>
  <c r="B7" i="63"/>
  <c r="C9"/>
  <c r="D44" i="31"/>
  <c r="C18" i="15"/>
  <c r="E60" i="60"/>
  <c r="E54" i="31"/>
  <c r="D56" i="66"/>
  <c r="E48"/>
  <c r="E56"/>
  <c r="C44" i="15"/>
  <c r="C58" i="65"/>
  <c r="C66"/>
  <c r="B66"/>
  <c r="G7" i="63"/>
  <c r="G9"/>
  <c r="C19"/>
  <c r="C21"/>
  <c r="J29" i="32"/>
  <c r="J15"/>
  <c r="G15"/>
  <c r="C12" i="54"/>
  <c r="D49" i="15"/>
  <c r="C23" i="63"/>
  <c r="C24"/>
  <c r="C25"/>
  <c r="C30"/>
  <c r="C32"/>
  <c r="C30" i="24"/>
  <c r="C32"/>
  <c r="E33" i="63"/>
  <c r="C14" i="54"/>
  <c r="C24" i="24"/>
  <c r="D14" i="54"/>
  <c r="C6" i="15"/>
  <c r="C57"/>
  <c r="C59"/>
  <c r="C61"/>
  <c r="C85" i="24"/>
  <c r="D21" i="31"/>
  <c r="D25"/>
  <c r="E266" i="60"/>
  <c r="D16" i="72"/>
  <c r="D17"/>
  <c r="D13" i="31"/>
  <c r="D15"/>
  <c r="C5" i="54"/>
  <c r="D5"/>
  <c r="D25"/>
  <c r="D56" i="23"/>
  <c r="D27" i="31"/>
  <c r="C52" i="15"/>
  <c r="D53"/>
  <c r="D15" i="65"/>
  <c r="D27" i="23"/>
  <c r="C15" i="54"/>
  <c r="C21" i="15"/>
  <c r="D30"/>
  <c r="C25" i="54"/>
  <c r="C26"/>
  <c r="B53" i="65"/>
  <c r="D19"/>
  <c r="D31" i="72"/>
  <c r="J27" i="32"/>
  <c r="G27"/>
  <c r="E44" i="52"/>
  <c r="B55" i="65"/>
  <c r="C53"/>
  <c r="C55"/>
  <c r="D12" i="72"/>
  <c r="D14"/>
  <c r="D23"/>
  <c r="D35"/>
  <c r="C35"/>
  <c r="E51" i="52"/>
  <c r="D32" i="72"/>
  <c r="C32"/>
  <c r="C34"/>
  <c r="E270" i="60"/>
  <c r="D28" i="23"/>
  <c r="C99" i="49"/>
  <c r="D73" i="72"/>
  <c r="D33"/>
  <c r="C33"/>
  <c r="D30" i="23"/>
  <c r="D36"/>
  <c r="D12" i="34"/>
  <c r="D16"/>
  <c r="C104" i="49"/>
  <c r="D50" i="31"/>
  <c r="D52"/>
  <c r="C7" i="15"/>
  <c r="D11"/>
  <c r="D16"/>
  <c r="J31" i="32"/>
  <c r="E277" i="60"/>
  <c r="E280"/>
  <c r="D37" i="23"/>
  <c r="D54" i="31"/>
  <c r="F12" i="34"/>
  <c r="E283" i="60"/>
  <c r="E284"/>
  <c r="C18" i="54"/>
  <c r="D18"/>
  <c r="J12" i="32"/>
  <c r="G12"/>
  <c r="J8"/>
  <c r="G8"/>
  <c r="J7"/>
  <c r="G7"/>
  <c r="D31" i="15"/>
  <c r="D33"/>
  <c r="D50"/>
  <c r="D54"/>
  <c r="E31" i="72"/>
  <c r="E32"/>
  <c r="E33"/>
  <c r="E28" i="23"/>
  <c r="E30"/>
  <c r="E36"/>
  <c r="F7" i="34"/>
  <c r="F10"/>
  <c r="F16"/>
  <c r="F277" i="60"/>
  <c r="F280"/>
  <c r="E37" i="23"/>
  <c r="E32" i="31"/>
  <c r="F52" i="73"/>
  <c r="F51"/>
  <c r="F50"/>
  <c r="F49"/>
  <c r="E53"/>
  <c r="E55"/>
  <c r="E17" i="34"/>
  <c r="D32" i="31"/>
  <c r="D33"/>
  <c r="D56"/>
  <c r="E33"/>
  <c r="E56"/>
  <c r="E36" i="73"/>
  <c r="F53"/>
  <c r="F55"/>
  <c r="E57" i="31"/>
  <c r="D57"/>
  <c r="J22" i="32"/>
  <c r="D55" i="23"/>
  <c r="J21" i="32"/>
  <c r="G21"/>
  <c r="J17"/>
  <c r="G17"/>
  <c r="F36" i="73"/>
  <c r="F37"/>
  <c r="F57"/>
  <c r="E37"/>
  <c r="E57"/>
  <c r="J24" i="32"/>
  <c r="G24"/>
</calcChain>
</file>

<file path=xl/comments1.xml><?xml version="1.0" encoding="utf-8"?>
<comments xmlns="http://schemas.openxmlformats.org/spreadsheetml/2006/main">
  <authors>
    <author>dell</author>
  </authors>
  <commentList>
    <comment ref="D14" authorId="0">
      <text>
        <r>
          <rPr>
            <b/>
            <sz val="9"/>
            <color indexed="81"/>
            <rFont val="Tahoma"/>
            <family val="2"/>
          </rPr>
          <t>dell:</t>
        </r>
        <r>
          <rPr>
            <sz val="9"/>
            <color indexed="81"/>
            <rFont val="Tahoma"/>
            <family val="2"/>
          </rPr>
          <t xml:space="preserve">
mapping in sap for contract asset current &amp; NC 1710296.11
</t>
        </r>
      </text>
    </comment>
    <comment ref="D24" authorId="0">
      <text>
        <r>
          <rPr>
            <b/>
            <sz val="9"/>
            <color indexed="81"/>
            <rFont val="Tahoma"/>
            <family val="2"/>
          </rPr>
          <t>dell:</t>
        </r>
        <r>
          <rPr>
            <sz val="9"/>
            <color indexed="81"/>
            <rFont val="Tahoma"/>
            <family val="2"/>
          </rPr>
          <t xml:space="preserve">
GL mapping of asset held for sale
</t>
        </r>
      </text>
    </comment>
    <comment ref="D41" authorId="0">
      <text>
        <r>
          <rPr>
            <b/>
            <sz val="9"/>
            <color indexed="81"/>
            <rFont val="Tahoma"/>
            <family val="2"/>
          </rPr>
          <t>dell:</t>
        </r>
        <r>
          <rPr>
            <sz val="9"/>
            <color indexed="81"/>
            <rFont val="Tahoma"/>
            <family val="2"/>
          </rPr>
          <t xml:space="preserve">
sap mapping for license fee BICMA</t>
        </r>
      </text>
    </comment>
    <comment ref="D48" authorId="0">
      <text>
        <r>
          <rPr>
            <b/>
            <sz val="9"/>
            <color indexed="81"/>
            <rFont val="Tahoma"/>
            <family val="2"/>
          </rPr>
          <t>dell:</t>
        </r>
        <r>
          <rPr>
            <sz val="9"/>
            <color indexed="81"/>
            <rFont val="Tahoma"/>
            <family val="2"/>
          </rPr>
          <t xml:space="preserve">
brand mgt fee mapping
</t>
        </r>
      </text>
    </comment>
    <comment ref="D49" authorId="0">
      <text>
        <r>
          <rPr>
            <b/>
            <sz val="9"/>
            <color indexed="81"/>
            <rFont val="Tahoma"/>
            <family val="2"/>
          </rPr>
          <t>dell:</t>
        </r>
        <r>
          <rPr>
            <sz val="9"/>
            <color indexed="81"/>
            <rFont val="Tahoma"/>
            <family val="2"/>
          </rPr>
          <t xml:space="preserve">
mapping</t>
        </r>
      </text>
    </comment>
  </commentList>
</comments>
</file>

<file path=xl/comments2.xml><?xml version="1.0" encoding="utf-8"?>
<comments xmlns="http://schemas.openxmlformats.org/spreadsheetml/2006/main">
  <authors>
    <author>dell</author>
  </authors>
  <commentList>
    <comment ref="C111" authorId="0">
      <text>
        <r>
          <rPr>
            <b/>
            <sz val="9"/>
            <color indexed="81"/>
            <rFont val="Tahoma"/>
            <family val="2"/>
          </rPr>
          <t>dell:</t>
        </r>
        <r>
          <rPr>
            <sz val="9"/>
            <color indexed="81"/>
            <rFont val="Tahoma"/>
            <family val="2"/>
          </rPr>
          <t xml:space="preserve">
no mapping</t>
        </r>
      </text>
    </comment>
  </commentList>
</comments>
</file>

<file path=xl/comments3.xml><?xml version="1.0" encoding="utf-8"?>
<comments xmlns="http://schemas.openxmlformats.org/spreadsheetml/2006/main">
  <authors>
    <author>dell</author>
  </authors>
  <commentList>
    <comment ref="C79" authorId="0">
      <text>
        <r>
          <rPr>
            <b/>
            <sz val="9"/>
            <color indexed="81"/>
            <rFont val="Tahoma"/>
            <family val="2"/>
          </rPr>
          <t>dell:</t>
        </r>
        <r>
          <rPr>
            <sz val="9"/>
            <color indexed="81"/>
            <rFont val="Tahoma"/>
            <family val="2"/>
          </rPr>
          <t xml:space="preserve">
mapping in sap for brand mgt fees</t>
        </r>
      </text>
    </comment>
    <comment ref="C94" authorId="0">
      <text>
        <r>
          <rPr>
            <b/>
            <sz val="9"/>
            <color indexed="81"/>
            <rFont val="Tahoma"/>
            <family val="2"/>
          </rPr>
          <t>dell:</t>
        </r>
        <r>
          <rPr>
            <sz val="9"/>
            <color indexed="81"/>
            <rFont val="Tahoma"/>
            <family val="2"/>
          </rPr>
          <t xml:space="preserve">
mapping</t>
        </r>
      </text>
    </comment>
    <comment ref="C100" authorId="0">
      <text>
        <r>
          <rPr>
            <b/>
            <sz val="9"/>
            <color indexed="81"/>
            <rFont val="Tahoma"/>
            <family val="2"/>
          </rPr>
          <t>dell:</t>
        </r>
        <r>
          <rPr>
            <sz val="9"/>
            <color indexed="81"/>
            <rFont val="Tahoma"/>
            <family val="2"/>
          </rPr>
          <t xml:space="preserve">
mapping</t>
        </r>
      </text>
    </comment>
    <comment ref="C101" authorId="0">
      <text>
        <r>
          <rPr>
            <b/>
            <sz val="9"/>
            <color indexed="81"/>
            <rFont val="Tahoma"/>
            <family val="2"/>
          </rPr>
          <t>dell:</t>
        </r>
        <r>
          <rPr>
            <sz val="9"/>
            <color indexed="81"/>
            <rFont val="Tahoma"/>
            <family val="2"/>
          </rPr>
          <t xml:space="preserve">
mapping</t>
        </r>
      </text>
    </comment>
    <comment ref="C133" authorId="0">
      <text>
        <r>
          <rPr>
            <b/>
            <sz val="9"/>
            <color indexed="81"/>
            <rFont val="Tahoma"/>
            <family val="2"/>
          </rPr>
          <t>dell:</t>
        </r>
        <r>
          <rPr>
            <sz val="9"/>
            <color indexed="81"/>
            <rFont val="Tahoma"/>
            <family val="2"/>
          </rPr>
          <t xml:space="preserve">
GL mapping</t>
        </r>
      </text>
    </comment>
  </commentList>
</comments>
</file>

<file path=xl/sharedStrings.xml><?xml version="1.0" encoding="utf-8"?>
<sst xmlns="http://schemas.openxmlformats.org/spreadsheetml/2006/main" count="2216" uniqueCount="1882">
  <si>
    <t>BHUTAN TELECOM LIMITED</t>
  </si>
  <si>
    <t>Total</t>
  </si>
  <si>
    <t>Depreciation during the year</t>
  </si>
  <si>
    <t>Interest Received</t>
  </si>
  <si>
    <t>THIMPHU, BHUTAN</t>
  </si>
  <si>
    <t>1. LIQUIDITY</t>
  </si>
  <si>
    <t>Quick Assets/Quick Liabilities</t>
  </si>
  <si>
    <t>2. SOLVENCY:</t>
  </si>
  <si>
    <t>Long term Debt/Total Fixed Asset-Net</t>
  </si>
  <si>
    <t>Debt/(Capital Fund+Reserve &amp; Surplus)</t>
  </si>
  <si>
    <t>3. PROFITABILITY:</t>
  </si>
  <si>
    <t>a) PBT/Capital Employed</t>
  </si>
  <si>
    <t>b) PAT/Capital Employed</t>
  </si>
  <si>
    <t>Capital Employed=Equity Capital + Loan Fund</t>
  </si>
  <si>
    <t>Profit After Tax/Total Equity</t>
  </si>
  <si>
    <t>Total Equity= Capital + Reserve &amp; Surplus</t>
  </si>
  <si>
    <t>PBT/Operating Income</t>
  </si>
  <si>
    <t>Total Employee Expenses/Operating Income</t>
  </si>
  <si>
    <t>PAT/Total no. of Employees</t>
  </si>
  <si>
    <t>PARTICULARS</t>
  </si>
  <si>
    <t>Building</t>
  </si>
  <si>
    <t>Particulars</t>
  </si>
  <si>
    <t>Capital work-in-progress</t>
  </si>
  <si>
    <t>Inventories</t>
  </si>
  <si>
    <t>1,500,000 (Previous Year 1,500,000) Equity Shares of Nu. 1,000 each</t>
  </si>
  <si>
    <t>854,082 (previous Year 854,082) Equity Shares of Nu.1,000 each</t>
  </si>
  <si>
    <t>NA</t>
  </si>
  <si>
    <t>5 yrs</t>
  </si>
  <si>
    <t>COMPUTATION OF TAX</t>
  </si>
  <si>
    <t>Amount(Nu.)</t>
  </si>
  <si>
    <t>ADD BACK:</t>
  </si>
  <si>
    <t>Total Add back:</t>
  </si>
  <si>
    <t xml:space="preserve">Total Allowed </t>
  </si>
  <si>
    <t>TAX @ 30 %</t>
  </si>
  <si>
    <t>LESS:</t>
  </si>
  <si>
    <t>Net Payable</t>
  </si>
  <si>
    <t>Total Equity</t>
  </si>
  <si>
    <t xml:space="preserve">Name of Shareholder </t>
  </si>
  <si>
    <t>No. of Shares held</t>
  </si>
  <si>
    <t xml:space="preserve">% of total holding </t>
  </si>
  <si>
    <t>Druk Holdings &amp; Investment Limited</t>
  </si>
  <si>
    <t>Equity Shares</t>
  </si>
  <si>
    <t>No. of Shares</t>
  </si>
  <si>
    <t>Shares outstanding at the beginning of the year</t>
  </si>
  <si>
    <t>Shares bought back during the  year</t>
  </si>
  <si>
    <t>Shares outstanding at the end of the year</t>
  </si>
  <si>
    <t>Earnings Per Share</t>
  </si>
  <si>
    <t>B. Quick Ratio:</t>
  </si>
  <si>
    <t>C. Accounts Receivable Period</t>
  </si>
  <si>
    <t>D. Working Capital to Sales</t>
  </si>
  <si>
    <t>A. Term Debt to Total Fixed Assets</t>
  </si>
  <si>
    <t>B. Debt Equity Ratio:</t>
  </si>
  <si>
    <t>A. Return on Capital Employed:</t>
  </si>
  <si>
    <t>B. Return on Equity:</t>
  </si>
  <si>
    <t>C. Return on Sales</t>
  </si>
  <si>
    <t>D. Employee Cost to Gross Income</t>
  </si>
  <si>
    <t>E. Profit per Employee:</t>
  </si>
  <si>
    <t>A. Current Ratio</t>
  </si>
  <si>
    <t>Income Tax Paid</t>
  </si>
  <si>
    <t>Cash Generated from operating activities</t>
  </si>
  <si>
    <t>Net profit before tax</t>
  </si>
  <si>
    <t>iii Reconciliation of number of shares</t>
  </si>
  <si>
    <t>Cash on hand</t>
  </si>
  <si>
    <t>Fixed deposits placed for a period less than 3 months</t>
  </si>
  <si>
    <t>Amount in Nu.</t>
  </si>
  <si>
    <t>Adjustment for</t>
  </si>
  <si>
    <t>Partner</t>
  </si>
  <si>
    <t>Chairman</t>
  </si>
  <si>
    <t>Group Investment Reserve</t>
  </si>
  <si>
    <t>Equity share Capital</t>
  </si>
  <si>
    <t>Retained Earnings</t>
  </si>
  <si>
    <t xml:space="preserve">                Equity Shares</t>
  </si>
  <si>
    <t>Vehicles</t>
  </si>
  <si>
    <t>Gross Block</t>
  </si>
  <si>
    <t>Accumulated Depreciation</t>
  </si>
  <si>
    <t>Net Block</t>
  </si>
  <si>
    <t>Total (A)</t>
  </si>
  <si>
    <t>Acturial (gains)/losses on defined benefit plans</t>
  </si>
  <si>
    <t>Add/Less: Foreign Exchange Loss/(Gain)</t>
  </si>
  <si>
    <t xml:space="preserve">(Increase)/Decrease in Inventories </t>
  </si>
  <si>
    <t>Add/Less: Gain on sale of Property Plant and Equipments</t>
  </si>
  <si>
    <t>1. Land</t>
  </si>
  <si>
    <t>2. Building</t>
  </si>
  <si>
    <t>50 yrs</t>
  </si>
  <si>
    <t>15 yrs</t>
  </si>
  <si>
    <t>a. Tower</t>
  </si>
  <si>
    <t>30 yrs</t>
  </si>
  <si>
    <t>b. Rest</t>
  </si>
  <si>
    <t>10 yrs</t>
  </si>
  <si>
    <t>5. Furniture</t>
  </si>
  <si>
    <t>7. Vehicle</t>
  </si>
  <si>
    <t>7 yrs</t>
  </si>
  <si>
    <t>Useful life</t>
  </si>
  <si>
    <t xml:space="preserve"> </t>
  </si>
  <si>
    <t>Tax 30% on OCI</t>
  </si>
  <si>
    <t>I. ASSETS :</t>
  </si>
  <si>
    <t>II. EQUITY AND LIABILITIES :</t>
  </si>
  <si>
    <t>Chief Executive Officer</t>
  </si>
  <si>
    <t>The above accompanying notes are an integral part of the financial statements</t>
  </si>
  <si>
    <t>Note no.</t>
  </si>
  <si>
    <t>Unsecured, Considered good</t>
  </si>
  <si>
    <t>(Advances recoverable in cash and/or in kind or for value to be received)</t>
  </si>
  <si>
    <t>Authorised :</t>
  </si>
  <si>
    <t xml:space="preserve"> i. Terms / Rights attached to Equity Shares</t>
  </si>
  <si>
    <t>Shares issued during the year</t>
  </si>
  <si>
    <t>(a) Shareholders Fund</t>
  </si>
  <si>
    <t>Addition</t>
  </si>
  <si>
    <t>Adjustment</t>
  </si>
  <si>
    <t>Closing Cash &amp; Bank Balances</t>
  </si>
  <si>
    <t>Opening Cash &amp; Bank Balances</t>
  </si>
  <si>
    <t>Total issued, subscribed and fully paid-up</t>
  </si>
  <si>
    <t>Investment in Equity Shares, Unquoted</t>
  </si>
  <si>
    <t>Total Tax</t>
  </si>
  <si>
    <t>SL No</t>
  </si>
  <si>
    <t/>
  </si>
  <si>
    <t>Cash Flow Statement</t>
  </si>
  <si>
    <t>Assumption</t>
  </si>
  <si>
    <t>1. Total revenue for 2nd half of the year is equal to total budgeted revenue for 2016 minus total revenue achieved till June 2016</t>
  </si>
  <si>
    <t>2. Shortem Deposit of Nu: 125 million will realised with next 6 months</t>
  </si>
  <si>
    <t>CASH INFLOW</t>
  </si>
  <si>
    <t>3. Total Grant from BICMA amounting to Nu: 88.63 million, Nu:66.47 million will receive in next 6 months</t>
  </si>
  <si>
    <t>I) Operating Activities</t>
  </si>
  <si>
    <t>4. Overdraf Loan from BOB will be utilise in next half of the financial year</t>
  </si>
  <si>
    <t>Revenue</t>
  </si>
  <si>
    <t xml:space="preserve">5. Opex supplementary budget of Nu: 15 million included </t>
  </si>
  <si>
    <t>II) Investing Activities</t>
  </si>
  <si>
    <t>6. Interest on bond has been included in Redumption of Fund for BOB loan rather than reflecting under Opex</t>
  </si>
  <si>
    <t>Investment in Short Term Deposit</t>
  </si>
  <si>
    <t>7. Additional tax during Tax Assessment to be paid in next 6 months</t>
  </si>
  <si>
    <t>III) Financing Activities</t>
  </si>
  <si>
    <t>8. Refund of GIR Fund to be done next 6 months</t>
  </si>
  <si>
    <t>Grant from BICMA</t>
  </si>
  <si>
    <t>CASH OUTFLOW</t>
  </si>
  <si>
    <t>Corporate Income Tax</t>
  </si>
  <si>
    <t>Payment to PPE</t>
  </si>
  <si>
    <t xml:space="preserve">Closing Cash </t>
  </si>
  <si>
    <t>Operations expenses</t>
  </si>
  <si>
    <t>Receivable from DGPC</t>
  </si>
  <si>
    <t>Interest on Short Term Deposit</t>
  </si>
  <si>
    <t xml:space="preserve">Interest on Bond </t>
  </si>
  <si>
    <t>BHUTAN TELECOM LTD(BAC00313).</t>
  </si>
  <si>
    <t>Account Code</t>
  </si>
  <si>
    <t>Account Description</t>
  </si>
  <si>
    <t>Accound Description</t>
  </si>
  <si>
    <t>Loans - Current</t>
  </si>
  <si>
    <t>Income accrued and Due</t>
  </si>
  <si>
    <t>Advance Income Tax</t>
  </si>
  <si>
    <t>Sundry Debtors - Domestic - Non Current</t>
  </si>
  <si>
    <t>Sundry Debtors - International - Non Current</t>
  </si>
  <si>
    <t>Loan to Others - Non Current</t>
  </si>
  <si>
    <t>Other Receivables - Non Current</t>
  </si>
  <si>
    <t>Investment in Fixed Deposit - Long term</t>
  </si>
  <si>
    <t>Advance to Suppliers - Non Current</t>
  </si>
  <si>
    <t>Advance to Others - Non Current</t>
  </si>
  <si>
    <t>Loans to DHI Intra Company- Non Current</t>
  </si>
  <si>
    <t>Advance to Staff, Office Expenses - Non Current</t>
  </si>
  <si>
    <t>DHI Intra Company Revenue</t>
  </si>
  <si>
    <t>Deferred Tax Income</t>
  </si>
  <si>
    <t>Gain on Sale of Fixed Assets</t>
  </si>
  <si>
    <t>Income from Sale of Yellow Page</t>
  </si>
  <si>
    <t>Revaluation of Material - Gain</t>
  </si>
  <si>
    <t>R&amp;M Power - AMC</t>
  </si>
  <si>
    <t>R&amp;M Generator Set - AMC</t>
  </si>
  <si>
    <t>R&amp;M Software Application - Services</t>
  </si>
  <si>
    <t>R&amp;M Cables and Accessories - AMC</t>
  </si>
  <si>
    <t>Education Allowance</t>
  </si>
  <si>
    <t>Scholarship Programme Expenses</t>
  </si>
  <si>
    <t>Gratuity</t>
  </si>
  <si>
    <t>Travel - Deposit Work</t>
  </si>
  <si>
    <t>Insurance on Telecom Equipment</t>
  </si>
  <si>
    <t>Revaluation of Material - Loss</t>
  </si>
  <si>
    <t>Bad and Doubtful Debts</t>
  </si>
  <si>
    <t>Loss/Scrapping/Retirement of Asset</t>
  </si>
  <si>
    <t>Loss on Sale of Fixed Asset</t>
  </si>
  <si>
    <t>Audit Fees</t>
  </si>
  <si>
    <t>Depreciation - Leasehold Building</t>
  </si>
  <si>
    <t>Depreciation - Capital Grants</t>
  </si>
  <si>
    <t>Impairment Loss of PP&amp;E</t>
  </si>
  <si>
    <t>Impairment Loss of Intangibles</t>
  </si>
  <si>
    <t>Prior Period Tax Expense</t>
  </si>
  <si>
    <t>Deferred Tax Expense</t>
  </si>
  <si>
    <t>Deferred Tax Liability</t>
  </si>
  <si>
    <t>Sundry Creditor - Domestic - NC</t>
  </si>
  <si>
    <t>Sundry Creditor - DHI Intra Company - NC</t>
  </si>
  <si>
    <t>Sundry Creditor - International - NC</t>
  </si>
  <si>
    <t>Reference</t>
  </si>
  <si>
    <t>current assets/current liabilities</t>
  </si>
  <si>
    <t>sum(current asset-inventory)/current liabilities</t>
  </si>
  <si>
    <t>Long term borrowings/sum(ppe+intangible asset+cwip)</t>
  </si>
  <si>
    <t>PBT/sum(total shareholder fund+long term borrowing)</t>
  </si>
  <si>
    <t>PAT/sum(total shareholder fund+long term borrowing)</t>
  </si>
  <si>
    <t>PAT/total shareholder fund</t>
  </si>
  <si>
    <t>Add/Less: Net Addition in Provision (Current &amp; Non-Current)</t>
  </si>
  <si>
    <t>Provision for bad and doubtful debt</t>
  </si>
  <si>
    <t>Depreciation as per BAS</t>
  </si>
  <si>
    <t>Profit After tax</t>
  </si>
  <si>
    <t>Earning per employee</t>
  </si>
  <si>
    <t>Profit after tax/no of employee</t>
  </si>
  <si>
    <t>3% TDS booked as expense</t>
  </si>
  <si>
    <t>a</t>
  </si>
  <si>
    <t>b</t>
  </si>
  <si>
    <t>c</t>
  </si>
  <si>
    <t>Interest Paid</t>
  </si>
  <si>
    <t>Fines &amp; Penalty</t>
  </si>
  <si>
    <t>Donation</t>
  </si>
  <si>
    <t>Net Difference</t>
  </si>
  <si>
    <t>TDS on Others</t>
  </si>
  <si>
    <t>BHUTAN TELECOM LTD</t>
  </si>
  <si>
    <t>THIMPHU</t>
  </si>
  <si>
    <t>Deferred Tax Liability-NC</t>
  </si>
  <si>
    <t>Hospitality</t>
  </si>
  <si>
    <t>Other current assets</t>
  </si>
  <si>
    <t>Income from Cloud Service</t>
  </si>
  <si>
    <t>Income from ERP Service</t>
  </si>
  <si>
    <t>a) Term Loan-BOB</t>
  </si>
  <si>
    <t>Income from Data Center</t>
  </si>
  <si>
    <t>Financial Loans</t>
  </si>
  <si>
    <t>ROE</t>
  </si>
  <si>
    <t>Revenue Per employee</t>
  </si>
  <si>
    <t>Redemption Fund for BOB Bond</t>
  </si>
  <si>
    <t>Net profit before tax and after adjustment of provisions</t>
  </si>
  <si>
    <t>Intangible assets</t>
  </si>
  <si>
    <t>Other non-current asset</t>
  </si>
  <si>
    <t>Cash on hand in regions &amp; exchanges</t>
  </si>
  <si>
    <t>Cash at banks</t>
  </si>
  <si>
    <t>Equity share capital</t>
  </si>
  <si>
    <t>Issued, subscibed and paid up :</t>
  </si>
  <si>
    <t xml:space="preserve"> ii. Shares held by the holding company</t>
  </si>
  <si>
    <t>Retained earnings &amp; reserves</t>
  </si>
  <si>
    <t>Long term provision</t>
  </si>
  <si>
    <t>Short term borrowings</t>
  </si>
  <si>
    <t>Short term provision</t>
  </si>
  <si>
    <t>Total Deferred government grants</t>
  </si>
  <si>
    <t>Sundry creditors</t>
  </si>
  <si>
    <t>Other payables</t>
  </si>
  <si>
    <t>(Increase)/Decrease in trade receivables</t>
  </si>
  <si>
    <t>(Increase)/Decrease in other current asset</t>
  </si>
  <si>
    <t>(Increase)/Decrease in other receivables</t>
  </si>
  <si>
    <t>(Increase)/Decrease in deferred tax asset</t>
  </si>
  <si>
    <t>(Increase)/Decrease in investment</t>
  </si>
  <si>
    <t>(Increase)/Decrease in other non-current asset</t>
  </si>
  <si>
    <t>Increase/(Decrease) in other trade payables</t>
  </si>
  <si>
    <t>Increase/(Decrease) in other current liabilitis</t>
  </si>
  <si>
    <t>Other current liabilities</t>
  </si>
  <si>
    <t>Payment for property plant and equipments</t>
  </si>
  <si>
    <t>Payment for intangible assets</t>
  </si>
  <si>
    <t>Payment for capital work in progress</t>
  </si>
  <si>
    <t>Investment in fixed deposits</t>
  </si>
  <si>
    <t>Margin //money provided</t>
  </si>
  <si>
    <t>Cash Flow from operating activities</t>
  </si>
  <si>
    <t>Net profit from operating activities before working capital changes</t>
  </si>
  <si>
    <t>Net cash flow from operating activities</t>
  </si>
  <si>
    <t>Cash flow from investing activities</t>
  </si>
  <si>
    <t>Net cash used in investing activities</t>
  </si>
  <si>
    <t>Cash flow from financing activities</t>
  </si>
  <si>
    <t>Receipt of capital grant from BICMA</t>
  </si>
  <si>
    <t>Payment of dividend</t>
  </si>
  <si>
    <t>Interest paid on bond</t>
  </si>
  <si>
    <t>Net cash used in financing activities</t>
  </si>
  <si>
    <t>Increase/(Decrease) in cash &amp; cash equivalents</t>
  </si>
  <si>
    <t>Reconciliation of cash and cash equivalent with statement of financial position</t>
  </si>
  <si>
    <t xml:space="preserve">Cash and cash equivalents </t>
  </si>
  <si>
    <t>Cash and cash equivalents as per statement of financial position</t>
  </si>
  <si>
    <t>This is the statement of cash flow referred to in our report of even date.</t>
  </si>
  <si>
    <t>Employee Creditor</t>
  </si>
  <si>
    <t>Previous year (A)</t>
  </si>
  <si>
    <t>Previous year</t>
  </si>
  <si>
    <t xml:space="preserve">a. Permanent structure </t>
  </si>
  <si>
    <t>b. Semi-permanent
    structure</t>
  </si>
  <si>
    <t>c. Temporary structure</t>
  </si>
  <si>
    <t>3. Tele-equipment</t>
  </si>
  <si>
    <t>4. Power systems &amp; cable</t>
  </si>
  <si>
    <t>a. Air conditioner</t>
  </si>
  <si>
    <t>6. Office equipment</t>
  </si>
  <si>
    <t>8. Software application</t>
  </si>
  <si>
    <t>Accrued Income Non Current Asset</t>
  </si>
  <si>
    <t>Deferred Tax Asset-Non Current</t>
  </si>
  <si>
    <t>Cash Account - General</t>
  </si>
  <si>
    <t>0000080098051 - CHQ BNB GIR - MB</t>
  </si>
  <si>
    <t>0000080098051 - CHQ BNB GIR - OB</t>
  </si>
  <si>
    <t>0000019474003 - CHQ BT Dis - MB</t>
  </si>
  <si>
    <t>0000019474003 - CHQ BT Dis - IB</t>
  </si>
  <si>
    <t>0000019474003 - CHQ BT Dis - OB</t>
  </si>
  <si>
    <t>0000019557006 - CHQ Depository - MB</t>
  </si>
  <si>
    <t>0000019557006 - CHQ Depository - OB</t>
  </si>
  <si>
    <t>20700220263090014 - CHQ BoB Rev - MB</t>
  </si>
  <si>
    <t>0000020336005 - CHQ Foreign - MB</t>
  </si>
  <si>
    <t>000127110013 - CHQ BDBL Rev - MB</t>
  </si>
  <si>
    <t>5000019474014 - CHQ Insurance - MB</t>
  </si>
  <si>
    <t>100914942- CHQ BoB Dis - MB</t>
  </si>
  <si>
    <t>77712025465001 - Thimphu Tbank Rev - MB</t>
  </si>
  <si>
    <t>77712025465001 - Thimphu Tbank Rev - IB</t>
  </si>
  <si>
    <t>Sundry Debtors - Domestic - Current</t>
  </si>
  <si>
    <t>Sundry Debtors - International - Current</t>
  </si>
  <si>
    <t>Inventory - Vehicle Spares</t>
  </si>
  <si>
    <t>Inventory - Office Equipment Spares</t>
  </si>
  <si>
    <t>Inventory - Equipment Spares</t>
  </si>
  <si>
    <t>Inventory - General Item</t>
  </si>
  <si>
    <t>Inventory - Consumables</t>
  </si>
  <si>
    <t>Inventory - Printing and Stationaries</t>
  </si>
  <si>
    <t>Inventory - Capital Goods</t>
  </si>
  <si>
    <t>Inventory - Trading Goods</t>
  </si>
  <si>
    <t>Investment in the form of Share-TTPL</t>
  </si>
  <si>
    <t>Bond Redemption Reserve</t>
  </si>
  <si>
    <t>Prepaid Expense - Non Current</t>
  </si>
  <si>
    <t>Capital Work-in-Progress</t>
  </si>
  <si>
    <t>Freehold Land</t>
  </si>
  <si>
    <t>Provision for Depreciation - Building</t>
  </si>
  <si>
    <t>Tele Equipments</t>
  </si>
  <si>
    <t>Provision for Depreciation - Tele Equipments</t>
  </si>
  <si>
    <t>Office Equipments</t>
  </si>
  <si>
    <t>Furniture and Fixtures</t>
  </si>
  <si>
    <t>Provision for Depreciation - Office Equipment</t>
  </si>
  <si>
    <t>Provision for Depreciation - Furniture</t>
  </si>
  <si>
    <t>Power System</t>
  </si>
  <si>
    <t>Cables and Accessories</t>
  </si>
  <si>
    <t>Provision for Depreciation - Power System</t>
  </si>
  <si>
    <t>Provision for Depreciation - Cable and Accessories</t>
  </si>
  <si>
    <t>Provision for Depreciation - Vehicle</t>
  </si>
  <si>
    <t>Capital Tools and Measuring Equipment</t>
  </si>
  <si>
    <t>Provision for Depreciation - Tools and Spare Parts</t>
  </si>
  <si>
    <t>Software Applications</t>
  </si>
  <si>
    <t>Provision for Depreciation - Software Application</t>
  </si>
  <si>
    <t>Term Loan Current Liabilities</t>
  </si>
  <si>
    <t>As at December 31, 2015</t>
  </si>
  <si>
    <t>FVPL</t>
  </si>
  <si>
    <t>FVOCI</t>
  </si>
  <si>
    <t xml:space="preserve">Amortised cost </t>
  </si>
  <si>
    <t>Financial assets</t>
  </si>
  <si>
    <t>Total financial assets</t>
  </si>
  <si>
    <t xml:space="preserve">Financial liabilities </t>
  </si>
  <si>
    <t>Loan from Danida</t>
  </si>
  <si>
    <t>Total financial liabilities</t>
  </si>
  <si>
    <t>(i) Fair value hierarchy</t>
  </si>
  <si>
    <t>This section explains the judgements and estimates made in determining the fair values of the financial instruments that are (a) recognised and measured at fair value and (b) measured at amortised cost and for which fair values are disclosed in the financial statements. To provide an indication about the reliability of the inputs used in determining fair value, the Company has classified its financial instruments into the three levels prescribed under the accounting standard. An explanation of each level follows underneath the table.</t>
  </si>
  <si>
    <t>During the year, there has been no movement between fair value levels from previous year.</t>
  </si>
  <si>
    <t>(ii) Valuation technique used to determine fair value</t>
  </si>
  <si>
    <t>Specific valuation techniques used to value financial instruments include:</t>
  </si>
  <si>
    <t>(i) discounted cash flow analysis</t>
  </si>
  <si>
    <t>(iii) Fair value of financial assets and liabilities measured at amortised cost</t>
  </si>
  <si>
    <t>December 31, 2015</t>
  </si>
  <si>
    <t>Carrying amount</t>
  </si>
  <si>
    <t>Fair value</t>
  </si>
  <si>
    <t>Financial liabilities</t>
  </si>
  <si>
    <t>Significant estimates</t>
  </si>
  <si>
    <t>The fair value of financial instruments that are not traded in an active market is determined using valuation techniques. The Company uses its judgement to select a variety of methods and make assumptions that are mainly based on market conditions existing at the end of each reporting period. For details of the key assumptions used and the impact of changes to these assumptions see (ii) above.</t>
  </si>
  <si>
    <t>As at December 31, 2017</t>
  </si>
  <si>
    <t>Financial instruments by category</t>
  </si>
  <si>
    <t>December 31, 2017</t>
  </si>
  <si>
    <t>Term loan-C</t>
  </si>
  <si>
    <t>The company’s activities expose it to market risk, liquidity risk and credit risk.</t>
  </si>
  <si>
    <t>This note explains the sources of risk which the entity is exposed to and how the entity manages the risk and the impact of it in the financial statements.</t>
  </si>
  <si>
    <t xml:space="preserve">Risk </t>
  </si>
  <si>
    <t>Exposure arising from</t>
  </si>
  <si>
    <t>Measurement</t>
  </si>
  <si>
    <t xml:space="preserve">Management
</t>
  </si>
  <si>
    <t>Credit risk</t>
  </si>
  <si>
    <t>Cash and cash equivalents, trade receivables, financial assets measured at amortised cost.</t>
  </si>
  <si>
    <t xml:space="preserve">Aging analysis </t>
  </si>
  <si>
    <t>Diversification of bank deposits, customer base and credit limits</t>
  </si>
  <si>
    <t>Liquidity risk</t>
  </si>
  <si>
    <t>Trade payables and other financial liabilities</t>
  </si>
  <si>
    <t>Rolling cash flow forecasts</t>
  </si>
  <si>
    <t>Availability of  committed credit lines and borrowing facilities</t>
  </si>
  <si>
    <t>Market risk – foreign exchange</t>
  </si>
  <si>
    <t>Recognised financial assets and liabilities not denominated in  Ngultrum(Nu.)</t>
  </si>
  <si>
    <t>Cash flow forecasting Sensitivity analysis</t>
  </si>
  <si>
    <t>Diversification of liability</t>
  </si>
  <si>
    <t>Market risk – interest rate</t>
  </si>
  <si>
    <t>Long-term borrowings at variable rates</t>
  </si>
  <si>
    <t>Sensitivity analysis</t>
  </si>
  <si>
    <t>Portfolio of loan contains fixed interest loans from financial institutions</t>
  </si>
  <si>
    <t>(A) Credit risk</t>
  </si>
  <si>
    <t>(i) Credit risk management</t>
  </si>
  <si>
    <t>(B) liquidity risk</t>
  </si>
  <si>
    <t>(i) Maturities of financial liabilities</t>
  </si>
  <si>
    <t>a) all non-derivative financial liabilities, and</t>
  </si>
  <si>
    <t>The amounts disclosed in the table are the contractual undiscounted cash flows. Balances due within 12 months equal their carrying balances as the impact of discounting is not significant.</t>
  </si>
  <si>
    <t>Contractual maturities of financial liabilities:</t>
  </si>
  <si>
    <t>Less than 1 year</t>
  </si>
  <si>
    <t>More than 1 years</t>
  </si>
  <si>
    <t>Non-derivatives</t>
  </si>
  <si>
    <t>Total non-derivative liabilities</t>
  </si>
  <si>
    <t>(C) Market risk</t>
  </si>
  <si>
    <r>
      <t>(i) Foreign currency risk</t>
    </r>
    <r>
      <rPr>
        <b/>
        <sz val="5"/>
        <rFont val="Georgia"/>
        <family val="1"/>
      </rPr>
      <t/>
    </r>
  </si>
  <si>
    <t>Foreign Currency risk is the risk that the fair value or future cash flows of a financial instrument will fluctuate because of changes in foreign exchange rates.</t>
  </si>
  <si>
    <t>(Values in Nu.)</t>
  </si>
  <si>
    <t>USD</t>
  </si>
  <si>
    <t>Net exposure to foreign currency risk</t>
  </si>
  <si>
    <t>Euro</t>
  </si>
  <si>
    <t>Sensitivity</t>
  </si>
  <si>
    <t>The sensitivity of profit or loss to changes in the exchange rates arises mainly from foreign currency denominated financial instruments.</t>
  </si>
  <si>
    <t>Impact on profit before tax</t>
  </si>
  <si>
    <t>USD sensitivity</t>
  </si>
  <si>
    <t>EURO sensitivity</t>
  </si>
  <si>
    <t>* Holding all other variables constant</t>
  </si>
  <si>
    <t>(ii) Interest rate risk</t>
  </si>
  <si>
    <t xml:space="preserve">Interest rate risk is the risk that the fair value or future cash flows of a financial instrument will fluctuate because of changes in market interest rates. The Company’s exposure to the risk of changes in market interest rates relates primarily to the Company’s long-term debt obligations with floating interest rates. As company does not have any variable rate borrowing outstanding or investment, company is not exposed to significant interest rate risk. </t>
  </si>
  <si>
    <t>(iii) Price risk</t>
  </si>
  <si>
    <t xml:space="preserve">The risk that the fair value or future cash flows of a financial instrument will fluctuate because of changes in market prices (other than those arising from interest rate risk or currency risk), whether those changes are caused by factors specific to the individual financial instrument or its issuer or by factors affecting all similar financial instruments traded in the market. As the company does not have any investment in listed securities which are exposed to price risk, company is not exposed to significant price risk. </t>
  </si>
  <si>
    <t xml:space="preserve"> December 31, 2017</t>
  </si>
  <si>
    <t>(a) Risk management</t>
  </si>
  <si>
    <t>The company’s objectives when managing capital are to</t>
  </si>
  <si>
    <t xml:space="preserve">The Company is formed as an wholly owned subsidiary of Druk Holding &amp; Investments Limited (DHI). Company manages the share capital issued and subscribed along with shareholder's fund appearing in the financial statement as capital of the company. </t>
  </si>
  <si>
    <t>(b) Dividends</t>
  </si>
  <si>
    <t>Final dividend for the year</t>
  </si>
  <si>
    <t>i. safeguard their ability to continue as a going concern, so that they can continue to provide returns for shareholders and benefits for other stakeholders, and</t>
  </si>
  <si>
    <t>ii. maintain an optimal capital structure to reduce the cost of capital.</t>
  </si>
  <si>
    <t>A. Exemptions and exceptions availed</t>
  </si>
  <si>
    <t>A.1.1 Estimates</t>
  </si>
  <si>
    <t>1. Revenue recognition for Deposit Contracts</t>
  </si>
  <si>
    <t>2. Revenue recognition from revenue sharing agreements</t>
  </si>
  <si>
    <t>3. Interest income on fixed deposits</t>
  </si>
  <si>
    <t>4. Fair valuation of security deposits</t>
  </si>
  <si>
    <t>5. Cash Discount</t>
  </si>
  <si>
    <t xml:space="preserve">Under the previous GAAP, all the discount allowed for sale of mobile handset, b-secure equipments, bulk sms etc to the customer has been shown as Disount Allowed seperately under operating expense, however since it a cash discount allowed for the purchase of items, same has been set off against the revenue which are booked on gross basis.  </t>
  </si>
  <si>
    <t>Term loan</t>
  </si>
  <si>
    <t>0000019557006 - CHQ Depository - IB</t>
  </si>
  <si>
    <t>5000019474014 - CHQ Insurance - IB</t>
  </si>
  <si>
    <t>77712025465001 - Thimphu Tbank Rev - OB</t>
  </si>
  <si>
    <t>Accu. Impairment Loss - Land</t>
  </si>
  <si>
    <t>Leasehold Land</t>
  </si>
  <si>
    <t>Accu. Impairment Loss - Building &amp; Civil Structure</t>
  </si>
  <si>
    <t>Leasehold Building</t>
  </si>
  <si>
    <t>Provision for Depreciation - Leasehold Building</t>
  </si>
  <si>
    <t>Accu. Impairment Loss on Leasehold Building</t>
  </si>
  <si>
    <t>Accu. Impairment Tele Equipments</t>
  </si>
  <si>
    <t>Accu. Impairment Loss - Furniture &amp; Office Eqment</t>
  </si>
  <si>
    <t>Accu. Impairment Loss on Cables and Power System</t>
  </si>
  <si>
    <t>Accu. Impairment Loss on Vehicles</t>
  </si>
  <si>
    <t>Accu. Impairment Loss on Tools and Spare Parts</t>
  </si>
  <si>
    <t>Accu. Impairment Loss on Softwares</t>
  </si>
  <si>
    <t>Capital Work-in-Progress - Inventory</t>
  </si>
  <si>
    <t>Inventory - Disposables</t>
  </si>
  <si>
    <t>Inventory - Civil Materials</t>
  </si>
  <si>
    <t>Sundry Debtors - DHI Intra Company - Current</t>
  </si>
  <si>
    <t>Cash Account - Sales</t>
  </si>
  <si>
    <t>Cash Account - Imprest</t>
  </si>
  <si>
    <t>20700220263090014 - CHQ BoB Rev - IB</t>
  </si>
  <si>
    <t>20700220263090014 - CHQ BoB Rev - OB</t>
  </si>
  <si>
    <t>0000020336005 - CHQ Foreign - IB</t>
  </si>
  <si>
    <t>0000020336005 - CHQ Foreign - OB</t>
  </si>
  <si>
    <t>0000034734008 - CHQ BM Dis - MB</t>
  </si>
  <si>
    <t>0000034734008 - CHQ BM Dis - IB</t>
  </si>
  <si>
    <t>0000034734008 - CHQ BM Dis - OB</t>
  </si>
  <si>
    <t>000127110013 - CHQ BDBL Rev - IB</t>
  </si>
  <si>
    <t>000127110013 - CHQ BDBL Rev - OB</t>
  </si>
  <si>
    <t>5000019474014 - CHQ Insurance - OB</t>
  </si>
  <si>
    <t>Term loan (long term borrowings)</t>
  </si>
  <si>
    <t>2(a)</t>
  </si>
  <si>
    <t>2(b)</t>
  </si>
  <si>
    <t>2(c)</t>
  </si>
  <si>
    <t>(a) Non-current assets</t>
  </si>
  <si>
    <t>Total non-current assets</t>
  </si>
  <si>
    <t>(b) Current assets</t>
  </si>
  <si>
    <t>Total current sssets</t>
  </si>
  <si>
    <t>TOTAL ASSETS</t>
  </si>
  <si>
    <t>Total shareholders fund</t>
  </si>
  <si>
    <t>Total non-current liabilities</t>
  </si>
  <si>
    <t>Total current liabilities</t>
  </si>
  <si>
    <t>TOTAL EQUITY &amp; LIABILITIES</t>
  </si>
  <si>
    <t>Chartered accountants</t>
  </si>
  <si>
    <t>for and on behalf of board of directors</t>
  </si>
  <si>
    <t>Profit before tax</t>
  </si>
  <si>
    <t>Profit after tax for the year</t>
  </si>
  <si>
    <t>IV. Other comprehensive income</t>
  </si>
  <si>
    <t>Total comprehensive income for the year</t>
  </si>
  <si>
    <t>Summary of significant accounting policies</t>
  </si>
  <si>
    <t>Total tax expense</t>
  </si>
  <si>
    <t>Note "4" : Investments:</t>
  </si>
  <si>
    <t>Note "5" : Deferred tax asset(net):</t>
  </si>
  <si>
    <t>Note "6" : Other non-current asset:</t>
  </si>
  <si>
    <t>Note "7": Inventories :</t>
  </si>
  <si>
    <t>Note "8": Trade receivables :</t>
  </si>
  <si>
    <t>Note "9": Cash and bank balances :</t>
  </si>
  <si>
    <t>Note "10": Other receivables:</t>
  </si>
  <si>
    <t>Note "11": Other current assets :</t>
  </si>
  <si>
    <t>Note "17" : Long term provision :</t>
  </si>
  <si>
    <t>Note "21" : Other current liabilities:</t>
  </si>
  <si>
    <t>Profit available for equity shareholders</t>
  </si>
  <si>
    <t>Weighted number of equity shares
 outstanding</t>
  </si>
  <si>
    <t>Nominal value of equity shares</t>
  </si>
  <si>
    <t>Basic &amp; dilutted earnings per share</t>
  </si>
  <si>
    <t>Note: "34" Fair value measurements:</t>
  </si>
  <si>
    <t>Note: "35" Financial risk management:</t>
  </si>
  <si>
    <t>Corporate bond</t>
  </si>
  <si>
    <t>Trade payables</t>
  </si>
  <si>
    <t xml:space="preserve"> Expense accrued</t>
  </si>
  <si>
    <t xml:space="preserve"> Stale cheques</t>
  </si>
  <si>
    <t xml:space="preserve"> Security deposits</t>
  </si>
  <si>
    <t>Note: "36" Capital management</t>
  </si>
  <si>
    <t>Provision for leave encashment</t>
  </si>
  <si>
    <t>Profit as per the profit &amp; loss account(PBT)</t>
  </si>
  <si>
    <t>Staff training- current year</t>
  </si>
  <si>
    <t>Fines &amp; penalties</t>
  </si>
  <si>
    <t>Allowable deduction(movement in TD)</t>
  </si>
  <si>
    <t>Depreciation as per income tax act</t>
  </si>
  <si>
    <t>Staff training</t>
  </si>
  <si>
    <t>Less: Staff training 1/3 of 2017</t>
  </si>
  <si>
    <t>Adjusted profit</t>
  </si>
  <si>
    <t>Advance Tax(copy of the receipt attached)</t>
  </si>
  <si>
    <t>365/Accounts receivable turnover</t>
  </si>
  <si>
    <t>Staff training -current year</t>
  </si>
  <si>
    <t>Less: Staff training 1/3 for 2017</t>
  </si>
  <si>
    <t>Less: Staff training 1/3 for 2016</t>
  </si>
  <si>
    <t>Total timing difference</t>
  </si>
  <si>
    <t>Deferred tax @ 30%</t>
  </si>
  <si>
    <t>Opening balance (deferred tax liability)</t>
  </si>
  <si>
    <t>Net deferred tax (Liability)/Asset</t>
  </si>
  <si>
    <t>Deferred tax asset/(liability)</t>
  </si>
  <si>
    <t>Impairment of Trade Receivable</t>
  </si>
  <si>
    <t>Advance from Postpaid Customer</t>
  </si>
  <si>
    <t>Deferred tax assets (net)</t>
  </si>
  <si>
    <t>Property, plant and equipment</t>
  </si>
  <si>
    <t>Note "2 (a)" : Property, Plant &amp; Equipments :</t>
  </si>
  <si>
    <t>Note "2 (c)" : Capital work in progress :</t>
  </si>
  <si>
    <t>Note "2 (b)" : Intangibile assets :</t>
  </si>
  <si>
    <t>The useful lives applied are as follows:</t>
  </si>
  <si>
    <t>Asset type</t>
  </si>
  <si>
    <t>Note "3" : Investment in associate:</t>
  </si>
  <si>
    <t>Deferred tax asset-non current</t>
  </si>
  <si>
    <t>Total cash and bank balancees</t>
  </si>
  <si>
    <t>III. Add/(Less): Tax expenses :</t>
  </si>
  <si>
    <t>Deferred income tax</t>
  </si>
  <si>
    <t>Current tax</t>
  </si>
  <si>
    <t>Other comprehensive income,net of tax</t>
  </si>
  <si>
    <t>long term borrowings/total shareholder funds</t>
  </si>
  <si>
    <t>1.26 million</t>
  </si>
  <si>
    <t>365/(average collection/average accounts receivable)</t>
  </si>
  <si>
    <t>Average Current Assets-Average Current Liabilities/Net sales</t>
  </si>
  <si>
    <t>38.11 Days</t>
  </si>
  <si>
    <t>Income from Online Applications</t>
  </si>
  <si>
    <t>201000487101 - Tendu Rev - MB</t>
  </si>
  <si>
    <t>Commission income from online mobile apps</t>
  </si>
  <si>
    <t>GR/IR Clearing Account</t>
  </si>
  <si>
    <t>BST Clearing Account</t>
  </si>
  <si>
    <t>External Services Clearing Account</t>
  </si>
  <si>
    <t>Material Settlement Clearing Account</t>
  </si>
  <si>
    <t>Capital Advance Clearing Account</t>
  </si>
  <si>
    <t>01.01.2018</t>
  </si>
  <si>
    <t>Changes in equity for 2018</t>
  </si>
  <si>
    <t>Balance at 31st December 2018</t>
  </si>
  <si>
    <t>201000487101 - Tendu Rev - IB</t>
  </si>
  <si>
    <t>201000487101 - Tendu Rev - OB</t>
  </si>
  <si>
    <t>Less: Staff training 1/3 of 2018</t>
  </si>
  <si>
    <t>Repayment of BOB loan</t>
  </si>
  <si>
    <t>Dividend</t>
  </si>
  <si>
    <t>0.92:1</t>
  </si>
  <si>
    <t>0.69:1</t>
  </si>
  <si>
    <t>13.44%</t>
  </si>
  <si>
    <t>0.15:1</t>
  </si>
  <si>
    <t>24.96%</t>
  </si>
  <si>
    <t>19.62%</t>
  </si>
  <si>
    <t>40.22%</t>
  </si>
  <si>
    <t>As at December 31, 2018</t>
  </si>
  <si>
    <t>December 31, 2018</t>
  </si>
  <si>
    <t xml:space="preserve"> December 31, 2018</t>
  </si>
  <si>
    <t>Packing and Forwarding Clearing Account</t>
  </si>
  <si>
    <t>Custom Duty Clearing Account</t>
  </si>
  <si>
    <t>Sales Clearing Account</t>
  </si>
  <si>
    <t>Project Expense Clearing Account</t>
  </si>
  <si>
    <t>Financial Institution Loan</t>
  </si>
  <si>
    <t>As at 31st December,  2017</t>
  </si>
  <si>
    <t>Sale of property plant and equipments (actual cash received)</t>
  </si>
  <si>
    <t>0100071941001- Kanglung Rev - MB</t>
  </si>
  <si>
    <t>0100071941001- Kanglung Rev - IB</t>
  </si>
  <si>
    <t>0100071941001- Kanglung Rev - OB</t>
  </si>
  <si>
    <t>Insurance Clearing Account</t>
  </si>
  <si>
    <t>Handling Charges Clearing Account</t>
  </si>
  <si>
    <t>Income tax relating to component for other comprehensive income</t>
  </si>
  <si>
    <t>This is the statement of comprehensive income referred to in our report of even date</t>
  </si>
  <si>
    <t>This is the statement of financial position referred to in our report of even date</t>
  </si>
  <si>
    <t>Other bank balances</t>
  </si>
  <si>
    <t>Balances with banks in current accounts</t>
  </si>
  <si>
    <t>Interest on BOB loan</t>
  </si>
  <si>
    <t>As of Sept, 18</t>
  </si>
  <si>
    <t>Telephone Service</t>
  </si>
  <si>
    <t>Miscellaneous Income - Fixed Line</t>
  </si>
  <si>
    <t>Mobile -  Sim Cards</t>
  </si>
  <si>
    <t>Mobile - Prepaid Recharge Cards</t>
  </si>
  <si>
    <t>Mobile - Postpaid Services</t>
  </si>
  <si>
    <t>Eload - Mobile</t>
  </si>
  <si>
    <t>Income from IN and VAS</t>
  </si>
  <si>
    <t>Miscellaneous Income - Mobile</t>
  </si>
  <si>
    <t>Sale of Mobile Data Card</t>
  </si>
  <si>
    <t>Broadband - Postpaid</t>
  </si>
  <si>
    <t>Broadband - Prepaid</t>
  </si>
  <si>
    <t>Internet Leaseline</t>
  </si>
  <si>
    <t>Income from Domain Name Registration</t>
  </si>
  <si>
    <t>Income from IPLC - National</t>
  </si>
  <si>
    <t>Miscellaneous Income - Druknet</t>
  </si>
  <si>
    <t>Sale of Internet Modem</t>
  </si>
  <si>
    <t>Broadband - Recharge Card</t>
  </si>
  <si>
    <t>Eload - Broadband</t>
  </si>
  <si>
    <t>Contact Center Revenue</t>
  </si>
  <si>
    <t>Income from Interconnect</t>
  </si>
  <si>
    <t>International ISD</t>
  </si>
  <si>
    <t>Income from International Roaming</t>
  </si>
  <si>
    <t>Income from IPLC - International</t>
  </si>
  <si>
    <t>Income from Domain Name - International</t>
  </si>
  <si>
    <t>Income from Leaseline - International</t>
  </si>
  <si>
    <t>Income from House Rent</t>
  </si>
  <si>
    <t>Income from Hire Charges</t>
  </si>
  <si>
    <t>Income from BT Guide</t>
  </si>
  <si>
    <t>Income from BSecure</t>
  </si>
  <si>
    <t>Income from One Stop Shop (BT Shop)</t>
  </si>
  <si>
    <t>Income from Thuraya Services</t>
  </si>
  <si>
    <t>Income from sale of CPE and Equipments</t>
  </si>
  <si>
    <t>Fines</t>
  </si>
  <si>
    <t>Net Income from Depository Works</t>
  </si>
  <si>
    <t>Physical Verification on Inventory - Gain</t>
  </si>
  <si>
    <t>Rounding Difference - Gain</t>
  </si>
  <si>
    <t>Income from MFS (Paku)</t>
  </si>
  <si>
    <t>Miscellaneous Income</t>
  </si>
  <si>
    <t>Interest from Fixed Deposits</t>
  </si>
  <si>
    <t>Gain on Forex Fluctuation</t>
  </si>
  <si>
    <t>Consumption of Vehicle Spares</t>
  </si>
  <si>
    <t>Consumption of Office Equipment Spares</t>
  </si>
  <si>
    <t>Consumption of Equipment Spares</t>
  </si>
  <si>
    <t>Consumption of General Item</t>
  </si>
  <si>
    <t>Consumables</t>
  </si>
  <si>
    <t>Consumption of Printing and Stationaries</t>
  </si>
  <si>
    <t>Consumption of Trading Goods</t>
  </si>
  <si>
    <t>COGS of Trading Goods</t>
  </si>
  <si>
    <t>Basic Pay</t>
  </si>
  <si>
    <t>Wages</t>
  </si>
  <si>
    <t>Allowances</t>
  </si>
  <si>
    <t>Bonus</t>
  </si>
  <si>
    <t>Medical Expenses</t>
  </si>
  <si>
    <t>Uniform and Livery Expenses</t>
  </si>
  <si>
    <t>Staff Welfare Expenses</t>
  </si>
  <si>
    <t>Training - In Country</t>
  </si>
  <si>
    <t>Training - Ex Country</t>
  </si>
  <si>
    <t>Meeting and Seminar</t>
  </si>
  <si>
    <t>Transfer Grant Expenses</t>
  </si>
  <si>
    <t>BT Day &amp; Development Program Expense</t>
  </si>
  <si>
    <t>Pilgrimage Expenses</t>
  </si>
  <si>
    <t>Leave Encashment</t>
  </si>
  <si>
    <t>Provident Fund Contribution</t>
  </si>
  <si>
    <t>R&amp;M Power - Service</t>
  </si>
  <si>
    <t>Generator Running Expenses</t>
  </si>
  <si>
    <t>R&amp;M Generator Set - Service</t>
  </si>
  <si>
    <t>R&amp;M Plant and Machinery - Service</t>
  </si>
  <si>
    <t>R&amp;M Plant and Machinery - AMC</t>
  </si>
  <si>
    <t>R&amp;M Building - Service</t>
  </si>
  <si>
    <t>R&amp;M Office Equipment - Service</t>
  </si>
  <si>
    <t>R&amp;M Office Equipment - AMC</t>
  </si>
  <si>
    <t>R&amp;M Cables and Accessories - Services</t>
  </si>
  <si>
    <t>R&amp;M Software Application - AMC</t>
  </si>
  <si>
    <t>Vehicle Running Expense - POL</t>
  </si>
  <si>
    <t>R&amp;M Vehicles - Services</t>
  </si>
  <si>
    <t>Deposit Work Expense</t>
  </si>
  <si>
    <t>Business Promotion</t>
  </si>
  <si>
    <t>Discount Allowed</t>
  </si>
  <si>
    <t>Directors Fees</t>
  </si>
  <si>
    <t>Brand &amp; Management Fees</t>
  </si>
  <si>
    <t>Fees and Subscriptions - National</t>
  </si>
  <si>
    <t>Printing and Stationary</t>
  </si>
  <si>
    <t>Advertisement</t>
  </si>
  <si>
    <t>Communication (Fax, Mail, Post)</t>
  </si>
  <si>
    <t>Office Maintenance</t>
  </si>
  <si>
    <t>Water and Sewerage</t>
  </si>
  <si>
    <t>Rent</t>
  </si>
  <si>
    <t>Travel - Foreign</t>
  </si>
  <si>
    <t>Travel - Local</t>
  </si>
  <si>
    <t>Travel - Maintenance &amp; Project</t>
  </si>
  <si>
    <t>Rates and Taxes</t>
  </si>
  <si>
    <t>Registration and Filing Fees/Survey</t>
  </si>
  <si>
    <t>General Insurance</t>
  </si>
  <si>
    <t>Expense on Interconnect Settlement</t>
  </si>
  <si>
    <t>Commission</t>
  </si>
  <si>
    <t>Revenue Sharing - National</t>
  </si>
  <si>
    <t>Electricity</t>
  </si>
  <si>
    <t>Entertainment</t>
  </si>
  <si>
    <t>Carriage Outward &amp; Inward</t>
  </si>
  <si>
    <t>Books, Magazines and Newspapers</t>
  </si>
  <si>
    <t>Corporate Social Responsibility</t>
  </si>
  <si>
    <t>Price Difference of Material - Loss</t>
  </si>
  <si>
    <t>Physical Verification of Inventory - Loss</t>
  </si>
  <si>
    <t>Loss/Scrapping/Retirement of Inventory</t>
  </si>
  <si>
    <t>Rounding Difference - Loss</t>
  </si>
  <si>
    <t>Misc. Expenses</t>
  </si>
  <si>
    <t>Professional Charges</t>
  </si>
  <si>
    <t>Audit Expenses</t>
  </si>
  <si>
    <t>Interest on Loans</t>
  </si>
  <si>
    <t>Bank Charges</t>
  </si>
  <si>
    <t>Fees and Subscriptions - International</t>
  </si>
  <si>
    <t>Satellite Utilization Charges</t>
  </si>
  <si>
    <t>Service fee for IPLC</t>
  </si>
  <si>
    <t>International Traffic Settlement, Voice</t>
  </si>
  <si>
    <t>Internet Port Charges, IP Transit</t>
  </si>
  <si>
    <t>International Roaming</t>
  </si>
  <si>
    <t>Loss on Forex Fluctuation</t>
  </si>
  <si>
    <t>Depreciation - Building</t>
  </si>
  <si>
    <t>Depreciation - Tele Equipment</t>
  </si>
  <si>
    <t>Depreciation - Office Equipment</t>
  </si>
  <si>
    <t>Depreciation - Furniture and Fixtures</t>
  </si>
  <si>
    <t>Depreciation - Power System</t>
  </si>
  <si>
    <t>Depreciation - Cable and Accessories</t>
  </si>
  <si>
    <t>Depreciation - Vehicle</t>
  </si>
  <si>
    <t>Depreciation - Tools and Spare Parts</t>
  </si>
  <si>
    <t>Amortization of Software</t>
  </si>
  <si>
    <t>100914942- CHQ BoB Dis - IB</t>
  </si>
  <si>
    <t>100914942- CHQ BoB Dis - OB</t>
  </si>
  <si>
    <t>0000019474029-CHQ BNB REV-MB</t>
  </si>
  <si>
    <t>0000019474056-BNB MFS-MB</t>
  </si>
  <si>
    <t>0000019474056-BNB MFS-IB</t>
  </si>
  <si>
    <t>201242839-CHQ BOB-MFS-MB</t>
  </si>
  <si>
    <t>201242839-CHQ BOB-MFS-IB</t>
  </si>
  <si>
    <t>0000019474054 - BNB-MPAY-MB</t>
  </si>
  <si>
    <t>0000019474054 - BNB-MPAY-IB</t>
  </si>
  <si>
    <t>2010115395 - BOB-CHARO-MB</t>
  </si>
  <si>
    <t>0003760172006 - Trashigang Rev - MB</t>
  </si>
  <si>
    <t>0003760172006 - Trashigang Rev - IB</t>
  </si>
  <si>
    <t>0006019474005 - Mongar Rev - MB</t>
  </si>
  <si>
    <t>0006019474005 - Mongar Rev - IB</t>
  </si>
  <si>
    <t>0002270057015 - Samdrup Jongkhar Rev - MB</t>
  </si>
  <si>
    <t>0002270057015 - Samdrup Jongkhar Rev - IB</t>
  </si>
  <si>
    <t>20402179000290016 - Pema Gatshel Rev - MB</t>
  </si>
  <si>
    <t>20401975000640019 - Lhuntse Rev - MB</t>
  </si>
  <si>
    <t>20401975000640019 - Lhuntse Rev - IB</t>
  </si>
  <si>
    <t>002227070019 - Wamrong Rev - MB</t>
  </si>
  <si>
    <t>002227070019 - Wamrong Rev - IB</t>
  </si>
  <si>
    <t>20402985000550010 - Nganglam Rev - MB</t>
  </si>
  <si>
    <t>20402985000550010 - Nganglam Rev - IB</t>
  </si>
  <si>
    <t>20402899000950012- Trashiyangtse Rev - MB</t>
  </si>
  <si>
    <t>20402899000950012 - Trashiyangtse Rev - IB</t>
  </si>
  <si>
    <t>002227150011-Khaling Rev - MB</t>
  </si>
  <si>
    <t>000927150001 - Kanglung Rev - MB</t>
  </si>
  <si>
    <t>000927150001 - Kanglung Rev - IB</t>
  </si>
  <si>
    <t>200692298 - Deothang - MB</t>
  </si>
  <si>
    <t>200692298 - Deothang - IB</t>
  </si>
  <si>
    <t>200736600 - Doksum - MB</t>
  </si>
  <si>
    <t>200746212 - Rangjung - MB</t>
  </si>
  <si>
    <t>200746212 - Rangjung - IB</t>
  </si>
  <si>
    <t>200781520 - Gyelpozhing - MB</t>
  </si>
  <si>
    <t>200781520 - Gyelpozhing - IB</t>
  </si>
  <si>
    <t>201237318 - Samdrup Jongkhar Rev - MB</t>
  </si>
  <si>
    <t>201237318 - Samdrup Jongkhar Rev - IB</t>
  </si>
  <si>
    <t>201240547 - Samdrup Jongkhar Dis - MB</t>
  </si>
  <si>
    <t>201240547 - Samdrup Jongkhar Dis - OB</t>
  </si>
  <si>
    <t>0001005964008 - Phuntsholing Rev - MB</t>
  </si>
  <si>
    <t>0001005964008  - Phuntsholing Rev - IB</t>
  </si>
  <si>
    <t>20401771000940017- Gedu Rev - MB</t>
  </si>
  <si>
    <t>20401771000940017 - Gedu Rev - IB</t>
  </si>
  <si>
    <t>000150001900014- Rinchentse Rev - MB</t>
  </si>
  <si>
    <t>2040054000410015 - Tshimasham Rev - MB</t>
  </si>
  <si>
    <t>2040054000410015 - Tshimasham Rev - IB</t>
  </si>
  <si>
    <t>0009760048017  - Gomtu Rev - MB</t>
  </si>
  <si>
    <t>0009760048017  - Gomtu Rev - IB</t>
  </si>
  <si>
    <t>20700642500860017 - Samtse Rev - MB</t>
  </si>
  <si>
    <t>20700642500860017 - Samtse Rev - IB</t>
  </si>
  <si>
    <t>20700642610380000 - Sipsoo Rev - MB</t>
  </si>
  <si>
    <t>20700642610380000 - Sipsoo Rev - IB</t>
  </si>
  <si>
    <t>002827110003 - Lhamoizingkha Rev - MB</t>
  </si>
  <si>
    <t>002827110003 - Lhamoizingkha Rev - IB</t>
  </si>
  <si>
    <t>0001005964016 - Phuntsholing Dis - MB</t>
  </si>
  <si>
    <t>0001005964016 - Phuntsholing Dis - IB</t>
  </si>
  <si>
    <t>0001005964016 - Phuntsholing Dis - OB</t>
  </si>
  <si>
    <t>20702697043750018 - Samdrupcholing Rev - MB</t>
  </si>
  <si>
    <t>20702697043750018 - Samdrupcholing Rev - IB</t>
  </si>
  <si>
    <t>002727140003- Jomotshangkha Rev - MB</t>
  </si>
  <si>
    <t>002727140003 - Jomotshangkha Rev - IB</t>
  </si>
  <si>
    <t>0004002496014 - Gelephu Rev - MB</t>
  </si>
  <si>
    <t>0004002496014 - Gelephu Rev - IB</t>
  </si>
  <si>
    <t>20400848000290019 - Damphu Rev - MB</t>
  </si>
  <si>
    <t>20400848000290019 - Damphu Rev - IB</t>
  </si>
  <si>
    <t>20402493000500011 - Dagana Rev - MB</t>
  </si>
  <si>
    <t>20402493000500011 - Dagana Rev - IB</t>
  </si>
  <si>
    <t>20402391004180022 - Sarpang Rev - MB</t>
  </si>
  <si>
    <t>20402391004180022 - Sarpang Rev - IB</t>
  </si>
  <si>
    <t>20401873019150016 - Zhemgang Rev - MB</t>
  </si>
  <si>
    <t>20401873019150016 - Zhemgang Rev - IB</t>
  </si>
  <si>
    <t>20401567011860014 - Trongsa Rev - MB</t>
  </si>
  <si>
    <t>20401567011860014 - Trongsa Rev - IB</t>
  </si>
  <si>
    <t>0004700084020 - Tingtibi Rev - MB</t>
  </si>
  <si>
    <t>0004700084020 - Tingtibi Rev - IB</t>
  </si>
  <si>
    <t>20401259073920015 - Bumthang Rev - MB</t>
  </si>
  <si>
    <t>20401259073920015 - Bumthang Rev - IB</t>
  </si>
  <si>
    <t>002527110001 - Panbang Rev - MB</t>
  </si>
  <si>
    <t>002527110001 - Panbang Rev - IB</t>
  </si>
  <si>
    <t>0004002520017 - Gelephu Dis - MB</t>
  </si>
  <si>
    <t>0004002520017 - Gelephu Dis - IB</t>
  </si>
  <si>
    <t>0004002520017 - Gelephu Dis - OB</t>
  </si>
  <si>
    <t>0000019473007 - Thimphu Rev - MB</t>
  </si>
  <si>
    <t>0000019473007 - Thimphu Rev - IB</t>
  </si>
  <si>
    <t>0000019474050 - Thimphu BNB Bwallet Rev - MB</t>
  </si>
  <si>
    <t>0000019474050 - Thimphu BNB Bwallet Rev - IB</t>
  </si>
  <si>
    <t>20770220677700011 - Thimphu BoB Bwallet Rev - MB</t>
  </si>
  <si>
    <t>20702200677700011- Thimphu BoB Bwallet Rev - IB</t>
  </si>
  <si>
    <t>2070220677700011 - Thimphu BoB Bwallet Rev - OB</t>
  </si>
  <si>
    <t>0000064465019 - Thimphu BNB Online Rev - MB</t>
  </si>
  <si>
    <t>0000064465019 - Thimphu BNB Online Rev - IB</t>
  </si>
  <si>
    <t>20700220670610012 - Thimphu BoB Online Rev - MB</t>
  </si>
  <si>
    <t>20700220670610012 - Thimphu BoB Online Rev - IB</t>
  </si>
  <si>
    <t>20700220670610012 - Thimphu BoB Online Rev - OB</t>
  </si>
  <si>
    <t>0005601652015 - Paro Rev - MB</t>
  </si>
  <si>
    <t>0005601652015 - Paro Rev - IB</t>
  </si>
  <si>
    <t>0007729062010 - Punakha Rev - MB</t>
  </si>
  <si>
    <t>0007729062010 - Punakha Rev - IB</t>
  </si>
  <si>
    <t>0007720098008 - Wangdue Rev - MB</t>
  </si>
  <si>
    <t>0007720098008 - Wangdue Rev - IB</t>
  </si>
  <si>
    <t>20401669009120014 - Haa Rev - MB</t>
  </si>
  <si>
    <t>20401669009120014 - Haa Rev - IB</t>
  </si>
  <si>
    <t>20703086001290010 - Gasa Rev - MB</t>
  </si>
  <si>
    <t>20703086001290010 - Gasa Rev - IB</t>
  </si>
  <si>
    <t>0000042330019 - Thimphu Dis - MB</t>
  </si>
  <si>
    <t>0000042330019 - Thimphu Dis - IB</t>
  </si>
  <si>
    <t>0000042330019 - Thimphu Dis - OB</t>
  </si>
  <si>
    <t>000127140179-Thimphu-BDBL BWallet Rev - MB</t>
  </si>
  <si>
    <t>000127140179-Thimphu-BDBL BWallet Rev - IB</t>
  </si>
  <si>
    <t>000127140179-Thimphu-BDBL BWallet Rev - OB</t>
  </si>
  <si>
    <t>0100017435001-Dagapela Rev - MB</t>
  </si>
  <si>
    <t>0100017435001-Dagapela Rev - IB</t>
  </si>
  <si>
    <t>20700220791560032-MBOB Rev - MB</t>
  </si>
  <si>
    <t>20700220791560032-MBOB Rev - IB</t>
  </si>
  <si>
    <t>200626734 - BOB OSS Rev - MB</t>
  </si>
  <si>
    <t>200626734 - BOB OSS Rev - IB</t>
  </si>
  <si>
    <t>0000019474053 - BNB Khasadrapchu Rev - MB</t>
  </si>
  <si>
    <t>0000019474053 - BNB Khasadrapchu Rev - IB</t>
  </si>
  <si>
    <t>Security Deposit - Others</t>
  </si>
  <si>
    <t>Advance to Suppliers - Current</t>
  </si>
  <si>
    <t>Advance to Others - Current</t>
  </si>
  <si>
    <t>Income accrued but not Due</t>
  </si>
  <si>
    <t>Other Receivables - Current</t>
  </si>
  <si>
    <t>Advance to Staff, Travel Expense</t>
  </si>
  <si>
    <t>Advance to Staff, Personal Expenses- Current</t>
  </si>
  <si>
    <t>Advance to Staff, Office Expenses - Current</t>
  </si>
  <si>
    <t>Advance to Staff, Imprest</t>
  </si>
  <si>
    <t>Prepaid Expense - Current</t>
  </si>
  <si>
    <t>Tax Deducted at Source - Asset</t>
  </si>
  <si>
    <t>Security Deposit Other - Non Current</t>
  </si>
  <si>
    <t>Grant from RGoB - Current</t>
  </si>
  <si>
    <t>Grant from Govt of India - Current</t>
  </si>
  <si>
    <t>Grant from JICA - Current</t>
  </si>
  <si>
    <t>Sundry Creditors - Domestic</t>
  </si>
  <si>
    <t>Sundry Creditors - DHI Intra Company</t>
  </si>
  <si>
    <t>Sundry Creditors - International</t>
  </si>
  <si>
    <t>Tax Deducted at Source - Liability</t>
  </si>
  <si>
    <t>Tax on Telecom Service Payable (ST)</t>
  </si>
  <si>
    <t>Stale Cheques</t>
  </si>
  <si>
    <t>Advances from Customer</t>
  </si>
  <si>
    <t>Advances from Customer - Deposit Work</t>
  </si>
  <si>
    <t>Salary Payable Account</t>
  </si>
  <si>
    <t>Other Deductions</t>
  </si>
  <si>
    <t>Sundry Creditors - Employees</t>
  </si>
  <si>
    <t>Security Deposits - Customer</t>
  </si>
  <si>
    <t>Security Deposits - Vendor</t>
  </si>
  <si>
    <t>Provision for Leave Encashment</t>
  </si>
  <si>
    <t>Grant from RGoB - Non Current</t>
  </si>
  <si>
    <t>Grant from Govt of India - Non Current</t>
  </si>
  <si>
    <t>Grant from JICA - Non Current</t>
  </si>
  <si>
    <t>Term Loan</t>
  </si>
  <si>
    <t>Corporate Bond</t>
  </si>
  <si>
    <t>Provision for Insurance of Assets - Non Current</t>
  </si>
  <si>
    <t>Provision for Leave Encashment - Non Current</t>
  </si>
  <si>
    <t>Issued, Subscribed and Paid Up</t>
  </si>
  <si>
    <t>Retained Earning</t>
  </si>
  <si>
    <t>Dividend for the Year</t>
  </si>
  <si>
    <t>Freight Clearing Account</t>
  </si>
  <si>
    <t>Miscellaneous Clearing Account</t>
  </si>
  <si>
    <t>0000019474056-BNB MFS-OB</t>
  </si>
  <si>
    <t>201242839-CHQ BOB-MFS-OB</t>
  </si>
  <si>
    <t>201240547 - Samdrup Jongkhar Dis - IB</t>
  </si>
  <si>
    <t>201237318 - Samdrup Jongkhar Rev - OB</t>
  </si>
  <si>
    <t>Leave Travel Concession</t>
  </si>
  <si>
    <t>0000019474029-CHQ BNB REV-IB</t>
  </si>
  <si>
    <t>2010115395 - BOB-CHARO-IB</t>
  </si>
  <si>
    <t>200736600 - Doksum - IB</t>
  </si>
  <si>
    <t>20400848000290019 - Damphu Rev - OB</t>
  </si>
  <si>
    <t>Opening Cash as of 31.12.17</t>
  </si>
  <si>
    <t>0000019474029-CHQ BNB REV-OB</t>
  </si>
  <si>
    <t>20402179000290019 - Pema Gatshel Rev - IB</t>
  </si>
  <si>
    <t>20402179000290019 - Pema Gatshel Rev - OB</t>
  </si>
  <si>
    <t>20402899000950012 - Trashiyangtse Rev - OB</t>
  </si>
  <si>
    <t>200781520 - Gyelpozhing - OB</t>
  </si>
  <si>
    <t>0000019473007 - Thimphu Rev - OB</t>
  </si>
  <si>
    <t>0005601652015 - Paro Rev - OB</t>
  </si>
  <si>
    <t>0007729062010 - Punakha Rev - OB</t>
  </si>
  <si>
    <t>0007720098008 - Wangdue Rev - OB</t>
  </si>
  <si>
    <t>20401669009120014 - Haa Rev - OB</t>
  </si>
  <si>
    <t>20703086001290010 - Gasa Rev - OB</t>
  </si>
  <si>
    <t>0000019474053 - BNB Khasadrapchu Rev - OB</t>
  </si>
  <si>
    <t>0000019474054 - BNB-MPAY-OB</t>
  </si>
  <si>
    <t>2010115395 - BOB-CHARO-OB</t>
  </si>
  <si>
    <t>0003760172006 - Trashigang Rev - OB</t>
  </si>
  <si>
    <t>0006019474005 - Mongar Rev - OB</t>
  </si>
  <si>
    <t>0002270057015 - Samdrup Jongkhar Rev - OB</t>
  </si>
  <si>
    <t>20401975000640019 - Lhuntse Rev - OB</t>
  </si>
  <si>
    <t>002227070019 - Wamrong Rev - OB</t>
  </si>
  <si>
    <t>20402985000550010 - Nganglam Rev - OB</t>
  </si>
  <si>
    <t>0003760172017 - Trashigang Dis - MB</t>
  </si>
  <si>
    <t>0003760172017 - Trashigang Dis - IB</t>
  </si>
  <si>
    <t>0003760172017 - Trashigang Dis - OB</t>
  </si>
  <si>
    <t>0002270058018 - Samdrup Jongkhar Dis - MB</t>
  </si>
  <si>
    <t>0002270058018 - Samdrup Jongkhar Dis - IB</t>
  </si>
  <si>
    <t>0002270058018 - Samdrup Jongkhar Dis - OB</t>
  </si>
  <si>
    <t>0006702336007 - Mongar Dis - MB</t>
  </si>
  <si>
    <t>0006702336007 - Mongar Dis - IB</t>
  </si>
  <si>
    <t>0006702336007 - Mongar Dis - OB</t>
  </si>
  <si>
    <t>20402899000950023 - Trashiyangtse Dis - MB</t>
  </si>
  <si>
    <t>20402899000950023 - Trashiyangtse Dis - IB</t>
  </si>
  <si>
    <t>20402899000950023 - Trashiyangtse Dis - OB</t>
  </si>
  <si>
    <t>20702985028750010 - Nanglam Dis - MB</t>
  </si>
  <si>
    <t>20702985028750010 - Nanglam Dis - IB</t>
  </si>
  <si>
    <t>20702985028750010 - Nanglam Dis - OB</t>
  </si>
  <si>
    <t>000927150001 - Kanglung Rev - OB</t>
  </si>
  <si>
    <t>10141176 - Kanglung Dis - MB</t>
  </si>
  <si>
    <t>10141176 - Kanglung Dis - IB</t>
  </si>
  <si>
    <t>10141176 - Kanglung Dis - OB</t>
  </si>
  <si>
    <t>200692298 - Deothang - OB</t>
  </si>
  <si>
    <t>200736600 - Doksum - OB</t>
  </si>
  <si>
    <t>002227150011-Khaling RV-MB</t>
  </si>
  <si>
    <t>002227150011-Khaling RV-IB</t>
  </si>
  <si>
    <t>002227150011-Khaling RV-OB</t>
  </si>
  <si>
    <t>0001005964008- Phuntsholing Rev - OB</t>
  </si>
  <si>
    <t>20401771000940017- Gedu Rev - OB</t>
  </si>
  <si>
    <t>000150001900014 - Rinchentse Rev - IB</t>
  </si>
  <si>
    <t>000150001900014 - Rinchentse Rev - OB</t>
  </si>
  <si>
    <t>2040054000410015 - Tshimasham Rev - OB</t>
  </si>
  <si>
    <t>0009760048017  - Gomtu Rev - OB</t>
  </si>
  <si>
    <t>20700642500860017 - Samtse Rev - OB</t>
  </si>
  <si>
    <t>20700642610380000 - Sipsoo Rev - OB</t>
  </si>
  <si>
    <t>002827110003 - Lhamoizingkha Rev - OB</t>
  </si>
  <si>
    <t>20401771071860000 - Gedu Dis - MB</t>
  </si>
  <si>
    <t>20401771071860000 - Gedu Dis - IB</t>
  </si>
  <si>
    <t>20401771071860000 - Gedu Dis - OB</t>
  </si>
  <si>
    <t>20700642500860000 - Samtse Dis - MB</t>
  </si>
  <si>
    <t>20700642500860000 - Samtse Dis - IB</t>
  </si>
  <si>
    <t>20700642500860000 - Samtse Dis - OB</t>
  </si>
  <si>
    <t>20700540025070000 - Tshimasham Dis - MB</t>
  </si>
  <si>
    <t>20700540025070000 - Tshimasham Dis - IB</t>
  </si>
  <si>
    <t>20700540025070000 - Tshimasham Dis - OB</t>
  </si>
  <si>
    <t>0001500190003 - Rinchentse Dis - MB</t>
  </si>
  <si>
    <t>0001500190003 - Rinchentse Dis - IB</t>
  </si>
  <si>
    <t>0001500190003 - Rinchentse Dis - OB</t>
  </si>
  <si>
    <t>00000009760047014 - Gomtu Dis - MB</t>
  </si>
  <si>
    <t>00000009760047014 - Gomtu Dis - IB</t>
  </si>
  <si>
    <t>00000009760047014 - Gomtu Dis - OB</t>
  </si>
  <si>
    <t>0000027120001 - Lhamoizingkha Dis - MB</t>
  </si>
  <si>
    <t>0000027120001 - Lhamoizingkha Dis - IB</t>
  </si>
  <si>
    <t>0000027120001 - Lhamoizingkha Dis - OB</t>
  </si>
  <si>
    <t>20702697043750018 - Samdrupcholing Rev - OB</t>
  </si>
  <si>
    <t>002727140003 - Jomotshangkha Rev - OB</t>
  </si>
  <si>
    <t>002710140222 - Jomotshangkha Dis - MB</t>
  </si>
  <si>
    <t>002710140222 - Jomotshangkha Dis - IB</t>
  </si>
  <si>
    <t>002710140222 - Jomotshangkha Dis - OB</t>
  </si>
  <si>
    <t>0004002496014 - Gelephu Rev - OB</t>
  </si>
  <si>
    <t>20402493000500011 - Dagana Rev - OB</t>
  </si>
  <si>
    <t>20402391004180022 - Sarpang Rev - OB</t>
  </si>
  <si>
    <t>20401873019150016 - Zhemgang Rev - OB</t>
  </si>
  <si>
    <t>20401567011860014 - Trongsa Rev - OB</t>
  </si>
  <si>
    <t>0004700084020 - Tingtibi Rev - OB</t>
  </si>
  <si>
    <t>20401259073920015 - Bumthang Rev - OB</t>
  </si>
  <si>
    <t>002527110001 - Panbang Rev - OB</t>
  </si>
  <si>
    <t>20400848046100016 - Damphu Dis - MB</t>
  </si>
  <si>
    <t>20400848046100016 - Damphu Dis - IB</t>
  </si>
  <si>
    <t>20400848046100016 - Damphu Dis - OB</t>
  </si>
  <si>
    <t>20402493000500000 - Dagana Dis - MB</t>
  </si>
  <si>
    <t>20402493000500000 - Dagana Dis - IB</t>
  </si>
  <si>
    <t>20402493000500000 - Dagana Dis - OB</t>
  </si>
  <si>
    <t>20401873028460018 - Zhemgang Dis - MB</t>
  </si>
  <si>
    <t>20401873028460018 - Zhemgang Dis - IB</t>
  </si>
  <si>
    <t>20401873028460018 - Zhemgang Dis - OB</t>
  </si>
  <si>
    <t>20401567011870018 - Trongsa Dis - MB</t>
  </si>
  <si>
    <t>20401567011870018 - Trongsa Dis - IB</t>
  </si>
  <si>
    <t>20401567011870018 - Trongsa Dis - OB</t>
  </si>
  <si>
    <t>0008740183014 - Bumthang Dis - MB</t>
  </si>
  <si>
    <t>0008740183014 - Bumthang Dis - IB</t>
  </si>
  <si>
    <t>0008740183014 - Bumthang Dis - OB</t>
  </si>
  <si>
    <t>0000019474050 - Thimphu BNB Bwallet - OB</t>
  </si>
  <si>
    <t>0000064465019 - Thimphu BNB Online - OB</t>
  </si>
  <si>
    <t>20700220569090014 - Thimphu POS - MB</t>
  </si>
  <si>
    <t>20700220569090014 - Thimphu POS - IB</t>
  </si>
  <si>
    <t>20700220569090014 - Thimphu POS - OB</t>
  </si>
  <si>
    <t>0005600121013 - Paro Dis - MB</t>
  </si>
  <si>
    <t>0005600121013 - Paro Dis - IB</t>
  </si>
  <si>
    <t>0005600121013 - Paro Dis - OB</t>
  </si>
  <si>
    <t>0007729061007 - Punakha Dis - MB</t>
  </si>
  <si>
    <t>0007729061007 - Punakha Dis - IB</t>
  </si>
  <si>
    <t>0007729061007 - Punakha Dis - OB</t>
  </si>
  <si>
    <t>0007720099000 - Wangdue Dis - MB</t>
  </si>
  <si>
    <t>0007720099000 - Wangdue Dis - IB</t>
  </si>
  <si>
    <t>0007720099000 - Wangdue Dis - OB</t>
  </si>
  <si>
    <t>0005300042000 - Haa Dis - MB</t>
  </si>
  <si>
    <t>0005300042000 - Haa Dis - IB</t>
  </si>
  <si>
    <t>0005300042000 - Haa Dis - OB</t>
  </si>
  <si>
    <t>0100017435001-Dagapela-OB</t>
  </si>
  <si>
    <t>000927150001-Kanglung-MB</t>
  </si>
  <si>
    <t>000927150001-Kanglung-IB</t>
  </si>
  <si>
    <t>000927150001-Kanglung-OB</t>
  </si>
  <si>
    <t>200626734 - BOB OSS Rev - OB</t>
  </si>
  <si>
    <t>Investment in the form of FD - Cash Equivalent</t>
  </si>
  <si>
    <t>Investment in Fixed Deposit - Short term</t>
  </si>
  <si>
    <t>General Reserve</t>
  </si>
  <si>
    <t>Provision GL - Current. Use when new GL needed</t>
  </si>
  <si>
    <t>Security Deposit - Non Current</t>
  </si>
  <si>
    <t>Income Tax Payable</t>
  </si>
  <si>
    <t>Advances from Customer - DHI Intra Company</t>
  </si>
  <si>
    <t>Provident Fund Deduction</t>
  </si>
  <si>
    <t>Group Insurance Scheme</t>
  </si>
  <si>
    <t>Health Contribution</t>
  </si>
  <si>
    <t>Salary Tax</t>
  </si>
  <si>
    <t>Salary Savings Scheme</t>
  </si>
  <si>
    <t>Staff Welfare Loan Deduction</t>
  </si>
  <si>
    <t>Installment Deductions</t>
  </si>
  <si>
    <t>Earnest Money Deposit</t>
  </si>
  <si>
    <t>Liability for Unearned Income</t>
  </si>
  <si>
    <t>Bank Overdraft Facility</t>
  </si>
  <si>
    <t>Staff Welfare Contribution</t>
  </si>
  <si>
    <t>House Rent Deduction - BTL Quarters</t>
  </si>
  <si>
    <t>Expense Accrued</t>
  </si>
  <si>
    <t>Provision for Audit Fees</t>
  </si>
  <si>
    <t>House Rent Deduction - Government Quarters</t>
  </si>
  <si>
    <t>Alimony Deduction</t>
  </si>
  <si>
    <t>Other Payables</t>
  </si>
  <si>
    <t>Financial Institution Loans</t>
  </si>
  <si>
    <t>Liability for Deposit Work</t>
  </si>
  <si>
    <t>Income from IN &amp; VAS-INTERNATIONAL</t>
  </si>
  <si>
    <t>Income from Depository Works</t>
  </si>
  <si>
    <t>Income from Sale of Tender Documents</t>
  </si>
  <si>
    <t>Price Difference of Material - Gain</t>
  </si>
  <si>
    <t>Discount Received</t>
  </si>
  <si>
    <t>Study Expenses</t>
  </si>
  <si>
    <t>R&amp;M Furniture &amp; Fixture - Service</t>
  </si>
  <si>
    <t>Custom Clearing Charges</t>
  </si>
  <si>
    <t>Hire Charges</t>
  </si>
  <si>
    <t>GTS Settlement</t>
  </si>
  <si>
    <t>Corporate Income Tax Paid</t>
  </si>
  <si>
    <t>Tax expense on items of Actuarial Employment Benef</t>
  </si>
  <si>
    <t>Tax expense on items of OCI</t>
  </si>
  <si>
    <t>Prepaid expense - non current</t>
  </si>
  <si>
    <t>Sundry debtors - domestic current</t>
  </si>
  <si>
    <t>Sundry debtors - International current</t>
  </si>
  <si>
    <t>Cash and cash equivanlents</t>
  </si>
  <si>
    <t>Note "14" : Deferred government grants non-current:</t>
  </si>
  <si>
    <t>Note "15": Long term borrowings:</t>
  </si>
  <si>
    <t>Note "20" : Short term provision:</t>
  </si>
  <si>
    <t>Provision for Insurance of Assets</t>
  </si>
  <si>
    <t>Rebate Expense</t>
  </si>
  <si>
    <t>002227150011-Khaling Rev - IB</t>
  </si>
  <si>
    <t>(Increase)/Decrease in investment in associate</t>
  </si>
  <si>
    <t>Actuarial G/L  Post Employment Benefit Obligations</t>
  </si>
  <si>
    <t>201800006795 - BDBL-EPAY-IB</t>
  </si>
  <si>
    <t>20700220791560032-MBOB Rev - OB</t>
  </si>
  <si>
    <t>Grant from Others - Non Current</t>
  </si>
  <si>
    <t>As at 31st December, 2018</t>
  </si>
  <si>
    <t>As on 31st December, 2018</t>
  </si>
  <si>
    <t>Notes forming part of the Financial Statements for the year ended 31st December, 2018</t>
  </si>
  <si>
    <t>201800006795 - BDBL-EPAY-MB</t>
  </si>
  <si>
    <t>201800006795 - BDBL-EPAY-OB</t>
  </si>
  <si>
    <t>Provision for Gratuity-Current</t>
  </si>
  <si>
    <t>Add/Less: Gain or Loss on scrapping/retirement of Assets</t>
  </si>
  <si>
    <t xml:space="preserve">Bonus </t>
  </si>
  <si>
    <t>Ratio Analysis for the year ended 31st December, 2018</t>
  </si>
  <si>
    <t>TDS for 2018</t>
  </si>
  <si>
    <t>Calculation of Deferred Tax For 2018</t>
  </si>
  <si>
    <t>Less: Staff training 1/3 for 2018</t>
  </si>
  <si>
    <t>Depreciation as per IT</t>
  </si>
  <si>
    <t>Credit risk is the risk that counterparty will not meet its obligations under a financial instrument or customer contract, leading to a financial loss. The Company is exposed to credit risk from its operating activities (primarily trade receivables) and from its financing activities, including deposits with banks and financial institutions and other financial instruments.
Credit risk arises from cash and cash equivalents, investments carried at amortised cost and deposits with banks and financial institutions, as well as credit exposures to wholesale customers including outstanding receivables.</t>
  </si>
  <si>
    <t>The tables below analyse the company’s financial liabilities into relevant maturity groupings based on their contractual maturities for:</t>
  </si>
  <si>
    <t>Bond</t>
  </si>
  <si>
    <t>interest rate</t>
  </si>
  <si>
    <t>interest p.a</t>
  </si>
  <si>
    <t>Total interest</t>
  </si>
  <si>
    <t xml:space="preserve">Total liability </t>
  </si>
  <si>
    <t>repayment 2015</t>
  </si>
  <si>
    <t>repayment 2016</t>
  </si>
  <si>
    <t>1 year</t>
  </si>
  <si>
    <t>repayment 2018</t>
  </si>
  <si>
    <t>repayment 2017</t>
  </si>
  <si>
    <t>More than year</t>
  </si>
  <si>
    <t>repayment 2019</t>
  </si>
  <si>
    <t xml:space="preserve">The accounting policies set out in "significant accounting policies" have been applied in preparing the financial statements for the year ended 31 December, 2018 and the comparative information presented in these financial statements for the year ended 31 December, 2017. </t>
  </si>
  <si>
    <t>These are the Company’s financial statements prepared in accordance with complete BFRSs.</t>
  </si>
  <si>
    <t>Set out below are the applicable BFRS 1 optional exemptions and mandatory exceptions applied in the transition from previous GAAP to BFRS.</t>
  </si>
  <si>
    <t>A.1 BFRS mandatory exceptions</t>
  </si>
  <si>
    <t>An entity's estimates in accordance with BFRS at the date of transition to BFRS shall be consistent with estimates made for the same date in accordance with previous GAAP (after adjustments to reflect any difference in accounting policies), unless there is objective evidence that those estimates were in error.</t>
  </si>
  <si>
    <t xml:space="preserve">BFRS estimates as at 1 January 2015 are consistent with the estimates as at the same date made in conformity with previous GAAP. </t>
  </si>
  <si>
    <t>Adjustments made due to BFRS Phase III implementation</t>
  </si>
  <si>
    <t>Company execute various nature of contracts which are classified as deposit contracts. Under such contracts, company is required to provide goods and services to the customer and procure material from its vendor independently. In other words, company execute the contracts independently and caries risk and rewards from the contracts. Under previous standards, revenue from such contracts were recognised on net basis (net profit/loss from the contract). 
Under BFRS, revenue from such contracts is required to be recognised on gross basis with corresponding expense as the company is acting as principal under the contract and not as an agent. Accordingly, necessary adjustment has been made under BFRS.</t>
  </si>
  <si>
    <t xml:space="preserve">Company execute certain contracts where company provides IVR platforms, etc., to the third parties. Under such contracts, company agreed to share total revenue received  by the company with third party in agreed ratio. Under previous standards such revenue was recognised by the company on gross basis with corresponding expense for the amount to be shared with the third party. However, under BFRS revenue from such contracts should be recognised by the company on net basis as a portion of the total revenue received by the company under the contract is received by the company on behalf of third party. Therefore, to that extent revenue should not be recognised by the company.  </t>
  </si>
  <si>
    <t xml:space="preserve">Company has investment in fixed deposits. Interest on majority of the fixed deposits hold by the company is earned on simple interest rate basis and received at the time of maturity (no compounding of the interest is recognised). Under previous GAAP company was recognising interest income on the fixed deposit on the basis of contractual rate. Under BFRS, such fixed deposits should be classified as financial assets measured at amortised cost and interest income should be recognised on effective interest basis. </t>
  </si>
  <si>
    <t xml:space="preserve">Under the previous GAAP, interest free lease security deposits assets (that are refundable in cash on completion of the contract term) are recorded at their transaction value. Under BFRS, all financial assets are required to be recognised at fair value at initial recognition and subsequently at amortised cost. Accordingly, The company has fair valued these security deposits under BFRS. Difference between the fair value and transaction value of the security deposit has been recognised as prepaid rent. 
Under the previous GAAP, security deposits liability (that are refundable in cash on completion of the contract term) are recorded at their transaction value. Under BFRS, these financial liabilities are required to be recognised at fair value at initial recognition and subsequently at amortised cost. Accordingly, The company has fair valued these security deposits under BFRS. Difference between the fair value and transaction value of the security deposit has been recognised as advance rent. </t>
  </si>
  <si>
    <t>Note: 37 Transition to BFRS</t>
  </si>
  <si>
    <t>No. of Employee as on 31.12.18</t>
  </si>
  <si>
    <t>For GSA &amp; Associates.</t>
  </si>
  <si>
    <t>Tanuj Chugh</t>
  </si>
  <si>
    <t>Income:</t>
  </si>
  <si>
    <t>Other income</t>
  </si>
  <si>
    <t>Income from operations</t>
  </si>
  <si>
    <t>Service revenue</t>
  </si>
  <si>
    <t>Sale of products</t>
  </si>
  <si>
    <t>Others</t>
  </si>
  <si>
    <t>Expense</t>
  </si>
  <si>
    <t>Network operating expenses</t>
  </si>
  <si>
    <t>Employee benefit</t>
  </si>
  <si>
    <t>Sales &amp; marketing expenses</t>
  </si>
  <si>
    <t>Other expenses</t>
  </si>
  <si>
    <t>Cost of trading goods</t>
  </si>
  <si>
    <t>Finance cost</t>
  </si>
  <si>
    <t>Depreciation and amortization</t>
  </si>
  <si>
    <t>Profit from operating activities before depreciation &amp; amortization</t>
  </si>
  <si>
    <t>Previous tax</t>
  </si>
  <si>
    <t>-Landline</t>
  </si>
  <si>
    <t>-Mobile</t>
  </si>
  <si>
    <t>-Internet</t>
  </si>
  <si>
    <t>-Others</t>
  </si>
  <si>
    <t>-Telecom products</t>
  </si>
  <si>
    <t>-Accessories</t>
  </si>
  <si>
    <t>Repair &amp; maintenance</t>
  </si>
  <si>
    <t>Power &amp; fuel</t>
  </si>
  <si>
    <t>Salaries &amp; bonus</t>
  </si>
  <si>
    <t>Staff  welfare expenses</t>
  </si>
  <si>
    <t>Travel local</t>
  </si>
  <si>
    <t>Charity &amp; donation</t>
  </si>
  <si>
    <t>Professional fees</t>
  </si>
  <si>
    <t>Loss on sale or retirement of asset</t>
  </si>
  <si>
    <t>Physical verification of inventory loss</t>
  </si>
  <si>
    <t>Insurance</t>
  </si>
  <si>
    <t>Printing and stationary</t>
  </si>
  <si>
    <t>Audit expenses</t>
  </si>
  <si>
    <t>Contract Asset(Current)</t>
  </si>
  <si>
    <t>Contract Asset(Non-Current)</t>
  </si>
  <si>
    <t>Provision for Old Inventories</t>
  </si>
  <si>
    <t>Balance with Govt Authority</t>
  </si>
  <si>
    <t>Trial Balance</t>
  </si>
  <si>
    <t>Interest exp.  - other</t>
  </si>
  <si>
    <t>Provision for Bonus</t>
  </si>
  <si>
    <t>Lisence fees payable</t>
  </si>
  <si>
    <t>Liability for shareholder</t>
  </si>
  <si>
    <t>Non current asset held for sale</t>
  </si>
  <si>
    <t>Leave encashment provision adjusted from opening</t>
  </si>
  <si>
    <t>Interest-Others</t>
  </si>
  <si>
    <t>Financial Assets</t>
  </si>
  <si>
    <t xml:space="preserve"> - Investment in associate</t>
  </si>
  <si>
    <t xml:space="preserve"> - Investments</t>
  </si>
  <si>
    <t>Land*</t>
  </si>
  <si>
    <t>Buildings #</t>
  </si>
  <si>
    <t>Tele. Equipments #</t>
  </si>
  <si>
    <t>Office equipments #</t>
  </si>
  <si>
    <t>Power system &amp; cables #</t>
  </si>
  <si>
    <t>Furniture &amp; fixtures #</t>
  </si>
  <si>
    <t>Vehicles #</t>
  </si>
  <si>
    <t>Software applications #</t>
  </si>
  <si>
    <t>15 yrs (based on agreement)</t>
  </si>
  <si>
    <t>Accrued income on investments</t>
  </si>
  <si>
    <t>Investment for redemption of bond*</t>
  </si>
  <si>
    <t>* Bonds are to be matured in the year 2020</t>
  </si>
  <si>
    <t>* For disclosures related to contract assets refer note 11</t>
  </si>
  <si>
    <t>Inventory - Others</t>
  </si>
  <si>
    <t>Total Inventories*</t>
  </si>
  <si>
    <t>Inventory - Traded Goods</t>
  </si>
  <si>
    <t>Impairment of trade receivables*</t>
  </si>
  <si>
    <t>Balances lying with Bank &amp; Current account</t>
  </si>
  <si>
    <t xml:space="preserve"> - Trade receivables</t>
  </si>
  <si>
    <t xml:space="preserve"> - Cash and bank balances</t>
  </si>
  <si>
    <t xml:space="preserve"> - Other receivables</t>
  </si>
  <si>
    <t>Advance to Suppliers</t>
  </si>
  <si>
    <t>Advance to Others</t>
  </si>
  <si>
    <t>Advance to Staff, Office Expenses</t>
  </si>
  <si>
    <t>Prepaid Expense</t>
  </si>
  <si>
    <t>Contract Asset*</t>
  </si>
  <si>
    <t>* Judgement used for creation of contract assets are as follows:-</t>
  </si>
  <si>
    <t>(a) Expected life of the connection considered to be 5 years</t>
  </si>
  <si>
    <t>(b) Expenses considered as part of contract cost are cost of new sim and cost of drop wire</t>
  </si>
  <si>
    <t>(e) Impairment of contract cost in 2018 is Nu. Nil</t>
  </si>
  <si>
    <t xml:space="preserve">(d) Amortization of contract cost in 2018 of Nu. 427,576.32
</t>
  </si>
  <si>
    <t>Note "12": Non current asset held for sale</t>
  </si>
  <si>
    <t>Asset held for disposal*</t>
  </si>
  <si>
    <t>Note "13" : Share capital :</t>
  </si>
  <si>
    <t>The Company has only one class of equity shares having a par value of Nu.1000/- per share. Each holder of equity shares is entitled to one vote per share. Each holder of these ordinary shares are entitiled to receive dividends as and when declared by the company. Of the above 854,082 (previous year 854,082) shares are held by the Druk Holding &amp; Investment Limited,being the Holding Company.</t>
  </si>
  <si>
    <t xml:space="preserve">  (b) Deferred government grants</t>
  </si>
  <si>
    <t>(c) Non-current liabilities</t>
  </si>
  <si>
    <t>Total liabilities (b+c+d)</t>
  </si>
  <si>
    <t>(d) Current liabilities</t>
  </si>
  <si>
    <t>Leave encashment</t>
  </si>
  <si>
    <t>Provision for doubtful debt</t>
  </si>
  <si>
    <t>DTA</t>
  </si>
  <si>
    <t>SOCI</t>
  </si>
  <si>
    <t>Grant from RGoB</t>
  </si>
  <si>
    <t>Grant from JICA</t>
  </si>
  <si>
    <t>Grant from RGoB*</t>
  </si>
  <si>
    <t>Grant from JICA**</t>
  </si>
  <si>
    <t>Grant from Govt of India*</t>
  </si>
  <si>
    <t>* Monetory grant received against investment in property plant and equipment in rural areas. The same is treated as deferred income and is recognised in the statement of comprehensive income on a systematic or rational basis over the useful life of the assets.</t>
  </si>
  <si>
    <t>** Non-monetory grant received in the form of property plant and equipment where the grant and the corresponding PPE have been accounted on the fair value on the date of receipt. Subsequently, The same is treated as deferred income and is recognised in the statement of comprehensive income on a systematic or rational basis over the useful life of the assets.</t>
  </si>
  <si>
    <t># Amortisation of govt. grant during the year is Nu. 23,323,850</t>
  </si>
  <si>
    <t>Less : Current maturity of long term loan</t>
  </si>
  <si>
    <t>Current maturity of long term loan (refer note 15)</t>
  </si>
  <si>
    <t># Property includes - Vehicles, PPE and tools</t>
  </si>
  <si>
    <t>For details related to charges for fixed asssets (refer note 15)</t>
  </si>
  <si>
    <t>Certain assets are not been fully controlled by company and the same are jointly control with Ms. Bhutan Power Corporation, a fellow subsidiary</t>
  </si>
  <si>
    <t xml:space="preserve">     BOB (NPPF)  - Secured by hypothecation of Property plant &amp; equipment of worth Nu. 100 million</t>
  </si>
  <si>
    <t>Note "16" : Other non current liabilities</t>
  </si>
  <si>
    <t xml:space="preserve"> - Long term borrowings</t>
  </si>
  <si>
    <t xml:space="preserve"> - Other non current liabilities</t>
  </si>
  <si>
    <t>Less :  Current obligation (refer note 20)</t>
  </si>
  <si>
    <t>Provision for Leave Encashment (refer note 17)</t>
  </si>
  <si>
    <t>Provision for Gratuity (refer note 17)</t>
  </si>
  <si>
    <t>Note "18" : Trade and other payables:</t>
  </si>
  <si>
    <t xml:space="preserve"> - Trade and other payables</t>
  </si>
  <si>
    <t xml:space="preserve"> - Other current liabilities</t>
  </si>
  <si>
    <t>Sundry Creditors - related party</t>
  </si>
  <si>
    <t>Payable to employees</t>
  </si>
  <si>
    <t>Note "19" : Other current Financial liabilities</t>
  </si>
  <si>
    <t>Tax deducted at source (TDS)</t>
  </si>
  <si>
    <t>Payable to Government  Authority</t>
  </si>
  <si>
    <t>Contract liability*</t>
  </si>
  <si>
    <t>Liability towards shareholder (refer note 12)</t>
  </si>
  <si>
    <t>*The services are being provided on the basis of usage by the subscribers. Unprovided services will be availed by the subscribers in the next year.</t>
  </si>
  <si>
    <t>Breakup for revenue</t>
  </si>
  <si>
    <t xml:space="preserve">Domestic </t>
  </si>
  <si>
    <t>Export</t>
  </si>
  <si>
    <t>Travel</t>
  </si>
  <si>
    <t xml:space="preserve">Tax Expense related to Prior Period </t>
  </si>
  <si>
    <t>Profit or loss section</t>
  </si>
  <si>
    <t>Current income tax:</t>
  </si>
  <si>
    <t>Adjustments in respect of current income tax of previous years</t>
  </si>
  <si>
    <t>Deferred tax:</t>
  </si>
  <si>
    <t>Deferred tax for the year</t>
  </si>
  <si>
    <t>Income tax expense reported in the Statement of Profit and Loss</t>
  </si>
  <si>
    <t>OCI section</t>
  </si>
  <si>
    <t xml:space="preserve">Tax related to items that will not be reclassified to Profit &amp; Loss </t>
  </si>
  <si>
    <t>Income tax charged to OCI</t>
  </si>
  <si>
    <t xml:space="preserve">Accounting profit before income tax </t>
  </si>
  <si>
    <t>%</t>
  </si>
  <si>
    <t>Effect of non-deductible expenses, exempt income and others</t>
  </si>
  <si>
    <t>Effect of prior year re-assessments</t>
  </si>
  <si>
    <t xml:space="preserve">Income tax expense reported in the Statement of Profit and Loss </t>
  </si>
  <si>
    <t>Reconciliation between average effective tax rate and applicable tax rate for the year ended 31 Dec 2018 and 31 Dec 2017:</t>
  </si>
  <si>
    <t xml:space="preserve">At Bhutan’s statutory income tax rate of 30% (31 Dec 2018: 30%) </t>
  </si>
  <si>
    <t>M. No. 529619</t>
  </si>
  <si>
    <t>Add : Comprehensive income for the year</t>
  </si>
  <si>
    <t>Less : Dividend</t>
  </si>
  <si>
    <t>Less : Dividend for the year</t>
  </si>
  <si>
    <t xml:space="preserve">Less : Liability for free hold land transferred to DHI (refer note 12) </t>
  </si>
  <si>
    <t xml:space="preserve">AS AT </t>
  </si>
  <si>
    <t>Reconciliation of deferred tax assets (net):</t>
  </si>
  <si>
    <t>`</t>
  </si>
  <si>
    <t>` Lakhs</t>
  </si>
  <si>
    <t>Opening balance as of 1 April</t>
  </si>
  <si>
    <t>Tax income/(expense) during the period recognised in retained earnings</t>
  </si>
  <si>
    <t>Tax income/(expense) during the period recognised in profit or loss</t>
  </si>
  <si>
    <t>Tax income/(expense) during the period recognised in OCI</t>
  </si>
  <si>
    <t>Discontinued operation</t>
  </si>
  <si>
    <t>Deferred taxes acquired in business combinations</t>
  </si>
  <si>
    <t>Closing balance as at 31 March</t>
  </si>
  <si>
    <t xml:space="preserve">Opening balance as of 1 Jan </t>
  </si>
  <si>
    <t xml:space="preserve"> Trade receivables</t>
  </si>
  <si>
    <t xml:space="preserve"> Cash and cash equivalent</t>
  </si>
  <si>
    <t xml:space="preserve"> Income accrued but not Due</t>
  </si>
  <si>
    <t xml:space="preserve"> Other Receivables</t>
  </si>
  <si>
    <t>Investment for redemption of bond</t>
  </si>
  <si>
    <t>License fee payable</t>
  </si>
  <si>
    <t>Term loan - BOB</t>
  </si>
  <si>
    <t>Investment in associates</t>
  </si>
  <si>
    <t>Security deposits</t>
  </si>
  <si>
    <t>Change in currency</t>
  </si>
  <si>
    <t>exchange rate</t>
  </si>
  <si>
    <t>Appreciation in Nu.</t>
  </si>
  <si>
    <t>Deprecition in Nu.</t>
  </si>
  <si>
    <t>(Average current asset-current liabilities)/(operating income)</t>
  </si>
  <si>
    <t>Employee cost/sum(operating income)</t>
  </si>
  <si>
    <t>PBT/sum(operating income)</t>
  </si>
  <si>
    <t>1.40 million</t>
  </si>
  <si>
    <t>42.32 Days</t>
  </si>
  <si>
    <t>Increase/(Decrease) in other financial current liabilitis</t>
  </si>
  <si>
    <t>Increase/(Decrease) in Other non current financial liability</t>
  </si>
  <si>
    <t>Increase/(Decrease) in assets held for sale</t>
  </si>
  <si>
    <t>Increase/(Decrease) in Other deferred govt grant</t>
  </si>
  <si>
    <t>Less:- Current maturity (refer note 19)</t>
  </si>
  <si>
    <t>Current maturity for license payable</t>
  </si>
  <si>
    <t># Refer note no. - 37 of the Financials</t>
  </si>
  <si>
    <t>Disclosure for para 79 of BAS 16 "Property Plant and Equipment" - Refer note 42</t>
  </si>
  <si>
    <t>Tax income/(expense) during the period recognised in SOCI</t>
  </si>
  <si>
    <t>* For basis of impairment refer note 35</t>
  </si>
  <si>
    <r>
      <rPr>
        <b/>
        <i/>
        <sz val="11"/>
        <color theme="1"/>
        <rFont val="Book Antiqua"/>
        <family val="1"/>
      </rPr>
      <t xml:space="preserve">Level 1: </t>
    </r>
    <r>
      <rPr>
        <i/>
        <sz val="11"/>
        <color theme="1"/>
        <rFont val="Book Antiqua"/>
        <family val="1"/>
      </rPr>
      <t>Level 1 hierarchy includes financial instruments measured using quoted prices.</t>
    </r>
  </si>
  <si>
    <r>
      <rPr>
        <b/>
        <i/>
        <sz val="11"/>
        <color theme="1"/>
        <rFont val="Book Antiqua"/>
        <family val="1"/>
      </rPr>
      <t>Level 2:</t>
    </r>
    <r>
      <rPr>
        <i/>
        <sz val="11"/>
        <color theme="1"/>
        <rFont val="Book Antiqua"/>
        <family val="1"/>
      </rPr>
      <t xml:space="preserve"> The fair value of financial instruments that are not traded in an active market (for example, traded bonds, over-the-counter derivatives) is determined using valuation techniques which maximise the use of observable market data and rely as little as possible on entity-specific estimates. If all significant inputs required to fair value an instrument are observable, the instrument is included in level 2.</t>
    </r>
  </si>
  <si>
    <r>
      <rPr>
        <b/>
        <i/>
        <sz val="11"/>
        <color theme="1"/>
        <rFont val="Book Antiqua"/>
        <family val="1"/>
      </rPr>
      <t xml:space="preserve">Level 3: </t>
    </r>
    <r>
      <rPr>
        <i/>
        <sz val="11"/>
        <color theme="1"/>
        <rFont val="Book Antiqua"/>
        <family val="1"/>
      </rPr>
      <t xml:space="preserve">If one or more of the significant inputs is not based on observable market data, the instrument is included in level 3. </t>
    </r>
  </si>
  <si>
    <t>Deferred tax liability (net)</t>
  </si>
  <si>
    <t>Impairment of Trade Receivables 2018</t>
  </si>
  <si>
    <t>Phase - I</t>
  </si>
  <si>
    <t>Phase - II</t>
  </si>
  <si>
    <t>Phase - III</t>
  </si>
  <si>
    <t>0-3 Months</t>
  </si>
  <si>
    <t>3-6 Months</t>
  </si>
  <si>
    <t>6-9 Months</t>
  </si>
  <si>
    <t>9-12 Months</t>
  </si>
  <si>
    <t>More Than a YEAR</t>
  </si>
  <si>
    <t>Impairment percentage</t>
  </si>
  <si>
    <t>Domestic SD</t>
  </si>
  <si>
    <t>Other Debtors</t>
  </si>
  <si>
    <t>International</t>
  </si>
  <si>
    <t>Bulk SMS</t>
  </si>
  <si>
    <t>Impairment value</t>
  </si>
  <si>
    <t>Writeoff</t>
  </si>
  <si>
    <t>Provision for Doubtful Debts</t>
  </si>
  <si>
    <t>As at 31-12-2017
(Restated)</t>
  </si>
  <si>
    <t>A</t>
  </si>
  <si>
    <t>A, B</t>
  </si>
  <si>
    <t>B</t>
  </si>
  <si>
    <t>Trade receivables</t>
  </si>
  <si>
    <t>C</t>
  </si>
  <si>
    <t>Cash and bank balances</t>
  </si>
  <si>
    <t>Other receivables</t>
  </si>
  <si>
    <t>D</t>
  </si>
  <si>
    <t>Deferred government grants</t>
  </si>
  <si>
    <t>(b) Non-current liabilities</t>
  </si>
  <si>
    <t>Long term borrowings</t>
  </si>
  <si>
    <t>Deferre tax liability (net)</t>
  </si>
  <si>
    <t>Other non current liabilities</t>
  </si>
  <si>
    <t>(c) Current liabilities</t>
  </si>
  <si>
    <t>Trade and other payables</t>
  </si>
  <si>
    <t>Total liabilities (b+c)</t>
  </si>
  <si>
    <t>Notes</t>
  </si>
  <si>
    <t>As at 31-12-2018</t>
  </si>
  <si>
    <t>For the Year 31-December-2017</t>
  </si>
  <si>
    <t>Restated</t>
  </si>
  <si>
    <t xml:space="preserve">Adjustment </t>
  </si>
  <si>
    <t>As at 31-12-2017</t>
  </si>
  <si>
    <t>Remarks</t>
  </si>
  <si>
    <t>Transfer to other operating expense</t>
  </si>
  <si>
    <t>Gain on forex fluctuations</t>
  </si>
  <si>
    <t>Amt of 119906010 Reclassify from General admin</t>
  </si>
  <si>
    <t>Transfer From Stores &amp; spares</t>
  </si>
  <si>
    <t>F</t>
  </si>
  <si>
    <t>Adjustment of bonus expense &amp; leave Encashment</t>
  </si>
  <si>
    <t>Administartive &amp; general expenses</t>
  </si>
  <si>
    <t>E</t>
  </si>
  <si>
    <t>Stores &amp; Spares</t>
  </si>
  <si>
    <t>G</t>
  </si>
  <si>
    <t xml:space="preserve">amt of 8024683 reclassify to network operating ,amt of 6909943 transfer to other Expenses </t>
  </si>
  <si>
    <t>Repair &amp; Maintenance</t>
  </si>
  <si>
    <t>H</t>
  </si>
  <si>
    <t>Amt of 173641112 transfer to network operating cost &amp; amt of 8800476 transfer to other expenses</t>
  </si>
  <si>
    <t>International Payments</t>
  </si>
  <si>
    <t>I</t>
  </si>
  <si>
    <t>Transfer to Network operating</t>
  </si>
  <si>
    <t>Amt of 37324189 reclassify from Admin.exp</t>
  </si>
  <si>
    <t>Loss on forex fluctuations</t>
  </si>
  <si>
    <t>Transfer to other income</t>
  </si>
  <si>
    <t>Amt of 140194233 reclassify from Admin.exp</t>
  </si>
  <si>
    <t>A)</t>
  </si>
  <si>
    <t xml:space="preserve"> Assest whose life has expired but accumulated depreciation was short accounted for due to SAP transition problem. Same has been adjusted in 2017 with a correspconding impact on retained earnings. Impact Nu. 378 million</t>
  </si>
  <si>
    <t>B)</t>
  </si>
  <si>
    <t xml:space="preserve">C) </t>
  </si>
  <si>
    <t>Advance received from postpaid customers against which invoice had already been raised in year 2017. Hence, advance from customer and debtor balance has been adjusted.</t>
  </si>
  <si>
    <t>D)</t>
  </si>
  <si>
    <t>Income accrued but not due has been reclassified from other current  asset to other receivable</t>
  </si>
  <si>
    <t>E)</t>
  </si>
  <si>
    <t>F)</t>
  </si>
  <si>
    <t>Provision has been created for paying bonus of 2018 &amp; bonus expenses of 2016 which is paid in 2017 has been adjusted from retained earnings</t>
  </si>
  <si>
    <t>G)</t>
  </si>
  <si>
    <t>H)</t>
  </si>
  <si>
    <t>Repairs &amp; maintenance cost has been reclassified into network Operating cost &amp; other operating expense</t>
  </si>
  <si>
    <t>I.)</t>
  </si>
  <si>
    <t>International payments has been reclassified as Network operating Cost</t>
  </si>
  <si>
    <t>L</t>
  </si>
  <si>
    <t>M</t>
  </si>
  <si>
    <t>K</t>
  </si>
  <si>
    <t>J</t>
  </si>
  <si>
    <t>G,E,H,I</t>
  </si>
  <si>
    <t>G,E,H</t>
  </si>
  <si>
    <t>J)</t>
  </si>
  <si>
    <t>K.)</t>
  </si>
  <si>
    <t>L)</t>
  </si>
  <si>
    <t>M)</t>
  </si>
  <si>
    <t>Short term borrowings has been reclassified into other Current liabilities</t>
  </si>
  <si>
    <t>N)</t>
  </si>
  <si>
    <t>N</t>
  </si>
  <si>
    <t>C,M,N</t>
  </si>
  <si>
    <t>Closing balance as at 31 December,18</t>
  </si>
  <si>
    <t>Total (A+B)</t>
  </si>
  <si>
    <t>Deferred government grants#</t>
  </si>
  <si>
    <r>
      <t>b) Corporate Bond - Bank of Bhutan**-</t>
    </r>
    <r>
      <rPr>
        <b/>
        <i/>
        <sz val="11"/>
        <rFont val="Book Antiqua"/>
        <family val="1"/>
      </rPr>
      <t>B</t>
    </r>
  </si>
  <si>
    <t>Investment in the form of Share-TTPL*</t>
  </si>
  <si>
    <t>(Firm Reg. No. 000257N)</t>
  </si>
  <si>
    <t xml:space="preserve">Place: </t>
  </si>
  <si>
    <t xml:space="preserve">Date: </t>
  </si>
  <si>
    <t xml:space="preserve">     Financial Assets</t>
  </si>
  <si>
    <t xml:space="preserve">      Financial liabilities</t>
  </si>
  <si>
    <t xml:space="preserve">       Financial liabilities</t>
  </si>
  <si>
    <t>Provision for Leave Encashment*</t>
  </si>
  <si>
    <t>Provision for Gratuity*</t>
  </si>
  <si>
    <t>* For details refer note 39</t>
  </si>
  <si>
    <t>Income Tax Payable (net of advance tax of Nu. 222,673,354)</t>
  </si>
  <si>
    <t>Gratuity*</t>
  </si>
  <si>
    <t>Others*</t>
  </si>
  <si>
    <t>*For disclosure of post employeement benefits refer note 39</t>
  </si>
  <si>
    <t>Depreciation*</t>
  </si>
  <si>
    <t>Amortization*</t>
  </si>
  <si>
    <t>* Depreciation expense has been netted off with amortisation of govt grant Nu.</t>
  </si>
  <si>
    <t>Interest on Loans*</t>
  </si>
  <si>
    <t>* Interest capitalised shall be Nu 1 Million</t>
  </si>
  <si>
    <t>Provision for Expected credit loss (refer note 35)</t>
  </si>
  <si>
    <t>As at 31st December,2018</t>
  </si>
  <si>
    <t>As at 31st December,2017</t>
  </si>
  <si>
    <r>
      <rPr>
        <b/>
        <i/>
        <sz val="12"/>
        <color theme="1"/>
        <rFont val="Book Antiqua"/>
        <family val="1"/>
      </rPr>
      <t xml:space="preserve">Financial assets </t>
    </r>
    <r>
      <rPr>
        <i/>
        <sz val="12"/>
        <color theme="1"/>
        <rFont val="Book Antiqua"/>
        <family val="1"/>
      </rPr>
      <t xml:space="preserve">
</t>
    </r>
  </si>
  <si>
    <t>(refer note 32 for tax exp. Reconciliation)</t>
  </si>
  <si>
    <t>Note : 32  INCOME TAX</t>
  </si>
  <si>
    <t>Note "22":</t>
  </si>
  <si>
    <t>Revenue from operations:</t>
  </si>
  <si>
    <t>Note "23":</t>
  </si>
  <si>
    <t>Other income:</t>
  </si>
  <si>
    <t>Note "24":</t>
  </si>
  <si>
    <t>Note "25":</t>
  </si>
  <si>
    <t>Cost of trading goods:</t>
  </si>
  <si>
    <t>Network operating expense:</t>
  </si>
  <si>
    <t>Employee benefit:</t>
  </si>
  <si>
    <t>Note "26":</t>
  </si>
  <si>
    <t>Sales &amp; marketing expenses:</t>
  </si>
  <si>
    <t>Note "27":</t>
  </si>
  <si>
    <t>Depreciation &amp; amortization:</t>
  </si>
  <si>
    <t>Note "28":</t>
  </si>
  <si>
    <t>Finance cost:</t>
  </si>
  <si>
    <t>Note "29":</t>
  </si>
  <si>
    <t>Other expenses:</t>
  </si>
  <si>
    <t>Note "30":</t>
  </si>
  <si>
    <t>Earning per Share:</t>
  </si>
  <si>
    <t>Note "33":</t>
  </si>
  <si>
    <t>Note "31":</t>
  </si>
  <si>
    <t>Note: "37" The following reconciliations provides the effect of re-statement in year ending 31st December 2017</t>
  </si>
  <si>
    <t>(A)</t>
  </si>
  <si>
    <t>Reconcilliation of financial Position as at 31st December,2017</t>
  </si>
  <si>
    <t>Reconcilliation of Statement of Comprehensive Income as at 31st December,2017</t>
  </si>
  <si>
    <t>9. License</t>
  </si>
  <si>
    <t>(923084 number of equity shares of face value of Nu. 100)</t>
  </si>
  <si>
    <t>*The land has been transferred to parent company at book value without consideration and the same has been adjusted from the Group investment reserve of the company. The transaction is not carried at fair value as the company was holding the investment on behalf of its parent company i.e Druk Holding &amp; Investment Limited.</t>
  </si>
  <si>
    <t>(As certified by the management)</t>
  </si>
  <si>
    <t>(c) Amortization of contract cost is done on straight line basis in a period of 5 years</t>
  </si>
  <si>
    <t>*In the meeting of the Board of Directors of the company held on 18th January 2018, the Board has decided to transfer the ownership of lands to its Holding Company i.e. Druk holding &amp; investment limited (DHI) in accordance with the DHI land policy 2016 and also the letter received from DHI with refrence number DHI/DOI/PIU/Lands/2017/654 dated 8th November 2017. The transfer is to be done at book value and no consideration will be received from the holding company. 
Non cash asset transfer has been accounted in the books of the company in compliance with the requirements of Accountng Standard Interpretation - 17 " Distributions of Non Cash Assets to owners", issued by Accounting and Auditing Standards Board of Bhutan. ASI 17 requires to recongnise a liability in the books to distribute non cash asset as a dividend to its shareholder at fair value of the assets to be distributed with a corresponding liability for dividend payable.
Measurement of Land:- Due to the large volume of the land and the distinct location of many of the lands, it was impracticable for the company to determine th fair value of the lands and hence, the transaction has been accounted at carrying value of the lands.</t>
  </si>
  <si>
    <t>a) Term Loan-BOB &amp; NPPF*</t>
  </si>
  <si>
    <t>Long term loan - BOB &amp; NPPF-A</t>
  </si>
  <si>
    <t xml:space="preserve">*  Term loan BOB  - Secured by hypothecation of Property# to BOB by way of first charge as security 
</t>
  </si>
  <si>
    <t xml:space="preserve">** 7.50% Secured, non-cumulative,non-convertible, redeemable bonds of 1000 each redeemable at par in full on 15th July 2020. Corporate Bond is secured by hypotheciation of Fixed Assets/ Plant &amp; Machinery of the company.
     </t>
  </si>
  <si>
    <t>Reserve created for Insurance of Assets</t>
  </si>
  <si>
    <t>Internet bandwith &amp; leasedline charges</t>
  </si>
  <si>
    <t>Deposit Work Expenses</t>
  </si>
  <si>
    <t>Repair &amp; maintenance others</t>
  </si>
  <si>
    <t>Tax expenses:</t>
  </si>
  <si>
    <t>The major components of income tax expense for the year ended 31 Dec 2018 and 31 Dec 2017 are:</t>
  </si>
  <si>
    <t>Current income tax charged for the year</t>
  </si>
  <si>
    <t>The carrying amounts of sundry debtor, cash and bank balances, trade receivables, interest accrued, security deposits, other receivables, trade payables and other payables are considered to be the same as their fair values, due to their short-term nature.</t>
  </si>
  <si>
    <t>The fair values for financial instruments were calculated based on cash flows discounted using current borrowing rates. They are classified as level 3 fair values in the fair value hierarchy due to the inclusion of unobservable inputs including  counterparty credit risk.</t>
  </si>
  <si>
    <t>Credit risk from balances with banks and financial institutions is managed by the Company’s finance department. Currently the Company has investment in fixed deposits which are made only with approved counterparties in accordance with the Company’s policy.</t>
  </si>
  <si>
    <t>Apart from cash and cash equivalents, company's majority of the financial assets are in the form of trade receivables only. Customer credit risk is managed by each business unit subject to the Company's established policy, procedures and control relating to customer credit risk management. As significant portion of the company's sale is in cash (all prepaid services), total trade receivables outstanding at the reporting date are also not significant in comparison of the company's total revenue. These trade receivables are non-interest bearing and are generally on credit term of 30-60 days. The Company regularly monitors its outstanding customer receivables.
Company categorised its trade receivables mainly into two categories, due from international customers and from domestic customers. In case of international debtors, there is no history of default and delay risk. Further, as per the arrangement and company's policy in case of majority of the international customers, receivables balances are settled on regular interval. Therefore, considering the forward looking approach management believes that the credit risk in case of international customers is not significant and no loss allowance is required to be provided.
In case of domestic trade receivables, company has history of delay in recovery as well as default in recovery. However, as per the company policy, in case of delay in recovery, company billed and recover delay charges for the delay period.  Accordingly, company is not exposed to delay risk. For default risk, company based on history, past trends and forwarding looking approach provides for loss allowance following expected credit loss method.</t>
  </si>
  <si>
    <r>
      <t xml:space="preserve">Liquidity risk is the risk that an entity will encounter difficulty in meeting obligations associated with financial liabilities that are settled by delivering cash or another financial assets. 
Prudent liquidity risk management implies maintaining sufficient cash and marketable securities and the availability of funding through an adequate amount of committed credit facilities to meet obligations when due and to close out market positions. The company is exposed to significant liquidity risk apart from general financial liabilities such as trade payables, etc., during the financial year 2015, company has also borrowed 300 million through bond for a tenure of 5 years which is payable after 5 years. Further, as per the terms and conditions of the bond, company is required to create a bond redemption reserve every year to repay the bond at maturity. In 2017, company also borrowed 45 million term loan for a tenure of 5 year to finance the LTE project 2017. </t>
    </r>
    <r>
      <rPr>
        <i/>
        <sz val="11"/>
        <color theme="1"/>
        <rFont val="Book Antiqua"/>
        <family val="1"/>
      </rPr>
      <t xml:space="preserve">Company further borrowed 50 million term loan for a terms of 5 years from NPPF to address the routine operational fund. </t>
    </r>
    <r>
      <rPr>
        <i/>
        <sz val="11"/>
        <rFont val="Book Antiqua"/>
        <family val="1"/>
      </rPr>
      <t>Management monitors rolling forecasts of the Company's liquidity position, cash and cash equivalents on the basis of expected cash flows. This is generally performed in accordance with practice and limits set by the Company.</t>
    </r>
  </si>
  <si>
    <t>The company does not operate internationally, however, expose to the foreign currency risk due to receivables/payables denominated in foreign currency for the various transactions such as interconnect agreement with foreign operators, and providing network services to the foreign operator's customers, etc.  Foreign currency risk, is closely monitored by the Management to decide on the requirement of hedging.  The position of foreign currency exposure to the Company as at the end of the year expressed is in Nu. are as follows:</t>
  </si>
  <si>
    <t xml:space="preserve">As value of Nu. is constantly equal to the INR, company is not exposed to any foreign currency risk relating to amount receivables/payables in INR.  </t>
  </si>
  <si>
    <t>Expenses</t>
  </si>
  <si>
    <t>Other incomes</t>
  </si>
  <si>
    <t>License purchased by the Company in 2008 was not capitalised and was accounted for as prepaid expense. Same has now been expensed out with a gross block of Nu. 777 million and accumulated amortization of Nu. 518 million as on 01st January, 2017. Amortization expense booked in year 2017 is Nu. 51.8 million. Unpaid portion has been accounted as license fee payable of Nu. 194.25 million as non-current and Nu. 38.85 million as current.</t>
  </si>
  <si>
    <t>General &amp; administrative expenses has been reclassified into Selling &amp; marketing Expenses of Nu.166 million,Network operating Cost of Nu.11.9 million &amp; the rest amount i.e. Nu. 140 million as other Expenses</t>
  </si>
  <si>
    <t>Stores &amp; spares has been reclassified into cost of  trading  goods of Nu. 8 million. Other Expenses Nu. 6.91 million and the rest amount i.e Nu. 8 million reclassified  as Network Operatiing Cost</t>
  </si>
  <si>
    <t>Gain  and Loss on Forex Fluctuations has been reclassified as Other Incomes</t>
  </si>
  <si>
    <t>Other Incomes of Nu.15 million has been reclassified into Revenue from Operations</t>
  </si>
  <si>
    <t>Deferred govt grant classification change from non current &amp; current  and presented separately</t>
  </si>
  <si>
    <t>There is reclassification between trade payables and other current liabilities</t>
  </si>
  <si>
    <t>Other non-current assets</t>
  </si>
  <si>
    <t>Provision for Brand &amp; Management Fee</t>
  </si>
  <si>
    <t>Impairment of Old Inventories</t>
  </si>
  <si>
    <t>Net Inventories</t>
  </si>
  <si>
    <t>Licence Fees payable</t>
  </si>
  <si>
    <r>
      <t>*</t>
    </r>
    <r>
      <rPr>
        <i/>
        <sz val="12"/>
        <rFont val="Book Antiqua"/>
        <family val="1"/>
      </rPr>
      <t xml:space="preserve"> In the meeting of the Board of Directors of the company held on 18th January 2018, the Board has decided to transfer the ownership of lands to its Holding Company i.e. Druk holding &amp; investment limited (DHI) in accordance with the DHI land policy 2016 and also the letter received from DHI with refrence number DHI/DOI/PIU/Lands/2017/654 dated 8th November 2017. The transfer is to be done at book value and no consideration will be received from the holding company. </t>
    </r>
  </si>
  <si>
    <t>Balance at 1st January 2018</t>
  </si>
  <si>
    <t>Changes in equity for 2019</t>
  </si>
  <si>
    <t>Balance at 31st December 2019</t>
  </si>
  <si>
    <t>Income from Rent-Others</t>
  </si>
  <si>
    <t>Expense on Thuraya Services</t>
  </si>
  <si>
    <t>Less: Staff training 1/3 of 2019</t>
  </si>
  <si>
    <t>x</t>
  </si>
  <si>
    <t>28.2.2019</t>
  </si>
  <si>
    <t>01.01.2019</t>
  </si>
  <si>
    <t>Income from Rent-Infra sharing</t>
  </si>
  <si>
    <t>Income from Rent-Pole sharing</t>
  </si>
  <si>
    <t>Income from HR Bond-Employee</t>
  </si>
  <si>
    <t>Statement of Financial Position for the year ended 31st March, 2019</t>
  </si>
  <si>
    <t>As at 31st March, 2019</t>
  </si>
  <si>
    <t>Statement of Comprehensive Income for the year ended 31st March, 2019</t>
  </si>
  <si>
    <t>As at 31st March, 2018</t>
  </si>
  <si>
    <t>Statement of Changes in Equity for the year ended 31st March, 2019</t>
  </si>
  <si>
    <t>Statement of Cash Flow for the year ended 31st March, 2019</t>
  </si>
  <si>
    <t>Notes forming part of the Financial Statements for the year ended 31st march , 2019</t>
  </si>
  <si>
    <t>Notes forming part of the Financial Statements for the year ended 31st March, 2019</t>
  </si>
  <si>
    <t>INCOME YEAR as of 31st March, 2019</t>
  </si>
  <si>
    <t>31.3.2019</t>
  </si>
  <si>
    <t>addition mistake</t>
  </si>
  <si>
    <t xml:space="preserve"> International ISD</t>
  </si>
  <si>
    <t xml:space="preserve"> Telephone Service</t>
  </si>
  <si>
    <t xml:space="preserve"> Income from International Roaming</t>
  </si>
  <si>
    <t xml:space="preserve"> Income from Value Added Services-International</t>
  </si>
  <si>
    <t xml:space="preserve"> Mobile -  Sim Cards</t>
  </si>
  <si>
    <t xml:space="preserve"> Mobile - Prepaid Recharge Cards</t>
  </si>
  <si>
    <t xml:space="preserve"> Mobile - Postpaid Services</t>
  </si>
  <si>
    <t xml:space="preserve"> Eload - Mobile</t>
  </si>
  <si>
    <t xml:space="preserve"> Income from Value Added Services</t>
  </si>
  <si>
    <t xml:space="preserve"> Income from Online Applications</t>
  </si>
  <si>
    <t xml:space="preserve"> Income from Interconnect</t>
  </si>
  <si>
    <t xml:space="preserve"> Commission income from online mobile apps</t>
  </si>
  <si>
    <t xml:space="preserve"> Income from MFS (Paku)</t>
  </si>
  <si>
    <t xml:space="preserve"> Broadband - Postpaid</t>
  </si>
  <si>
    <t xml:space="preserve"> Broadband - Prepaid</t>
  </si>
  <si>
    <t xml:space="preserve"> Internet Leaseline</t>
  </si>
  <si>
    <t xml:space="preserve"> Income from Domain Name Registration</t>
  </si>
  <si>
    <t xml:space="preserve"> Income from IPLC - National</t>
  </si>
  <si>
    <t xml:space="preserve"> Broadband - Recharge Card</t>
  </si>
  <si>
    <t xml:space="preserve"> Eload - Broadband</t>
  </si>
  <si>
    <t xml:space="preserve"> Income from IPLC - International</t>
  </si>
  <si>
    <t xml:space="preserve"> Income from Domain Name - International</t>
  </si>
  <si>
    <t xml:space="preserve"> Income from Leaseline - International</t>
  </si>
  <si>
    <t xml:space="preserve"> Contact Center Revenue</t>
  </si>
  <si>
    <t xml:space="preserve"> Income from Data Center</t>
  </si>
  <si>
    <t xml:space="preserve"> Income from ERP Service</t>
  </si>
  <si>
    <t xml:space="preserve"> Income from Thuraya Services</t>
  </si>
  <si>
    <t xml:space="preserve"> Miscellaneous Income - Fixed Line</t>
  </si>
  <si>
    <t xml:space="preserve"> Miscellaneous Income - Mobile</t>
  </si>
  <si>
    <t xml:space="preserve"> Sale of Mobile Data Card</t>
  </si>
  <si>
    <t xml:space="preserve"> Miscellaneous Income - ISP</t>
  </si>
  <si>
    <t xml:space="preserve"> Sale of Internet Modem</t>
  </si>
  <si>
    <t xml:space="preserve"> Income from sale of CPE and Equipments</t>
  </si>
  <si>
    <t xml:space="preserve"> Income from BSecure</t>
  </si>
  <si>
    <t xml:space="preserve"> Income from One Stop Shop (BT Shop)</t>
  </si>
  <si>
    <t xml:space="preserve"> Fines</t>
  </si>
  <si>
    <t xml:space="preserve"> Income from Depository Works</t>
  </si>
  <si>
    <t xml:space="preserve"> Income from Interest</t>
  </si>
  <si>
    <t xml:space="preserve"> Income from Rent-BT quarter</t>
  </si>
  <si>
    <t xml:space="preserve"> Income from Rent-Others</t>
  </si>
  <si>
    <t xml:space="preserve"> Income from Hire Charges</t>
  </si>
  <si>
    <t xml:space="preserve"> Income from Sale of Tender Documents</t>
  </si>
  <si>
    <t xml:space="preserve"> Discount Received</t>
  </si>
  <si>
    <t xml:space="preserve"> Rounding Difference - Gain</t>
  </si>
  <si>
    <t xml:space="preserve"> Miscellaneous Income</t>
  </si>
  <si>
    <t xml:space="preserve"> Rounding Difference - Loss</t>
  </si>
  <si>
    <t xml:space="preserve"> Expense on Interconnect Settlement</t>
  </si>
  <si>
    <t xml:space="preserve"> Satellite Utilization Charges</t>
  </si>
  <si>
    <t xml:space="preserve"> Service fee for IPLC</t>
  </si>
  <si>
    <t xml:space="preserve"> International Traffic Settlement, Voice</t>
  </si>
  <si>
    <t xml:space="preserve"> Internet Port Charges, IP Transit</t>
  </si>
  <si>
    <t xml:space="preserve"> International Roaming</t>
  </si>
  <si>
    <t xml:space="preserve"> Expense on Thuraya Services</t>
  </si>
  <si>
    <t xml:space="preserve"> R&amp;M Power - Service</t>
  </si>
  <si>
    <t xml:space="preserve"> Generator Running Expenses</t>
  </si>
  <si>
    <t xml:space="preserve"> R&amp;M Generator Set - Service</t>
  </si>
  <si>
    <t xml:space="preserve"> Electricity</t>
  </si>
  <si>
    <t xml:space="preserve"> Consumption of Equipment Spares</t>
  </si>
  <si>
    <t xml:space="preserve"> Consumables</t>
  </si>
  <si>
    <t xml:space="preserve"> R&amp;M Plant and Machinery - Service</t>
  </si>
  <si>
    <t xml:space="preserve"> R&amp;M Plant and Machinery - AMC</t>
  </si>
  <si>
    <t xml:space="preserve"> R&amp;M Cables and Accessories - Services</t>
  </si>
  <si>
    <t xml:space="preserve"> R&amp;M Software Application - AMC</t>
  </si>
  <si>
    <t xml:space="preserve"> Fees and Subscriptions - National</t>
  </si>
  <si>
    <t xml:space="preserve"> Fees and Subscriptions - International</t>
  </si>
  <si>
    <t xml:space="preserve"> Rent</t>
  </si>
  <si>
    <t xml:space="preserve"> Consumption of Trading Goods</t>
  </si>
  <si>
    <t xml:space="preserve"> COGS of Trading Goods</t>
  </si>
  <si>
    <t xml:space="preserve"> Basic Pay</t>
  </si>
  <si>
    <t xml:space="preserve"> Wages</t>
  </si>
  <si>
    <t xml:space="preserve"> Expense on Corporate Allowance</t>
  </si>
  <si>
    <t xml:space="preserve"> Leave Travel Concession</t>
  </si>
  <si>
    <t xml:space="preserve"> Bonus</t>
  </si>
  <si>
    <t xml:space="preserve"> Leave Encashment</t>
  </si>
  <si>
    <t xml:space="preserve"> Provident Fund Contribution</t>
  </si>
  <si>
    <t xml:space="preserve"> Gratuity</t>
  </si>
  <si>
    <t xml:space="preserve"> Medical Expenses</t>
  </si>
  <si>
    <t xml:space="preserve"> Uniform and Livery Expenses</t>
  </si>
  <si>
    <t xml:space="preserve"> Staff Welfare Expenses</t>
  </si>
  <si>
    <t xml:space="preserve"> Pilgrimage Expenses</t>
  </si>
  <si>
    <t xml:space="preserve"> Training - In Country</t>
  </si>
  <si>
    <t xml:space="preserve"> Training - Ex Country</t>
  </si>
  <si>
    <t xml:space="preserve"> Meeting and Seminar</t>
  </si>
  <si>
    <t xml:space="preserve"> Transfer Grant Expenses</t>
  </si>
  <si>
    <t xml:space="preserve"> BT Day &amp; Development Program Expense</t>
  </si>
  <si>
    <t xml:space="preserve"> Discount Allowed</t>
  </si>
  <si>
    <t xml:space="preserve"> Business Promotion</t>
  </si>
  <si>
    <t xml:space="preserve"> Advertisement</t>
  </si>
  <si>
    <t xml:space="preserve"> Commission</t>
  </si>
  <si>
    <t xml:space="preserve"> Brand &amp; Management Fees</t>
  </si>
  <si>
    <t xml:space="preserve"> Depreciation - Building</t>
  </si>
  <si>
    <t xml:space="preserve"> Depreciation - Tele Equipment</t>
  </si>
  <si>
    <t xml:space="preserve"> Depreciation - Office Equipment</t>
  </si>
  <si>
    <t xml:space="preserve"> Depreciation - Furniture and Fixtures</t>
  </si>
  <si>
    <t xml:space="preserve"> Depreciation - Power System</t>
  </si>
  <si>
    <t xml:space="preserve"> Depreciation - Cable and Accessories</t>
  </si>
  <si>
    <t xml:space="preserve"> Depreciation - Vehicle</t>
  </si>
  <si>
    <t xml:space="preserve"> Depreciation - Tools and Spare Parts</t>
  </si>
  <si>
    <t xml:space="preserve"> Depreciation - Capital Grants</t>
  </si>
  <si>
    <t xml:space="preserve"> Amortization of Software</t>
  </si>
  <si>
    <t xml:space="preserve"> Interest on Loans</t>
  </si>
  <si>
    <t xml:space="preserve"> Bank Charges</t>
  </si>
  <si>
    <t xml:space="preserve"> Interest cost - other</t>
  </si>
  <si>
    <t xml:space="preserve"> Fines &amp; Penalty</t>
  </si>
  <si>
    <t xml:space="preserve"> Rates and Taxes</t>
  </si>
  <si>
    <t xml:space="preserve"> Expected Credit Loss on trade receivable</t>
  </si>
  <si>
    <t xml:space="preserve"> Deposit Work Expense</t>
  </si>
  <si>
    <t xml:space="preserve"> Communication (Fax, Mail, Post)</t>
  </si>
  <si>
    <t xml:space="preserve"> Carriage Outward &amp; Inward</t>
  </si>
  <si>
    <t xml:space="preserve"> Vehicle Running Expense - POL</t>
  </si>
  <si>
    <t xml:space="preserve"> Audit Fees</t>
  </si>
  <si>
    <t xml:space="preserve"> Audit Expenses</t>
  </si>
  <si>
    <t xml:space="preserve"> Consumption of Printing and Stationaries</t>
  </si>
  <si>
    <t xml:space="preserve"> Printing and Stationary</t>
  </si>
  <si>
    <t xml:space="preserve"> General Insurance</t>
  </si>
  <si>
    <t xml:space="preserve"> Insurance on Telecom Equipment</t>
  </si>
  <si>
    <t xml:space="preserve"> Gain on Sale of Fixed Assets</t>
  </si>
  <si>
    <t xml:space="preserve"> Loss/Scrapping/Retirement of Asset</t>
  </si>
  <si>
    <t xml:space="preserve"> Loss on Sale of Fixed Asset</t>
  </si>
  <si>
    <t xml:space="preserve"> Expense on Board Sitting Fee</t>
  </si>
  <si>
    <t xml:space="preserve"> Professional Charges</t>
  </si>
  <si>
    <t xml:space="preserve"> Corporate Social Responsibility</t>
  </si>
  <si>
    <t xml:space="preserve"> Donation</t>
  </si>
  <si>
    <t xml:space="preserve"> Travel - Foreign</t>
  </si>
  <si>
    <t xml:space="preserve"> Travel - Local</t>
  </si>
  <si>
    <t xml:space="preserve"> Travel - Maintenance</t>
  </si>
  <si>
    <t xml:space="preserve"> Revaluation of Material - Gain</t>
  </si>
  <si>
    <t xml:space="preserve"> Physical Verification on Inventory - Gain</t>
  </si>
  <si>
    <t xml:space="preserve"> Price Difference of Material - Loss</t>
  </si>
  <si>
    <t xml:space="preserve"> Revaluation of Material - Loss</t>
  </si>
  <si>
    <t xml:space="preserve"> Physical Verification of Inventory - Loss</t>
  </si>
  <si>
    <t xml:space="preserve"> R&amp;M Building - Service</t>
  </si>
  <si>
    <t xml:space="preserve"> Consumption of Vehicle Spares</t>
  </si>
  <si>
    <t xml:space="preserve"> Consumption of Office Equipment Spares</t>
  </si>
  <si>
    <t xml:space="preserve"> Consumption of General Item</t>
  </si>
  <si>
    <t xml:space="preserve"> R&amp;M Office Equipment - Service</t>
  </si>
  <si>
    <t xml:space="preserve"> R&amp;M Furniture &amp; Fixture - Service</t>
  </si>
  <si>
    <t xml:space="preserve"> R&amp;M Office Equipment - AMC</t>
  </si>
  <si>
    <t xml:space="preserve"> R&amp;M Vehicles - Services</t>
  </si>
  <si>
    <t xml:space="preserve"> Impairment for Inventories</t>
  </si>
  <si>
    <t xml:space="preserve"> Gain on Forex Fluctuation</t>
  </si>
  <si>
    <t xml:space="preserve"> Office Maintenance</t>
  </si>
  <si>
    <t xml:space="preserve"> Water and Sewerage</t>
  </si>
  <si>
    <t xml:space="preserve"> Custom Clearing Charges</t>
  </si>
  <si>
    <t xml:space="preserve"> Rebate Expense</t>
  </si>
  <si>
    <t xml:space="preserve"> Registration and Filing Fees/Survey</t>
  </si>
  <si>
    <t xml:space="preserve"> Revenue Sharing - National</t>
  </si>
  <si>
    <t xml:space="preserve"> Entertainment</t>
  </si>
  <si>
    <t xml:space="preserve"> Books, Magazines and Newspapers</t>
  </si>
  <si>
    <t xml:space="preserve"> Misc. Expenses</t>
  </si>
  <si>
    <t xml:space="preserve"> Hospitality</t>
  </si>
  <si>
    <t xml:space="preserve"> Loss on Forex Fluctuation</t>
  </si>
  <si>
    <t xml:space="preserve"> Prior Period Tax Expense</t>
  </si>
  <si>
    <t xml:space="preserve"> Corporate Income Tax Paid</t>
  </si>
  <si>
    <t xml:space="preserve"> Deferred Tax Income</t>
  </si>
  <si>
    <t xml:space="preserve"> Cash Account - General</t>
  </si>
  <si>
    <t xml:space="preserve"> 0000019474003 - CHQ BT Dis - MB</t>
  </si>
  <si>
    <t xml:space="preserve"> 0000019474003 - CHQ BT Dis - IB</t>
  </si>
  <si>
    <t xml:space="preserve"> 0000019474003 - CHQ BT Dis - OB</t>
  </si>
  <si>
    <t xml:space="preserve"> 0000019557006 - CHQ Depository - MB</t>
  </si>
  <si>
    <t xml:space="preserve"> 0000019557006 - CHQ Depository - OB</t>
  </si>
  <si>
    <t xml:space="preserve"> 20700220263090014 - CHQ BoB Rev - MB</t>
  </si>
  <si>
    <t xml:space="preserve"> 20700220263090014 - CHQ BoB Rev - IB</t>
  </si>
  <si>
    <t xml:space="preserve"> 0000020336005 - CHQ Foreign - MB</t>
  </si>
  <si>
    <t xml:space="preserve"> 0000020336005 - CHQ Foreign - IB</t>
  </si>
  <si>
    <t xml:space="preserve"> 000127110013 - CHQ BDBL Rev - MB</t>
  </si>
  <si>
    <t xml:space="preserve"> 5000019474014 - CHQ Insurance - MB</t>
  </si>
  <si>
    <t xml:space="preserve"> 100914942- CHQ BoB Dis - MB</t>
  </si>
  <si>
    <t xml:space="preserve"> 100914942- CHQ BoB Dis - IB</t>
  </si>
  <si>
    <t xml:space="preserve"> 100914942- CHQ BoB Dis - OB</t>
  </si>
  <si>
    <t xml:space="preserve"> 0000019474029-CHQ BNB REV-MB</t>
  </si>
  <si>
    <t xml:space="preserve"> 0000019474056-BNB MFS-MB</t>
  </si>
  <si>
    <t xml:space="preserve"> 0000019474056-BNB MFS-IB</t>
  </si>
  <si>
    <t xml:space="preserve"> 0000019474056-BNB MFS-OB</t>
  </si>
  <si>
    <t xml:space="preserve"> 201242839-CHQ BOB-MFS-MB</t>
  </si>
  <si>
    <t xml:space="preserve"> 0000019474054 - BNB-MPAY-MB</t>
  </si>
  <si>
    <t xml:space="preserve"> 0000019474054 - BNB-MPAY-IB</t>
  </si>
  <si>
    <t xml:space="preserve"> 2010115395 - BOB-CHARO-MB</t>
  </si>
  <si>
    <t xml:space="preserve"> 2010115395 - BOB-CHARO-IB</t>
  </si>
  <si>
    <t xml:space="preserve"> 2010115395 - BOB-CHARO-OB</t>
  </si>
  <si>
    <t xml:space="preserve"> 201800006795 - BDBL-EPAY-MB</t>
  </si>
  <si>
    <t xml:space="preserve"> 201800006795 - BDBL-EPAY-IB</t>
  </si>
  <si>
    <t xml:space="preserve"> 201800006795 - BDBL-EPAY-OB</t>
  </si>
  <si>
    <t xml:space="preserve"> 0003760172006 - Trashigang Rev - MB</t>
  </si>
  <si>
    <t xml:space="preserve"> 0003760172006 - Trashigang Rev - IB</t>
  </si>
  <si>
    <t xml:space="preserve"> 0006019474005 - Mongar Rev - MB</t>
  </si>
  <si>
    <t xml:space="preserve"> 0006019474005 - Mongar Rev - IB</t>
  </si>
  <si>
    <t xml:space="preserve"> 20402179000290016 - Pema Gatshel Rev - MB</t>
  </si>
  <si>
    <t xml:space="preserve"> 20401975000640019 - Lhuntse Rev - MB</t>
  </si>
  <si>
    <t xml:space="preserve"> 20401975000640019 - Lhuntse Rev - IB</t>
  </si>
  <si>
    <t xml:space="preserve"> 002227070019 - Wamrong Rev - MB</t>
  </si>
  <si>
    <t xml:space="preserve"> 002227070019 - Wamrong Rev - IB</t>
  </si>
  <si>
    <t xml:space="preserve"> 20402985000550010 - Nganglam Rev - MB</t>
  </si>
  <si>
    <t xml:space="preserve"> 20402985000550010 - Nganglam Rev - IB</t>
  </si>
  <si>
    <t xml:space="preserve"> 20402899000950012- Trashiyangtse Rev - MB</t>
  </si>
  <si>
    <t xml:space="preserve"> 20402899000950012 - Trashiyangtse Rev - IB</t>
  </si>
  <si>
    <t xml:space="preserve"> 002227150011-Khaling Rev - MB</t>
  </si>
  <si>
    <t xml:space="preserve"> 200692298 - Deothang - MB</t>
  </si>
  <si>
    <t xml:space="preserve"> 200692298 - Deothang - IB</t>
  </si>
  <si>
    <t xml:space="preserve"> 200736600 - Doksum - MB</t>
  </si>
  <si>
    <t xml:space="preserve"> 200736600 - Doksum - IB</t>
  </si>
  <si>
    <t xml:space="preserve"> 200746212 - Rangjung - MB</t>
  </si>
  <si>
    <t xml:space="preserve"> 200746212 - Rangjung - IB</t>
  </si>
  <si>
    <t xml:space="preserve"> 200781520 - Gyelpozhing - MB</t>
  </si>
  <si>
    <t xml:space="preserve"> 200781520 - Gyelpozhing - IB</t>
  </si>
  <si>
    <t xml:space="preserve"> 0100071941001- Kanglung Rev - MB</t>
  </si>
  <si>
    <t xml:space="preserve"> 0100071941001- Kanglung Rev - IB</t>
  </si>
  <si>
    <t xml:space="preserve"> 201237318 - Samdrup Jongkhar Rev - MB</t>
  </si>
  <si>
    <t xml:space="preserve"> 201237318 - Samdrup Jongkhar Rev - IB</t>
  </si>
  <si>
    <t xml:space="preserve"> 201240547 - Samdrup Jongkhar Dis - MB</t>
  </si>
  <si>
    <t xml:space="preserve"> 201240547 - Samdrup Jongkhar Dis - IB</t>
  </si>
  <si>
    <t xml:space="preserve"> 201240547 - Samdrup Jongkhar Dis - OB</t>
  </si>
  <si>
    <t xml:space="preserve"> 0001005964008 - Phuntsholing Rev - MB</t>
  </si>
  <si>
    <t xml:space="preserve"> 0001005964008  - Phuntsholing Rev - IB</t>
  </si>
  <si>
    <t xml:space="preserve"> 20401771000940017- Gedu Rev - MB</t>
  </si>
  <si>
    <t xml:space="preserve"> 20401771000940017 - Gedu Rev - IB</t>
  </si>
  <si>
    <t xml:space="preserve"> 2040054000410015 - Tshimasham Rev - MB</t>
  </si>
  <si>
    <t xml:space="preserve"> 2040054000410015 - Tshimasham Rev - IB</t>
  </si>
  <si>
    <t xml:space="preserve"> 0009760048017  - Gomtu Rev - MB</t>
  </si>
  <si>
    <t xml:space="preserve"> 0009760048017  - Gomtu Rev - IB</t>
  </si>
  <si>
    <t xml:space="preserve"> 20700642500860017 - Samtse Rev - MB</t>
  </si>
  <si>
    <t xml:space="preserve"> 20700642500860017 - Samtse Rev - IB</t>
  </si>
  <si>
    <t xml:space="preserve"> 20700642610380000 - Sipsoo Rev - MB</t>
  </si>
  <si>
    <t xml:space="preserve"> 20700642610380000 - Sipsoo Rev - IB</t>
  </si>
  <si>
    <t xml:space="preserve"> 002827110003 - Lhamoizingkha Rev - MB</t>
  </si>
  <si>
    <t xml:space="preserve"> 002827110003 - Lhamoizingkha Rev - IB</t>
  </si>
  <si>
    <t xml:space="preserve"> 0001005964016 - Phuntsholing Dis - MB</t>
  </si>
  <si>
    <t xml:space="preserve"> 0001005964016 - Phuntsholing Dis - IB</t>
  </si>
  <si>
    <t xml:space="preserve"> 0001005964016 - Phuntsholing Dis - OB</t>
  </si>
  <si>
    <t xml:space="preserve"> 20702697043750018 - Samdrupcholing Rev - MB</t>
  </si>
  <si>
    <t xml:space="preserve"> 002727140003- Jomotshangkha Rev - MB</t>
  </si>
  <si>
    <t xml:space="preserve"> 002727140003 - Jomotshangkha Rev - IB</t>
  </si>
  <si>
    <t xml:space="preserve"> 201000487101 - Tendu Rev - MB</t>
  </si>
  <si>
    <t xml:space="preserve"> 201000487101 - Tendu Rev - IB</t>
  </si>
  <si>
    <t xml:space="preserve"> 0004002496014 - Gelephu Rev - MB</t>
  </si>
  <si>
    <t xml:space="preserve"> 0004002496014 - Gelephu Rev - IB</t>
  </si>
  <si>
    <t xml:space="preserve"> 20400848000290019 - Damphu Rev - MB</t>
  </si>
  <si>
    <t xml:space="preserve"> 20400848000290019 - Damphu Rev - IB</t>
  </si>
  <si>
    <t xml:space="preserve"> 20402493000500011 - Dagana Rev - MB</t>
  </si>
  <si>
    <t xml:space="preserve"> 20402493000500011 - Dagana Rev - IB</t>
  </si>
  <si>
    <t xml:space="preserve"> 20402391004180022 - Sarpang Rev - MB</t>
  </si>
  <si>
    <t xml:space="preserve"> 20402391004180022 - Sarpang Rev - IB</t>
  </si>
  <si>
    <t xml:space="preserve"> 20401873019150016 - Zhemgang Rev - MB</t>
  </si>
  <si>
    <t xml:space="preserve"> 20401873019150016 - Zhemgang Rev - IB</t>
  </si>
  <si>
    <t xml:space="preserve"> 20401567011860014 - Trongsa Rev - MB</t>
  </si>
  <si>
    <t xml:space="preserve"> 20401567011860014 - Trongsa Rev - IB</t>
  </si>
  <si>
    <t xml:space="preserve"> 0004700084020 - Tingtibi Rev - MB</t>
  </si>
  <si>
    <t xml:space="preserve"> 0004700084020 - Tingtibi Rev - IB</t>
  </si>
  <si>
    <t xml:space="preserve"> 20401259073920015 - Bumthang Rev - MB</t>
  </si>
  <si>
    <t xml:space="preserve"> 20401259073920015 - Bumthang Rev - IB</t>
  </si>
  <si>
    <t xml:space="preserve"> 002527110001 - Panbang Rev - MB</t>
  </si>
  <si>
    <t xml:space="preserve"> 002527110001 - Panbang Rev - IB</t>
  </si>
  <si>
    <t xml:space="preserve"> 0004002520017 - Gelephu Dis - MB</t>
  </si>
  <si>
    <t xml:space="preserve"> 0004002520017 - Gelephu Dis - IB</t>
  </si>
  <si>
    <t xml:space="preserve"> 0004002520017 - Gelephu Dis - OB</t>
  </si>
  <si>
    <t xml:space="preserve"> 0000019473007 - Thimphu Rev - MB</t>
  </si>
  <si>
    <t xml:space="preserve"> 0000019473007 - Thimphu Rev - IB</t>
  </si>
  <si>
    <t xml:space="preserve"> 0000019473007 - Thimphu Rev - OB</t>
  </si>
  <si>
    <t xml:space="preserve"> 0000019474050 - Thimphu BNB Bwallet Rev - MB</t>
  </si>
  <si>
    <t xml:space="preserve"> 0000019474050 - Thimphu BNB Bwallet Rev - IB</t>
  </si>
  <si>
    <t xml:space="preserve"> 0000019474050 - Thimphu BNB Bwallet Rev - OB</t>
  </si>
  <si>
    <t xml:space="preserve"> 20770220677700011 - Thimphu BoB Bwallet Rev - MB</t>
  </si>
  <si>
    <t xml:space="preserve"> 20702200677700011- Thimphu BoB Bwallet Rev - IB</t>
  </si>
  <si>
    <t xml:space="preserve"> 2070220677700011 - Thimphu BoB Bwallet Rev - OB</t>
  </si>
  <si>
    <t xml:space="preserve"> 0000064465019 - Thimphu BNB Online Rev - MB</t>
  </si>
  <si>
    <t xml:space="preserve"> 20700220670610012 - Thimphu BoB Online Rev - MB</t>
  </si>
  <si>
    <t xml:space="preserve"> 20700220670610012 - Thimphu BoB Online Rev - IB</t>
  </si>
  <si>
    <t xml:space="preserve"> 0005601652015 - Paro Rev - MB</t>
  </si>
  <si>
    <t xml:space="preserve"> 0005601652015 - Paro Rev - IB</t>
  </si>
  <si>
    <t xml:space="preserve"> 0007729062010 - Punakha Rev - MB</t>
  </si>
  <si>
    <t xml:space="preserve"> 0007729062010 - Punakha Rev - IB</t>
  </si>
  <si>
    <t xml:space="preserve"> 0007720098008 - Wangdue Rev - MB</t>
  </si>
  <si>
    <t xml:space="preserve"> 0007720098008 - Wangdue Rev - IB</t>
  </si>
  <si>
    <t xml:space="preserve"> 20401669009120014 - Haa Rev - MB</t>
  </si>
  <si>
    <t xml:space="preserve"> 20401669009120014 - Haa Rev - IB</t>
  </si>
  <si>
    <t xml:space="preserve"> 20703086001290010 - Gasa Rev - MB</t>
  </si>
  <si>
    <t xml:space="preserve"> 20703086001290010 - Gasa Rev - IB</t>
  </si>
  <si>
    <t xml:space="preserve"> 0000042330019 - Thimphu Dis - MB</t>
  </si>
  <si>
    <t xml:space="preserve"> 0000042330019 - Thimphu Dis - IB</t>
  </si>
  <si>
    <t xml:space="preserve"> 0000042330019 - Thimphu Dis - OB</t>
  </si>
  <si>
    <t xml:space="preserve"> 000127140179-Thimphu-BDBL BWallet Rev - MB</t>
  </si>
  <si>
    <t xml:space="preserve"> 000127140179-Thimphu-BDBL BWallet Rev - IB</t>
  </si>
  <si>
    <t xml:space="preserve"> 000127140179-Thimphu-BDBL BWallet Rev - OB</t>
  </si>
  <si>
    <t xml:space="preserve"> 0100017435001-Dagapela Rev - MB</t>
  </si>
  <si>
    <t xml:space="preserve"> 0100017435001-Dagapela Rev - IB</t>
  </si>
  <si>
    <t xml:space="preserve"> 20700220791560032-MBOB Rev - MB</t>
  </si>
  <si>
    <t xml:space="preserve"> 20700220791560032-MBOB Rev - IB</t>
  </si>
  <si>
    <t xml:space="preserve"> 20700220791560032-MBOB Rev - OB</t>
  </si>
  <si>
    <t xml:space="preserve"> 77712025465001 - Thimphu Tbank Rev - MB</t>
  </si>
  <si>
    <t xml:space="preserve"> 77712025465001 - Thimphu Tbank Rev - IB</t>
  </si>
  <si>
    <t xml:space="preserve"> 77712025465001 - Thimphu Tbank Rev - OB</t>
  </si>
  <si>
    <t xml:space="preserve"> 200626734 - BOB OSS Rev - MB</t>
  </si>
  <si>
    <t xml:space="preserve"> 200626734 - BOB OSS Rev - IB</t>
  </si>
  <si>
    <t xml:space="preserve"> 200626734 - BOB OSS Rev - OB</t>
  </si>
  <si>
    <t xml:space="preserve"> 0000019474053 - BNB Khasadrapchu Rev - MB</t>
  </si>
  <si>
    <t xml:space="preserve"> 0000019474053 - BNB Khasadrapchu Rev - IB</t>
  </si>
  <si>
    <t xml:space="preserve"> Sundry Debtors - Domestic - Current</t>
  </si>
  <si>
    <t xml:space="preserve"> Impairment of Trade Receivable</t>
  </si>
  <si>
    <t xml:space="preserve"> Sundry Debtors - International - Current</t>
  </si>
  <si>
    <t xml:space="preserve"> Security Deposit - Others</t>
  </si>
  <si>
    <t xml:space="preserve"> Advance to Suppliers - Current</t>
  </si>
  <si>
    <t xml:space="preserve"> Advance to Others - Current</t>
  </si>
  <si>
    <t xml:space="preserve"> Other Receivables - Current</t>
  </si>
  <si>
    <t xml:space="preserve"> Advance to Staff, Travel Expense</t>
  </si>
  <si>
    <t xml:space="preserve"> Advance to Staff, Personal Expenses- Current</t>
  </si>
  <si>
    <t xml:space="preserve"> Advance to Staff, Office Expenses - Current</t>
  </si>
  <si>
    <t xml:space="preserve"> Advance to Staff, Imprest</t>
  </si>
  <si>
    <t xml:space="preserve"> Prepaid Expense - Current</t>
  </si>
  <si>
    <t xml:space="preserve"> Contract Asset for Trading goods - Current</t>
  </si>
  <si>
    <t xml:space="preserve"> Asset Held for Sale - Current</t>
  </si>
  <si>
    <t xml:space="preserve"> Tax Deducted at Source - Asset</t>
  </si>
  <si>
    <t xml:space="preserve"> Inventory - Vehicle Spares</t>
  </si>
  <si>
    <t xml:space="preserve"> Inventory - Office Equipment Spares</t>
  </si>
  <si>
    <t xml:space="preserve"> Inventory - Equipment Spares</t>
  </si>
  <si>
    <t xml:space="preserve"> Inventory - General Item</t>
  </si>
  <si>
    <t xml:space="preserve"> Inventory - Consumables</t>
  </si>
  <si>
    <t xml:space="preserve"> Inventory - Printing and Stationaries</t>
  </si>
  <si>
    <t xml:space="preserve"> Inventory - Capital Goods</t>
  </si>
  <si>
    <t xml:space="preserve"> Inventory - Trading Goods</t>
  </si>
  <si>
    <t xml:space="preserve"> Impairment of Old Inventories</t>
  </si>
  <si>
    <t xml:space="preserve"> Security Deposit Other - Non Current</t>
  </si>
  <si>
    <t xml:space="preserve"> Accrued Income Non Current Asset</t>
  </si>
  <si>
    <t xml:space="preserve"> Bond Redemption Reserve</t>
  </si>
  <si>
    <t xml:space="preserve"> Contract Asset Trading Goods - Non Current</t>
  </si>
  <si>
    <t xml:space="preserve"> Deferred Tax Asset-Non Current</t>
  </si>
  <si>
    <t xml:space="preserve"> Capital Work-in-Progress</t>
  </si>
  <si>
    <t xml:space="preserve"> Building</t>
  </si>
  <si>
    <t xml:space="preserve"> Provision for Depreciation - Building</t>
  </si>
  <si>
    <t xml:space="preserve"> Tele Equipments</t>
  </si>
  <si>
    <t xml:space="preserve"> Provision for Depreciation - Tele Equipments</t>
  </si>
  <si>
    <t xml:space="preserve"> Accu. Impairment Tele Equipments</t>
  </si>
  <si>
    <t xml:space="preserve"> Office Equipments</t>
  </si>
  <si>
    <t xml:space="preserve"> Furniture and Fixtures</t>
  </si>
  <si>
    <t xml:space="preserve"> Provision for Depreciation - Office Equipment</t>
  </si>
  <si>
    <t xml:space="preserve"> Provision for Depreciation - Furniture</t>
  </si>
  <si>
    <t xml:space="preserve"> Power System</t>
  </si>
  <si>
    <t xml:space="preserve"> Cables and Accessories</t>
  </si>
  <si>
    <t xml:space="preserve"> Provision for Depreciation - Power System</t>
  </si>
  <si>
    <t xml:space="preserve"> Provision for Depreciation - Cable and Accessories</t>
  </si>
  <si>
    <t xml:space="preserve"> Vehicles</t>
  </si>
  <si>
    <t xml:space="preserve"> Provision for Depreciation - Vehicle</t>
  </si>
  <si>
    <t xml:space="preserve"> Capital Tools and Measuring Equipment</t>
  </si>
  <si>
    <t xml:space="preserve"> Provision for Depreciation - Tools and Spare Parts</t>
  </si>
  <si>
    <t xml:space="preserve"> Software Applications</t>
  </si>
  <si>
    <t xml:space="preserve"> Provision for Depreciation - Software Application</t>
  </si>
  <si>
    <t xml:space="preserve"> Grant from RGoB - Current</t>
  </si>
  <si>
    <t xml:space="preserve"> Grant from JICA - Current</t>
  </si>
  <si>
    <t xml:space="preserve"> Sundry Creditors - Domestic</t>
  </si>
  <si>
    <t xml:space="preserve"> Sundry Creditors - DHI Intra Company</t>
  </si>
  <si>
    <t xml:space="preserve"> Sundry Creditors - International</t>
  </si>
  <si>
    <t xml:space="preserve"> Expense Accrued</t>
  </si>
  <si>
    <t xml:space="preserve"> Tax Deducted at Source - Liability</t>
  </si>
  <si>
    <t xml:space="preserve"> Tax on Telecom Service Payable (ST)</t>
  </si>
  <si>
    <t xml:space="preserve"> Stale Cheques</t>
  </si>
  <si>
    <t xml:space="preserve"> Term Loan Current Liabilities</t>
  </si>
  <si>
    <t xml:space="preserve"> Advances from Customer</t>
  </si>
  <si>
    <t xml:space="preserve"> Advances from Customer - Deposit Work</t>
  </si>
  <si>
    <t xml:space="preserve"> Advance from Postpaid Customer</t>
  </si>
  <si>
    <t xml:space="preserve"> Provident Fund Deduction</t>
  </si>
  <si>
    <t xml:space="preserve"> Provision for Audit Fees</t>
  </si>
  <si>
    <t xml:space="preserve"> Other Deductions</t>
  </si>
  <si>
    <t xml:space="preserve"> Sundry Creditors - Employees</t>
  </si>
  <si>
    <t xml:space="preserve"> Security Deposits - Customer</t>
  </si>
  <si>
    <t xml:space="preserve"> Security Deposits - Vendor</t>
  </si>
  <si>
    <t xml:space="preserve"> Liability for Unearned Income</t>
  </si>
  <si>
    <t xml:space="preserve"> Liability for shareholder-asset for sale</t>
  </si>
  <si>
    <t xml:space="preserve"> Provision for Gratuity-Current</t>
  </si>
  <si>
    <t xml:space="preserve"> Income Tax Payable</t>
  </si>
  <si>
    <t xml:space="preserve"> Provision for Bonus</t>
  </si>
  <si>
    <t xml:space="preserve"> Provision for Brand &amp; Management Fee</t>
  </si>
  <si>
    <t xml:space="preserve"> Grant from RGoB - Non Current</t>
  </si>
  <si>
    <t xml:space="preserve"> Grant from JICA - Non Current</t>
  </si>
  <si>
    <t xml:space="preserve"> Term Loan</t>
  </si>
  <si>
    <t xml:space="preserve"> Corporate Bond</t>
  </si>
  <si>
    <t xml:space="preserve"> License Fee Payable-NC</t>
  </si>
  <si>
    <t xml:space="preserve"> Provision for Insurance of Assets - Non Current</t>
  </si>
  <si>
    <t xml:space="preserve"> Provision for Leave Encashment - Non Current</t>
  </si>
  <si>
    <t xml:space="preserve"> Issued, Subscribed and Paid Up</t>
  </si>
  <si>
    <t xml:space="preserve"> Retained Earning</t>
  </si>
  <si>
    <t xml:space="preserve"> Dividend for the Year</t>
  </si>
  <si>
    <t xml:space="preserve"> Income from Rent-Infra sharing</t>
  </si>
  <si>
    <t xml:space="preserve"> Income from Rent-Pole sharing</t>
  </si>
  <si>
    <t xml:space="preserve"> Income from HR Bond-Employee</t>
  </si>
  <si>
    <t xml:space="preserve"> Impairment Loss of PP&amp;E</t>
  </si>
  <si>
    <t xml:space="preserve"> Tax expense on items of OCI</t>
  </si>
  <si>
    <t xml:space="preserve"> GR/IR Clearing Account</t>
  </si>
  <si>
    <t xml:space="preserve"> BST Clearing Account</t>
  </si>
  <si>
    <t xml:space="preserve"> Custom Duty Clearing Account</t>
  </si>
  <si>
    <t xml:space="preserve"> External Services Clearing Account</t>
  </si>
  <si>
    <t xml:space="preserve"> Material Settlement Clearing Account</t>
  </si>
  <si>
    <t xml:space="preserve"> Capital Advance Clearing Account</t>
  </si>
  <si>
    <t xml:space="preserve"> Project Expense Clearing Account</t>
  </si>
  <si>
    <t xml:space="preserve"> Actuarial G/L  Post Employment Benefit Obligations</t>
  </si>
  <si>
    <t>As at 31st December,  2018</t>
  </si>
</sst>
</file>

<file path=xl/styles.xml><?xml version="1.0" encoding="utf-8"?>
<styleSheet xmlns="http://schemas.openxmlformats.org/spreadsheetml/2006/main">
  <numFmts count="13">
    <numFmt numFmtId="43" formatCode="_(* #,##0.00_);_(* \(#,##0.00\);_(* &quot;-&quot;??_);_(@_)"/>
    <numFmt numFmtId="164" formatCode="_ * #,##0.00_ ;_ * \-#,##0.00_ ;_ * &quot;-&quot;??_ ;_ @_ "/>
    <numFmt numFmtId="165" formatCode="_-* #,##0.00_-;\-* #,##0.00_-;_-* &quot;-&quot;??_-;_-@_-"/>
    <numFmt numFmtId="166" formatCode="_(* #,##0_);_(* \(#,##0\);_(* &quot;-&quot;??_);_(@_)"/>
    <numFmt numFmtId="167" formatCode="_ * #,##0_ ;_ * \-#,##0_ ;_ * &quot;-&quot;??_ ;_ @_ "/>
    <numFmt numFmtId="168" formatCode="_(* #,##0.00_);_(* \(#,##0.00\);_(* \-??_);_(@_)"/>
    <numFmt numFmtId="169" formatCode="#,##0.00\ ;&quot; (&quot;#,##0.00\);&quot; -&quot;#\ ;@\ "/>
    <numFmt numFmtId="170" formatCode="0.000"/>
    <numFmt numFmtId="171" formatCode="_-* #,##0_-;\-* #,##0_-;_-* &quot;-&quot;??_-;_-@_-"/>
    <numFmt numFmtId="172" formatCode="_(* #,##0.0_);_(* \(#,##0.0\);_(* &quot;-&quot;??_);_(@_)"/>
    <numFmt numFmtId="173" formatCode="_(* #,##0.00_);_(* \(#,##0.00\);_(* &quot;-&quot;_);_(@_)"/>
    <numFmt numFmtId="174" formatCode="_ * #,##0.00_ ;_ * \-#,##0.00_ ;_ * &quot;&quot;??_ ;_ @_ "/>
    <numFmt numFmtId="175" formatCode="_(* #,##0.0000000000000_);_(* \(#,##0.0000000000000\);_(* &quot;-&quot;??_);_(@_)"/>
  </numFmts>
  <fonts count="8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1"/>
      <color indexed="8"/>
      <name val="Calibri"/>
      <family val="2"/>
    </font>
    <font>
      <sz val="12"/>
      <color theme="1"/>
      <name val="Times New Roman"/>
      <family val="1"/>
    </font>
    <font>
      <b/>
      <sz val="12"/>
      <color theme="1"/>
      <name val="Times New Roman"/>
      <family val="1"/>
    </font>
    <font>
      <sz val="12"/>
      <name val="Times New Roman"/>
      <family val="1"/>
    </font>
    <font>
      <b/>
      <sz val="12"/>
      <name val="Times New Roman"/>
      <family val="1"/>
    </font>
    <font>
      <sz val="12"/>
      <color rgb="FF00B050"/>
      <name val="Times New Roman"/>
      <family val="1"/>
    </font>
    <font>
      <b/>
      <u/>
      <sz val="12"/>
      <name val="Times New Roman"/>
      <family val="1"/>
    </font>
    <font>
      <sz val="12"/>
      <color theme="0"/>
      <name val="Times New Roman"/>
      <family val="1"/>
    </font>
    <font>
      <sz val="12"/>
      <color rgb="FFFF0000"/>
      <name val="Times New Roman"/>
      <family val="1"/>
    </font>
    <font>
      <sz val="18"/>
      <color theme="3"/>
      <name val="Cambria"/>
      <family val="2"/>
      <scheme val="major"/>
    </font>
    <font>
      <sz val="11"/>
      <color rgb="FF000000"/>
      <name val="Calibri"/>
      <family val="2"/>
    </font>
    <font>
      <sz val="10"/>
      <name val="SimSun"/>
      <family val="2"/>
    </font>
    <font>
      <sz val="10"/>
      <name val="Arial"/>
      <family val="2"/>
    </font>
    <font>
      <b/>
      <sz val="12"/>
      <color theme="1"/>
      <name val="Book Antiqua"/>
      <family val="1"/>
    </font>
    <font>
      <sz val="10"/>
      <color theme="1"/>
      <name val="Book Antiqua"/>
      <family val="1"/>
    </font>
    <font>
      <b/>
      <sz val="10"/>
      <color theme="1"/>
      <name val="Book Antiqua"/>
      <family val="1"/>
    </font>
    <font>
      <b/>
      <i/>
      <sz val="10"/>
      <color theme="1"/>
      <name val="Book Antiqua"/>
      <family val="1"/>
    </font>
    <font>
      <sz val="10"/>
      <color rgb="FFFF0000"/>
      <name val="Book Antiqua"/>
      <family val="1"/>
    </font>
    <font>
      <sz val="10"/>
      <name val="Georgia"/>
      <family val="1"/>
    </font>
    <font>
      <sz val="10"/>
      <color rgb="FFFF0000"/>
      <name val="Georgia"/>
      <family val="1"/>
    </font>
    <font>
      <b/>
      <sz val="5"/>
      <name val="Georgia"/>
      <family val="1"/>
    </font>
    <font>
      <sz val="11"/>
      <color theme="1"/>
      <name val="Times New Roman"/>
      <family val="2"/>
    </font>
    <font>
      <b/>
      <sz val="12"/>
      <color theme="0"/>
      <name val="Times New Roman"/>
      <family val="1"/>
    </font>
    <font>
      <b/>
      <sz val="12"/>
      <color rgb="FFFF0000"/>
      <name val="Times New Roman"/>
      <family val="1"/>
    </font>
    <font>
      <i/>
      <sz val="12"/>
      <name val="Times New Roman"/>
      <family val="1"/>
    </font>
    <font>
      <b/>
      <i/>
      <sz val="12"/>
      <name val="Times New Roman"/>
      <family val="1"/>
    </font>
    <font>
      <b/>
      <sz val="10"/>
      <color rgb="FFFF0000"/>
      <name val="Book Antiqua"/>
      <family val="1"/>
    </font>
    <font>
      <b/>
      <i/>
      <sz val="10"/>
      <color rgb="FFFF0000"/>
      <name val="Book Antiqua"/>
      <family val="1"/>
    </font>
    <font>
      <sz val="10"/>
      <name val="Book Antiqua"/>
      <family val="1"/>
    </font>
    <font>
      <i/>
      <sz val="12"/>
      <color rgb="FFFF0000"/>
      <name val="Times New Roman"/>
      <family val="1"/>
    </font>
    <font>
      <i/>
      <sz val="12"/>
      <color theme="1"/>
      <name val="Times New Roman"/>
      <family val="1"/>
    </font>
    <font>
      <i/>
      <sz val="12"/>
      <color rgb="FF002060"/>
      <name val="Times New Roman"/>
      <family val="1"/>
    </font>
    <font>
      <b/>
      <i/>
      <sz val="12"/>
      <name val="Book Antiqua"/>
      <family val="1"/>
    </font>
    <font>
      <b/>
      <i/>
      <u/>
      <sz val="12"/>
      <name val="Book Antiqua"/>
      <family val="1"/>
    </font>
    <font>
      <i/>
      <sz val="12"/>
      <name val="Book Antiqua"/>
      <family val="1"/>
    </font>
    <font>
      <i/>
      <sz val="11"/>
      <name val="Book Antiqua"/>
      <family val="1"/>
    </font>
    <font>
      <b/>
      <i/>
      <sz val="11"/>
      <name val="Book Antiqua"/>
      <family val="1"/>
    </font>
    <font>
      <sz val="12"/>
      <name val="Book Antiqua"/>
      <family val="1"/>
    </font>
    <font>
      <b/>
      <u/>
      <sz val="12"/>
      <name val="Book Antiqua"/>
      <family val="1"/>
    </font>
    <font>
      <b/>
      <sz val="12"/>
      <name val="Book Antiqua"/>
      <family val="1"/>
    </font>
    <font>
      <sz val="12"/>
      <color theme="1"/>
      <name val="Book Antiqua"/>
      <family val="1"/>
    </font>
    <font>
      <sz val="12"/>
      <color theme="0"/>
      <name val="Book Antiqua"/>
      <family val="1"/>
    </font>
    <font>
      <i/>
      <sz val="12"/>
      <color theme="1"/>
      <name val="Book Antiqua"/>
      <family val="1"/>
    </font>
    <font>
      <b/>
      <i/>
      <sz val="12"/>
      <color theme="1"/>
      <name val="Book Antiqua"/>
      <family val="1"/>
    </font>
    <font>
      <sz val="11"/>
      <name val="Book Antiqua"/>
      <family val="1"/>
    </font>
    <font>
      <b/>
      <i/>
      <u/>
      <sz val="11"/>
      <name val="Book Antiqua"/>
      <family val="1"/>
    </font>
    <font>
      <i/>
      <sz val="11"/>
      <color theme="1"/>
      <name val="Book Antiqua"/>
      <family val="1"/>
    </font>
    <font>
      <b/>
      <sz val="11"/>
      <name val="Book Antiqua"/>
      <family val="1"/>
    </font>
    <font>
      <b/>
      <u/>
      <sz val="11"/>
      <name val="Book Antiqua"/>
      <family val="1"/>
    </font>
    <font>
      <b/>
      <i/>
      <sz val="11"/>
      <color theme="1"/>
      <name val="Book Antiqua"/>
      <family val="1"/>
    </font>
    <font>
      <b/>
      <i/>
      <sz val="11"/>
      <color theme="0"/>
      <name val="Book Antiqua"/>
      <family val="1"/>
    </font>
    <font>
      <i/>
      <sz val="11"/>
      <color theme="0"/>
      <name val="Book Antiqua"/>
      <family val="1"/>
    </font>
    <font>
      <sz val="11"/>
      <color theme="1"/>
      <name val="Book Antiqua"/>
      <family val="1"/>
    </font>
    <font>
      <b/>
      <sz val="11"/>
      <color theme="1"/>
      <name val="Book Antiqua"/>
      <family val="1"/>
    </font>
    <font>
      <b/>
      <u/>
      <sz val="12"/>
      <color theme="1"/>
      <name val="Book Antiqua"/>
      <family val="1"/>
    </font>
    <font>
      <b/>
      <i/>
      <u/>
      <sz val="12"/>
      <color theme="1"/>
      <name val="Book Antiqua"/>
      <family val="1"/>
    </font>
    <font>
      <i/>
      <sz val="11"/>
      <color theme="1"/>
      <name val="Calibri"/>
      <family val="2"/>
      <scheme val="minor"/>
    </font>
    <font>
      <i/>
      <sz val="12"/>
      <color theme="1"/>
      <name val="Calibri"/>
      <family val="2"/>
      <scheme val="minor"/>
    </font>
    <font>
      <sz val="11"/>
      <name val="Times New Roman"/>
      <family val="1"/>
    </font>
    <font>
      <b/>
      <sz val="11"/>
      <name val="Times New Roman"/>
      <family val="1"/>
    </font>
    <font>
      <i/>
      <sz val="11"/>
      <color theme="1"/>
      <name val="Times New Roman"/>
      <family val="1"/>
    </font>
    <font>
      <i/>
      <sz val="11"/>
      <name val="Times New Roman"/>
      <family val="1"/>
    </font>
    <font>
      <i/>
      <sz val="11"/>
      <color indexed="8"/>
      <name val="Times New Roman"/>
      <family val="1"/>
    </font>
    <font>
      <b/>
      <i/>
      <u/>
      <sz val="12"/>
      <name val="Times New Roman"/>
      <family val="1"/>
    </font>
    <font>
      <sz val="9"/>
      <color indexed="81"/>
      <name val="Tahoma"/>
      <family val="2"/>
    </font>
    <font>
      <b/>
      <sz val="9"/>
      <color indexed="81"/>
      <name val="Tahoma"/>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indexed="22"/>
        <bgColor indexed="64"/>
      </patternFill>
    </fill>
    <fill>
      <patternFill patternType="solid">
        <fgColor rgb="FF92D05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2" tint="-0.249977111117893"/>
        <bgColor indexed="64"/>
      </patternFill>
    </fill>
  </fills>
  <borders count="5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style="thin">
        <color auto="1"/>
      </top>
      <bottom style="double">
        <color auto="1"/>
      </bottom>
      <diagonal/>
    </border>
    <border>
      <left/>
      <right/>
      <top/>
      <bottom style="medium">
        <color auto="1"/>
      </bottom>
      <diagonal/>
    </border>
    <border>
      <left style="thin">
        <color auto="1"/>
      </left>
      <right style="thin">
        <color auto="1"/>
      </right>
      <top/>
      <bottom style="thin">
        <color auto="1"/>
      </bottom>
      <diagonal/>
    </border>
    <border>
      <left style="medium">
        <color auto="1"/>
      </left>
      <right/>
      <top/>
      <bottom/>
      <diagonal/>
    </border>
    <border>
      <left style="medium">
        <color auto="1"/>
      </left>
      <right/>
      <top/>
      <bottom style="medium">
        <color auto="1"/>
      </bottom>
      <diagonal/>
    </border>
    <border>
      <left style="thin">
        <color auto="1"/>
      </left>
      <right style="thin">
        <color auto="1"/>
      </right>
      <top style="thin">
        <color auto="1"/>
      </top>
      <bottom style="double">
        <color auto="1"/>
      </bottom>
      <diagonal/>
    </border>
    <border>
      <left style="medium">
        <color auto="1"/>
      </left>
      <right style="thin">
        <color auto="1"/>
      </right>
      <top/>
      <bottom/>
      <diagonal/>
    </border>
    <border>
      <left style="thin">
        <color auto="1"/>
      </left>
      <right style="thin">
        <color auto="1"/>
      </right>
      <top style="hair">
        <color auto="1"/>
      </top>
      <bottom style="hair">
        <color auto="1"/>
      </bottom>
      <diagonal/>
    </border>
    <border>
      <left style="thin">
        <color auto="1"/>
      </left>
      <right style="thin">
        <color auto="1"/>
      </right>
      <top style="medium">
        <color auto="1"/>
      </top>
      <bottom/>
      <diagonal/>
    </border>
    <border>
      <left style="thin">
        <color auto="1"/>
      </left>
      <right/>
      <top/>
      <bottom style="medium">
        <color auto="1"/>
      </bottom>
      <diagonal/>
    </border>
    <border>
      <left/>
      <right style="thin">
        <color auto="1"/>
      </right>
      <top/>
      <bottom style="medium">
        <color auto="1"/>
      </bottom>
      <diagonal/>
    </border>
    <border>
      <left style="thin">
        <color auto="1"/>
      </left>
      <right style="thin">
        <color auto="1"/>
      </right>
      <top style="hair">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hair">
        <color auto="1"/>
      </right>
      <top/>
      <bottom/>
      <diagonal/>
    </border>
    <border>
      <left style="hair">
        <color auto="1"/>
      </left>
      <right style="thin">
        <color auto="1"/>
      </right>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style="thin">
        <color auto="1"/>
      </left>
      <right style="thin">
        <color auto="1"/>
      </right>
      <top style="thin">
        <color auto="1"/>
      </top>
      <bottom style="hair">
        <color auto="1"/>
      </bottom>
      <diagonal/>
    </border>
    <border>
      <left style="hair">
        <color auto="1"/>
      </left>
      <right/>
      <top style="thin">
        <color auto="1"/>
      </top>
      <bottom/>
      <diagonal/>
    </border>
    <border>
      <left style="hair">
        <color auto="1"/>
      </left>
      <right/>
      <top/>
      <bottom/>
      <diagonal/>
    </border>
    <border>
      <left style="hair">
        <color auto="1"/>
      </left>
      <right/>
      <top/>
      <bottom style="thin">
        <color auto="1"/>
      </bottom>
      <diagonal/>
    </border>
    <border>
      <left/>
      <right style="medium">
        <color auto="1"/>
      </right>
      <top/>
      <bottom/>
      <diagonal/>
    </border>
    <border>
      <left/>
      <right style="medium">
        <color auto="1"/>
      </right>
      <top/>
      <bottom style="medium">
        <color auto="1"/>
      </bottom>
      <diagonal/>
    </border>
    <border>
      <left/>
      <right/>
      <top style="medium">
        <color auto="1"/>
      </top>
      <bottom style="medium">
        <color auto="1"/>
      </bottom>
      <diagonal/>
    </border>
    <border>
      <left/>
      <right/>
      <top style="thin">
        <color auto="1"/>
      </top>
      <bottom style="medium">
        <color auto="1"/>
      </bottom>
      <diagonal/>
    </border>
    <border>
      <left/>
      <right style="thin">
        <color auto="1"/>
      </right>
      <top style="medium">
        <color auto="1"/>
      </top>
      <bottom/>
      <diagonal/>
    </border>
  </borders>
  <cellStyleXfs count="75">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43" fontId="18" fillId="0" borderId="0" applyFont="0" applyFill="0" applyBorder="0" applyAlignment="0" applyProtection="0"/>
    <xf numFmtId="9" fontId="18" fillId="0" borderId="0" applyFont="0" applyFill="0" applyBorder="0" applyAlignment="0" applyProtection="0"/>
    <xf numFmtId="164" fontId="19"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0" fontId="19" fillId="0" borderId="0"/>
    <xf numFmtId="9" fontId="1" fillId="0" borderId="0" applyFont="0" applyFill="0" applyBorder="0" applyAlignment="0" applyProtection="0"/>
    <xf numFmtId="0" fontId="19" fillId="0" borderId="0"/>
    <xf numFmtId="0" fontId="28" fillId="0" borderId="0" applyNumberFormat="0" applyFill="0" applyBorder="0" applyAlignment="0" applyProtection="0"/>
    <xf numFmtId="0" fontId="29" fillId="0" borderId="0"/>
    <xf numFmtId="168" fontId="19" fillId="0" borderId="0"/>
    <xf numFmtId="168" fontId="30" fillId="0" borderId="0" applyFill="0" applyBorder="0" applyAlignment="0" applyProtection="0"/>
    <xf numFmtId="169" fontId="30" fillId="0" borderId="0" applyFill="0" applyBorder="0" applyAlignment="0" applyProtection="0"/>
    <xf numFmtId="0" fontId="19" fillId="0" borderId="0"/>
    <xf numFmtId="0" fontId="18" fillId="0" borderId="0"/>
    <xf numFmtId="0" fontId="18" fillId="0" borderId="0"/>
    <xf numFmtId="0" fontId="18" fillId="0" borderId="0"/>
    <xf numFmtId="0" fontId="18" fillId="0" borderId="0"/>
    <xf numFmtId="0" fontId="18" fillId="0" borderId="0"/>
    <xf numFmtId="0" fontId="31" fillId="0" borderId="0"/>
    <xf numFmtId="0" fontId="18" fillId="0" borderId="0"/>
    <xf numFmtId="43" fontId="18" fillId="0" borderId="0" applyFont="0" applyFill="0" applyBorder="0" applyAlignment="0" applyProtection="0"/>
    <xf numFmtId="0" fontId="1" fillId="0" borderId="0"/>
    <xf numFmtId="43" fontId="1" fillId="0" borderId="0" applyFont="0" applyFill="0" applyBorder="0" applyAlignment="0" applyProtection="0"/>
    <xf numFmtId="0" fontId="18" fillId="0" borderId="0"/>
    <xf numFmtId="43" fontId="1" fillId="0" borderId="0" applyFont="0" applyFill="0" applyBorder="0" applyAlignment="0" applyProtection="0"/>
    <xf numFmtId="0" fontId="18" fillId="0" borderId="0"/>
    <xf numFmtId="0" fontId="40" fillId="0" borderId="0"/>
    <xf numFmtId="0" fontId="40" fillId="0" borderId="0"/>
    <xf numFmtId="164" fontId="1" fillId="0" borderId="0" applyFont="0" applyFill="0" applyBorder="0" applyAlignment="0" applyProtection="0"/>
    <xf numFmtId="9" fontId="18" fillId="0" borderId="0" applyFont="0" applyFill="0" applyBorder="0" applyAlignment="0" applyProtection="0"/>
  </cellStyleXfs>
  <cellXfs count="1581">
    <xf numFmtId="0" fontId="0" fillId="0" borderId="0" xfId="0"/>
    <xf numFmtId="0" fontId="20" fillId="0" borderId="0" xfId="0" applyFont="1"/>
    <xf numFmtId="43" fontId="22" fillId="0" borderId="0" xfId="1" applyFont="1"/>
    <xf numFmtId="0" fontId="22" fillId="0" borderId="0" xfId="0" applyFont="1" applyAlignment="1">
      <alignment vertical="top"/>
    </xf>
    <xf numFmtId="0" fontId="22" fillId="0" borderId="0" xfId="0" applyFont="1"/>
    <xf numFmtId="166" fontId="20" fillId="0" borderId="0" xfId="1" applyNumberFormat="1" applyFont="1"/>
    <xf numFmtId="166" fontId="22" fillId="0" borderId="0" xfId="0" applyNumberFormat="1" applyFont="1"/>
    <xf numFmtId="43" fontId="22" fillId="0" borderId="0" xfId="0" applyNumberFormat="1" applyFont="1"/>
    <xf numFmtId="0" fontId="20" fillId="0" borderId="0" xfId="0" applyFont="1" applyAlignment="1">
      <alignment vertical="center"/>
    </xf>
    <xf numFmtId="0" fontId="26" fillId="0" borderId="0" xfId="0" applyFont="1"/>
    <xf numFmtId="0" fontId="27" fillId="0" borderId="0" xfId="0" applyFont="1"/>
    <xf numFmtId="43" fontId="26" fillId="0" borderId="0" xfId="0" applyNumberFormat="1" applyFont="1"/>
    <xf numFmtId="0" fontId="22" fillId="33" borderId="0" xfId="43" applyFont="1" applyFill="1"/>
    <xf numFmtId="166" fontId="22" fillId="33" borderId="0" xfId="43" applyNumberFormat="1" applyFont="1" applyFill="1" applyAlignment="1">
      <alignment vertical="top"/>
    </xf>
    <xf numFmtId="0" fontId="22" fillId="33" borderId="0" xfId="43" applyFont="1" applyFill="1" applyAlignment="1">
      <alignment vertical="top"/>
    </xf>
    <xf numFmtId="0" fontId="22" fillId="0" borderId="0" xfId="43" applyFont="1" applyAlignment="1">
      <alignment vertical="top"/>
    </xf>
    <xf numFmtId="166" fontId="22" fillId="33" borderId="0" xfId="1" applyNumberFormat="1" applyFont="1" applyFill="1" applyAlignment="1">
      <alignment vertical="top"/>
    </xf>
    <xf numFmtId="43" fontId="22" fillId="33" borderId="0" xfId="1" applyFont="1" applyFill="1" applyAlignment="1">
      <alignment vertical="top"/>
    </xf>
    <xf numFmtId="43" fontId="22" fillId="33" borderId="0" xfId="43" applyNumberFormat="1" applyFont="1" applyFill="1" applyAlignment="1">
      <alignment vertical="top"/>
    </xf>
    <xf numFmtId="167" fontId="22" fillId="33" borderId="0" xfId="43" applyNumberFormat="1" applyFont="1" applyFill="1" applyAlignment="1">
      <alignment vertical="top"/>
    </xf>
    <xf numFmtId="0" fontId="20" fillId="0" borderId="0" xfId="0" applyFont="1" applyAlignment="1">
      <alignment vertical="top"/>
    </xf>
    <xf numFmtId="0" fontId="27" fillId="0" borderId="0" xfId="0" applyFont="1" applyAlignment="1">
      <alignment vertical="top"/>
    </xf>
    <xf numFmtId="0" fontId="23" fillId="0" borderId="0" xfId="0" applyFont="1" applyAlignment="1">
      <alignment vertical="top"/>
    </xf>
    <xf numFmtId="166" fontId="22" fillId="0" borderId="0" xfId="43" applyNumberFormat="1" applyFont="1" applyAlignment="1">
      <alignment vertical="top"/>
    </xf>
    <xf numFmtId="0" fontId="23" fillId="0" borderId="0" xfId="0" applyFont="1"/>
    <xf numFmtId="0" fontId="25" fillId="0" borderId="0" xfId="0" applyFont="1"/>
    <xf numFmtId="0" fontId="22" fillId="0" borderId="0" xfId="0" applyFont="1" applyAlignment="1">
      <alignment horizontal="right" vertical="center" wrapText="1"/>
    </xf>
    <xf numFmtId="3" fontId="22" fillId="0" borderId="0" xfId="0" applyNumberFormat="1" applyFont="1" applyAlignment="1">
      <alignment horizontal="right" vertical="center" wrapText="1"/>
    </xf>
    <xf numFmtId="1" fontId="22" fillId="0" borderId="0" xfId="0" applyNumberFormat="1" applyFont="1"/>
    <xf numFmtId="3" fontId="22" fillId="0" borderId="0" xfId="0" applyNumberFormat="1" applyFont="1"/>
    <xf numFmtId="43" fontId="22" fillId="0" borderId="0" xfId="1" applyFont="1" applyAlignment="1">
      <alignment vertical="top"/>
    </xf>
    <xf numFmtId="0" fontId="32" fillId="0" borderId="0" xfId="0" applyFont="1" applyAlignment="1">
      <alignment vertical="center"/>
    </xf>
    <xf numFmtId="0" fontId="33" fillId="0" borderId="0" xfId="0" applyFont="1"/>
    <xf numFmtId="0" fontId="33" fillId="0" borderId="0" xfId="0" applyFont="1" applyAlignment="1">
      <alignment vertical="center"/>
    </xf>
    <xf numFmtId="43" fontId="33" fillId="0" borderId="0" xfId="0" applyNumberFormat="1" applyFont="1"/>
    <xf numFmtId="4" fontId="33" fillId="0" borderId="0" xfId="0" applyNumberFormat="1" applyFont="1"/>
    <xf numFmtId="4" fontId="34" fillId="0" borderId="21" xfId="0" applyNumberFormat="1" applyFont="1" applyBorder="1" applyAlignment="1">
      <alignment horizontal="center" vertical="center" wrapText="1"/>
    </xf>
    <xf numFmtId="43" fontId="35" fillId="0" borderId="21" xfId="1" applyFont="1" applyBorder="1" applyAlignment="1">
      <alignment horizontal="right"/>
    </xf>
    <xf numFmtId="43" fontId="36" fillId="0" borderId="21" xfId="1" applyFont="1" applyBorder="1" applyAlignment="1">
      <alignment horizontal="right"/>
    </xf>
    <xf numFmtId="43" fontId="22" fillId="0" borderId="21" xfId="44" applyFont="1" applyBorder="1" applyAlignment="1">
      <alignment horizontal="right" vertical="top"/>
    </xf>
    <xf numFmtId="43" fontId="22" fillId="0" borderId="0" xfId="44" applyFont="1" applyAlignment="1">
      <alignment vertical="top"/>
    </xf>
    <xf numFmtId="0" fontId="22" fillId="0" borderId="0" xfId="0" applyFont="1" applyAlignment="1">
      <alignment horizontal="right" vertical="top"/>
    </xf>
    <xf numFmtId="0" fontId="21" fillId="0" borderId="21" xfId="0" applyFont="1" applyBorder="1"/>
    <xf numFmtId="43" fontId="27" fillId="0" borderId="0" xfId="0" applyNumberFormat="1" applyFont="1"/>
    <xf numFmtId="0" fontId="26" fillId="0" borderId="0" xfId="0" applyFont="1" applyAlignment="1">
      <alignment vertical="top"/>
    </xf>
    <xf numFmtId="166" fontId="20" fillId="0" borderId="0" xfId="1" applyNumberFormat="1" applyFont="1" applyAlignment="1">
      <alignment horizontal="right" vertical="top" wrapText="1"/>
    </xf>
    <xf numFmtId="166" fontId="21" fillId="0" borderId="0" xfId="1" applyNumberFormat="1" applyFont="1" applyAlignment="1">
      <alignment horizontal="right" vertical="top" wrapText="1"/>
    </xf>
    <xf numFmtId="166" fontId="21" fillId="0" borderId="0" xfId="1" applyNumberFormat="1" applyFont="1" applyAlignment="1">
      <alignment horizontal="center" vertical="top" wrapText="1"/>
    </xf>
    <xf numFmtId="166" fontId="20" fillId="0" borderId="0" xfId="1" applyNumberFormat="1" applyFont="1" applyAlignment="1">
      <alignment horizontal="center" vertical="top" wrapText="1"/>
    </xf>
    <xf numFmtId="0" fontId="20" fillId="0" borderId="0" xfId="0" applyFont="1" applyAlignment="1">
      <alignment vertical="top" wrapText="1"/>
    </xf>
    <xf numFmtId="0" fontId="22" fillId="0" borderId="21" xfId="0" applyFont="1" applyBorder="1" applyAlignment="1">
      <alignment horizontal="left"/>
    </xf>
    <xf numFmtId="0" fontId="20" fillId="0" borderId="21" xfId="0" applyFont="1" applyBorder="1" applyAlignment="1">
      <alignment horizontal="left"/>
    </xf>
    <xf numFmtId="0" fontId="22" fillId="0" borderId="0" xfId="0" applyFont="1" applyAlignment="1">
      <alignment horizontal="left"/>
    </xf>
    <xf numFmtId="43" fontId="22" fillId="0" borderId="0" xfId="44" applyFont="1" applyAlignment="1">
      <alignment horizontal="left"/>
    </xf>
    <xf numFmtId="0" fontId="37" fillId="0" borderId="0" xfId="0" applyFont="1"/>
    <xf numFmtId="0" fontId="38" fillId="0" borderId="0" xfId="0" applyFont="1"/>
    <xf numFmtId="0" fontId="22" fillId="0" borderId="23" xfId="0" applyFont="1" applyBorder="1"/>
    <xf numFmtId="0" fontId="23" fillId="0" borderId="23" xfId="0" applyFont="1" applyBorder="1"/>
    <xf numFmtId="0" fontId="23" fillId="34" borderId="21" xfId="0" applyFont="1" applyFill="1" applyBorder="1" applyAlignment="1">
      <alignment horizontal="right" vertical="center" wrapText="1"/>
    </xf>
    <xf numFmtId="0" fontId="23" fillId="34" borderId="21" xfId="0" applyFont="1" applyFill="1" applyBorder="1" applyAlignment="1">
      <alignment horizontal="left" vertical="center"/>
    </xf>
    <xf numFmtId="0" fontId="23" fillId="34" borderId="21" xfId="44" applyNumberFormat="1" applyFont="1" applyFill="1" applyBorder="1" applyAlignment="1">
      <alignment horizontal="center" vertical="center" wrapText="1"/>
    </xf>
    <xf numFmtId="0" fontId="22" fillId="0" borderId="0" xfId="0" applyFont="1" applyAlignment="1">
      <alignment vertical="center"/>
    </xf>
    <xf numFmtId="0" fontId="22" fillId="0" borderId="21" xfId="0" applyFont="1" applyBorder="1" applyAlignment="1">
      <alignment horizontal="left" vertical="top"/>
    </xf>
    <xf numFmtId="43" fontId="21" fillId="0" borderId="21" xfId="0" applyNumberFormat="1" applyFont="1" applyBorder="1"/>
    <xf numFmtId="43" fontId="20" fillId="0" borderId="0" xfId="0" applyNumberFormat="1" applyFont="1"/>
    <xf numFmtId="0" fontId="23" fillId="0" borderId="21" xfId="0" applyFont="1" applyBorder="1"/>
    <xf numFmtId="0" fontId="23" fillId="0" borderId="10" xfId="0" applyFont="1" applyBorder="1"/>
    <xf numFmtId="0" fontId="20" fillId="0" borderId="22" xfId="0" applyFont="1" applyBorder="1"/>
    <xf numFmtId="0" fontId="20" fillId="0" borderId="23" xfId="0" applyFont="1" applyBorder="1"/>
    <xf numFmtId="0" fontId="20" fillId="0" borderId="26" xfId="0" applyFont="1" applyBorder="1"/>
    <xf numFmtId="0" fontId="20" fillId="0" borderId="23" xfId="0" applyFont="1" applyBorder="1" applyAlignment="1">
      <alignment horizontal="right"/>
    </xf>
    <xf numFmtId="0" fontId="23" fillId="0" borderId="26" xfId="0" applyFont="1" applyBorder="1"/>
    <xf numFmtId="0" fontId="20" fillId="0" borderId="21" xfId="0" applyFont="1" applyBorder="1"/>
    <xf numFmtId="0" fontId="42" fillId="0" borderId="0" xfId="0" applyFont="1" applyAlignment="1">
      <alignment horizontal="center"/>
    </xf>
    <xf numFmtId="0" fontId="27" fillId="0" borderId="0" xfId="0" applyFont="1" applyAlignment="1">
      <alignment horizontal="center"/>
    </xf>
    <xf numFmtId="10" fontId="22" fillId="0" borderId="0" xfId="50" applyNumberFormat="1" applyFont="1"/>
    <xf numFmtId="43" fontId="27" fillId="0" borderId="0" xfId="1" applyFont="1"/>
    <xf numFmtId="0" fontId="20" fillId="0" borderId="0" xfId="0" applyFont="1" applyAlignment="1">
      <alignment horizontal="justify"/>
    </xf>
    <xf numFmtId="0" fontId="21" fillId="0" borderId="0" xfId="0" applyFont="1" applyAlignment="1">
      <alignment horizontal="right"/>
    </xf>
    <xf numFmtId="0" fontId="23" fillId="0" borderId="0" xfId="43" applyFont="1" applyAlignment="1">
      <alignment horizontal="justify" vertical="center"/>
    </xf>
    <xf numFmtId="0" fontId="22" fillId="0" borderId="0" xfId="43" applyFont="1" applyAlignment="1">
      <alignment horizontal="justify" vertical="center"/>
    </xf>
    <xf numFmtId="0" fontId="22" fillId="0" borderId="0" xfId="43" applyFont="1" applyAlignment="1">
      <alignment horizontal="justify" vertical="top" wrapText="1"/>
    </xf>
    <xf numFmtId="0" fontId="22" fillId="0" borderId="0" xfId="43" applyFont="1" applyAlignment="1">
      <alignment horizontal="justify" vertical="center" wrapText="1"/>
    </xf>
    <xf numFmtId="0" fontId="22" fillId="0" borderId="0" xfId="43" applyFont="1" applyAlignment="1">
      <alignment horizontal="justify" vertical="top"/>
    </xf>
    <xf numFmtId="0" fontId="23" fillId="0" borderId="0" xfId="70" applyFont="1" applyAlignment="1">
      <alignment horizontal="justify" vertical="top"/>
    </xf>
    <xf numFmtId="0" fontId="22" fillId="0" borderId="0" xfId="70" applyFont="1" applyAlignment="1">
      <alignment horizontal="justify" vertical="top"/>
    </xf>
    <xf numFmtId="0" fontId="22" fillId="0" borderId="0" xfId="70" applyFont="1" applyAlignment="1">
      <alignment horizontal="justify" vertical="top" wrapText="1"/>
    </xf>
    <xf numFmtId="0" fontId="22" fillId="0" borderId="0" xfId="70" applyFont="1" applyAlignment="1">
      <alignment vertical="top"/>
    </xf>
    <xf numFmtId="0" fontId="22" fillId="0" borderId="0" xfId="70" applyFont="1" applyAlignment="1">
      <alignment vertical="top" wrapText="1"/>
    </xf>
    <xf numFmtId="0" fontId="21" fillId="0" borderId="0" xfId="0" applyFont="1" applyAlignment="1">
      <alignment horizontal="justify"/>
    </xf>
    <xf numFmtId="0" fontId="20" fillId="0" borderId="0" xfId="0" applyFont="1" applyAlignment="1">
      <alignment horizontal="left" vertical="center" wrapText="1"/>
    </xf>
    <xf numFmtId="0" fontId="20" fillId="0" borderId="0" xfId="0" applyFont="1" applyAlignment="1">
      <alignment horizontal="justify" wrapText="1"/>
    </xf>
    <xf numFmtId="43" fontId="20" fillId="0" borderId="23" xfId="1" applyFont="1" applyBorder="1"/>
    <xf numFmtId="43" fontId="33" fillId="0" borderId="0" xfId="1" applyFont="1"/>
    <xf numFmtId="0" fontId="45" fillId="0" borderId="21" xfId="0" applyFont="1" applyBorder="1" applyAlignment="1">
      <alignment horizontal="center" vertical="center" wrapText="1"/>
    </xf>
    <xf numFmtId="0" fontId="36" fillId="0" borderId="0" xfId="0" applyFont="1"/>
    <xf numFmtId="43" fontId="36" fillId="0" borderId="21" xfId="0" applyNumberFormat="1" applyFont="1" applyBorder="1" applyAlignment="1">
      <alignment horizontal="right"/>
    </xf>
    <xf numFmtId="0" fontId="36" fillId="0" borderId="21" xfId="0" applyFont="1" applyBorder="1" applyAlignment="1">
      <alignment horizontal="right"/>
    </xf>
    <xf numFmtId="43" fontId="46" fillId="0" borderId="21" xfId="1" applyFont="1" applyBorder="1" applyAlignment="1">
      <alignment horizontal="right"/>
    </xf>
    <xf numFmtId="43" fontId="33" fillId="0" borderId="22" xfId="1" applyFont="1" applyBorder="1" applyAlignment="1">
      <alignment horizontal="right"/>
    </xf>
    <xf numFmtId="43" fontId="36" fillId="0" borderId="22" xfId="1" applyFont="1" applyBorder="1" applyAlignment="1">
      <alignment horizontal="right"/>
    </xf>
    <xf numFmtId="165" fontId="33" fillId="0" borderId="0" xfId="0" applyNumberFormat="1" applyFont="1"/>
    <xf numFmtId="43" fontId="27" fillId="33" borderId="0" xfId="0" applyNumberFormat="1" applyFont="1" applyFill="1"/>
    <xf numFmtId="0" fontId="27" fillId="33" borderId="0" xfId="0" applyFont="1" applyFill="1"/>
    <xf numFmtId="0" fontId="27" fillId="0" borderId="0" xfId="0" applyFont="1" applyAlignment="1">
      <alignment horizontal="left"/>
    </xf>
    <xf numFmtId="2" fontId="27" fillId="0" borderId="0" xfId="0" applyNumberFormat="1" applyFont="1"/>
    <xf numFmtId="170" fontId="27" fillId="0" borderId="0" xfId="0" applyNumberFormat="1" applyFont="1"/>
    <xf numFmtId="172" fontId="27" fillId="0" borderId="0" xfId="0" applyNumberFormat="1" applyFont="1"/>
    <xf numFmtId="43" fontId="20" fillId="0" borderId="23" xfId="0" applyNumberFormat="1" applyFont="1" applyBorder="1"/>
    <xf numFmtId="43" fontId="21" fillId="0" borderId="23" xfId="0" applyNumberFormat="1" applyFont="1" applyBorder="1"/>
    <xf numFmtId="0" fontId="22" fillId="0" borderId="26" xfId="0" applyFont="1" applyBorder="1"/>
    <xf numFmtId="43" fontId="21" fillId="0" borderId="26" xfId="1" applyFont="1" applyBorder="1"/>
    <xf numFmtId="0" fontId="34" fillId="0" borderId="22" xfId="0" applyFont="1" applyBorder="1"/>
    <xf numFmtId="0" fontId="33" fillId="0" borderId="23" xfId="0" applyFont="1" applyBorder="1"/>
    <xf numFmtId="43" fontId="47" fillId="0" borderId="23" xfId="1" applyFont="1" applyBorder="1" applyAlignment="1">
      <alignment horizontal="right"/>
    </xf>
    <xf numFmtId="0" fontId="34" fillId="0" borderId="23" xfId="0" applyFont="1" applyBorder="1"/>
    <xf numFmtId="0" fontId="33" fillId="0" borderId="26" xfId="0" applyFont="1" applyBorder="1"/>
    <xf numFmtId="43" fontId="47" fillId="0" borderId="26" xfId="1" applyFont="1" applyBorder="1" applyAlignment="1">
      <alignment horizontal="right"/>
    </xf>
    <xf numFmtId="43" fontId="47" fillId="0" borderId="22" xfId="1" applyFont="1" applyBorder="1" applyAlignment="1">
      <alignment horizontal="right"/>
    </xf>
    <xf numFmtId="43" fontId="33" fillId="0" borderId="23" xfId="1" applyFont="1" applyBorder="1" applyAlignment="1">
      <alignment horizontal="right"/>
    </xf>
    <xf numFmtId="43" fontId="33" fillId="0" borderId="26" xfId="1" applyFont="1" applyBorder="1" applyAlignment="1">
      <alignment horizontal="right"/>
    </xf>
    <xf numFmtId="43" fontId="41" fillId="0" borderId="0" xfId="0" applyNumberFormat="1" applyFont="1"/>
    <xf numFmtId="0" fontId="43" fillId="0" borderId="0" xfId="0" applyFont="1" applyAlignment="1">
      <alignment vertical="top"/>
    </xf>
    <xf numFmtId="43" fontId="43" fillId="0" borderId="0" xfId="1" applyFont="1" applyAlignment="1">
      <alignment horizontal="right" vertical="top"/>
    </xf>
    <xf numFmtId="0" fontId="43" fillId="0" borderId="0" xfId="0" applyFont="1"/>
    <xf numFmtId="43" fontId="43" fillId="38" borderId="0" xfId="1" applyFont="1" applyFill="1" applyAlignment="1">
      <alignment horizontal="right" vertical="top"/>
    </xf>
    <xf numFmtId="0" fontId="22" fillId="38" borderId="0" xfId="0" applyFont="1" applyFill="1"/>
    <xf numFmtId="0" fontId="43" fillId="38" borderId="0" xfId="0" applyFont="1" applyFill="1"/>
    <xf numFmtId="0" fontId="43" fillId="38" borderId="0" xfId="0" applyFont="1" applyFill="1" applyAlignment="1">
      <alignment vertical="top"/>
    </xf>
    <xf numFmtId="0" fontId="43" fillId="38" borderId="0" xfId="0" applyFont="1" applyFill="1" applyAlignment="1">
      <alignment wrapText="1"/>
    </xf>
    <xf numFmtId="0" fontId="22" fillId="38" borderId="0" xfId="0" applyFont="1" applyFill="1" applyAlignment="1">
      <alignment wrapText="1"/>
    </xf>
    <xf numFmtId="0" fontId="22" fillId="38" borderId="0" xfId="0" applyFont="1" applyFill="1" applyAlignment="1">
      <alignment vertical="top"/>
    </xf>
    <xf numFmtId="0" fontId="23" fillId="38" borderId="0" xfId="0" applyFont="1" applyFill="1" applyAlignment="1">
      <alignment horizontal="left" wrapText="1" indent="10"/>
    </xf>
    <xf numFmtId="166" fontId="26" fillId="0" borderId="0" xfId="1" applyNumberFormat="1" applyFont="1"/>
    <xf numFmtId="43" fontId="44" fillId="38" borderId="15" xfId="1" applyFont="1" applyFill="1" applyBorder="1" applyAlignment="1">
      <alignment horizontal="right" vertical="top"/>
    </xf>
    <xf numFmtId="0" fontId="44" fillId="0" borderId="17" xfId="0" applyFont="1" applyBorder="1" applyAlignment="1">
      <alignment vertical="top"/>
    </xf>
    <xf numFmtId="0" fontId="43" fillId="0" borderId="23" xfId="0" applyFont="1" applyBorder="1" applyAlignment="1">
      <alignment horizontal="center" vertical="top"/>
    </xf>
    <xf numFmtId="166" fontId="43" fillId="0" borderId="18" xfId="1" applyNumberFormat="1" applyFont="1" applyBorder="1" applyAlignment="1">
      <alignment vertical="top"/>
    </xf>
    <xf numFmtId="0" fontId="43" fillId="0" borderId="17" xfId="0" applyFont="1" applyBorder="1" applyAlignment="1">
      <alignment vertical="top"/>
    </xf>
    <xf numFmtId="0" fontId="44" fillId="0" borderId="17" xfId="0" applyFont="1" applyBorder="1" applyAlignment="1">
      <alignment horizontal="center" vertical="top"/>
    </xf>
    <xf numFmtId="0" fontId="44" fillId="0" borderId="17" xfId="0" applyFont="1" applyBorder="1" applyAlignment="1">
      <alignment vertical="top" wrapText="1"/>
    </xf>
    <xf numFmtId="0" fontId="44" fillId="0" borderId="17" xfId="0" applyFont="1" applyBorder="1"/>
    <xf numFmtId="0" fontId="43" fillId="0" borderId="17" xfId="0" applyFont="1" applyBorder="1"/>
    <xf numFmtId="166" fontId="43" fillId="0" borderId="0" xfId="0" applyNumberFormat="1" applyFont="1"/>
    <xf numFmtId="43" fontId="43" fillId="0" borderId="0" xfId="1" applyFont="1"/>
    <xf numFmtId="0" fontId="43" fillId="0" borderId="19" xfId="0" applyFont="1" applyBorder="1"/>
    <xf numFmtId="0" fontId="43" fillId="33" borderId="0" xfId="43" applyFont="1" applyFill="1" applyAlignment="1">
      <alignment vertical="top"/>
    </xf>
    <xf numFmtId="0" fontId="43" fillId="33" borderId="0" xfId="43" applyFont="1" applyFill="1"/>
    <xf numFmtId="166" fontId="43" fillId="0" borderId="19" xfId="1" applyNumberFormat="1" applyFont="1" applyBorder="1"/>
    <xf numFmtId="0" fontId="43" fillId="0" borderId="0" xfId="0" applyFont="1" applyAlignment="1">
      <alignment horizontal="left" indent="1"/>
    </xf>
    <xf numFmtId="0" fontId="43" fillId="0" borderId="18" xfId="0" applyFont="1" applyBorder="1" applyAlignment="1">
      <alignment horizontal="left" indent="1"/>
    </xf>
    <xf numFmtId="0" fontId="43" fillId="0" borderId="17" xfId="0" applyFont="1" applyBorder="1" applyAlignment="1">
      <alignment vertical="center"/>
    </xf>
    <xf numFmtId="166" fontId="44" fillId="0" borderId="10" xfId="0" applyNumberFormat="1" applyFont="1" applyBorder="1"/>
    <xf numFmtId="166" fontId="44" fillId="0" borderId="20" xfId="1" applyNumberFormat="1" applyFont="1" applyBorder="1"/>
    <xf numFmtId="166" fontId="43" fillId="0" borderId="20" xfId="1" applyNumberFormat="1" applyFont="1" applyBorder="1"/>
    <xf numFmtId="0" fontId="44" fillId="0" borderId="0" xfId="49" applyFont="1" applyAlignment="1">
      <alignment vertical="top" wrapText="1"/>
    </xf>
    <xf numFmtId="0" fontId="44" fillId="0" borderId="0" xfId="49" applyFont="1" applyAlignment="1">
      <alignment horizontal="justify" vertical="top" wrapText="1"/>
    </xf>
    <xf numFmtId="166" fontId="44" fillId="0" borderId="0" xfId="1" applyNumberFormat="1" applyFont="1" applyAlignment="1">
      <alignment horizontal="justify" vertical="top" wrapText="1"/>
    </xf>
    <xf numFmtId="166" fontId="44" fillId="0" borderId="0" xfId="1" applyNumberFormat="1" applyFont="1" applyAlignment="1">
      <alignment vertical="top" wrapText="1"/>
    </xf>
    <xf numFmtId="0" fontId="43" fillId="0" borderId="0" xfId="49" applyFont="1" applyAlignment="1">
      <alignment horizontal="left" vertical="justify" wrapText="1"/>
    </xf>
    <xf numFmtId="166" fontId="43" fillId="0" borderId="0" xfId="1" applyNumberFormat="1" applyFont="1" applyAlignment="1">
      <alignment horizontal="left" vertical="justify" wrapText="1"/>
    </xf>
    <xf numFmtId="166" fontId="44" fillId="0" borderId="0" xfId="0" applyNumberFormat="1" applyFont="1"/>
    <xf numFmtId="9" fontId="44" fillId="0" borderId="0" xfId="1" applyNumberFormat="1" applyFont="1" applyAlignment="1">
      <alignment horizontal="center"/>
    </xf>
    <xf numFmtId="166" fontId="44" fillId="0" borderId="0" xfId="1" applyNumberFormat="1" applyFont="1" applyAlignment="1">
      <alignment horizontal="center"/>
    </xf>
    <xf numFmtId="0" fontId="43" fillId="0" borderId="0" xfId="49" applyFont="1" applyAlignment="1">
      <alignment horizontal="center" vertical="top"/>
    </xf>
    <xf numFmtId="43" fontId="44" fillId="0" borderId="0" xfId="48" applyNumberFormat="1" applyFont="1" applyAlignment="1">
      <alignment horizontal="center" vertical="top" wrapText="1"/>
    </xf>
    <xf numFmtId="167" fontId="44" fillId="0" borderId="0" xfId="46" applyNumberFormat="1" applyFont="1" applyAlignment="1">
      <alignment horizontal="center" vertical="top"/>
    </xf>
    <xf numFmtId="0" fontId="49" fillId="0" borderId="0" xfId="0" applyFont="1"/>
    <xf numFmtId="0" fontId="44" fillId="0" borderId="0" xfId="43" applyFont="1" applyAlignment="1">
      <alignment horizontal="left" vertical="top"/>
    </xf>
    <xf numFmtId="0" fontId="43" fillId="0" borderId="0" xfId="43" applyFont="1" applyAlignment="1">
      <alignment horizontal="left" vertical="center"/>
    </xf>
    <xf numFmtId="0" fontId="44" fillId="0" borderId="0" xfId="43" applyFont="1" applyAlignment="1">
      <alignment horizontal="left" vertical="center"/>
    </xf>
    <xf numFmtId="166" fontId="43" fillId="0" borderId="0" xfId="1" applyNumberFormat="1" applyFont="1" applyAlignment="1">
      <alignment vertical="center" wrapText="1"/>
    </xf>
    <xf numFmtId="166" fontId="43" fillId="0" borderId="0" xfId="1" applyNumberFormat="1" applyFont="1"/>
    <xf numFmtId="0" fontId="43" fillId="0" borderId="0" xfId="43" applyFont="1" applyAlignment="1">
      <alignment vertical="center"/>
    </xf>
    <xf numFmtId="0" fontId="43" fillId="0" borderId="0" xfId="43" applyFont="1" applyAlignment="1">
      <alignment vertical="top" wrapText="1"/>
    </xf>
    <xf numFmtId="0" fontId="43" fillId="0" borderId="0" xfId="43" applyFont="1" applyAlignment="1">
      <alignment vertical="top"/>
    </xf>
    <xf numFmtId="0" fontId="43" fillId="0" borderId="0" xfId="43" quotePrefix="1" applyFont="1" applyAlignment="1">
      <alignment horizontal="justify" vertical="top" wrapText="1"/>
    </xf>
    <xf numFmtId="171" fontId="43" fillId="0" borderId="0" xfId="0" applyNumberFormat="1" applyFont="1"/>
    <xf numFmtId="0" fontId="49" fillId="0" borderId="0" xfId="66" applyFont="1" applyAlignment="1">
      <alignment wrapText="1"/>
    </xf>
    <xf numFmtId="0" fontId="49" fillId="0" borderId="0" xfId="66" applyFont="1"/>
    <xf numFmtId="0" fontId="50" fillId="0" borderId="0" xfId="66" applyFont="1"/>
    <xf numFmtId="0" fontId="43" fillId="0" borderId="0" xfId="43" applyFont="1" applyAlignment="1">
      <alignment wrapText="1"/>
    </xf>
    <xf numFmtId="0" fontId="43" fillId="0" borderId="0" xfId="43" applyFont="1" applyAlignment="1">
      <alignment horizontal="left" vertical="top"/>
    </xf>
    <xf numFmtId="0" fontId="43" fillId="0" borderId="0" xfId="43" quotePrefix="1" applyFont="1" applyAlignment="1">
      <alignment vertical="top" wrapText="1"/>
    </xf>
    <xf numFmtId="43" fontId="27" fillId="0" borderId="0" xfId="1" applyFont="1" applyAlignment="1">
      <alignment vertical="top"/>
    </xf>
    <xf numFmtId="43" fontId="24" fillId="0" borderId="0" xfId="1" applyFont="1"/>
    <xf numFmtId="10" fontId="24" fillId="0" borderId="0" xfId="50" applyNumberFormat="1" applyFont="1"/>
    <xf numFmtId="43" fontId="24" fillId="0" borderId="0" xfId="0" applyNumberFormat="1" applyFont="1"/>
    <xf numFmtId="4" fontId="24" fillId="0" borderId="0" xfId="0" applyNumberFormat="1" applyFont="1" applyAlignment="1">
      <alignment horizontal="right"/>
    </xf>
    <xf numFmtId="43" fontId="22" fillId="33" borderId="0" xfId="43" applyNumberFormat="1" applyFont="1" applyFill="1"/>
    <xf numFmtId="43" fontId="22" fillId="0" borderId="0" xfId="43" applyNumberFormat="1" applyFont="1" applyAlignment="1">
      <alignment vertical="top"/>
    </xf>
    <xf numFmtId="166" fontId="43" fillId="0" borderId="22" xfId="1" applyNumberFormat="1" applyFont="1" applyBorder="1" applyAlignment="1">
      <alignment vertical="top"/>
    </xf>
    <xf numFmtId="166" fontId="43" fillId="0" borderId="22" xfId="1" applyNumberFormat="1" applyFont="1" applyBorder="1" applyAlignment="1">
      <alignment vertical="top" wrapText="1"/>
    </xf>
    <xf numFmtId="166" fontId="23" fillId="0" borderId="0" xfId="1" applyNumberFormat="1" applyFont="1"/>
    <xf numFmtId="166" fontId="44" fillId="0" borderId="0" xfId="1" applyNumberFormat="1" applyFont="1" applyAlignment="1">
      <alignment horizontal="center" vertical="top"/>
    </xf>
    <xf numFmtId="166" fontId="48" fillId="0" borderId="0" xfId="43" applyNumberFormat="1" applyFont="1" applyAlignment="1">
      <alignment vertical="center" wrapText="1"/>
    </xf>
    <xf numFmtId="0" fontId="43" fillId="0" borderId="0" xfId="43" applyFont="1" applyAlignment="1">
      <alignment vertical="center" wrapText="1"/>
    </xf>
    <xf numFmtId="166" fontId="20" fillId="0" borderId="18" xfId="1" applyNumberFormat="1" applyFont="1" applyBorder="1"/>
    <xf numFmtId="166" fontId="23" fillId="0" borderId="10" xfId="1" applyNumberFormat="1" applyFont="1" applyBorder="1"/>
    <xf numFmtId="166" fontId="20" fillId="0" borderId="20" xfId="1" applyNumberFormat="1" applyFont="1" applyBorder="1"/>
    <xf numFmtId="166" fontId="23" fillId="0" borderId="13" xfId="1" applyNumberFormat="1" applyFont="1" applyBorder="1"/>
    <xf numFmtId="166" fontId="23" fillId="0" borderId="18" xfId="1" applyNumberFormat="1" applyFont="1" applyBorder="1"/>
    <xf numFmtId="166" fontId="22" fillId="0" borderId="18" xfId="1" applyNumberFormat="1" applyFont="1" applyBorder="1"/>
    <xf numFmtId="166" fontId="21" fillId="0" borderId="18" xfId="1" applyNumberFormat="1" applyFont="1" applyBorder="1"/>
    <xf numFmtId="166" fontId="20" fillId="0" borderId="13" xfId="1" applyNumberFormat="1" applyFont="1" applyBorder="1"/>
    <xf numFmtId="166" fontId="20" fillId="0" borderId="21" xfId="1" applyNumberFormat="1" applyFont="1" applyBorder="1"/>
    <xf numFmtId="1" fontId="23" fillId="0" borderId="13" xfId="1" applyNumberFormat="1" applyFont="1" applyBorder="1" applyAlignment="1">
      <alignment horizontal="center" vertical="center"/>
    </xf>
    <xf numFmtId="0" fontId="51" fillId="37" borderId="11" xfId="0" applyFont="1" applyFill="1" applyBorder="1" applyAlignment="1">
      <alignment horizontal="center" vertical="center"/>
    </xf>
    <xf numFmtId="0" fontId="51" fillId="37" borderId="21" xfId="0" applyFont="1" applyFill="1" applyBorder="1" applyAlignment="1">
      <alignment horizontal="center" vertical="center" wrapText="1"/>
    </xf>
    <xf numFmtId="0" fontId="51" fillId="0" borderId="17" xfId="0" applyFont="1" applyBorder="1" applyAlignment="1">
      <alignment vertical="center"/>
    </xf>
    <xf numFmtId="166" fontId="51" fillId="0" borderId="21" xfId="1" applyNumberFormat="1" applyFont="1" applyBorder="1" applyAlignment="1">
      <alignment horizontal="center"/>
    </xf>
    <xf numFmtId="0" fontId="51" fillId="0" borderId="17" xfId="0" applyFont="1" applyBorder="1"/>
    <xf numFmtId="0" fontId="54" fillId="0" borderId="23" xfId="0" applyFont="1" applyBorder="1" applyAlignment="1">
      <alignment horizontal="center" vertical="center"/>
    </xf>
    <xf numFmtId="0" fontId="51" fillId="0" borderId="23" xfId="0" applyFont="1" applyBorder="1"/>
    <xf numFmtId="0" fontId="51" fillId="0" borderId="26" xfId="0" applyFont="1" applyBorder="1"/>
    <xf numFmtId="0" fontId="54" fillId="0" borderId="0" xfId="0" applyFont="1" applyAlignment="1">
      <alignment horizontal="center" vertical="top"/>
    </xf>
    <xf numFmtId="0" fontId="51" fillId="0" borderId="0" xfId="0" applyFont="1"/>
    <xf numFmtId="0" fontId="53" fillId="0" borderId="0" xfId="0" applyFont="1"/>
    <xf numFmtId="0" fontId="54" fillId="0" borderId="0" xfId="0" applyFont="1"/>
    <xf numFmtId="43" fontId="44" fillId="38" borderId="0" xfId="1" applyFont="1" applyFill="1"/>
    <xf numFmtId="0" fontId="56" fillId="0" borderId="0" xfId="43" applyFont="1" applyAlignment="1">
      <alignment vertical="center"/>
    </xf>
    <xf numFmtId="0" fontId="32" fillId="0" borderId="0" xfId="0" applyFont="1" applyAlignment="1">
      <alignment horizontal="center"/>
    </xf>
    <xf numFmtId="0" fontId="59" fillId="0" borderId="0" xfId="0" applyFont="1"/>
    <xf numFmtId="0" fontId="53" fillId="0" borderId="0" xfId="0" applyFont="1" applyAlignment="1">
      <alignment vertical="center"/>
    </xf>
    <xf numFmtId="43" fontId="51" fillId="37" borderId="21" xfId="1" applyFont="1" applyFill="1" applyBorder="1" applyAlignment="1">
      <alignment horizontal="right" vertical="center"/>
    </xf>
    <xf numFmtId="166" fontId="51" fillId="37" borderId="21" xfId="1" applyNumberFormat="1" applyFont="1" applyFill="1" applyBorder="1" applyAlignment="1">
      <alignment horizontal="center" vertical="center"/>
    </xf>
    <xf numFmtId="43" fontId="51" fillId="37" borderId="11" xfId="1" applyFont="1" applyFill="1" applyBorder="1" applyAlignment="1">
      <alignment horizontal="right" vertical="center"/>
    </xf>
    <xf numFmtId="166" fontId="53" fillId="0" borderId="17" xfId="1" applyNumberFormat="1" applyFont="1" applyBorder="1" applyAlignment="1">
      <alignment vertical="center"/>
    </xf>
    <xf numFmtId="166" fontId="53" fillId="0" borderId="17" xfId="1" applyNumberFormat="1" applyFont="1" applyBorder="1"/>
    <xf numFmtId="166" fontId="51" fillId="0" borderId="11" xfId="1" applyNumberFormat="1" applyFont="1" applyBorder="1" applyAlignment="1">
      <alignment vertical="center"/>
    </xf>
    <xf numFmtId="166" fontId="53" fillId="0" borderId="11" xfId="1" applyNumberFormat="1" applyFont="1" applyBorder="1" applyAlignment="1">
      <alignment vertical="center"/>
    </xf>
    <xf numFmtId="166" fontId="53" fillId="0" borderId="19" xfId="1" applyNumberFormat="1" applyFont="1" applyBorder="1" applyAlignment="1">
      <alignment vertical="center"/>
    </xf>
    <xf numFmtId="166" fontId="53" fillId="0" borderId="21" xfId="1" applyNumberFormat="1" applyFont="1" applyBorder="1" applyAlignment="1">
      <alignment vertical="center"/>
    </xf>
    <xf numFmtId="166" fontId="53" fillId="0" borderId="26" xfId="1" applyNumberFormat="1" applyFont="1" applyBorder="1" applyAlignment="1">
      <alignment horizontal="left" vertical="center"/>
    </xf>
    <xf numFmtId="166" fontId="51" fillId="0" borderId="22" xfId="1" applyNumberFormat="1" applyFont="1" applyBorder="1" applyAlignment="1">
      <alignment horizontal="left" vertical="center"/>
    </xf>
    <xf numFmtId="0" fontId="51" fillId="0" borderId="42" xfId="0" applyFont="1" applyBorder="1" applyAlignment="1">
      <alignment vertical="center"/>
    </xf>
    <xf numFmtId="0" fontId="51" fillId="0" borderId="31" xfId="0" applyFont="1" applyBorder="1" applyAlignment="1">
      <alignment vertical="center"/>
    </xf>
    <xf numFmtId="0" fontId="53" fillId="0" borderId="31" xfId="0" applyFont="1" applyBorder="1" applyAlignment="1">
      <alignment vertical="center"/>
    </xf>
    <xf numFmtId="166" fontId="53" fillId="0" borderId="0" xfId="0" applyNumberFormat="1" applyFont="1" applyAlignment="1">
      <alignment vertical="center"/>
    </xf>
    <xf numFmtId="0" fontId="53" fillId="0" borderId="31" xfId="0" applyFont="1" applyBorder="1" applyAlignment="1">
      <alignment horizontal="left" vertical="center" indent="2"/>
    </xf>
    <xf numFmtId="0" fontId="51" fillId="0" borderId="0" xfId="0" applyFont="1" applyAlignment="1">
      <alignment vertical="center"/>
    </xf>
    <xf numFmtId="0" fontId="51" fillId="0" borderId="0" xfId="0" applyFont="1" applyAlignment="1">
      <alignment horizontal="center" vertical="center"/>
    </xf>
    <xf numFmtId="0" fontId="53" fillId="0" borderId="0" xfId="0" applyFont="1" applyAlignment="1">
      <alignment horizontal="left" vertical="center"/>
    </xf>
    <xf numFmtId="0" fontId="53" fillId="0" borderId="31" xfId="0" applyFont="1" applyBorder="1" applyAlignment="1">
      <alignment horizontal="left" vertical="center" wrapText="1" indent="2"/>
    </xf>
    <xf numFmtId="43" fontId="51" fillId="0" borderId="0" xfId="0" applyNumberFormat="1" applyFont="1" applyAlignment="1">
      <alignment horizontal="center" vertical="center"/>
    </xf>
    <xf numFmtId="0" fontId="51" fillId="0" borderId="35" xfId="0" applyFont="1" applyBorder="1" applyAlignment="1">
      <alignment vertical="center"/>
    </xf>
    <xf numFmtId="0" fontId="53" fillId="0" borderId="35" xfId="0" applyFont="1" applyBorder="1" applyAlignment="1">
      <alignment vertical="center"/>
    </xf>
    <xf numFmtId="0" fontId="53" fillId="0" borderId="35" xfId="0" applyFont="1" applyBorder="1" applyAlignment="1">
      <alignment vertical="center" wrapText="1"/>
    </xf>
    <xf numFmtId="0" fontId="51" fillId="0" borderId="0" xfId="0" applyFont="1" applyAlignment="1">
      <alignment horizontal="center" vertical="top" wrapText="1"/>
    </xf>
    <xf numFmtId="0" fontId="51" fillId="0" borderId="17" xfId="0" applyFont="1" applyBorder="1" applyAlignment="1">
      <alignment vertical="top"/>
    </xf>
    <xf numFmtId="0" fontId="53" fillId="0" borderId="23" xfId="0" applyFont="1" applyBorder="1" applyAlignment="1">
      <alignment horizontal="center" vertical="top"/>
    </xf>
    <xf numFmtId="0" fontId="53" fillId="0" borderId="17" xfId="0" applyFont="1" applyBorder="1" applyAlignment="1">
      <alignment vertical="top"/>
    </xf>
    <xf numFmtId="0" fontId="54" fillId="0" borderId="17" xfId="0" applyFont="1" applyBorder="1" applyAlignment="1">
      <alignment vertical="top"/>
    </xf>
    <xf numFmtId="0" fontId="54" fillId="0" borderId="23" xfId="0" applyFont="1" applyBorder="1" applyAlignment="1">
      <alignment horizontal="center" vertical="top"/>
    </xf>
    <xf numFmtId="166" fontId="51" fillId="0" borderId="21" xfId="1" applyNumberFormat="1" applyFont="1" applyBorder="1" applyAlignment="1">
      <alignment horizontal="center" vertical="top"/>
    </xf>
    <xf numFmtId="0" fontId="51" fillId="0" borderId="17" xfId="0" applyFont="1" applyBorder="1" applyAlignment="1">
      <alignment horizontal="left" vertical="top"/>
    </xf>
    <xf numFmtId="166" fontId="54" fillId="0" borderId="23" xfId="0" applyNumberFormat="1" applyFont="1" applyBorder="1" applyAlignment="1">
      <alignment horizontal="center" vertical="top"/>
    </xf>
    <xf numFmtId="166" fontId="54" fillId="0" borderId="23" xfId="1" applyNumberFormat="1" applyFont="1" applyBorder="1" applyAlignment="1">
      <alignment vertical="top"/>
    </xf>
    <xf numFmtId="166" fontId="51" fillId="0" borderId="21" xfId="1" applyNumberFormat="1" applyFont="1" applyBorder="1" applyAlignment="1">
      <alignment vertical="top"/>
    </xf>
    <xf numFmtId="0" fontId="53" fillId="0" borderId="17" xfId="0" applyFont="1" applyBorder="1" applyAlignment="1">
      <alignment horizontal="left" vertical="top" indent="1"/>
    </xf>
    <xf numFmtId="0" fontId="53" fillId="0" borderId="23" xfId="0" applyFont="1" applyBorder="1" applyAlignment="1">
      <alignment vertical="top"/>
    </xf>
    <xf numFmtId="166" fontId="53" fillId="0" borderId="17" xfId="0" applyNumberFormat="1" applyFont="1" applyBorder="1" applyAlignment="1">
      <alignment vertical="top"/>
    </xf>
    <xf numFmtId="0" fontId="51" fillId="0" borderId="17" xfId="0" applyFont="1" applyBorder="1" applyAlignment="1">
      <alignment vertical="top" wrapText="1"/>
    </xf>
    <xf numFmtId="0" fontId="54" fillId="0" borderId="17" xfId="0" applyFont="1" applyBorder="1" applyAlignment="1">
      <alignment vertical="top" wrapText="1"/>
    </xf>
    <xf numFmtId="0" fontId="51" fillId="0" borderId="19" xfId="0" applyFont="1" applyBorder="1" applyAlignment="1">
      <alignment vertical="top" wrapText="1"/>
    </xf>
    <xf numFmtId="0" fontId="53" fillId="0" borderId="26" xfId="0" applyFont="1" applyBorder="1" applyAlignment="1">
      <alignment horizontal="center" vertical="top"/>
    </xf>
    <xf numFmtId="0" fontId="53" fillId="0" borderId="0" xfId="0" applyFont="1" applyAlignment="1">
      <alignment horizontal="center" vertical="top"/>
    </xf>
    <xf numFmtId="43" fontId="51" fillId="0" borderId="0" xfId="1" applyFont="1" applyAlignment="1">
      <alignment vertical="top"/>
    </xf>
    <xf numFmtId="0" fontId="53" fillId="0" borderId="0" xfId="0" applyFont="1" applyAlignment="1">
      <alignment vertical="top"/>
    </xf>
    <xf numFmtId="0" fontId="54" fillId="0" borderId="0" xfId="0" applyFont="1" applyAlignment="1">
      <alignment vertical="top"/>
    </xf>
    <xf numFmtId="0" fontId="59" fillId="0" borderId="0" xfId="0" applyFont="1" applyAlignment="1">
      <alignment vertical="top"/>
    </xf>
    <xf numFmtId="0" fontId="51" fillId="37" borderId="22" xfId="0" applyFont="1" applyFill="1" applyBorder="1" applyAlignment="1">
      <alignment horizontal="center" vertical="center" wrapText="1"/>
    </xf>
    <xf numFmtId="0" fontId="51" fillId="37" borderId="14" xfId="0" applyFont="1" applyFill="1" applyBorder="1" applyAlignment="1">
      <alignment horizontal="center" vertical="center" wrapText="1"/>
    </xf>
    <xf numFmtId="0" fontId="51" fillId="0" borderId="22" xfId="0" applyFont="1" applyBorder="1" applyAlignment="1">
      <alignment vertical="top" wrapText="1"/>
    </xf>
    <xf numFmtId="166" fontId="54" fillId="0" borderId="23" xfId="1" applyNumberFormat="1" applyFont="1" applyBorder="1" applyAlignment="1">
      <alignment vertical="top" wrapText="1"/>
    </xf>
    <xf numFmtId="166" fontId="54" fillId="0" borderId="18" xfId="1" applyNumberFormat="1" applyFont="1" applyBorder="1" applyAlignment="1">
      <alignment vertical="top"/>
    </xf>
    <xf numFmtId="166" fontId="54" fillId="0" borderId="22" xfId="1" applyNumberFormat="1" applyFont="1" applyBorder="1" applyAlignment="1">
      <alignment vertical="top"/>
    </xf>
    <xf numFmtId="0" fontId="51" fillId="0" borderId="23" xfId="0" applyFont="1" applyBorder="1" applyAlignment="1">
      <alignment vertical="top" wrapText="1"/>
    </xf>
    <xf numFmtId="0" fontId="54" fillId="0" borderId="23" xfId="0" applyFont="1" applyBorder="1" applyAlignment="1">
      <alignment horizontal="left" vertical="top" wrapText="1" indent="1"/>
    </xf>
    <xf numFmtId="0" fontId="51" fillId="0" borderId="21" xfId="0" applyFont="1" applyBorder="1" applyAlignment="1">
      <alignment vertical="top" wrapText="1"/>
    </xf>
    <xf numFmtId="166" fontId="51" fillId="0" borderId="21" xfId="1" applyNumberFormat="1" applyFont="1" applyBorder="1" applyAlignment="1">
      <alignment vertical="top" wrapText="1"/>
    </xf>
    <xf numFmtId="0" fontId="54" fillId="0" borderId="23" xfId="0" applyFont="1" applyBorder="1" applyAlignment="1">
      <alignment horizontal="left" vertical="top" indent="1"/>
    </xf>
    <xf numFmtId="0" fontId="51" fillId="37" borderId="21" xfId="43" applyFont="1" applyFill="1" applyBorder="1"/>
    <xf numFmtId="0" fontId="52" fillId="0" borderId="22" xfId="43" applyFont="1" applyBorder="1" applyAlignment="1">
      <alignment wrapText="1"/>
    </xf>
    <xf numFmtId="0" fontId="54" fillId="0" borderId="23" xfId="43" applyFont="1" applyBorder="1" applyAlignment="1">
      <alignment vertical="top" wrapText="1"/>
    </xf>
    <xf numFmtId="0" fontId="54" fillId="0" borderId="23" xfId="43" applyFont="1" applyBorder="1" applyAlignment="1">
      <alignment horizontal="left" vertical="top"/>
    </xf>
    <xf numFmtId="0" fontId="54" fillId="0" borderId="23" xfId="43" applyFont="1" applyBorder="1" applyAlignment="1">
      <alignment horizontal="left" vertical="top" indent="1"/>
    </xf>
    <xf numFmtId="0" fontId="51" fillId="0" borderId="23" xfId="43" applyFont="1" applyBorder="1" applyAlignment="1">
      <alignment vertical="top" wrapText="1"/>
    </xf>
    <xf numFmtId="0" fontId="51" fillId="0" borderId="23" xfId="43" applyFont="1" applyBorder="1" applyAlignment="1">
      <alignment vertical="top"/>
    </xf>
    <xf numFmtId="0" fontId="52" fillId="0" borderId="23" xfId="43" applyFont="1" applyBorder="1" applyAlignment="1">
      <alignment vertical="top"/>
    </xf>
    <xf numFmtId="0" fontId="55" fillId="0" borderId="23" xfId="43" applyFont="1" applyBorder="1" applyAlignment="1">
      <alignment vertical="top"/>
    </xf>
    <xf numFmtId="0" fontId="64" fillId="0" borderId="23" xfId="43" applyFont="1" applyBorder="1" applyAlignment="1">
      <alignment vertical="top"/>
    </xf>
    <xf numFmtId="0" fontId="51" fillId="0" borderId="26" xfId="43" applyFont="1" applyBorder="1" applyAlignment="1">
      <alignment vertical="top"/>
    </xf>
    <xf numFmtId="0" fontId="51" fillId="0" borderId="21" xfId="43" applyFont="1" applyBorder="1" applyAlignment="1">
      <alignment vertical="top" wrapText="1"/>
    </xf>
    <xf numFmtId="0" fontId="54" fillId="0" borderId="23" xfId="51" applyFont="1" applyBorder="1" applyAlignment="1">
      <alignment vertical="top" wrapText="1"/>
    </xf>
    <xf numFmtId="166" fontId="54" fillId="0" borderId="0" xfId="1" applyNumberFormat="1" applyFont="1" applyAlignment="1">
      <alignment vertical="top"/>
    </xf>
    <xf numFmtId="0" fontId="51" fillId="0" borderId="26" xfId="43" applyFont="1" applyBorder="1" applyAlignment="1">
      <alignment vertical="top" wrapText="1"/>
    </xf>
    <xf numFmtId="0" fontId="56" fillId="33" borderId="0" xfId="43" applyFont="1" applyFill="1" applyAlignment="1">
      <alignment vertical="top"/>
    </xf>
    <xf numFmtId="166" fontId="51" fillId="37" borderId="21" xfId="1" applyNumberFormat="1" applyFont="1" applyFill="1" applyBorder="1" applyAlignment="1">
      <alignment horizontal="center" vertical="center" wrapText="1"/>
    </xf>
    <xf numFmtId="166" fontId="51" fillId="37" borderId="13" xfId="1" applyNumberFormat="1" applyFont="1" applyFill="1" applyBorder="1" applyAlignment="1">
      <alignment horizontal="center" vertical="center" wrapText="1"/>
    </xf>
    <xf numFmtId="166" fontId="53" fillId="0" borderId="18" xfId="1" applyNumberFormat="1" applyFont="1" applyBorder="1"/>
    <xf numFmtId="0" fontId="53" fillId="0" borderId="17" xfId="0" applyFont="1" applyBorder="1"/>
    <xf numFmtId="166" fontId="51" fillId="0" borderId="13" xfId="1" applyNumberFormat="1" applyFont="1" applyBorder="1"/>
    <xf numFmtId="0" fontId="53" fillId="0" borderId="19" xfId="0" applyFont="1" applyBorder="1"/>
    <xf numFmtId="0" fontId="54" fillId="0" borderId="17" xfId="0" applyFont="1" applyBorder="1"/>
    <xf numFmtId="166" fontId="54" fillId="0" borderId="18" xfId="1" applyNumberFormat="1" applyFont="1" applyBorder="1"/>
    <xf numFmtId="166" fontId="55" fillId="0" borderId="13" xfId="1" applyNumberFormat="1" applyFont="1" applyBorder="1"/>
    <xf numFmtId="0" fontId="55" fillId="0" borderId="17" xfId="0" applyFont="1" applyBorder="1"/>
    <xf numFmtId="0" fontId="54" fillId="0" borderId="17" xfId="0" applyFont="1" applyBorder="1" applyAlignment="1">
      <alignment wrapText="1"/>
    </xf>
    <xf numFmtId="0" fontId="51" fillId="0" borderId="17" xfId="0" applyFont="1" applyBorder="1" applyAlignment="1">
      <alignment vertical="center" wrapText="1"/>
    </xf>
    <xf numFmtId="0" fontId="53" fillId="0" borderId="18" xfId="0" applyFont="1" applyBorder="1"/>
    <xf numFmtId="166" fontId="51" fillId="0" borderId="18" xfId="1" applyNumberFormat="1" applyFont="1" applyBorder="1" applyAlignment="1">
      <alignment horizontal="center"/>
    </xf>
    <xf numFmtId="0" fontId="53" fillId="0" borderId="0" xfId="0" applyFont="1" applyAlignment="1">
      <alignment horizontal="left" indent="1"/>
    </xf>
    <xf numFmtId="0" fontId="53" fillId="0" borderId="18" xfId="0" applyFont="1" applyBorder="1" applyAlignment="1">
      <alignment horizontal="left" indent="1"/>
    </xf>
    <xf numFmtId="0" fontId="51" fillId="0" borderId="11" xfId="49" applyFont="1" applyBorder="1" applyAlignment="1">
      <alignment horizontal="center" vertical="top" wrapText="1"/>
    </xf>
    <xf numFmtId="0" fontId="51" fillId="0" borderId="21" xfId="49" applyFont="1" applyBorder="1" applyAlignment="1">
      <alignment horizontal="center" vertical="top" wrapText="1"/>
    </xf>
    <xf numFmtId="166" fontId="51" fillId="0" borderId="11" xfId="1" applyNumberFormat="1" applyFont="1" applyBorder="1" applyAlignment="1">
      <alignment horizontal="center" vertical="top" wrapText="1"/>
    </xf>
    <xf numFmtId="166" fontId="51" fillId="0" borderId="13" xfId="1" applyNumberFormat="1" applyFont="1" applyBorder="1" applyAlignment="1">
      <alignment horizontal="center" vertical="top" wrapText="1"/>
    </xf>
    <xf numFmtId="166" fontId="51" fillId="0" borderId="21" xfId="1" applyNumberFormat="1" applyFont="1" applyBorder="1" applyAlignment="1">
      <alignment horizontal="center" vertical="top" wrapText="1"/>
    </xf>
    <xf numFmtId="0" fontId="54" fillId="0" borderId="14" xfId="0" applyFont="1" applyBorder="1" applyAlignment="1">
      <alignment vertical="center" wrapText="1"/>
    </xf>
    <xf numFmtId="166" fontId="54" fillId="0" borderId="16" xfId="1" applyNumberFormat="1" applyFont="1" applyBorder="1" applyAlignment="1">
      <alignment horizontal="center" vertical="center"/>
    </xf>
    <xf numFmtId="43" fontId="51" fillId="0" borderId="21" xfId="1" applyFont="1" applyBorder="1"/>
    <xf numFmtId="43" fontId="51" fillId="0" borderId="21" xfId="48" applyNumberFormat="1" applyFont="1" applyBorder="1" applyAlignment="1">
      <alignment horizontal="center" vertical="top"/>
    </xf>
    <xf numFmtId="0" fontId="54" fillId="0" borderId="11" xfId="49" applyFont="1" applyBorder="1" applyAlignment="1">
      <alignment vertical="top" wrapText="1"/>
    </xf>
    <xf numFmtId="0" fontId="51" fillId="0" borderId="11" xfId="49" applyFont="1" applyBorder="1" applyAlignment="1">
      <alignment vertical="top" wrapText="1"/>
    </xf>
    <xf numFmtId="166" fontId="55" fillId="0" borderId="13" xfId="1" applyNumberFormat="1" applyFont="1" applyBorder="1" applyAlignment="1">
      <alignment vertical="top"/>
    </xf>
    <xf numFmtId="166" fontId="55" fillId="0" borderId="16" xfId="1" applyNumberFormat="1" applyFont="1" applyBorder="1"/>
    <xf numFmtId="166" fontId="55" fillId="0" borderId="20" xfId="1" applyNumberFormat="1" applyFont="1" applyBorder="1"/>
    <xf numFmtId="166" fontId="54" fillId="0" borderId="18" xfId="1" applyNumberFormat="1" applyFont="1" applyBorder="1" applyAlignment="1">
      <alignment horizontal="center"/>
    </xf>
    <xf numFmtId="166" fontId="54" fillId="0" borderId="0" xfId="1" applyNumberFormat="1" applyFont="1"/>
    <xf numFmtId="0" fontId="63" fillId="0" borderId="0" xfId="0" applyFont="1"/>
    <xf numFmtId="0" fontId="66" fillId="0" borderId="0" xfId="0" applyFont="1"/>
    <xf numFmtId="0" fontId="63" fillId="38" borderId="0" xfId="0" applyFont="1" applyFill="1"/>
    <xf numFmtId="0" fontId="66" fillId="38" borderId="0" xfId="0" applyFont="1" applyFill="1"/>
    <xf numFmtId="0" fontId="63" fillId="0" borderId="0" xfId="0" applyFont="1" applyAlignment="1">
      <alignment wrapText="1"/>
    </xf>
    <xf numFmtId="0" fontId="66" fillId="0" borderId="0" xfId="0" applyFont="1" applyAlignment="1">
      <alignment vertical="top"/>
    </xf>
    <xf numFmtId="0" fontId="63" fillId="0" borderId="0" xfId="0" applyFont="1" applyAlignment="1">
      <alignment vertical="top"/>
    </xf>
    <xf numFmtId="0" fontId="55" fillId="0" borderId="0" xfId="0" applyFont="1"/>
    <xf numFmtId="166" fontId="55" fillId="0" borderId="0" xfId="1" applyNumberFormat="1" applyFont="1"/>
    <xf numFmtId="166" fontId="55" fillId="0" borderId="12" xfId="1" applyNumberFormat="1" applyFont="1" applyBorder="1"/>
    <xf numFmtId="0" fontId="63" fillId="0" borderId="10" xfId="0" applyFont="1" applyBorder="1" applyAlignment="1">
      <alignment vertical="top"/>
    </xf>
    <xf numFmtId="0" fontId="66" fillId="0" borderId="0" xfId="0" applyFont="1" applyAlignment="1">
      <alignment horizontal="left" wrapText="1" indent="10"/>
    </xf>
    <xf numFmtId="0" fontId="65" fillId="0" borderId="0" xfId="0" applyFont="1"/>
    <xf numFmtId="0" fontId="68" fillId="36" borderId="25" xfId="43" applyFont="1" applyFill="1" applyBorder="1" applyAlignment="1">
      <alignment horizontal="center" vertical="center"/>
    </xf>
    <xf numFmtId="0" fontId="68" fillId="36" borderId="34" xfId="43" applyFont="1" applyFill="1" applyBorder="1" applyAlignment="1">
      <alignment horizontal="center" vertical="center"/>
    </xf>
    <xf numFmtId="43" fontId="65" fillId="0" borderId="17" xfId="1" applyFont="1" applyBorder="1" applyAlignment="1">
      <alignment horizontal="right" vertical="center" wrapText="1"/>
    </xf>
    <xf numFmtId="43" fontId="65" fillId="0" borderId="0" xfId="1" applyFont="1" applyAlignment="1">
      <alignment horizontal="right" vertical="center" indent="1"/>
    </xf>
    <xf numFmtId="43" fontId="65" fillId="0" borderId="0" xfId="1" applyFont="1" applyAlignment="1">
      <alignment horizontal="right" vertical="center" wrapText="1"/>
    </xf>
    <xf numFmtId="43" fontId="65" fillId="0" borderId="18" xfId="1" applyFont="1" applyBorder="1" applyAlignment="1">
      <alignment horizontal="right" vertical="center" wrapText="1"/>
    </xf>
    <xf numFmtId="166" fontId="65" fillId="0" borderId="0" xfId="1" applyNumberFormat="1" applyFont="1" applyAlignment="1">
      <alignment horizontal="right" vertical="center" indent="1"/>
    </xf>
    <xf numFmtId="166" fontId="65" fillId="0" borderId="18" xfId="1" applyNumberFormat="1" applyFont="1" applyBorder="1" applyAlignment="1">
      <alignment horizontal="right" vertical="center" wrapText="1"/>
    </xf>
    <xf numFmtId="43" fontId="68" fillId="0" borderId="11" xfId="1" applyFont="1" applyBorder="1" applyAlignment="1">
      <alignment horizontal="right" vertical="center" wrapText="1"/>
    </xf>
    <xf numFmtId="43" fontId="68" fillId="0" borderId="12" xfId="1" applyFont="1" applyBorder="1" applyAlignment="1">
      <alignment horizontal="right" vertical="center" wrapText="1"/>
    </xf>
    <xf numFmtId="166" fontId="68" fillId="0" borderId="13" xfId="1" applyNumberFormat="1" applyFont="1" applyBorder="1" applyAlignment="1">
      <alignment horizontal="right" vertical="center" wrapText="1"/>
    </xf>
    <xf numFmtId="166" fontId="68" fillId="0" borderId="12" xfId="1" applyNumberFormat="1" applyFont="1" applyBorder="1" applyAlignment="1">
      <alignment horizontal="right" vertical="center" wrapText="1"/>
    </xf>
    <xf numFmtId="43" fontId="68" fillId="0" borderId="13" xfId="1" applyFont="1" applyBorder="1" applyAlignment="1">
      <alignment horizontal="right" vertical="center" wrapText="1"/>
    </xf>
    <xf numFmtId="43" fontId="68" fillId="0" borderId="0" xfId="1" applyFont="1" applyAlignment="1">
      <alignment horizontal="right" vertical="center" indent="1"/>
    </xf>
    <xf numFmtId="166" fontId="68" fillId="0" borderId="0" xfId="1" applyNumberFormat="1" applyFont="1" applyAlignment="1">
      <alignment horizontal="right" vertical="center" indent="1"/>
    </xf>
    <xf numFmtId="166" fontId="65" fillId="0" borderId="17" xfId="1" applyNumberFormat="1" applyFont="1" applyBorder="1" applyAlignment="1">
      <alignment horizontal="right" vertical="center" wrapText="1"/>
    </xf>
    <xf numFmtId="166" fontId="65" fillId="0" borderId="0" xfId="1" applyNumberFormat="1" applyFont="1" applyAlignment="1">
      <alignment horizontal="right" vertical="center" wrapText="1"/>
    </xf>
    <xf numFmtId="0" fontId="65" fillId="0" borderId="0" xfId="43" quotePrefix="1" applyFont="1" applyAlignment="1">
      <alignment horizontal="justify" vertical="top" wrapText="1"/>
    </xf>
    <xf numFmtId="0" fontId="69" fillId="33" borderId="0" xfId="66" applyFont="1" applyFill="1" applyAlignment="1">
      <alignment horizontal="center" vertical="center" wrapText="1"/>
    </xf>
    <xf numFmtId="43" fontId="68" fillId="0" borderId="22" xfId="1" applyFont="1" applyBorder="1"/>
    <xf numFmtId="43" fontId="68" fillId="0" borderId="16" xfId="1" applyFont="1" applyBorder="1"/>
    <xf numFmtId="43" fontId="65" fillId="0" borderId="23" xfId="1" applyFont="1" applyBorder="1"/>
    <xf numFmtId="43" fontId="70" fillId="33" borderId="0" xfId="1" applyFont="1" applyFill="1"/>
    <xf numFmtId="0" fontId="65" fillId="33" borderId="17" xfId="66" applyFont="1" applyFill="1" applyBorder="1"/>
    <xf numFmtId="166" fontId="65" fillId="33" borderId="23" xfId="1" applyNumberFormat="1" applyFont="1" applyFill="1" applyBorder="1"/>
    <xf numFmtId="166" fontId="65" fillId="33" borderId="18" xfId="1" applyNumberFormat="1" applyFont="1" applyFill="1" applyBorder="1"/>
    <xf numFmtId="166" fontId="65" fillId="0" borderId="23" xfId="1" applyNumberFormat="1" applyFont="1" applyBorder="1"/>
    <xf numFmtId="166" fontId="68" fillId="0" borderId="21" xfId="1" applyNumberFormat="1" applyFont="1" applyBorder="1" applyAlignment="1">
      <alignment horizontal="left" vertical="center"/>
    </xf>
    <xf numFmtId="43" fontId="69" fillId="33" borderId="0" xfId="1" applyFont="1" applyFill="1" applyAlignment="1">
      <alignment horizontal="center" vertical="center"/>
    </xf>
    <xf numFmtId="171" fontId="65" fillId="0" borderId="0" xfId="0" applyNumberFormat="1" applyFont="1"/>
    <xf numFmtId="0" fontId="68" fillId="33" borderId="14" xfId="66" applyFont="1" applyFill="1" applyBorder="1" applyAlignment="1">
      <alignment wrapText="1"/>
    </xf>
    <xf numFmtId="166" fontId="68" fillId="33" borderId="22" xfId="1" applyNumberFormat="1" applyFont="1" applyFill="1" applyBorder="1" applyAlignment="1">
      <alignment wrapText="1"/>
    </xf>
    <xf numFmtId="166" fontId="68" fillId="33" borderId="16" xfId="1" applyNumberFormat="1" applyFont="1" applyFill="1" applyBorder="1" applyAlignment="1">
      <alignment wrapText="1"/>
    </xf>
    <xf numFmtId="166" fontId="65" fillId="33" borderId="23" xfId="1" applyNumberFormat="1" applyFont="1" applyFill="1" applyBorder="1" applyAlignment="1">
      <alignment horizontal="center" vertical="center"/>
    </xf>
    <xf numFmtId="43" fontId="70" fillId="33" borderId="0" xfId="1" applyFont="1" applyFill="1" applyAlignment="1">
      <alignment horizontal="center" vertical="center"/>
    </xf>
    <xf numFmtId="166" fontId="68" fillId="33" borderId="23" xfId="1" applyNumberFormat="1" applyFont="1" applyFill="1" applyBorder="1"/>
    <xf numFmtId="166" fontId="68" fillId="33" borderId="18" xfId="1" applyNumberFormat="1" applyFont="1" applyFill="1" applyBorder="1"/>
    <xf numFmtId="166" fontId="65" fillId="33" borderId="17" xfId="1" applyNumberFormat="1" applyFont="1" applyFill="1" applyBorder="1"/>
    <xf numFmtId="166" fontId="68" fillId="0" borderId="21" xfId="1" applyNumberFormat="1" applyFont="1" applyBorder="1" applyAlignment="1">
      <alignment horizontal="center" vertical="center"/>
    </xf>
    <xf numFmtId="0" fontId="65" fillId="0" borderId="0" xfId="66" applyFont="1" applyAlignment="1">
      <alignment wrapText="1"/>
    </xf>
    <xf numFmtId="0" fontId="65" fillId="0" borderId="0" xfId="66" applyFont="1"/>
    <xf numFmtId="0" fontId="54" fillId="0" borderId="26" xfId="43" applyFont="1" applyBorder="1" applyAlignment="1">
      <alignment horizontal="left" vertical="center" wrapText="1"/>
    </xf>
    <xf numFmtId="0" fontId="54" fillId="0" borderId="21" xfId="43" applyFont="1" applyBorder="1" applyAlignment="1">
      <alignment horizontal="left" vertical="center" wrapText="1"/>
    </xf>
    <xf numFmtId="0" fontId="55" fillId="0" borderId="23" xfId="43" quotePrefix="1" applyFont="1" applyBorder="1" applyAlignment="1">
      <alignment horizontal="left" vertical="center"/>
    </xf>
    <xf numFmtId="166" fontId="54" fillId="0" borderId="18" xfId="1" applyNumberFormat="1" applyFont="1" applyBorder="1" applyAlignment="1">
      <alignment horizontal="center" vertical="center" wrapText="1"/>
    </xf>
    <xf numFmtId="166" fontId="55" fillId="0" borderId="18" xfId="1" applyNumberFormat="1" applyFont="1" applyBorder="1" applyAlignment="1">
      <alignment horizontal="center" vertical="center" wrapText="1"/>
    </xf>
    <xf numFmtId="0" fontId="55" fillId="0" borderId="23" xfId="43" applyFont="1" applyBorder="1" applyAlignment="1">
      <alignment horizontal="left" vertical="center" wrapText="1"/>
    </xf>
    <xf numFmtId="166" fontId="54" fillId="0" borderId="18" xfId="1" applyNumberFormat="1" applyFont="1" applyBorder="1" applyAlignment="1">
      <alignment horizontal="left" vertical="top"/>
    </xf>
    <xf numFmtId="166" fontId="55" fillId="0" borderId="18" xfId="1" applyNumberFormat="1" applyFont="1" applyBorder="1" applyAlignment="1">
      <alignment vertical="center" wrapText="1"/>
    </xf>
    <xf numFmtId="166" fontId="54" fillId="0" borderId="18" xfId="1" applyNumberFormat="1" applyFont="1" applyBorder="1" applyAlignment="1">
      <alignment horizontal="right" vertical="center" indent="1"/>
    </xf>
    <xf numFmtId="166" fontId="54" fillId="0" borderId="18" xfId="1" applyNumberFormat="1" applyFont="1" applyBorder="1" applyAlignment="1">
      <alignment vertical="center" wrapText="1"/>
    </xf>
    <xf numFmtId="0" fontId="55" fillId="0" borderId="21" xfId="43" applyFont="1" applyBorder="1" applyAlignment="1">
      <alignment horizontal="left" vertical="center"/>
    </xf>
    <xf numFmtId="0" fontId="65" fillId="0" borderId="11" xfId="0" applyFont="1" applyBorder="1"/>
    <xf numFmtId="166" fontId="55" fillId="0" borderId="13" xfId="1" applyNumberFormat="1" applyFont="1" applyBorder="1" applyAlignment="1">
      <alignment horizontal="right" vertical="center" indent="1"/>
    </xf>
    <xf numFmtId="0" fontId="54" fillId="0" borderId="22" xfId="43" applyFont="1" applyBorder="1" applyAlignment="1">
      <alignment vertical="center"/>
    </xf>
    <xf numFmtId="166" fontId="54" fillId="0" borderId="16" xfId="1" applyNumberFormat="1" applyFont="1" applyBorder="1" applyAlignment="1">
      <alignment vertical="center"/>
    </xf>
    <xf numFmtId="43" fontId="54" fillId="0" borderId="16" xfId="1" applyFont="1" applyBorder="1" applyAlignment="1">
      <alignment vertical="center"/>
    </xf>
    <xf numFmtId="43" fontId="54" fillId="0" borderId="18" xfId="1" applyFont="1" applyBorder="1" applyAlignment="1">
      <alignment vertical="center"/>
    </xf>
    <xf numFmtId="43" fontId="54" fillId="0" borderId="18" xfId="1" applyFont="1" applyBorder="1" applyAlignment="1">
      <alignment horizontal="center" vertical="center" wrapText="1"/>
    </xf>
    <xf numFmtId="0" fontId="55" fillId="0" borderId="23" xfId="43" applyFont="1" applyBorder="1" applyAlignment="1">
      <alignment horizontal="left" vertical="center"/>
    </xf>
    <xf numFmtId="43" fontId="54" fillId="0" borderId="18" xfId="1" applyFont="1" applyBorder="1" applyAlignment="1">
      <alignment horizontal="left" vertical="top"/>
    </xf>
    <xf numFmtId="43" fontId="54" fillId="0" borderId="18" xfId="1" applyFont="1" applyBorder="1" applyAlignment="1">
      <alignment horizontal="right" vertical="center" indent="1"/>
    </xf>
    <xf numFmtId="43" fontId="54" fillId="0" borderId="18" xfId="1" applyFont="1" applyBorder="1" applyAlignment="1">
      <alignment vertical="center" wrapText="1"/>
    </xf>
    <xf numFmtId="43" fontId="54" fillId="0" borderId="18" xfId="1" applyFont="1" applyBorder="1" applyAlignment="1">
      <alignment horizontal="center" vertical="center"/>
    </xf>
    <xf numFmtId="43" fontId="55" fillId="0" borderId="13" xfId="1" applyFont="1" applyBorder="1" applyAlignment="1">
      <alignment horizontal="right" vertical="center" indent="1"/>
    </xf>
    <xf numFmtId="0" fontId="55" fillId="0" borderId="0" xfId="43" applyFont="1" applyAlignment="1">
      <alignment horizontal="left" vertical="center"/>
    </xf>
    <xf numFmtId="3" fontId="55" fillId="0" borderId="0" xfId="43" applyNumberFormat="1" applyFont="1" applyAlignment="1">
      <alignment horizontal="right" vertical="center" indent="1"/>
    </xf>
    <xf numFmtId="3" fontId="55" fillId="0" borderId="0" xfId="43" applyNumberFormat="1" applyFont="1" applyAlignment="1">
      <alignment horizontal="right" vertical="center"/>
    </xf>
    <xf numFmtId="0" fontId="54" fillId="0" borderId="0" xfId="68" applyFont="1" applyAlignment="1">
      <alignment horizontal="left" vertical="top"/>
    </xf>
    <xf numFmtId="0" fontId="55" fillId="0" borderId="10" xfId="68" applyFont="1" applyBorder="1" applyAlignment="1">
      <alignment horizontal="right" vertical="top"/>
    </xf>
    <xf numFmtId="0" fontId="69" fillId="33" borderId="0" xfId="68" applyFont="1" applyFill="1" applyAlignment="1">
      <alignment horizontal="right" vertical="top"/>
    </xf>
    <xf numFmtId="0" fontId="55" fillId="0" borderId="14" xfId="68" applyFont="1" applyBorder="1" applyAlignment="1">
      <alignment vertical="top" wrapText="1"/>
    </xf>
    <xf numFmtId="0" fontId="65" fillId="0" borderId="16" xfId="0" applyFont="1" applyBorder="1"/>
    <xf numFmtId="0" fontId="55" fillId="0" borderId="19" xfId="68" applyFont="1" applyBorder="1" applyAlignment="1">
      <alignment vertical="top" wrapText="1"/>
    </xf>
    <xf numFmtId="0" fontId="65" fillId="0" borderId="20" xfId="0" applyFont="1" applyBorder="1"/>
    <xf numFmtId="0" fontId="69" fillId="33" borderId="0" xfId="68" quotePrefix="1" applyFont="1" applyFill="1" applyAlignment="1">
      <alignment horizontal="center" vertical="top"/>
    </xf>
    <xf numFmtId="0" fontId="54" fillId="0" borderId="11" xfId="68" applyFont="1" applyBorder="1" applyAlignment="1">
      <alignment vertical="top" wrapText="1"/>
    </xf>
    <xf numFmtId="0" fontId="65" fillId="0" borderId="13" xfId="0" applyFont="1" applyBorder="1"/>
    <xf numFmtId="3" fontId="65" fillId="0" borderId="13" xfId="0" applyNumberFormat="1" applyFont="1" applyBorder="1"/>
    <xf numFmtId="3" fontId="54" fillId="0" borderId="21" xfId="1" quotePrefix="1" applyNumberFormat="1" applyFont="1" applyBorder="1" applyAlignment="1">
      <alignment horizontal="right" vertical="center" wrapText="1"/>
    </xf>
    <xf numFmtId="43" fontId="70" fillId="33" borderId="0" xfId="1" applyFont="1" applyFill="1" applyAlignment="1">
      <alignment horizontal="center" vertical="top"/>
    </xf>
    <xf numFmtId="3" fontId="65" fillId="0" borderId="13" xfId="1" applyNumberFormat="1" applyFont="1" applyBorder="1"/>
    <xf numFmtId="3" fontId="54" fillId="0" borderId="21" xfId="1" applyNumberFormat="1" applyFont="1" applyBorder="1" applyAlignment="1">
      <alignment horizontal="right" vertical="center" wrapText="1"/>
    </xf>
    <xf numFmtId="43" fontId="70" fillId="33" borderId="0" xfId="1" applyFont="1" applyFill="1" applyAlignment="1">
      <alignment horizontal="right" vertical="top" wrapText="1"/>
    </xf>
    <xf numFmtId="3" fontId="55" fillId="0" borderId="21" xfId="1" applyNumberFormat="1" applyFont="1" applyBorder="1" applyAlignment="1">
      <alignment horizontal="right" vertical="center" wrapText="1"/>
    </xf>
    <xf numFmtId="43" fontId="69" fillId="33" borderId="0" xfId="1" applyFont="1" applyFill="1" applyAlignment="1">
      <alignment horizontal="right" vertical="top" wrapText="1"/>
    </xf>
    <xf numFmtId="166" fontId="55" fillId="0" borderId="15" xfId="44" applyNumberFormat="1" applyFont="1" applyBorder="1" applyAlignment="1">
      <alignment horizontal="center" vertical="center"/>
    </xf>
    <xf numFmtId="166" fontId="69" fillId="33" borderId="0" xfId="44" applyNumberFormat="1" applyFont="1" applyFill="1" applyAlignment="1">
      <alignment horizontal="center" vertical="center"/>
    </xf>
    <xf numFmtId="0" fontId="54" fillId="0" borderId="17" xfId="43" applyFont="1" applyBorder="1" applyAlignment="1">
      <alignment horizontal="left" vertical="center"/>
    </xf>
    <xf numFmtId="0" fontId="54" fillId="0" borderId="0" xfId="43" applyFont="1" applyAlignment="1">
      <alignment vertical="center"/>
    </xf>
    <xf numFmtId="166" fontId="54" fillId="0" borderId="0" xfId="44" quotePrefix="1" applyNumberFormat="1" applyFont="1" applyAlignment="1">
      <alignment horizontal="center" vertical="center"/>
    </xf>
    <xf numFmtId="166" fontId="70" fillId="33" borderId="0" xfId="44" applyNumberFormat="1" applyFont="1" applyFill="1" applyAlignment="1">
      <alignment horizontal="center" vertical="center"/>
    </xf>
    <xf numFmtId="166" fontId="65" fillId="0" borderId="13" xfId="1" applyNumberFormat="1" applyFont="1" applyBorder="1"/>
    <xf numFmtId="166" fontId="54" fillId="0" borderId="21" xfId="1" quotePrefix="1" applyNumberFormat="1" applyFont="1" applyBorder="1" applyAlignment="1">
      <alignment horizontal="center" vertical="top"/>
    </xf>
    <xf numFmtId="166" fontId="54" fillId="0" borderId="21" xfId="1" applyNumberFormat="1" applyFont="1" applyBorder="1" applyAlignment="1">
      <alignment horizontal="right" vertical="top"/>
    </xf>
    <xf numFmtId="166" fontId="55" fillId="0" borderId="11" xfId="1" applyNumberFormat="1" applyFont="1" applyBorder="1" applyAlignment="1">
      <alignment horizontal="right" vertical="top"/>
    </xf>
    <xf numFmtId="166" fontId="55" fillId="0" borderId="21" xfId="1" applyNumberFormat="1" applyFont="1" applyBorder="1" applyAlignment="1">
      <alignment horizontal="right" vertical="top"/>
    </xf>
    <xf numFmtId="0" fontId="55" fillId="0" borderId="14" xfId="43" applyFont="1" applyBorder="1" applyAlignment="1">
      <alignment vertical="center"/>
    </xf>
    <xf numFmtId="0" fontId="55" fillId="0" borderId="16" xfId="43" applyFont="1" applyBorder="1" applyAlignment="1">
      <alignment horizontal="left" vertical="center"/>
    </xf>
    <xf numFmtId="0" fontId="55" fillId="0" borderId="19" xfId="43" applyFont="1" applyBorder="1" applyAlignment="1">
      <alignment horizontal="left" vertical="center"/>
    </xf>
    <xf numFmtId="0" fontId="55" fillId="0" borderId="20" xfId="43" applyFont="1" applyBorder="1" applyAlignment="1">
      <alignment horizontal="left" vertical="center"/>
    </xf>
    <xf numFmtId="0" fontId="54" fillId="0" borderId="13" xfId="43" applyFont="1" applyBorder="1" applyAlignment="1">
      <alignment horizontal="left" vertical="center"/>
    </xf>
    <xf numFmtId="0" fontId="71" fillId="0" borderId="21" xfId="0" applyFont="1" applyBorder="1" applyAlignment="1">
      <alignment horizontal="center"/>
    </xf>
    <xf numFmtId="43" fontId="54" fillId="0" borderId="21" xfId="1" quotePrefix="1" applyFont="1" applyBorder="1" applyAlignment="1">
      <alignment horizontal="center" vertical="center"/>
    </xf>
    <xf numFmtId="0" fontId="54" fillId="0" borderId="11" xfId="43" applyFont="1" applyBorder="1" applyAlignment="1">
      <alignment vertical="center"/>
    </xf>
    <xf numFmtId="0" fontId="54" fillId="0" borderId="13" xfId="43" applyFont="1" applyBorder="1" applyAlignment="1">
      <alignment vertical="center"/>
    </xf>
    <xf numFmtId="9" fontId="71" fillId="0" borderId="21" xfId="50" applyFont="1" applyBorder="1" applyAlignment="1">
      <alignment horizontal="center"/>
    </xf>
    <xf numFmtId="166" fontId="54" fillId="0" borderId="21" xfId="1" applyNumberFormat="1" applyFont="1" applyBorder="1" applyAlignment="1">
      <alignment vertical="center"/>
    </xf>
    <xf numFmtId="166" fontId="54" fillId="0" borderId="21" xfId="1" quotePrefix="1" applyNumberFormat="1" applyFont="1" applyBorder="1" applyAlignment="1">
      <alignment horizontal="center" vertical="center"/>
    </xf>
    <xf numFmtId="166" fontId="54" fillId="0" borderId="26" xfId="1" quotePrefix="1" applyNumberFormat="1" applyFont="1" applyBorder="1" applyAlignment="1">
      <alignment horizontal="center" vertical="center"/>
    </xf>
    <xf numFmtId="0" fontId="71" fillId="0" borderId="0" xfId="0" applyFont="1"/>
    <xf numFmtId="43" fontId="43" fillId="0" borderId="0" xfId="1" applyFont="1" applyAlignment="1">
      <alignment vertical="top"/>
    </xf>
    <xf numFmtId="0" fontId="71" fillId="0" borderId="0" xfId="0" applyFont="1" applyAlignment="1">
      <alignment horizontal="center" vertical="center"/>
    </xf>
    <xf numFmtId="166" fontId="72" fillId="0" borderId="21" xfId="1" applyNumberFormat="1" applyFont="1" applyBorder="1"/>
    <xf numFmtId="166" fontId="71" fillId="0" borderId="21" xfId="1" applyNumberFormat="1" applyFont="1" applyBorder="1"/>
    <xf numFmtId="1" fontId="72" fillId="0" borderId="21" xfId="1" applyNumberFormat="1" applyFont="1" applyBorder="1" applyAlignment="1">
      <alignment horizontal="center"/>
    </xf>
    <xf numFmtId="0" fontId="32" fillId="0" borderId="0" xfId="0" applyFont="1"/>
    <xf numFmtId="0" fontId="71" fillId="0" borderId="0" xfId="0" applyFont="1" applyAlignment="1">
      <alignment wrapText="1"/>
    </xf>
    <xf numFmtId="0" fontId="59" fillId="0" borderId="0" xfId="0" applyFont="1" applyAlignment="1">
      <alignment horizontal="left"/>
    </xf>
    <xf numFmtId="166" fontId="59" fillId="0" borderId="0" xfId="0" applyNumberFormat="1" applyFont="1"/>
    <xf numFmtId="0" fontId="58" fillId="37" borderId="13" xfId="0" applyFont="1" applyFill="1" applyBorder="1" applyAlignment="1">
      <alignment horizontal="left" vertical="top"/>
    </xf>
    <xf numFmtId="0" fontId="58" fillId="37" borderId="13" xfId="0" applyFont="1" applyFill="1" applyBorder="1" applyAlignment="1">
      <alignment horizontal="left" vertical="center" wrapText="1"/>
    </xf>
    <xf numFmtId="166" fontId="56" fillId="0" borderId="18" xfId="1" applyNumberFormat="1" applyFont="1" applyBorder="1" applyAlignment="1">
      <alignment horizontal="left" vertical="top"/>
    </xf>
    <xf numFmtId="43" fontId="56" fillId="0" borderId="18" xfId="1" applyFont="1" applyBorder="1" applyAlignment="1">
      <alignment horizontal="left" vertical="top"/>
    </xf>
    <xf numFmtId="43" fontId="58" fillId="0" borderId="13" xfId="1" applyFont="1" applyBorder="1" applyAlignment="1">
      <alignment horizontal="left" vertical="top"/>
    </xf>
    <xf numFmtId="43" fontId="58" fillId="0" borderId="16" xfId="1" applyFont="1" applyBorder="1" applyAlignment="1">
      <alignment horizontal="left" vertical="top"/>
    </xf>
    <xf numFmtId="43" fontId="58" fillId="0" borderId="18" xfId="1" applyFont="1" applyBorder="1" applyAlignment="1">
      <alignment horizontal="left" vertical="top"/>
    </xf>
    <xf numFmtId="43" fontId="56" fillId="0" borderId="20" xfId="1" applyFont="1" applyBorder="1" applyAlignment="1">
      <alignment horizontal="left" vertical="top"/>
    </xf>
    <xf numFmtId="0" fontId="59" fillId="0" borderId="0" xfId="0" applyFont="1" applyAlignment="1">
      <alignment wrapText="1"/>
    </xf>
    <xf numFmtId="0" fontId="63" fillId="0" borderId="17" xfId="0" applyFont="1" applyBorder="1" applyAlignment="1">
      <alignment horizontal="center" vertical="top"/>
    </xf>
    <xf numFmtId="0" fontId="63" fillId="0" borderId="14" xfId="0" applyFont="1" applyBorder="1" applyAlignment="1">
      <alignment horizontal="center"/>
    </xf>
    <xf numFmtId="0" fontId="63" fillId="0" borderId="15" xfId="0" applyFont="1" applyBorder="1" applyAlignment="1">
      <alignment horizontal="center"/>
    </xf>
    <xf numFmtId="166" fontId="63" fillId="0" borderId="16" xfId="1" applyNumberFormat="1" applyFont="1" applyBorder="1"/>
    <xf numFmtId="0" fontId="63" fillId="0" borderId="17" xfId="0" applyFont="1" applyBorder="1" applyAlignment="1">
      <alignment horizontal="center"/>
    </xf>
    <xf numFmtId="0" fontId="63" fillId="0" borderId="0" xfId="0" applyFont="1" applyAlignment="1">
      <alignment horizontal="center"/>
    </xf>
    <xf numFmtId="166" fontId="63" fillId="0" borderId="18" xfId="1" applyNumberFormat="1" applyFont="1" applyBorder="1"/>
    <xf numFmtId="43" fontId="63" fillId="0" borderId="17" xfId="1" applyFont="1" applyBorder="1" applyAlignment="1">
      <alignment horizontal="center"/>
    </xf>
    <xf numFmtId="43" fontId="66" fillId="0" borderId="11" xfId="1" applyFont="1" applyBorder="1" applyAlignment="1">
      <alignment horizontal="center"/>
    </xf>
    <xf numFmtId="43" fontId="66" fillId="0" borderId="17" xfId="1" applyFont="1" applyBorder="1" applyAlignment="1">
      <alignment horizontal="center"/>
    </xf>
    <xf numFmtId="43" fontId="63" fillId="0" borderId="17" xfId="1" applyFont="1" applyBorder="1"/>
    <xf numFmtId="43" fontId="66" fillId="0" borderId="11" xfId="1" applyFont="1" applyBorder="1"/>
    <xf numFmtId="0" fontId="66" fillId="0" borderId="17" xfId="0" applyFont="1" applyBorder="1"/>
    <xf numFmtId="43" fontId="66" fillId="0" borderId="17" xfId="1" applyFont="1" applyBorder="1"/>
    <xf numFmtId="0" fontId="63" fillId="0" borderId="17" xfId="0" applyFont="1" applyBorder="1"/>
    <xf numFmtId="43" fontId="63" fillId="0" borderId="17" xfId="1" applyFont="1" applyBorder="1" applyAlignment="1">
      <alignment horizontal="center" vertical="center"/>
    </xf>
    <xf numFmtId="43" fontId="66" fillId="0" borderId="14" xfId="1" applyFont="1" applyBorder="1"/>
    <xf numFmtId="166" fontId="71" fillId="0" borderId="0" xfId="0" applyNumberFormat="1" applyFont="1"/>
    <xf numFmtId="0" fontId="63" fillId="0" borderId="0" xfId="0" applyFont="1" applyAlignment="1">
      <alignment horizontal="center" vertical="top"/>
    </xf>
    <xf numFmtId="0" fontId="63" fillId="0" borderId="18" xfId="0" applyFont="1" applyBorder="1" applyAlignment="1">
      <alignment horizontal="center" vertical="top"/>
    </xf>
    <xf numFmtId="166" fontId="63" fillId="0" borderId="17" xfId="1" applyNumberFormat="1" applyFont="1" applyBorder="1" applyAlignment="1">
      <alignment horizontal="center" vertical="top"/>
    </xf>
    <xf numFmtId="166" fontId="71" fillId="0" borderId="17" xfId="1" applyNumberFormat="1" applyFont="1" applyBorder="1"/>
    <xf numFmtId="166" fontId="66" fillId="0" borderId="11" xfId="1" applyNumberFormat="1" applyFont="1" applyBorder="1" applyAlignment="1">
      <alignment horizontal="center" vertical="top"/>
    </xf>
    <xf numFmtId="166" fontId="66" fillId="0" borderId="17" xfId="1" applyNumberFormat="1" applyFont="1" applyBorder="1" applyAlignment="1">
      <alignment horizontal="center" vertical="top"/>
    </xf>
    <xf numFmtId="166" fontId="63" fillId="0" borderId="19" xfId="1" applyNumberFormat="1" applyFont="1" applyBorder="1" applyAlignment="1">
      <alignment horizontal="center" vertical="top"/>
    </xf>
    <xf numFmtId="166" fontId="66" fillId="0" borderId="11" xfId="1" applyNumberFormat="1" applyFont="1" applyBorder="1" applyAlignment="1">
      <alignment vertical="top"/>
    </xf>
    <xf numFmtId="166" fontId="63" fillId="0" borderId="17" xfId="1" applyNumberFormat="1" applyFont="1" applyBorder="1" applyAlignment="1">
      <alignment vertical="top"/>
    </xf>
    <xf numFmtId="43" fontId="53" fillId="0" borderId="0" xfId="1" applyFont="1"/>
    <xf numFmtId="43" fontId="53" fillId="0" borderId="0" xfId="1" applyFont="1" applyAlignment="1">
      <alignment vertical="center"/>
    </xf>
    <xf numFmtId="0" fontId="51" fillId="0" borderId="0" xfId="0" applyFont="1" applyAlignment="1">
      <alignment horizontal="center" vertical="top"/>
    </xf>
    <xf numFmtId="43" fontId="51" fillId="37" borderId="21" xfId="1" applyFont="1" applyFill="1" applyBorder="1" applyAlignment="1">
      <alignment horizontal="center" vertical="center"/>
    </xf>
    <xf numFmtId="0" fontId="54" fillId="0" borderId="17" xfId="0" applyFont="1" applyBorder="1" applyAlignment="1">
      <alignment horizontal="justify" wrapText="1"/>
    </xf>
    <xf numFmtId="0" fontId="51" fillId="37" borderId="21" xfId="0" applyFont="1" applyFill="1" applyBorder="1" applyAlignment="1">
      <alignment horizontal="center" vertical="center"/>
    </xf>
    <xf numFmtId="15" fontId="69" fillId="33" borderId="0" xfId="66" quotePrefix="1" applyNumberFormat="1" applyFont="1" applyFill="1" applyAlignment="1">
      <alignment horizontal="center" vertical="center" wrapText="1"/>
    </xf>
    <xf numFmtId="0" fontId="55" fillId="0" borderId="0" xfId="43" applyFont="1" applyAlignment="1">
      <alignment horizontal="left" vertical="top" wrapText="1"/>
    </xf>
    <xf numFmtId="0" fontId="67" fillId="0" borderId="0" xfId="0" applyFont="1" applyAlignment="1">
      <alignment horizontal="center"/>
    </xf>
    <xf numFmtId="0" fontId="56" fillId="0" borderId="0" xfId="0" applyFont="1" applyAlignment="1">
      <alignment vertical="top"/>
    </xf>
    <xf numFmtId="43" fontId="58" fillId="0" borderId="15" xfId="0" applyNumberFormat="1" applyFont="1" applyBorder="1" applyAlignment="1">
      <alignment horizontal="center" vertical="top" wrapText="1"/>
    </xf>
    <xf numFmtId="0" fontId="32" fillId="0" borderId="15" xfId="0" applyFont="1" applyBorder="1" applyAlignment="1">
      <alignment horizontal="center" vertical="top"/>
    </xf>
    <xf numFmtId="166" fontId="54" fillId="0" borderId="22" xfId="1" applyNumberFormat="1" applyFont="1" applyBorder="1" applyAlignment="1">
      <alignment horizontal="center" vertical="center"/>
    </xf>
    <xf numFmtId="43" fontId="44" fillId="0" borderId="0" xfId="1" applyFont="1"/>
    <xf numFmtId="1" fontId="71" fillId="0" borderId="0" xfId="0" applyNumberFormat="1" applyFont="1"/>
    <xf numFmtId="43" fontId="22" fillId="0" borderId="0" xfId="1" applyFont="1" applyAlignment="1">
      <alignment vertical="top" wrapText="1"/>
    </xf>
    <xf numFmtId="43" fontId="26" fillId="0" borderId="0" xfId="1" applyFont="1" applyAlignment="1">
      <alignment vertical="top" wrapText="1"/>
    </xf>
    <xf numFmtId="43" fontId="22" fillId="0" borderId="0" xfId="0" applyNumberFormat="1" applyFont="1" applyAlignment="1">
      <alignment vertical="top" wrapText="1"/>
    </xf>
    <xf numFmtId="0" fontId="22" fillId="0" borderId="0" xfId="0" applyFont="1" applyAlignment="1">
      <alignment vertical="top" wrapText="1"/>
    </xf>
    <xf numFmtId="0" fontId="58" fillId="0" borderId="0" xfId="0" applyFont="1" applyAlignment="1">
      <alignment horizontal="left" vertical="top"/>
    </xf>
    <xf numFmtId="43" fontId="56" fillId="0" borderId="0" xfId="0" applyNumberFormat="1" applyFont="1" applyAlignment="1">
      <alignment vertical="top" wrapText="1"/>
    </xf>
    <xf numFmtId="0" fontId="56" fillId="0" borderId="0" xfId="0" applyFont="1" applyAlignment="1">
      <alignment vertical="top" wrapText="1"/>
    </xf>
    <xf numFmtId="0" fontId="59" fillId="0" borderId="0" xfId="0" applyFont="1" applyAlignment="1">
      <alignment vertical="top" wrapText="1"/>
    </xf>
    <xf numFmtId="0" fontId="54" fillId="0" borderId="27" xfId="43" applyFont="1" applyBorder="1" applyAlignment="1">
      <alignment vertical="top"/>
    </xf>
    <xf numFmtId="0" fontId="54" fillId="0" borderId="28" xfId="43" applyFont="1" applyBorder="1" applyAlignment="1">
      <alignment vertical="top"/>
    </xf>
    <xf numFmtId="166" fontId="51" fillId="0" borderId="0" xfId="1" applyNumberFormat="1" applyFont="1" applyAlignment="1">
      <alignment horizontal="center" vertical="center"/>
    </xf>
    <xf numFmtId="0" fontId="66" fillId="0" borderId="17" xfId="0" applyFont="1" applyBorder="1" applyAlignment="1">
      <alignment vertical="top"/>
    </xf>
    <xf numFmtId="0" fontId="58" fillId="0" borderId="0" xfId="0" applyFont="1"/>
    <xf numFmtId="0" fontId="22" fillId="0" borderId="0" xfId="0" applyFont="1" applyAlignment="1">
      <alignment wrapText="1"/>
    </xf>
    <xf numFmtId="0" fontId="63" fillId="0" borderId="17" xfId="0" applyFont="1" applyBorder="1" applyAlignment="1">
      <alignment vertical="top"/>
    </xf>
    <xf numFmtId="0" fontId="51" fillId="0" borderId="18" xfId="0" applyFont="1" applyBorder="1"/>
    <xf numFmtId="0" fontId="54" fillId="0" borderId="18" xfId="0" quotePrefix="1" applyFont="1" applyBorder="1" applyAlignment="1">
      <alignment horizontal="left" indent="3"/>
    </xf>
    <xf numFmtId="0" fontId="54" fillId="0" borderId="18" xfId="0" quotePrefix="1" applyFont="1" applyBorder="1" applyAlignment="1">
      <alignment horizontal="left" vertical="top" indent="3"/>
    </xf>
    <xf numFmtId="0" fontId="66" fillId="0" borderId="18" xfId="0" applyFont="1" applyBorder="1" applyAlignment="1">
      <alignment vertical="top"/>
    </xf>
    <xf numFmtId="0" fontId="51" fillId="0" borderId="18" xfId="0" applyFont="1" applyBorder="1" applyAlignment="1">
      <alignment vertical="top"/>
    </xf>
    <xf numFmtId="0" fontId="55" fillId="0" borderId="18" xfId="0" applyFont="1" applyBorder="1"/>
    <xf numFmtId="0" fontId="54" fillId="0" borderId="20" xfId="0" quotePrefix="1" applyFont="1" applyBorder="1" applyAlignment="1">
      <alignment horizontal="left" indent="3"/>
    </xf>
    <xf numFmtId="0" fontId="63" fillId="0" borderId="19" xfId="0" applyFont="1" applyBorder="1"/>
    <xf numFmtId="0" fontId="55" fillId="0" borderId="20" xfId="0" applyFont="1" applyBorder="1"/>
    <xf numFmtId="0" fontId="22" fillId="0" borderId="14" xfId="0" applyFont="1" applyBorder="1"/>
    <xf numFmtId="0" fontId="54" fillId="0" borderId="18" xfId="0" applyFont="1" applyBorder="1"/>
    <xf numFmtId="0" fontId="51" fillId="0" borderId="15" xfId="0" applyFont="1" applyBorder="1"/>
    <xf numFmtId="0" fontId="54" fillId="0" borderId="10" xfId="0" applyFont="1" applyBorder="1"/>
    <xf numFmtId="0" fontId="54" fillId="0" borderId="18" xfId="0" applyFont="1" applyBorder="1" applyAlignment="1">
      <alignment vertical="top"/>
    </xf>
    <xf numFmtId="166" fontId="55" fillId="0" borderId="15" xfId="1" applyNumberFormat="1" applyFont="1" applyBorder="1"/>
    <xf numFmtId="0" fontId="63" fillId="0" borderId="19" xfId="0" applyFont="1" applyBorder="1" applyAlignment="1">
      <alignment vertical="top"/>
    </xf>
    <xf numFmtId="0" fontId="54" fillId="0" borderId="19" xfId="0" applyFont="1" applyBorder="1" applyAlignment="1">
      <alignment vertical="top"/>
    </xf>
    <xf numFmtId="0" fontId="66" fillId="0" borderId="18" xfId="0" applyFont="1" applyBorder="1"/>
    <xf numFmtId="0" fontId="54" fillId="0" borderId="18" xfId="0" quotePrefix="1" applyFont="1" applyBorder="1" applyAlignment="1">
      <alignment horizontal="left" vertical="top"/>
    </xf>
    <xf numFmtId="0" fontId="54" fillId="0" borderId="20" xfId="0" applyFont="1" applyBorder="1" applyAlignment="1">
      <alignment vertical="top"/>
    </xf>
    <xf numFmtId="0" fontId="63" fillId="0" borderId="20" xfId="0" applyFont="1" applyBorder="1"/>
    <xf numFmtId="0" fontId="63" fillId="0" borderId="20" xfId="0" applyFont="1" applyBorder="1" applyAlignment="1">
      <alignment vertical="top"/>
    </xf>
    <xf numFmtId="0" fontId="22" fillId="0" borderId="17" xfId="0" applyFont="1" applyBorder="1" applyAlignment="1">
      <alignment vertical="top"/>
    </xf>
    <xf numFmtId="0" fontId="43" fillId="0" borderId="20" xfId="0" applyFont="1" applyBorder="1" applyAlignment="1">
      <alignment vertical="top"/>
    </xf>
    <xf numFmtId="0" fontId="22" fillId="0" borderId="19" xfId="0" applyFont="1" applyBorder="1" applyAlignment="1">
      <alignment vertical="top"/>
    </xf>
    <xf numFmtId="0" fontId="66" fillId="0" borderId="17" xfId="0" applyFont="1" applyBorder="1" applyAlignment="1">
      <alignment horizontal="left" wrapText="1" indent="10"/>
    </xf>
    <xf numFmtId="0" fontId="63" fillId="0" borderId="18" xfId="0" applyFont="1" applyBorder="1" applyAlignment="1">
      <alignment vertical="top"/>
    </xf>
    <xf numFmtId="0" fontId="51" fillId="0" borderId="0" xfId="0" applyFont="1" applyAlignment="1">
      <alignment horizontal="left"/>
    </xf>
    <xf numFmtId="0" fontId="53" fillId="0" borderId="0" xfId="43" applyFont="1" applyAlignment="1">
      <alignment vertical="center"/>
    </xf>
    <xf numFmtId="0" fontId="53" fillId="0" borderId="17" xfId="43" applyFont="1" applyBorder="1" applyAlignment="1">
      <alignment vertical="center"/>
    </xf>
    <xf numFmtId="0" fontId="62" fillId="37" borderId="19" xfId="43" applyFont="1" applyFill="1" applyBorder="1" applyAlignment="1">
      <alignment horizontal="center" vertical="center"/>
    </xf>
    <xf numFmtId="0" fontId="62" fillId="37" borderId="10" xfId="43" applyFont="1" applyFill="1" applyBorder="1" applyAlignment="1">
      <alignment horizontal="center" vertical="center"/>
    </xf>
    <xf numFmtId="0" fontId="62" fillId="37" borderId="20" xfId="43" applyFont="1" applyFill="1" applyBorder="1" applyAlignment="1">
      <alignment horizontal="center" vertical="center"/>
    </xf>
    <xf numFmtId="166" fontId="65" fillId="0" borderId="17" xfId="1" applyNumberFormat="1" applyFont="1" applyBorder="1" applyAlignment="1">
      <alignment horizontal="right" vertical="center" indent="1"/>
    </xf>
    <xf numFmtId="0" fontId="62" fillId="37" borderId="21" xfId="66" applyFont="1" applyFill="1" applyBorder="1" applyAlignment="1">
      <alignment horizontal="center" vertical="center" wrapText="1"/>
    </xf>
    <xf numFmtId="0" fontId="62" fillId="37" borderId="13" xfId="66" applyFont="1" applyFill="1" applyBorder="1" applyAlignment="1">
      <alignment horizontal="center" vertical="center" wrapText="1"/>
    </xf>
    <xf numFmtId="0" fontId="62" fillId="0" borderId="14" xfId="66" applyFont="1" applyBorder="1"/>
    <xf numFmtId="0" fontId="62" fillId="0" borderId="11" xfId="66" applyFont="1" applyBorder="1" applyAlignment="1">
      <alignment wrapText="1"/>
    </xf>
    <xf numFmtId="0" fontId="62" fillId="33" borderId="17" xfId="66" applyFont="1" applyFill="1" applyBorder="1"/>
    <xf numFmtId="0" fontId="51" fillId="0" borderId="21" xfId="43" applyFont="1" applyBorder="1" applyAlignment="1">
      <alignment horizontal="center" vertical="center" wrapText="1"/>
    </xf>
    <xf numFmtId="0" fontId="51" fillId="0" borderId="21" xfId="43" applyFont="1" applyBorder="1" applyAlignment="1">
      <alignment horizontal="center" vertical="center"/>
    </xf>
    <xf numFmtId="166" fontId="32" fillId="0" borderId="21" xfId="1" applyNumberFormat="1" applyFont="1" applyBorder="1" applyAlignment="1">
      <alignment horizontal="center"/>
    </xf>
    <xf numFmtId="166" fontId="32" fillId="0" borderId="21" xfId="1" applyNumberFormat="1" applyFont="1" applyBorder="1" applyAlignment="1">
      <alignment vertical="center"/>
    </xf>
    <xf numFmtId="166" fontId="58" fillId="0" borderId="21" xfId="1" applyNumberFormat="1" applyFont="1" applyBorder="1" applyAlignment="1">
      <alignment horizontal="center" vertical="center" wrapText="1"/>
    </xf>
    <xf numFmtId="166" fontId="32" fillId="0" borderId="21" xfId="1" applyNumberFormat="1" applyFont="1" applyBorder="1"/>
    <xf numFmtId="0" fontId="51" fillId="37" borderId="21" xfId="43" applyFont="1" applyFill="1" applyBorder="1" applyAlignment="1">
      <alignment horizontal="center" vertical="center"/>
    </xf>
    <xf numFmtId="0" fontId="51" fillId="0" borderId="21" xfId="43" applyFont="1" applyBorder="1" applyAlignment="1">
      <alignment horizontal="left" vertical="center"/>
    </xf>
    <xf numFmtId="0" fontId="51" fillId="0" borderId="23" xfId="43" quotePrefix="1" applyFont="1" applyBorder="1" applyAlignment="1">
      <alignment horizontal="left" vertical="center"/>
    </xf>
    <xf numFmtId="0" fontId="51" fillId="0" borderId="23" xfId="43" applyFont="1" applyBorder="1" applyAlignment="1">
      <alignment horizontal="left" vertical="center" wrapText="1"/>
    </xf>
    <xf numFmtId="15" fontId="51" fillId="0" borderId="21" xfId="66" quotePrefix="1" applyNumberFormat="1" applyFont="1" applyBorder="1" applyAlignment="1">
      <alignment horizontal="center" vertical="center"/>
    </xf>
    <xf numFmtId="0" fontId="51" fillId="0" borderId="21" xfId="68" quotePrefix="1" applyFont="1" applyBorder="1" applyAlignment="1">
      <alignment horizontal="center" vertical="top"/>
    </xf>
    <xf numFmtId="0" fontId="51" fillId="0" borderId="11" xfId="68" quotePrefix="1" applyFont="1" applyBorder="1" applyAlignment="1">
      <alignment horizontal="center" vertical="top"/>
    </xf>
    <xf numFmtId="0" fontId="51" fillId="0" borderId="12" xfId="68" applyFont="1" applyBorder="1" applyAlignment="1">
      <alignment horizontal="center" vertical="top"/>
    </xf>
    <xf numFmtId="0" fontId="51" fillId="0" borderId="11" xfId="43" quotePrefix="1" applyFont="1" applyBorder="1" applyAlignment="1">
      <alignment horizontal="center" vertical="center"/>
    </xf>
    <xf numFmtId="0" fontId="51" fillId="0" borderId="21" xfId="43" quotePrefix="1" applyFont="1" applyBorder="1" applyAlignment="1">
      <alignment horizontal="center" vertical="center"/>
    </xf>
    <xf numFmtId="0" fontId="51" fillId="0" borderId="11" xfId="43" applyFont="1" applyBorder="1" applyAlignment="1">
      <alignment horizontal="left" vertical="center"/>
    </xf>
    <xf numFmtId="0" fontId="63" fillId="0" borderId="18" xfId="43" applyFont="1" applyBorder="1" applyAlignment="1">
      <alignment vertical="center"/>
    </xf>
    <xf numFmtId="0" fontId="66" fillId="0" borderId="17" xfId="43" applyFont="1" applyBorder="1" applyAlignment="1">
      <alignment horizontal="left" vertical="center"/>
    </xf>
    <xf numFmtId="0" fontId="61" fillId="0" borderId="0" xfId="0" applyFont="1"/>
    <xf numFmtId="0" fontId="71" fillId="0" borderId="18" xfId="0" applyFont="1" applyBorder="1" applyAlignment="1">
      <alignment horizontal="center"/>
    </xf>
    <xf numFmtId="166" fontId="63" fillId="0" borderId="18" xfId="0" applyNumberFormat="1" applyFont="1" applyBorder="1" applyAlignment="1">
      <alignment horizontal="center" vertical="top"/>
    </xf>
    <xf numFmtId="0" fontId="63" fillId="0" borderId="20" xfId="0" applyFont="1" applyBorder="1" applyAlignment="1">
      <alignment horizontal="center" vertical="top"/>
    </xf>
    <xf numFmtId="0" fontId="54" fillId="0" borderId="18" xfId="0" applyFont="1" applyBorder="1" applyAlignment="1">
      <alignment horizontal="left" vertical="top" indent="2"/>
    </xf>
    <xf numFmtId="0" fontId="66" fillId="0" borderId="18" xfId="0" applyFont="1" applyBorder="1" applyAlignment="1">
      <alignment horizontal="center" vertical="top"/>
    </xf>
    <xf numFmtId="0" fontId="54" fillId="0" borderId="18" xfId="0" applyFont="1" applyBorder="1" applyAlignment="1">
      <alignment horizontal="left" vertical="top" wrapText="1" indent="2"/>
    </xf>
    <xf numFmtId="0" fontId="51" fillId="0" borderId="18" xfId="0" applyFont="1" applyBorder="1" applyAlignment="1">
      <alignment horizontal="left" vertical="top"/>
    </xf>
    <xf numFmtId="0" fontId="63" fillId="0" borderId="18" xfId="0" applyFont="1" applyBorder="1" applyAlignment="1">
      <alignment horizontal="left" vertical="top" indent="1"/>
    </xf>
    <xf numFmtId="166" fontId="63" fillId="0" borderId="18" xfId="0" applyNumberFormat="1" applyFont="1" applyBorder="1" applyAlignment="1">
      <alignment vertical="top"/>
    </xf>
    <xf numFmtId="0" fontId="51" fillId="0" borderId="18" xfId="0" applyFont="1" applyBorder="1" applyAlignment="1">
      <alignment vertical="top" wrapText="1"/>
    </xf>
    <xf numFmtId="0" fontId="54" fillId="0" borderId="18" xfId="0" applyFont="1" applyBorder="1" applyAlignment="1">
      <alignment vertical="top" wrapText="1"/>
    </xf>
    <xf numFmtId="0" fontId="71" fillId="0" borderId="17" xfId="0" applyFont="1" applyBorder="1"/>
    <xf numFmtId="0" fontId="71" fillId="0" borderId="19" xfId="0" applyFont="1" applyBorder="1"/>
    <xf numFmtId="0" fontId="51" fillId="0" borderId="20" xfId="0" applyFont="1" applyBorder="1" applyAlignment="1">
      <alignment vertical="top" wrapText="1"/>
    </xf>
    <xf numFmtId="0" fontId="63" fillId="0" borderId="18" xfId="0" applyFont="1" applyBorder="1" applyAlignment="1">
      <alignment horizontal="center"/>
    </xf>
    <xf numFmtId="0" fontId="63" fillId="0" borderId="18" xfId="0" applyFont="1" applyBorder="1"/>
    <xf numFmtId="0" fontId="63" fillId="0" borderId="18" xfId="0" applyFont="1" applyBorder="1" applyAlignment="1">
      <alignment horizontal="center" vertical="center"/>
    </xf>
    <xf numFmtId="0" fontId="66" fillId="0" borderId="20" xfId="0" applyFont="1" applyBorder="1"/>
    <xf numFmtId="0" fontId="51" fillId="37" borderId="13" xfId="0" applyFont="1" applyFill="1" applyBorder="1" applyAlignment="1">
      <alignment horizontal="center" vertical="center" wrapText="1"/>
    </xf>
    <xf numFmtId="0" fontId="55" fillId="0" borderId="18" xfId="0" applyFont="1" applyBorder="1" applyAlignment="1">
      <alignment vertical="center"/>
    </xf>
    <xf numFmtId="0" fontId="51" fillId="0" borderId="18" xfId="0" applyFont="1" applyBorder="1" applyAlignment="1">
      <alignment horizontal="left" vertical="center" indent="1"/>
    </xf>
    <xf numFmtId="49" fontId="54" fillId="0" borderId="18" xfId="0" applyNumberFormat="1" applyFont="1" applyBorder="1" applyAlignment="1">
      <alignment horizontal="left" vertical="top" indent="4"/>
    </xf>
    <xf numFmtId="0" fontId="54" fillId="0" borderId="18" xfId="0" applyFont="1" applyBorder="1" applyAlignment="1">
      <alignment horizontal="left" vertical="top" indent="4"/>
    </xf>
    <xf numFmtId="0" fontId="54" fillId="0" borderId="18" xfId="0" applyFont="1" applyBorder="1" applyAlignment="1">
      <alignment horizontal="left" indent="4"/>
    </xf>
    <xf numFmtId="0" fontId="51" fillId="0" borderId="18" xfId="0" applyFont="1" applyBorder="1" applyAlignment="1">
      <alignment horizontal="left" indent="3"/>
    </xf>
    <xf numFmtId="0" fontId="66" fillId="0" borderId="18" xfId="0" applyFont="1" applyBorder="1" applyAlignment="1">
      <alignment horizontal="left" indent="1"/>
    </xf>
    <xf numFmtId="0" fontId="51" fillId="0" borderId="18" xfId="0" applyFont="1" applyBorder="1" applyAlignment="1">
      <alignment horizontal="left" indent="1"/>
    </xf>
    <xf numFmtId="0" fontId="51" fillId="0" borderId="18" xfId="0" applyFont="1" applyBorder="1" applyAlignment="1">
      <alignment horizontal="center" vertical="center"/>
    </xf>
    <xf numFmtId="0" fontId="54" fillId="0" borderId="18" xfId="0" applyFont="1" applyBorder="1" applyAlignment="1">
      <alignment horizontal="left" vertical="center" indent="4"/>
    </xf>
    <xf numFmtId="0" fontId="66" fillId="0" borderId="18" xfId="0" applyFont="1" applyBorder="1" applyAlignment="1">
      <alignment horizontal="left" indent="2"/>
    </xf>
    <xf numFmtId="0" fontId="55" fillId="0" borderId="18" xfId="0" applyFont="1" applyBorder="1" applyAlignment="1">
      <alignment horizontal="left" indent="1"/>
    </xf>
    <xf numFmtId="0" fontId="51" fillId="0" borderId="20" xfId="0" applyFont="1" applyBorder="1" applyAlignment="1">
      <alignment horizontal="center"/>
    </xf>
    <xf numFmtId="0" fontId="32" fillId="0" borderId="15" xfId="0" applyFont="1" applyBorder="1" applyAlignment="1">
      <alignment horizontal="center" vertical="center"/>
    </xf>
    <xf numFmtId="43" fontId="53" fillId="0" borderId="0" xfId="0" applyNumberFormat="1" applyFont="1" applyAlignment="1">
      <alignment vertical="center"/>
    </xf>
    <xf numFmtId="4" fontId="53" fillId="0" borderId="0" xfId="0" applyNumberFormat="1" applyFont="1" applyAlignment="1">
      <alignment vertical="center"/>
    </xf>
    <xf numFmtId="0" fontId="53" fillId="0" borderId="25" xfId="0" applyFont="1" applyBorder="1" applyAlignment="1">
      <alignment vertical="center"/>
    </xf>
    <xf numFmtId="166" fontId="53" fillId="0" borderId="25" xfId="0" applyNumberFormat="1" applyFont="1" applyBorder="1" applyAlignment="1">
      <alignment vertical="center"/>
    </xf>
    <xf numFmtId="0" fontId="56" fillId="0" borderId="0" xfId="43" applyFont="1" applyAlignment="1">
      <alignment horizontal="left" vertical="center"/>
    </xf>
    <xf numFmtId="0" fontId="52" fillId="0" borderId="0" xfId="0" applyFont="1"/>
    <xf numFmtId="0" fontId="74" fillId="0" borderId="0" xfId="0" applyFont="1"/>
    <xf numFmtId="0" fontId="68" fillId="0" borderId="0" xfId="0" applyFont="1"/>
    <xf numFmtId="43" fontId="68" fillId="0" borderId="0" xfId="0" applyNumberFormat="1" applyFont="1"/>
    <xf numFmtId="0" fontId="65" fillId="0" borderId="0" xfId="43" applyFont="1" applyAlignment="1">
      <alignment horizontal="left" vertical="center"/>
    </xf>
    <xf numFmtId="0" fontId="68" fillId="0" borderId="0" xfId="43" applyFont="1" applyAlignment="1">
      <alignment horizontal="left" vertical="center"/>
    </xf>
    <xf numFmtId="0" fontId="65" fillId="0" borderId="0" xfId="43" applyFont="1" applyAlignment="1">
      <alignment vertical="top"/>
    </xf>
    <xf numFmtId="0" fontId="68" fillId="0" borderId="0" xfId="66" applyFont="1"/>
    <xf numFmtId="49" fontId="62" fillId="0" borderId="0" xfId="0" applyNumberFormat="1" applyFont="1" applyAlignment="1">
      <alignment horizontal="center"/>
    </xf>
    <xf numFmtId="0" fontId="54" fillId="0" borderId="0" xfId="43" applyFont="1" applyAlignment="1">
      <alignment horizontal="left" vertical="center"/>
    </xf>
    <xf numFmtId="0" fontId="54" fillId="0" borderId="0" xfId="43" applyFont="1" applyAlignment="1">
      <alignment horizontal="left" vertical="center" indent="2"/>
    </xf>
    <xf numFmtId="0" fontId="54" fillId="0" borderId="0" xfId="43" applyFont="1" applyAlignment="1">
      <alignment vertical="top" wrapText="1"/>
    </xf>
    <xf numFmtId="0" fontId="53" fillId="0" borderId="0" xfId="43" applyFont="1" applyAlignment="1">
      <alignment horizontal="justify" vertical="top" wrapText="1"/>
    </xf>
    <xf numFmtId="0" fontId="54" fillId="0" borderId="0" xfId="43" applyFont="1" applyAlignment="1">
      <alignment horizontal="justify" vertical="top" wrapText="1"/>
    </xf>
    <xf numFmtId="0" fontId="65" fillId="0" borderId="0" xfId="66" applyFont="1" applyAlignment="1">
      <alignment vertical="top"/>
    </xf>
    <xf numFmtId="0" fontId="54" fillId="0" borderId="0" xfId="43" applyFont="1" applyAlignment="1">
      <alignment horizontal="left" vertical="top" wrapText="1"/>
    </xf>
    <xf numFmtId="166" fontId="54" fillId="0" borderId="0" xfId="44" applyNumberFormat="1" applyFont="1" applyAlignment="1">
      <alignment vertical="center"/>
    </xf>
    <xf numFmtId="166" fontId="54" fillId="0" borderId="0" xfId="43" applyNumberFormat="1" applyFont="1" applyAlignment="1">
      <alignment vertical="center"/>
    </xf>
    <xf numFmtId="0" fontId="57" fillId="0" borderId="0" xfId="0" applyFont="1" applyAlignment="1">
      <alignment horizontal="center"/>
    </xf>
    <xf numFmtId="0" fontId="66" fillId="0" borderId="0" xfId="43" applyFont="1" applyAlignment="1">
      <alignment horizontal="left" vertical="center" indent="3"/>
    </xf>
    <xf numFmtId="0" fontId="63" fillId="0" borderId="0" xfId="43" applyFont="1" applyAlignment="1">
      <alignment vertical="center" wrapText="1"/>
    </xf>
    <xf numFmtId="0" fontId="63" fillId="0" borderId="0" xfId="43" applyFont="1" applyAlignment="1">
      <alignment vertical="center"/>
    </xf>
    <xf numFmtId="0" fontId="32" fillId="0" borderId="0" xfId="0" applyFont="1" applyAlignment="1">
      <alignment horizontal="left" vertical="center"/>
    </xf>
    <xf numFmtId="0" fontId="59" fillId="0" borderId="0" xfId="0" applyFont="1" applyAlignment="1">
      <alignment horizontal="center" vertical="center"/>
    </xf>
    <xf numFmtId="166" fontId="55" fillId="0" borderId="0" xfId="1" applyNumberFormat="1" applyFont="1" applyAlignment="1">
      <alignment horizontal="center"/>
    </xf>
    <xf numFmtId="0" fontId="54" fillId="0" borderId="0" xfId="43" applyFont="1" applyAlignment="1">
      <alignment horizontal="left" vertical="center" indent="7"/>
    </xf>
    <xf numFmtId="166" fontId="54" fillId="0" borderId="0" xfId="1" applyNumberFormat="1" applyFont="1" applyAlignment="1">
      <alignment horizontal="center"/>
    </xf>
    <xf numFmtId="166" fontId="55" fillId="0" borderId="12" xfId="1" applyNumberFormat="1" applyFont="1" applyBorder="1" applyAlignment="1">
      <alignment horizontal="center"/>
    </xf>
    <xf numFmtId="166" fontId="54" fillId="0" borderId="0" xfId="1" applyNumberFormat="1" applyFont="1" applyAlignment="1">
      <alignment horizontal="center" vertical="center"/>
    </xf>
    <xf numFmtId="43" fontId="54" fillId="0" borderId="0" xfId="0" applyNumberFormat="1" applyFont="1" applyAlignment="1">
      <alignment horizontal="center" vertical="top"/>
    </xf>
    <xf numFmtId="166" fontId="54" fillId="0" borderId="0" xfId="1" applyNumberFormat="1" applyFont="1" applyAlignment="1">
      <alignment horizontal="center" vertical="top"/>
    </xf>
    <xf numFmtId="166" fontId="55" fillId="0" borderId="12" xfId="1" applyNumberFormat="1" applyFont="1" applyBorder="1" applyAlignment="1">
      <alignment horizontal="center" vertical="top"/>
    </xf>
    <xf numFmtId="166" fontId="55" fillId="0" borderId="0" xfId="1" applyNumberFormat="1" applyFont="1" applyAlignment="1">
      <alignment horizontal="center" vertical="top"/>
    </xf>
    <xf numFmtId="166" fontId="54" fillId="0" borderId="17" xfId="1" applyNumberFormat="1" applyFont="1" applyBorder="1" applyAlignment="1">
      <alignment horizontal="center" vertical="top"/>
    </xf>
    <xf numFmtId="166" fontId="55" fillId="0" borderId="11" xfId="1" applyNumberFormat="1" applyFont="1" applyBorder="1" applyAlignment="1">
      <alignment horizontal="center" vertical="top"/>
    </xf>
    <xf numFmtId="166" fontId="55" fillId="0" borderId="17" xfId="1" applyNumberFormat="1" applyFont="1" applyBorder="1" applyAlignment="1">
      <alignment horizontal="center" vertical="top"/>
    </xf>
    <xf numFmtId="166" fontId="54" fillId="0" borderId="10" xfId="1" applyNumberFormat="1" applyFont="1" applyBorder="1" applyAlignment="1">
      <alignment horizontal="center" vertical="top"/>
    </xf>
    <xf numFmtId="166" fontId="55" fillId="0" borderId="12" xfId="1" applyNumberFormat="1" applyFont="1" applyBorder="1" applyAlignment="1">
      <alignment vertical="top"/>
    </xf>
    <xf numFmtId="0" fontId="54" fillId="0" borderId="14" xfId="0" applyFont="1" applyBorder="1" applyAlignment="1">
      <alignment horizontal="center" vertical="center"/>
    </xf>
    <xf numFmtId="0" fontId="54" fillId="0" borderId="22" xfId="0" applyFont="1" applyBorder="1" applyAlignment="1">
      <alignment horizontal="center" vertical="center"/>
    </xf>
    <xf numFmtId="0" fontId="54" fillId="0" borderId="17" xfId="0" applyFont="1" applyBorder="1" applyAlignment="1">
      <alignment horizontal="center" vertical="center"/>
    </xf>
    <xf numFmtId="4" fontId="54" fillId="0" borderId="17" xfId="0" applyNumberFormat="1" applyFont="1" applyBorder="1" applyAlignment="1">
      <alignment horizontal="center" vertical="center"/>
    </xf>
    <xf numFmtId="10" fontId="54" fillId="0" borderId="17" xfId="50" applyNumberFormat="1" applyFont="1" applyBorder="1" applyAlignment="1">
      <alignment horizontal="center" vertical="center"/>
    </xf>
    <xf numFmtId="10" fontId="54" fillId="0" borderId="23" xfId="0" applyNumberFormat="1" applyFont="1" applyBorder="1" applyAlignment="1">
      <alignment horizontal="center" vertical="center"/>
    </xf>
    <xf numFmtId="10" fontId="54" fillId="0" borderId="17" xfId="0" applyNumberFormat="1" applyFont="1" applyBorder="1" applyAlignment="1">
      <alignment horizontal="center" vertical="center"/>
    </xf>
    <xf numFmtId="10" fontId="54" fillId="0" borderId="23" xfId="50" applyNumberFormat="1" applyFont="1" applyBorder="1" applyAlignment="1">
      <alignment horizontal="center" vertical="center"/>
    </xf>
    <xf numFmtId="0" fontId="54" fillId="0" borderId="19" xfId="0" applyFont="1" applyBorder="1" applyAlignment="1">
      <alignment horizontal="center" vertical="center"/>
    </xf>
    <xf numFmtId="0" fontId="54" fillId="0" borderId="26" xfId="0" applyFont="1" applyBorder="1" applyAlignment="1">
      <alignment horizontal="center" vertical="center"/>
    </xf>
    <xf numFmtId="0" fontId="53" fillId="0" borderId="0" xfId="43" applyFont="1" applyAlignment="1">
      <alignment horizontal="left" vertical="center"/>
    </xf>
    <xf numFmtId="0" fontId="52" fillId="0" borderId="0" xfId="0" applyFont="1" applyAlignment="1">
      <alignment horizontal="center"/>
    </xf>
    <xf numFmtId="0" fontId="55" fillId="0" borderId="0" xfId="43" applyFont="1" applyAlignment="1">
      <alignment horizontal="left" vertical="center" indent="3"/>
    </xf>
    <xf numFmtId="0" fontId="54" fillId="0" borderId="0" xfId="43" applyFont="1" applyAlignment="1">
      <alignment vertical="center" wrapText="1"/>
    </xf>
    <xf numFmtId="0" fontId="54" fillId="0" borderId="23" xfId="43" applyFont="1" applyBorder="1" applyAlignment="1">
      <alignment vertical="center"/>
    </xf>
    <xf numFmtId="0" fontId="75" fillId="0" borderId="0" xfId="0" applyFont="1"/>
    <xf numFmtId="43" fontId="54" fillId="0" borderId="26" xfId="1" applyFont="1" applyBorder="1" applyAlignment="1">
      <alignment horizontal="right" vertical="top"/>
    </xf>
    <xf numFmtId="43" fontId="54" fillId="0" borderId="18" xfId="1" applyFont="1" applyBorder="1"/>
    <xf numFmtId="0" fontId="51" fillId="0" borderId="17" xfId="0" applyFont="1" applyBorder="1" applyAlignment="1">
      <alignment horizontal="center" vertical="top" wrapText="1"/>
    </xf>
    <xf numFmtId="0" fontId="53" fillId="0" borderId="17" xfId="0" applyFont="1" applyBorder="1" applyAlignment="1">
      <alignment horizontal="left" vertical="top"/>
    </xf>
    <xf numFmtId="43" fontId="51" fillId="0" borderId="18" xfId="1" applyFont="1" applyBorder="1" applyAlignment="1">
      <alignment vertical="top"/>
    </xf>
    <xf numFmtId="0" fontId="43" fillId="0" borderId="10" xfId="0" applyFont="1" applyBorder="1" applyAlignment="1">
      <alignment vertical="top"/>
    </xf>
    <xf numFmtId="0" fontId="52" fillId="0" borderId="18" xfId="0" applyFont="1" applyBorder="1" applyAlignment="1">
      <alignment horizontal="right" vertical="top"/>
    </xf>
    <xf numFmtId="0" fontId="22" fillId="0" borderId="17" xfId="0" applyFont="1" applyBorder="1" applyAlignment="1">
      <alignment vertical="top" wrapText="1"/>
    </xf>
    <xf numFmtId="166" fontId="27" fillId="0" borderId="18" xfId="1" applyNumberFormat="1" applyFont="1" applyBorder="1" applyAlignment="1">
      <alignment vertical="top"/>
    </xf>
    <xf numFmtId="166" fontId="22" fillId="0" borderId="18" xfId="0" applyNumberFormat="1" applyFont="1" applyBorder="1" applyAlignment="1">
      <alignment vertical="top"/>
    </xf>
    <xf numFmtId="0" fontId="22" fillId="0" borderId="18" xfId="0" applyFont="1" applyBorder="1" applyAlignment="1">
      <alignment vertical="top"/>
    </xf>
    <xf numFmtId="0" fontId="58" fillId="0" borderId="17" xfId="0" applyFont="1" applyBorder="1" applyAlignment="1">
      <alignment vertical="top" wrapText="1"/>
    </xf>
    <xf numFmtId="0" fontId="56" fillId="0" borderId="18" xfId="0" applyFont="1" applyBorder="1" applyAlignment="1">
      <alignment vertical="top"/>
    </xf>
    <xf numFmtId="0" fontId="56" fillId="0" borderId="17" xfId="0" applyFont="1" applyBorder="1" applyAlignment="1">
      <alignment vertical="top" wrapText="1"/>
    </xf>
    <xf numFmtId="43" fontId="56" fillId="0" borderId="18" xfId="0" applyNumberFormat="1" applyFont="1" applyBorder="1" applyAlignment="1">
      <alignment vertical="top"/>
    </xf>
    <xf numFmtId="0" fontId="59" fillId="0" borderId="18" xfId="0" applyFont="1" applyBorder="1" applyAlignment="1">
      <alignment vertical="top"/>
    </xf>
    <xf numFmtId="0" fontId="59" fillId="0" borderId="17" xfId="0" applyFont="1" applyBorder="1" applyAlignment="1">
      <alignment vertical="top"/>
    </xf>
    <xf numFmtId="0" fontId="20" fillId="0" borderId="18" xfId="0" applyFont="1" applyBorder="1" applyAlignment="1">
      <alignment vertical="top"/>
    </xf>
    <xf numFmtId="0" fontId="20" fillId="0" borderId="17" xfId="0" applyFont="1" applyBorder="1" applyAlignment="1">
      <alignment vertical="top" wrapText="1"/>
    </xf>
    <xf numFmtId="0" fontId="20" fillId="0" borderId="19" xfId="0" applyFont="1" applyBorder="1" applyAlignment="1">
      <alignment vertical="top" wrapText="1"/>
    </xf>
    <xf numFmtId="0" fontId="20" fillId="0" borderId="10" xfId="0" applyFont="1" applyBorder="1" applyAlignment="1">
      <alignment vertical="top"/>
    </xf>
    <xf numFmtId="0" fontId="20" fillId="0" borderId="10" xfId="0" applyFont="1" applyBorder="1" applyAlignment="1">
      <alignment vertical="top" wrapText="1"/>
    </xf>
    <xf numFmtId="0" fontId="20" fillId="0" borderId="20" xfId="0" applyFont="1" applyBorder="1" applyAlignment="1">
      <alignment vertical="top"/>
    </xf>
    <xf numFmtId="0" fontId="43" fillId="0" borderId="17" xfId="43" applyFont="1" applyBorder="1" applyAlignment="1">
      <alignment vertical="top"/>
    </xf>
    <xf numFmtId="0" fontId="54" fillId="0" borderId="17" xfId="43" applyFont="1" applyBorder="1" applyAlignment="1">
      <alignment vertical="top"/>
    </xf>
    <xf numFmtId="0" fontId="51" fillId="0" borderId="17" xfId="43" applyFont="1" applyBorder="1" applyAlignment="1">
      <alignment vertical="top"/>
    </xf>
    <xf numFmtId="0" fontId="53" fillId="0" borderId="17" xfId="43" applyFont="1" applyBorder="1" applyAlignment="1">
      <alignment vertical="top"/>
    </xf>
    <xf numFmtId="0" fontId="54" fillId="0" borderId="19" xfId="43" applyFont="1" applyBorder="1" applyAlignment="1">
      <alignment vertical="top"/>
    </xf>
    <xf numFmtId="0" fontId="52" fillId="0" borderId="18" xfId="0" applyFont="1" applyBorder="1" applyAlignment="1">
      <alignment horizontal="right" vertical="center"/>
    </xf>
    <xf numFmtId="166" fontId="51" fillId="0" borderId="17" xfId="1" applyNumberFormat="1" applyFont="1" applyBorder="1" applyAlignment="1">
      <alignment horizontal="left" vertical="center"/>
    </xf>
    <xf numFmtId="0" fontId="53" fillId="0" borderId="18" xfId="0" applyFont="1" applyBorder="1" applyAlignment="1">
      <alignment vertical="center"/>
    </xf>
    <xf numFmtId="0" fontId="53" fillId="0" borderId="33" xfId="0" applyFont="1" applyBorder="1" applyAlignment="1">
      <alignment vertical="center"/>
    </xf>
    <xf numFmtId="0" fontId="53" fillId="0" borderId="34" xfId="0" applyFont="1" applyBorder="1" applyAlignment="1">
      <alignment vertical="center"/>
    </xf>
    <xf numFmtId="166" fontId="51" fillId="0" borderId="18" xfId="1" applyNumberFormat="1" applyFont="1" applyBorder="1" applyAlignment="1">
      <alignment horizontal="right" vertical="center"/>
    </xf>
    <xf numFmtId="0" fontId="44" fillId="0" borderId="17" xfId="49" applyFont="1" applyBorder="1" applyAlignment="1">
      <alignment vertical="top" wrapText="1"/>
    </xf>
    <xf numFmtId="166" fontId="44" fillId="0" borderId="18" xfId="1" applyNumberFormat="1" applyFont="1" applyBorder="1" applyAlignment="1">
      <alignment horizontal="justify" vertical="top" wrapText="1"/>
    </xf>
    <xf numFmtId="0" fontId="51" fillId="0" borderId="17" xfId="49" applyFont="1" applyBorder="1" applyAlignment="1">
      <alignment vertical="top"/>
    </xf>
    <xf numFmtId="166" fontId="44" fillId="0" borderId="18" xfId="1" applyNumberFormat="1" applyFont="1" applyBorder="1" applyAlignment="1">
      <alignment vertical="top" wrapText="1"/>
    </xf>
    <xf numFmtId="0" fontId="43" fillId="0" borderId="17" xfId="49" applyFont="1" applyBorder="1" applyAlignment="1">
      <alignment vertical="justify" wrapText="1"/>
    </xf>
    <xf numFmtId="166" fontId="43" fillId="0" borderId="18" xfId="1" applyNumberFormat="1" applyFont="1" applyBorder="1" applyAlignment="1">
      <alignment horizontal="left" vertical="justify" wrapText="1"/>
    </xf>
    <xf numFmtId="43" fontId="43" fillId="0" borderId="17" xfId="1" applyFont="1" applyBorder="1"/>
    <xf numFmtId="166" fontId="44" fillId="0" borderId="18" xfId="1" applyNumberFormat="1" applyFont="1" applyBorder="1"/>
    <xf numFmtId="0" fontId="54" fillId="0" borderId="26" xfId="0" applyFont="1" applyBorder="1"/>
    <xf numFmtId="0" fontId="54" fillId="0" borderId="23" xfId="0" applyFont="1" applyBorder="1"/>
    <xf numFmtId="0" fontId="65" fillId="0" borderId="15" xfId="0" applyFont="1" applyBorder="1"/>
    <xf numFmtId="0" fontId="65" fillId="0" borderId="18" xfId="0" applyFont="1" applyBorder="1"/>
    <xf numFmtId="0" fontId="74" fillId="0" borderId="17" xfId="0" applyFont="1" applyBorder="1"/>
    <xf numFmtId="0" fontId="62" fillId="0" borderId="17" xfId="43" applyFont="1" applyBorder="1" applyAlignment="1">
      <alignment horizontal="left" vertical="center"/>
    </xf>
    <xf numFmtId="0" fontId="65" fillId="0" borderId="18" xfId="43" applyFont="1" applyBorder="1" applyAlignment="1">
      <alignment horizontal="left" vertical="center"/>
    </xf>
    <xf numFmtId="0" fontId="61" fillId="0" borderId="23" xfId="43" applyFont="1" applyBorder="1" applyAlignment="1">
      <alignment horizontal="left" vertical="top" indent="1"/>
    </xf>
    <xf numFmtId="0" fontId="65" fillId="0" borderId="23" xfId="43" applyFont="1" applyBorder="1" applyAlignment="1">
      <alignment horizontal="left" vertical="top" indent="1"/>
    </xf>
    <xf numFmtId="0" fontId="62" fillId="0" borderId="21" xfId="43" applyFont="1" applyBorder="1" applyAlignment="1">
      <alignment horizontal="left" vertical="top" indent="1"/>
    </xf>
    <xf numFmtId="0" fontId="62" fillId="0" borderId="23" xfId="43" applyFont="1" applyBorder="1" applyAlignment="1">
      <alignment horizontal="left" vertical="top" indent="1"/>
    </xf>
    <xf numFmtId="0" fontId="65" fillId="0" borderId="23" xfId="43" applyFont="1" applyBorder="1" applyAlignment="1">
      <alignment horizontal="left" vertical="top" wrapText="1" indent="1"/>
    </xf>
    <xf numFmtId="0" fontId="65" fillId="0" borderId="18" xfId="43" applyFont="1" applyBorder="1" applyAlignment="1">
      <alignment vertical="center"/>
    </xf>
    <xf numFmtId="0" fontId="68" fillId="0" borderId="18" xfId="43" applyFont="1" applyBorder="1" applyAlignment="1">
      <alignment horizontal="left" vertical="center"/>
    </xf>
    <xf numFmtId="0" fontId="65" fillId="0" borderId="17" xfId="43" applyFont="1" applyBorder="1" applyAlignment="1">
      <alignment vertical="top"/>
    </xf>
    <xf numFmtId="0" fontId="65" fillId="0" borderId="18" xfId="43" applyFont="1" applyBorder="1" applyAlignment="1">
      <alignment vertical="top"/>
    </xf>
    <xf numFmtId="0" fontId="65" fillId="0" borderId="19" xfId="43" quotePrefix="1" applyFont="1" applyBorder="1" applyAlignment="1">
      <alignment horizontal="justify" vertical="top" wrapText="1"/>
    </xf>
    <xf numFmtId="0" fontId="65" fillId="0" borderId="10" xfId="43" quotePrefix="1" applyFont="1" applyBorder="1" applyAlignment="1">
      <alignment horizontal="justify" vertical="top" wrapText="1"/>
    </xf>
    <xf numFmtId="0" fontId="65" fillId="0" borderId="20" xfId="43" quotePrefix="1" applyFont="1" applyBorder="1" applyAlignment="1">
      <alignment horizontal="justify" vertical="top" wrapText="1"/>
    </xf>
    <xf numFmtId="0" fontId="65" fillId="0" borderId="14" xfId="43" quotePrefix="1" applyFont="1" applyBorder="1" applyAlignment="1">
      <alignment horizontal="justify" vertical="top" wrapText="1"/>
    </xf>
    <xf numFmtId="0" fontId="65" fillId="0" borderId="15" xfId="43" quotePrefix="1" applyFont="1" applyBorder="1" applyAlignment="1">
      <alignment horizontal="justify" vertical="top" wrapText="1"/>
    </xf>
    <xf numFmtId="0" fontId="65" fillId="0" borderId="16" xfId="43" quotePrefix="1" applyFont="1" applyBorder="1" applyAlignment="1">
      <alignment horizontal="justify" vertical="top" wrapText="1"/>
    </xf>
    <xf numFmtId="0" fontId="68" fillId="0" borderId="17" xfId="66" applyFont="1" applyBorder="1"/>
    <xf numFmtId="0" fontId="65" fillId="0" borderId="18" xfId="43" quotePrefix="1" applyFont="1" applyBorder="1" applyAlignment="1">
      <alignment horizontal="justify" vertical="top" wrapText="1"/>
    </xf>
    <xf numFmtId="0" fontId="69" fillId="33" borderId="18" xfId="66" applyFont="1" applyFill="1" applyBorder="1" applyAlignment="1">
      <alignment horizontal="center" vertical="center" wrapText="1"/>
    </xf>
    <xf numFmtId="43" fontId="70" fillId="33" borderId="18" xfId="1" applyFont="1" applyFill="1" applyBorder="1"/>
    <xf numFmtId="43" fontId="69" fillId="33" borderId="18" xfId="1" applyFont="1" applyFill="1" applyBorder="1" applyAlignment="1">
      <alignment horizontal="center" vertical="center"/>
    </xf>
    <xf numFmtId="43" fontId="70" fillId="33" borderId="18" xfId="1" applyFont="1" applyFill="1" applyBorder="1" applyAlignment="1">
      <alignment horizontal="center" vertical="center"/>
    </xf>
    <xf numFmtId="0" fontId="65" fillId="0" borderId="17" xfId="43" quotePrefix="1" applyFont="1" applyBorder="1" applyAlignment="1">
      <alignment horizontal="justify" vertical="top" wrapText="1"/>
    </xf>
    <xf numFmtId="0" fontId="65" fillId="0" borderId="18" xfId="66" applyFont="1" applyBorder="1"/>
    <xf numFmtId="49" fontId="62" fillId="0" borderId="17" xfId="0" applyNumberFormat="1" applyFont="1" applyBorder="1" applyAlignment="1">
      <alignment horizontal="center"/>
    </xf>
    <xf numFmtId="0" fontId="51" fillId="0" borderId="17" xfId="43" applyFont="1" applyBorder="1" applyAlignment="1">
      <alignment horizontal="left" vertical="center"/>
    </xf>
    <xf numFmtId="0" fontId="54" fillId="0" borderId="17" xfId="43" applyFont="1" applyBorder="1" applyAlignment="1">
      <alignment vertical="center"/>
    </xf>
    <xf numFmtId="0" fontId="54" fillId="0" borderId="17" xfId="43" applyFont="1" applyBorder="1" applyAlignment="1">
      <alignment vertical="top" wrapText="1"/>
    </xf>
    <xf numFmtId="0" fontId="51" fillId="0" borderId="17" xfId="43" applyFont="1" applyBorder="1" applyAlignment="1">
      <alignment horizontal="left" vertical="top"/>
    </xf>
    <xf numFmtId="0" fontId="54" fillId="0" borderId="17" xfId="43" applyFont="1" applyBorder="1" applyAlignment="1">
      <alignment horizontal="justify" vertical="top" wrapText="1"/>
    </xf>
    <xf numFmtId="0" fontId="55" fillId="0" borderId="17" xfId="43" applyFont="1" applyBorder="1" applyAlignment="1">
      <alignment horizontal="left" vertical="center"/>
    </xf>
    <xf numFmtId="0" fontId="54" fillId="0" borderId="17" xfId="68" applyFont="1" applyBorder="1" applyAlignment="1">
      <alignment horizontal="left" vertical="top"/>
    </xf>
    <xf numFmtId="0" fontId="54" fillId="0" borderId="17" xfId="43" applyFont="1" applyBorder="1" applyAlignment="1">
      <alignment horizontal="left" vertical="top" wrapText="1"/>
    </xf>
    <xf numFmtId="0" fontId="76" fillId="0" borderId="16" xfId="0" applyFont="1" applyBorder="1"/>
    <xf numFmtId="0" fontId="57" fillId="0" borderId="17" xfId="0" applyFont="1" applyBorder="1" applyAlignment="1">
      <alignment horizontal="center"/>
    </xf>
    <xf numFmtId="0" fontId="57" fillId="0" borderId="18" xfId="0" applyFont="1" applyBorder="1" applyAlignment="1">
      <alignment horizontal="center"/>
    </xf>
    <xf numFmtId="0" fontId="0" fillId="0" borderId="18" xfId="0" applyBorder="1"/>
    <xf numFmtId="0" fontId="63" fillId="0" borderId="17" xfId="43" applyFont="1" applyBorder="1" applyAlignment="1">
      <alignment vertical="center" wrapText="1"/>
    </xf>
    <xf numFmtId="0" fontId="63" fillId="0" borderId="19" xfId="43" applyFont="1" applyBorder="1" applyAlignment="1">
      <alignment horizontal="left" vertical="center"/>
    </xf>
    <xf numFmtId="0" fontId="63" fillId="0" borderId="20" xfId="43" applyFont="1" applyBorder="1" applyAlignment="1">
      <alignment vertical="center"/>
    </xf>
    <xf numFmtId="166" fontId="54" fillId="0" borderId="26" xfId="1" applyNumberFormat="1" applyFont="1" applyBorder="1" applyAlignment="1">
      <alignment vertical="center"/>
    </xf>
    <xf numFmtId="0" fontId="0" fillId="0" borderId="20" xfId="0" applyBorder="1"/>
    <xf numFmtId="0" fontId="71" fillId="0" borderId="14" xfId="0" applyFont="1" applyBorder="1"/>
    <xf numFmtId="0" fontId="59" fillId="0" borderId="16" xfId="0" applyFont="1" applyBorder="1"/>
    <xf numFmtId="0" fontId="59" fillId="0" borderId="18" xfId="0" applyFont="1" applyBorder="1"/>
    <xf numFmtId="0" fontId="32" fillId="0" borderId="18" xfId="0" applyFont="1" applyBorder="1"/>
    <xf numFmtId="166" fontId="55" fillId="0" borderId="13" xfId="1" applyNumberFormat="1" applyFont="1" applyBorder="1" applyAlignment="1">
      <alignment horizontal="center"/>
    </xf>
    <xf numFmtId="166" fontId="55" fillId="0" borderId="18" xfId="1" applyNumberFormat="1" applyFont="1" applyBorder="1" applyAlignment="1">
      <alignment horizontal="center"/>
    </xf>
    <xf numFmtId="166" fontId="65" fillId="0" borderId="18" xfId="1" applyNumberFormat="1" applyFont="1" applyBorder="1"/>
    <xf numFmtId="166" fontId="54" fillId="0" borderId="18" xfId="1" applyNumberFormat="1" applyFont="1" applyBorder="1" applyAlignment="1">
      <alignment vertical="center"/>
    </xf>
    <xf numFmtId="166" fontId="65" fillId="0" borderId="16" xfId="1" applyNumberFormat="1" applyFont="1" applyBorder="1"/>
    <xf numFmtId="0" fontId="71" fillId="0" borderId="10" xfId="0" applyFont="1" applyBorder="1"/>
    <xf numFmtId="166" fontId="65" fillId="0" borderId="10" xfId="1" applyNumberFormat="1" applyFont="1" applyBorder="1"/>
    <xf numFmtId="166" fontId="65" fillId="0" borderId="20" xfId="0" applyNumberFormat="1" applyFont="1" applyBorder="1"/>
    <xf numFmtId="0" fontId="71" fillId="0" borderId="15" xfId="0" applyFont="1" applyBorder="1"/>
    <xf numFmtId="166" fontId="65" fillId="0" borderId="15" xfId="0" applyNumberFormat="1" applyFont="1" applyBorder="1"/>
    <xf numFmtId="166" fontId="65" fillId="0" borderId="16" xfId="0" applyNumberFormat="1" applyFont="1" applyBorder="1"/>
    <xf numFmtId="0" fontId="54" fillId="0" borderId="18" xfId="0" applyFont="1" applyBorder="1" applyAlignment="1">
      <alignment horizontal="center" vertical="top"/>
    </xf>
    <xf numFmtId="166" fontId="54" fillId="0" borderId="18" xfId="1" applyNumberFormat="1" applyFont="1" applyBorder="1" applyAlignment="1">
      <alignment horizontal="center" vertical="top"/>
    </xf>
    <xf numFmtId="166" fontId="55" fillId="0" borderId="13" xfId="1" applyNumberFormat="1" applyFont="1" applyBorder="1" applyAlignment="1">
      <alignment horizontal="center" vertical="top"/>
    </xf>
    <xf numFmtId="166" fontId="55" fillId="0" borderId="18" xfId="1" applyNumberFormat="1" applyFont="1" applyBorder="1" applyAlignment="1">
      <alignment horizontal="center" vertical="top"/>
    </xf>
    <xf numFmtId="166" fontId="54" fillId="0" borderId="20" xfId="1" applyNumberFormat="1" applyFont="1" applyBorder="1" applyAlignment="1">
      <alignment horizontal="center" vertical="top"/>
    </xf>
    <xf numFmtId="0" fontId="71" fillId="0" borderId="18" xfId="0" applyFont="1" applyBorder="1"/>
    <xf numFmtId="0" fontId="73" fillId="0" borderId="17" xfId="0" applyFont="1" applyBorder="1"/>
    <xf numFmtId="0" fontId="71" fillId="0" borderId="17" xfId="0" applyFont="1" applyBorder="1" applyAlignment="1">
      <alignment vertical="center" wrapText="1"/>
    </xf>
    <xf numFmtId="0" fontId="71" fillId="0" borderId="17" xfId="0" applyFont="1" applyBorder="1" applyAlignment="1">
      <alignment vertical="center"/>
    </xf>
    <xf numFmtId="0" fontId="66" fillId="0" borderId="16" xfId="0" applyFont="1" applyBorder="1" applyAlignment="1">
      <alignment horizontal="center" wrapText="1"/>
    </xf>
    <xf numFmtId="0" fontId="66" fillId="0" borderId="18" xfId="0" applyFont="1" applyBorder="1" applyAlignment="1">
      <alignment horizontal="center"/>
    </xf>
    <xf numFmtId="0" fontId="67" fillId="0" borderId="18" xfId="0" applyFont="1" applyBorder="1" applyAlignment="1">
      <alignment horizontal="center"/>
    </xf>
    <xf numFmtId="0" fontId="66" fillId="0" borderId="18" xfId="0" applyFont="1" applyBorder="1" applyAlignment="1">
      <alignment horizontal="center" vertical="center"/>
    </xf>
    <xf numFmtId="10" fontId="63" fillId="0" borderId="18" xfId="0" applyNumberFormat="1" applyFont="1" applyBorder="1" applyAlignment="1">
      <alignment horizontal="center" vertical="center"/>
    </xf>
    <xf numFmtId="10" fontId="63" fillId="0" borderId="18" xfId="50" applyNumberFormat="1" applyFont="1" applyBorder="1" applyAlignment="1">
      <alignment horizontal="center" vertical="center"/>
    </xf>
    <xf numFmtId="0" fontId="71" fillId="0" borderId="18" xfId="0" applyFont="1" applyBorder="1" applyAlignment="1">
      <alignment horizontal="center" vertical="center"/>
    </xf>
    <xf numFmtId="0" fontId="71" fillId="0" borderId="10" xfId="0" applyFont="1" applyBorder="1" applyAlignment="1">
      <alignment horizontal="center" vertical="center"/>
    </xf>
    <xf numFmtId="0" fontId="71" fillId="0" borderId="20" xfId="0" applyFont="1" applyBorder="1" applyAlignment="1">
      <alignment horizontal="center" vertical="center"/>
    </xf>
    <xf numFmtId="0" fontId="59" fillId="0" borderId="15" xfId="0" applyFont="1" applyBorder="1"/>
    <xf numFmtId="43" fontId="59" fillId="0" borderId="0" xfId="1" applyFont="1"/>
    <xf numFmtId="0" fontId="58" fillId="0" borderId="0" xfId="43" applyFont="1" applyAlignment="1">
      <alignment horizontal="left" vertical="center"/>
    </xf>
    <xf numFmtId="0" fontId="56" fillId="0" borderId="0" xfId="43" applyFont="1" applyAlignment="1">
      <alignment horizontal="left" vertical="center" indent="2"/>
    </xf>
    <xf numFmtId="0" fontId="56" fillId="0" borderId="0" xfId="43" applyFont="1" applyAlignment="1">
      <alignment vertical="center" wrapText="1"/>
    </xf>
    <xf numFmtId="0" fontId="56" fillId="0" borderId="0" xfId="43" applyFont="1" applyAlignment="1">
      <alignment vertical="top" wrapText="1"/>
    </xf>
    <xf numFmtId="0" fontId="56" fillId="0" borderId="21" xfId="43" applyFont="1" applyBorder="1" applyAlignment="1">
      <alignment vertical="top" wrapText="1"/>
    </xf>
    <xf numFmtId="0" fontId="56" fillId="0" borderId="21" xfId="43" applyFont="1" applyBorder="1" applyAlignment="1">
      <alignment vertical="center" wrapText="1"/>
    </xf>
    <xf numFmtId="43" fontId="32" fillId="0" borderId="0" xfId="1" applyFont="1"/>
    <xf numFmtId="0" fontId="56" fillId="0" borderId="0" xfId="43" applyFont="1" applyAlignment="1">
      <alignment horizontal="center" vertical="center" wrapText="1"/>
    </xf>
    <xf numFmtId="43" fontId="59" fillId="0" borderId="0" xfId="0" applyNumberFormat="1" applyFont="1"/>
    <xf numFmtId="166" fontId="56" fillId="0" borderId="0" xfId="1" applyNumberFormat="1" applyFont="1" applyAlignment="1">
      <alignment vertical="center" wrapText="1"/>
    </xf>
    <xf numFmtId="43" fontId="56" fillId="0" borderId="0" xfId="1" applyFont="1" applyAlignment="1">
      <alignment vertical="center" wrapText="1"/>
    </xf>
    <xf numFmtId="166" fontId="56" fillId="0" borderId="0" xfId="1" applyNumberFormat="1" applyFont="1" applyAlignment="1">
      <alignment vertical="center"/>
    </xf>
    <xf numFmtId="166" fontId="58" fillId="0" borderId="0" xfId="1" applyNumberFormat="1" applyFont="1" applyAlignment="1">
      <alignment vertical="center"/>
    </xf>
    <xf numFmtId="166" fontId="58" fillId="0" borderId="0" xfId="1" applyNumberFormat="1" applyFont="1" applyAlignment="1">
      <alignment horizontal="center" vertical="center" wrapText="1"/>
    </xf>
    <xf numFmtId="166" fontId="56" fillId="0" borderId="0" xfId="1" applyNumberFormat="1" applyFont="1" applyAlignment="1">
      <alignment horizontal="center" vertical="center" wrapText="1"/>
    </xf>
    <xf numFmtId="166" fontId="56" fillId="0" borderId="0" xfId="1" applyNumberFormat="1" applyFont="1" applyAlignment="1">
      <alignment horizontal="left" vertical="center"/>
    </xf>
    <xf numFmtId="166" fontId="58" fillId="0" borderId="0" xfId="1" applyNumberFormat="1" applyFont="1" applyAlignment="1">
      <alignment vertical="center" wrapText="1"/>
    </xf>
    <xf numFmtId="0" fontId="58" fillId="0" borderId="0" xfId="43" applyFont="1" applyAlignment="1">
      <alignment horizontal="right" vertical="center" wrapText="1"/>
    </xf>
    <xf numFmtId="0" fontId="60" fillId="33" borderId="0" xfId="68" applyFont="1" applyFill="1" applyAlignment="1">
      <alignment horizontal="left" vertical="top"/>
    </xf>
    <xf numFmtId="0" fontId="56" fillId="0" borderId="0" xfId="68" applyFont="1" applyAlignment="1">
      <alignment horizontal="left" vertical="top"/>
    </xf>
    <xf numFmtId="0" fontId="51" fillId="0" borderId="10" xfId="68" applyFont="1" applyBorder="1" applyAlignment="1">
      <alignment horizontal="right" vertical="top"/>
    </xf>
    <xf numFmtId="0" fontId="60" fillId="33" borderId="0" xfId="0" applyFont="1" applyFill="1"/>
    <xf numFmtId="0" fontId="60" fillId="33" borderId="0" xfId="43" applyFont="1" applyFill="1" applyAlignment="1">
      <alignment vertical="center"/>
    </xf>
    <xf numFmtId="0" fontId="59" fillId="0" borderId="0" xfId="49" applyFont="1" applyAlignment="1">
      <alignment vertical="top"/>
    </xf>
    <xf numFmtId="0" fontId="59" fillId="0" borderId="10" xfId="0" applyFont="1" applyBorder="1" applyAlignment="1">
      <alignment vertical="top" wrapText="1"/>
    </xf>
    <xf numFmtId="0" fontId="59" fillId="0" borderId="10" xfId="0" applyFont="1" applyBorder="1"/>
    <xf numFmtId="0" fontId="59" fillId="0" borderId="20" xfId="0" applyFont="1" applyBorder="1"/>
    <xf numFmtId="0" fontId="53" fillId="0" borderId="19" xfId="0" applyFont="1" applyBorder="1" applyAlignment="1">
      <alignment vertical="top"/>
    </xf>
    <xf numFmtId="0" fontId="53" fillId="0" borderId="10" xfId="0" applyFont="1" applyBorder="1" applyAlignment="1">
      <alignment vertical="top"/>
    </xf>
    <xf numFmtId="0" fontId="56" fillId="0" borderId="10" xfId="43" applyFont="1" applyBorder="1" applyAlignment="1">
      <alignment horizontal="left" vertical="center"/>
    </xf>
    <xf numFmtId="0" fontId="54" fillId="0" borderId="14" xfId="43" applyFont="1" applyBorder="1" applyAlignment="1">
      <alignment horizontal="justify" vertical="top" wrapText="1"/>
    </xf>
    <xf numFmtId="0" fontId="54" fillId="0" borderId="15" xfId="43" applyFont="1" applyBorder="1" applyAlignment="1">
      <alignment horizontal="justify" vertical="top" wrapText="1"/>
    </xf>
    <xf numFmtId="0" fontId="56" fillId="0" borderId="15" xfId="43" applyFont="1" applyBorder="1" applyAlignment="1">
      <alignment horizontal="left" vertical="center"/>
    </xf>
    <xf numFmtId="43" fontId="44" fillId="0" borderId="18" xfId="1" applyFont="1" applyBorder="1"/>
    <xf numFmtId="0" fontId="51" fillId="0" borderId="11" xfId="0" applyFont="1" applyBorder="1" applyAlignment="1">
      <alignment vertical="top"/>
    </xf>
    <xf numFmtId="0" fontId="51" fillId="0" borderId="12" xfId="0" applyFont="1" applyBorder="1"/>
    <xf numFmtId="0" fontId="62" fillId="0" borderId="11" xfId="43" applyFont="1" applyBorder="1" applyAlignment="1">
      <alignment horizontal="left" vertical="top" indent="1"/>
    </xf>
    <xf numFmtId="43" fontId="65" fillId="0" borderId="11" xfId="1" applyFont="1" applyBorder="1" applyAlignment="1">
      <alignment horizontal="right" vertical="center" indent="1"/>
    </xf>
    <xf numFmtId="43" fontId="65" fillId="0" borderId="12" xfId="1" applyFont="1" applyBorder="1" applyAlignment="1">
      <alignment horizontal="right" vertical="center" indent="1"/>
    </xf>
    <xf numFmtId="166" fontId="65" fillId="0" borderId="11" xfId="1" applyNumberFormat="1" applyFont="1" applyBorder="1" applyAlignment="1">
      <alignment horizontal="right" vertical="center" indent="1"/>
    </xf>
    <xf numFmtId="166" fontId="65" fillId="0" borderId="12" xfId="1" applyNumberFormat="1" applyFont="1" applyBorder="1" applyAlignment="1">
      <alignment horizontal="right" vertical="center" indent="1"/>
    </xf>
    <xf numFmtId="0" fontId="51" fillId="0" borderId="14" xfId="0" applyFont="1" applyBorder="1"/>
    <xf numFmtId="0" fontId="51" fillId="0" borderId="19" xfId="0" applyFont="1" applyBorder="1"/>
    <xf numFmtId="0" fontId="53" fillId="0" borderId="26" xfId="0" applyFont="1" applyBorder="1"/>
    <xf numFmtId="0" fontId="55" fillId="0" borderId="19" xfId="0" applyFont="1" applyBorder="1"/>
    <xf numFmtId="0" fontId="54" fillId="0" borderId="19" xfId="0" applyFont="1" applyBorder="1"/>
    <xf numFmtId="0" fontId="20" fillId="0" borderId="19" xfId="0" applyFont="1" applyBorder="1" applyAlignment="1">
      <alignment vertical="top"/>
    </xf>
    <xf numFmtId="0" fontId="74" fillId="0" borderId="18" xfId="0" applyFont="1" applyBorder="1"/>
    <xf numFmtId="0" fontId="62" fillId="0" borderId="19" xfId="43" applyFont="1" applyBorder="1" applyAlignment="1">
      <alignment horizontal="left" vertical="center"/>
    </xf>
    <xf numFmtId="0" fontId="65" fillId="0" borderId="10" xfId="43" applyFont="1" applyBorder="1" applyAlignment="1">
      <alignment horizontal="left" vertical="center"/>
    </xf>
    <xf numFmtId="0" fontId="65" fillId="0" borderId="20" xfId="43" applyFont="1" applyBorder="1" applyAlignment="1">
      <alignment horizontal="left" vertical="center"/>
    </xf>
    <xf numFmtId="0" fontId="53" fillId="0" borderId="14" xfId="0" applyFont="1" applyBorder="1"/>
    <xf numFmtId="0" fontId="20" fillId="0" borderId="14" xfId="0" applyFont="1" applyBorder="1"/>
    <xf numFmtId="0" fontId="20" fillId="0" borderId="17" xfId="0" applyFont="1" applyBorder="1"/>
    <xf numFmtId="0" fontId="20" fillId="0" borderId="19" xfId="0" applyFont="1" applyBorder="1"/>
    <xf numFmtId="0" fontId="62" fillId="37" borderId="21" xfId="0" applyFont="1" applyFill="1" applyBorder="1" applyAlignment="1">
      <alignment horizontal="center" vertical="center"/>
    </xf>
    <xf numFmtId="0" fontId="65" fillId="0" borderId="14" xfId="43" applyFont="1" applyBorder="1" applyAlignment="1">
      <alignment vertical="center"/>
    </xf>
    <xf numFmtId="0" fontId="65" fillId="0" borderId="15" xfId="43" applyFont="1" applyBorder="1" applyAlignment="1">
      <alignment vertical="center"/>
    </xf>
    <xf numFmtId="0" fontId="65" fillId="0" borderId="16" xfId="43" applyFont="1" applyBorder="1" applyAlignment="1">
      <alignment vertical="center"/>
    </xf>
    <xf numFmtId="0" fontId="51" fillId="0" borderId="22" xfId="0" applyFont="1" applyBorder="1"/>
    <xf numFmtId="0" fontId="65" fillId="0" borderId="23" xfId="0" applyFont="1" applyBorder="1" applyAlignment="1">
      <alignment wrapText="1"/>
    </xf>
    <xf numFmtId="0" fontId="54" fillId="0" borderId="23" xfId="0" applyFont="1" applyBorder="1" applyAlignment="1">
      <alignment horizontal="left"/>
    </xf>
    <xf numFmtId="0" fontId="65" fillId="0" borderId="23" xfId="0" applyFont="1" applyBorder="1" applyAlignment="1">
      <alignment horizontal="left"/>
    </xf>
    <xf numFmtId="0" fontId="65" fillId="0" borderId="23" xfId="0" applyFont="1" applyBorder="1" applyAlignment="1">
      <alignment horizontal="left" wrapText="1"/>
    </xf>
    <xf numFmtId="0" fontId="54" fillId="0" borderId="23" xfId="0" applyFont="1" applyBorder="1" applyAlignment="1">
      <alignment horizontal="left" wrapText="1"/>
    </xf>
    <xf numFmtId="0" fontId="54" fillId="0" borderId="26" xfId="0" applyFont="1" applyBorder="1" applyAlignment="1">
      <alignment horizontal="left" wrapText="1"/>
    </xf>
    <xf numFmtId="0" fontId="20" fillId="0" borderId="15" xfId="0" applyFont="1" applyBorder="1"/>
    <xf numFmtId="0" fontId="20" fillId="0" borderId="10" xfId="0" applyFont="1" applyBorder="1"/>
    <xf numFmtId="0" fontId="32" fillId="0" borderId="15" xfId="0" applyFont="1" applyBorder="1" applyAlignment="1">
      <alignment horizontal="left" vertical="center"/>
    </xf>
    <xf numFmtId="0" fontId="59" fillId="0" borderId="15" xfId="0" applyFont="1" applyBorder="1" applyAlignment="1">
      <alignment horizontal="center" vertical="center"/>
    </xf>
    <xf numFmtId="0" fontId="65" fillId="0" borderId="0" xfId="43" applyFont="1" applyAlignment="1">
      <alignment vertical="top" wrapText="1"/>
    </xf>
    <xf numFmtId="0" fontId="65" fillId="0" borderId="18" xfId="43" applyFont="1" applyBorder="1" applyAlignment="1">
      <alignment vertical="top" wrapText="1"/>
    </xf>
    <xf numFmtId="43" fontId="43" fillId="0" borderId="23" xfId="1" applyFont="1" applyBorder="1" applyAlignment="1">
      <alignment horizontal="right" vertical="top"/>
    </xf>
    <xf numFmtId="0" fontId="51" fillId="0" borderId="16" xfId="0" applyFont="1" applyBorder="1"/>
    <xf numFmtId="43" fontId="55" fillId="0" borderId="11" xfId="1" applyFont="1" applyBorder="1" applyAlignment="1">
      <alignment horizontal="right" vertical="top" wrapText="1"/>
    </xf>
    <xf numFmtId="43" fontId="54" fillId="0" borderId="23" xfId="1" applyFont="1" applyBorder="1" applyAlignment="1">
      <alignment horizontal="center" vertical="top"/>
    </xf>
    <xf numFmtId="43" fontId="22" fillId="0" borderId="18" xfId="1" applyFont="1" applyBorder="1"/>
    <xf numFmtId="43" fontId="20" fillId="0" borderId="18" xfId="1" applyFont="1" applyBorder="1"/>
    <xf numFmtId="43" fontId="21" fillId="0" borderId="13" xfId="1" applyFont="1" applyBorder="1"/>
    <xf numFmtId="43" fontId="20" fillId="0" borderId="20" xfId="1" applyFont="1" applyBorder="1"/>
    <xf numFmtId="43" fontId="23" fillId="0" borderId="21" xfId="1" applyFont="1" applyBorder="1"/>
    <xf numFmtId="43" fontId="54" fillId="0" borderId="38" xfId="1" applyFont="1" applyBorder="1" applyAlignment="1">
      <alignment vertical="top"/>
    </xf>
    <xf numFmtId="43" fontId="54" fillId="0" borderId="39" xfId="1" applyFont="1" applyBorder="1" applyAlignment="1">
      <alignment vertical="top"/>
    </xf>
    <xf numFmtId="43" fontId="53" fillId="0" borderId="38" xfId="1" applyFont="1" applyBorder="1" applyAlignment="1">
      <alignment vertical="top"/>
    </xf>
    <xf numFmtId="43" fontId="51" fillId="0" borderId="39" xfId="1" applyFont="1" applyBorder="1" applyAlignment="1">
      <alignment vertical="top"/>
    </xf>
    <xf numFmtId="43" fontId="53" fillId="0" borderId="39" xfId="1" applyFont="1" applyBorder="1" applyAlignment="1">
      <alignment vertical="top"/>
    </xf>
    <xf numFmtId="43" fontId="55" fillId="0" borderId="39" xfId="1" applyFont="1" applyBorder="1" applyAlignment="1">
      <alignment vertical="top"/>
    </xf>
    <xf numFmtId="43" fontId="54" fillId="0" borderId="38" xfId="1" applyFont="1" applyBorder="1" applyAlignment="1">
      <alignment horizontal="left" vertical="top"/>
    </xf>
    <xf numFmtId="43" fontId="53" fillId="0" borderId="40" xfId="1" applyFont="1" applyBorder="1" applyAlignment="1">
      <alignment vertical="top"/>
    </xf>
    <xf numFmtId="43" fontId="51" fillId="0" borderId="41" xfId="1" applyFont="1" applyBorder="1" applyAlignment="1">
      <alignment vertical="top"/>
    </xf>
    <xf numFmtId="43" fontId="51" fillId="0" borderId="44" xfId="1" applyFont="1" applyBorder="1" applyAlignment="1">
      <alignment vertical="top"/>
    </xf>
    <xf numFmtId="43" fontId="54" fillId="0" borderId="44" xfId="1" applyFont="1" applyBorder="1" applyAlignment="1">
      <alignment vertical="top"/>
    </xf>
    <xf numFmtId="0" fontId="77" fillId="0" borderId="0" xfId="0" applyFont="1" applyAlignment="1">
      <alignment vertical="top"/>
    </xf>
    <xf numFmtId="43" fontId="77" fillId="0" borderId="0" xfId="1" applyFont="1" applyAlignment="1">
      <alignment vertical="top"/>
    </xf>
    <xf numFmtId="43" fontId="77" fillId="0" borderId="24" xfId="1" applyFont="1" applyBorder="1" applyAlignment="1">
      <alignment vertical="top"/>
    </xf>
    <xf numFmtId="0" fontId="78" fillId="39" borderId="21" xfId="0" applyFont="1" applyFill="1" applyBorder="1" applyAlignment="1">
      <alignment horizontal="center" vertical="center"/>
    </xf>
    <xf numFmtId="0" fontId="78" fillId="39" borderId="21" xfId="1" applyNumberFormat="1" applyFont="1" applyFill="1" applyBorder="1" applyAlignment="1">
      <alignment horizontal="center" vertical="center"/>
    </xf>
    <xf numFmtId="0" fontId="78" fillId="0" borderId="24" xfId="0" applyFont="1" applyBorder="1" applyAlignment="1">
      <alignment vertical="top"/>
    </xf>
    <xf numFmtId="0" fontId="79" fillId="0" borderId="21" xfId="0" applyFont="1" applyBorder="1"/>
    <xf numFmtId="0" fontId="80" fillId="0" borderId="21" xfId="0" applyFont="1" applyBorder="1" applyAlignment="1">
      <alignment vertical="top"/>
    </xf>
    <xf numFmtId="0" fontId="56" fillId="0" borderId="0" xfId="0" applyFont="1" applyAlignment="1">
      <alignment vertical="center"/>
    </xf>
    <xf numFmtId="43" fontId="56" fillId="0" borderId="0" xfId="1" applyFont="1" applyAlignment="1">
      <alignment vertical="center"/>
    </xf>
    <xf numFmtId="0" fontId="51" fillId="0" borderId="17" xfId="0" applyFont="1" applyBorder="1" applyAlignment="1">
      <alignment horizontal="left" vertical="center"/>
    </xf>
    <xf numFmtId="43" fontId="53" fillId="0" borderId="18" xfId="1" applyFont="1" applyBorder="1" applyAlignment="1">
      <alignment vertical="center"/>
    </xf>
    <xf numFmtId="0" fontId="51" fillId="0" borderId="17" xfId="0" applyFont="1" applyBorder="1" applyAlignment="1">
      <alignment horizontal="left" vertical="center" wrapText="1"/>
    </xf>
    <xf numFmtId="0" fontId="51" fillId="0" borderId="0" xfId="0" applyFont="1" applyAlignment="1">
      <alignment horizontal="left" vertical="center" wrapText="1"/>
    </xf>
    <xf numFmtId="0" fontId="51" fillId="0" borderId="18" xfId="0" applyFont="1" applyBorder="1" applyAlignment="1">
      <alignment horizontal="left" vertical="center" wrapText="1"/>
    </xf>
    <xf numFmtId="0" fontId="53" fillId="0" borderId="0" xfId="0" applyFont="1" applyAlignment="1">
      <alignment horizontal="left" vertical="center" wrapText="1"/>
    </xf>
    <xf numFmtId="0" fontId="53" fillId="0" borderId="18" xfId="0" applyFont="1" applyBorder="1" applyAlignment="1">
      <alignment horizontal="left" vertical="center" wrapText="1"/>
    </xf>
    <xf numFmtId="0" fontId="53" fillId="0" borderId="17" xfId="0" applyFont="1" applyBorder="1" applyAlignment="1">
      <alignment horizontal="left" vertical="center"/>
    </xf>
    <xf numFmtId="0" fontId="53" fillId="0" borderId="18" xfId="0" applyFont="1" applyBorder="1" applyAlignment="1">
      <alignment horizontal="left" vertical="center"/>
    </xf>
    <xf numFmtId="0" fontId="53" fillId="0" borderId="17" xfId="0" applyFont="1" applyBorder="1" applyAlignment="1">
      <alignment vertical="center"/>
    </xf>
    <xf numFmtId="0" fontId="53" fillId="0" borderId="19" xfId="0" applyFont="1" applyBorder="1" applyAlignment="1">
      <alignment vertical="center"/>
    </xf>
    <xf numFmtId="0" fontId="53" fillId="0" borderId="10" xfId="0" applyFont="1" applyBorder="1" applyAlignment="1">
      <alignment vertical="center"/>
    </xf>
    <xf numFmtId="166" fontId="53" fillId="0" borderId="10" xfId="0" applyNumberFormat="1" applyFont="1" applyBorder="1" applyAlignment="1">
      <alignment vertical="center"/>
    </xf>
    <xf numFmtId="0" fontId="53" fillId="0" borderId="20" xfId="0" applyFont="1" applyBorder="1" applyAlignment="1">
      <alignment vertical="center"/>
    </xf>
    <xf numFmtId="0" fontId="22" fillId="0" borderId="17" xfId="43" applyFont="1" applyBorder="1" applyAlignment="1">
      <alignment horizontal="center" vertical="center"/>
    </xf>
    <xf numFmtId="0" fontId="25" fillId="0" borderId="17" xfId="0" applyFont="1" applyBorder="1" applyAlignment="1">
      <alignment vertical="center"/>
    </xf>
    <xf numFmtId="43" fontId="43" fillId="0" borderId="0" xfId="1" applyFont="1" applyAlignment="1">
      <alignment horizontal="left" vertical="center"/>
    </xf>
    <xf numFmtId="167" fontId="43" fillId="0" borderId="18" xfId="1" applyNumberFormat="1" applyFont="1" applyBorder="1" applyAlignment="1">
      <alignment horizontal="left" vertical="center"/>
    </xf>
    <xf numFmtId="173" fontId="22" fillId="0" borderId="0" xfId="1" applyNumberFormat="1" applyFont="1" applyAlignment="1">
      <alignment horizontal="right" vertical="center"/>
    </xf>
    <xf numFmtId="0" fontId="82" fillId="0" borderId="17" xfId="0" applyFont="1" applyBorder="1" applyAlignment="1">
      <alignment vertical="center"/>
    </xf>
    <xf numFmtId="166" fontId="44" fillId="0" borderId="0" xfId="43" applyNumberFormat="1" applyFont="1" applyAlignment="1">
      <alignment vertical="center"/>
    </xf>
    <xf numFmtId="43" fontId="44" fillId="0" borderId="0" xfId="1" applyFont="1" applyAlignment="1">
      <alignment vertical="center"/>
    </xf>
    <xf numFmtId="167" fontId="43" fillId="0" borderId="18" xfId="1" applyNumberFormat="1" applyFont="1" applyBorder="1" applyAlignment="1">
      <alignment horizontal="right" vertical="center"/>
    </xf>
    <xf numFmtId="0" fontId="23" fillId="0" borderId="17" xfId="43" applyFont="1" applyBorder="1" applyAlignment="1">
      <alignment vertical="center"/>
    </xf>
    <xf numFmtId="0" fontId="22" fillId="0" borderId="17" xfId="43" applyFont="1" applyBorder="1" applyAlignment="1">
      <alignment vertical="center"/>
    </xf>
    <xf numFmtId="0" fontId="44" fillId="37" borderId="21" xfId="0" applyFont="1" applyFill="1" applyBorder="1" applyAlignment="1">
      <alignment horizontal="center" vertical="top" wrapText="1"/>
    </xf>
    <xf numFmtId="0" fontId="44" fillId="37" borderId="13" xfId="0" applyFont="1" applyFill="1" applyBorder="1" applyAlignment="1">
      <alignment horizontal="center" vertical="top" wrapText="1"/>
    </xf>
    <xf numFmtId="0" fontId="44" fillId="0" borderId="17" xfId="43" applyFont="1" applyBorder="1" applyAlignment="1">
      <alignment vertical="center"/>
    </xf>
    <xf numFmtId="166" fontId="44" fillId="0" borderId="18" xfId="43" applyNumberFormat="1" applyFont="1" applyBorder="1" applyAlignment="1">
      <alignment vertical="center"/>
    </xf>
    <xf numFmtId="0" fontId="44" fillId="0" borderId="22" xfId="43" applyFont="1" applyBorder="1" applyAlignment="1">
      <alignment horizontal="center" vertical="center"/>
    </xf>
    <xf numFmtId="0" fontId="44" fillId="0" borderId="18" xfId="43" applyFont="1" applyBorder="1" applyAlignment="1">
      <alignment horizontal="center" vertical="center"/>
    </xf>
    <xf numFmtId="0" fontId="43" fillId="0" borderId="17" xfId="43" applyFont="1" applyBorder="1" applyAlignment="1">
      <alignment vertical="center"/>
    </xf>
    <xf numFmtId="0" fontId="44" fillId="0" borderId="18" xfId="43" applyFont="1" applyBorder="1" applyAlignment="1">
      <alignment vertical="center"/>
    </xf>
    <xf numFmtId="0" fontId="44" fillId="0" borderId="23" xfId="43" applyFont="1" applyBorder="1" applyAlignment="1">
      <alignment horizontal="center" vertical="center"/>
    </xf>
    <xf numFmtId="43" fontId="44" fillId="0" borderId="23" xfId="1" applyFont="1" applyBorder="1" applyAlignment="1">
      <alignment vertical="center"/>
    </xf>
    <xf numFmtId="167" fontId="44" fillId="0" borderId="18" xfId="1" applyNumberFormat="1" applyFont="1" applyBorder="1" applyAlignment="1">
      <alignment vertical="center"/>
    </xf>
    <xf numFmtId="167" fontId="43" fillId="0" borderId="23" xfId="1" applyNumberFormat="1" applyFont="1" applyBorder="1" applyAlignment="1">
      <alignment vertical="center"/>
    </xf>
    <xf numFmtId="167" fontId="43" fillId="0" borderId="18" xfId="1" applyNumberFormat="1" applyFont="1" applyBorder="1" applyAlignment="1">
      <alignment vertical="center"/>
    </xf>
    <xf numFmtId="37" fontId="43" fillId="0" borderId="23" xfId="1" applyNumberFormat="1" applyFont="1" applyBorder="1" applyAlignment="1">
      <alignment horizontal="right" vertical="center"/>
    </xf>
    <xf numFmtId="167" fontId="44" fillId="0" borderId="21" xfId="1" applyNumberFormat="1" applyFont="1" applyBorder="1" applyAlignment="1">
      <alignment vertical="center"/>
    </xf>
    <xf numFmtId="167" fontId="44" fillId="0" borderId="13" xfId="1" applyNumberFormat="1" applyFont="1" applyBorder="1" applyAlignment="1">
      <alignment vertical="center"/>
    </xf>
    <xf numFmtId="167" fontId="44" fillId="0" borderId="23" xfId="1" applyNumberFormat="1" applyFont="1" applyBorder="1" applyAlignment="1">
      <alignment vertical="center"/>
    </xf>
    <xf numFmtId="37" fontId="44" fillId="0" borderId="21" xfId="1" applyNumberFormat="1" applyFont="1" applyBorder="1" applyAlignment="1">
      <alignment horizontal="right" vertical="center"/>
    </xf>
    <xf numFmtId="1" fontId="43" fillId="0" borderId="18" xfId="45" applyNumberFormat="1" applyFont="1" applyBorder="1" applyAlignment="1">
      <alignment horizontal="center" vertical="center"/>
    </xf>
    <xf numFmtId="167" fontId="43" fillId="0" borderId="23" xfId="1" applyNumberFormat="1" applyFont="1" applyBorder="1" applyAlignment="1">
      <alignment horizontal="center" vertical="center"/>
    </xf>
    <xf numFmtId="0" fontId="22" fillId="0" borderId="0" xfId="43" applyFont="1" applyAlignment="1">
      <alignment vertical="center"/>
    </xf>
    <xf numFmtId="167" fontId="44" fillId="0" borderId="13" xfId="1" applyNumberFormat="1" applyFont="1" applyBorder="1" applyAlignment="1">
      <alignment horizontal="right" vertical="center"/>
    </xf>
    <xf numFmtId="167" fontId="44" fillId="0" borderId="22" xfId="1" applyNumberFormat="1" applyFont="1" applyBorder="1" applyAlignment="1">
      <alignment vertical="center"/>
    </xf>
    <xf numFmtId="167" fontId="44" fillId="0" borderId="16" xfId="1" applyNumberFormat="1" applyFont="1" applyBorder="1" applyAlignment="1">
      <alignment horizontal="right" vertical="center"/>
    </xf>
    <xf numFmtId="167" fontId="44" fillId="0" borderId="21" xfId="1" applyNumberFormat="1" applyFont="1" applyBorder="1" applyAlignment="1">
      <alignment horizontal="center" vertical="center"/>
    </xf>
    <xf numFmtId="43" fontId="43" fillId="0" borderId="23" xfId="1" applyFont="1" applyBorder="1" applyAlignment="1">
      <alignment horizontal="center" vertical="center"/>
    </xf>
    <xf numFmtId="167" fontId="43" fillId="0" borderId="26" xfId="1" applyNumberFormat="1" applyFont="1" applyBorder="1" applyAlignment="1">
      <alignment vertical="center"/>
    </xf>
    <xf numFmtId="167" fontId="43" fillId="0" borderId="20" xfId="1" applyNumberFormat="1" applyFont="1" applyBorder="1" applyAlignment="1">
      <alignment vertical="center"/>
    </xf>
    <xf numFmtId="0" fontId="43" fillId="0" borderId="19" xfId="43" applyFont="1" applyBorder="1" applyAlignment="1">
      <alignment vertical="center"/>
    </xf>
    <xf numFmtId="1" fontId="43" fillId="0" borderId="20" xfId="45" applyNumberFormat="1" applyFont="1" applyBorder="1" applyAlignment="1">
      <alignment horizontal="center" vertical="center"/>
    </xf>
    <xf numFmtId="167" fontId="44" fillId="0" borderId="13" xfId="1" applyNumberFormat="1" applyFont="1" applyBorder="1" applyAlignment="1">
      <alignment horizontal="center" vertical="center"/>
    </xf>
    <xf numFmtId="1" fontId="43" fillId="0" borderId="0" xfId="45" applyNumberFormat="1" applyFont="1" applyAlignment="1">
      <alignment horizontal="center" vertical="center"/>
    </xf>
    <xf numFmtId="43" fontId="43" fillId="0" borderId="0" xfId="1" applyFont="1" applyAlignment="1">
      <alignment horizontal="center" vertical="center"/>
    </xf>
    <xf numFmtId="0" fontId="44" fillId="0" borderId="22" xfId="43" applyFont="1" applyBorder="1" applyAlignment="1">
      <alignment vertical="center"/>
    </xf>
    <xf numFmtId="1" fontId="44" fillId="0" borderId="22" xfId="45" applyNumberFormat="1" applyFont="1" applyBorder="1" applyAlignment="1">
      <alignment horizontal="center" vertical="center"/>
    </xf>
    <xf numFmtId="167" fontId="44" fillId="0" borderId="22" xfId="1" applyNumberFormat="1" applyFont="1" applyBorder="1" applyAlignment="1">
      <alignment horizontal="center" vertical="center"/>
    </xf>
    <xf numFmtId="167" fontId="44" fillId="0" borderId="16" xfId="1" applyNumberFormat="1" applyFont="1" applyBorder="1" applyAlignment="1">
      <alignment horizontal="center" vertical="center"/>
    </xf>
    <xf numFmtId="0" fontId="43" fillId="0" borderId="23" xfId="43" applyFont="1" applyBorder="1" applyAlignment="1">
      <alignment vertical="center"/>
    </xf>
    <xf numFmtId="10" fontId="43" fillId="0" borderId="23" xfId="74" applyNumberFormat="1" applyFont="1" applyBorder="1" applyAlignment="1">
      <alignment horizontal="right" vertical="center"/>
    </xf>
    <xf numFmtId="167" fontId="43" fillId="0" borderId="18" xfId="1" applyNumberFormat="1" applyFont="1" applyBorder="1" applyAlignment="1">
      <alignment horizontal="center" vertical="center"/>
    </xf>
    <xf numFmtId="0" fontId="22" fillId="0" borderId="19" xfId="43" applyFont="1" applyBorder="1" applyAlignment="1">
      <alignment horizontal="center" vertical="center"/>
    </xf>
    <xf numFmtId="0" fontId="44" fillId="0" borderId="26" xfId="43" applyFont="1" applyBorder="1" applyAlignment="1">
      <alignment vertical="center"/>
    </xf>
    <xf numFmtId="10" fontId="43" fillId="0" borderId="26" xfId="74" applyNumberFormat="1" applyFont="1" applyBorder="1" applyAlignment="1">
      <alignment horizontal="right" vertical="center"/>
    </xf>
    <xf numFmtId="0" fontId="22" fillId="0" borderId="0" xfId="43" applyFont="1" applyAlignment="1">
      <alignment horizontal="center" vertical="center"/>
    </xf>
    <xf numFmtId="167" fontId="43" fillId="0" borderId="0" xfId="1" applyNumberFormat="1" applyFont="1" applyAlignment="1">
      <alignment horizontal="right" vertical="center"/>
    </xf>
    <xf numFmtId="0" fontId="23" fillId="0" borderId="0" xfId="43" applyFont="1" applyAlignment="1">
      <alignment vertical="center"/>
    </xf>
    <xf numFmtId="0" fontId="43" fillId="0" borderId="0" xfId="0" applyFont="1" applyAlignment="1">
      <alignment vertical="center"/>
    </xf>
    <xf numFmtId="0" fontId="44" fillId="0" borderId="0" xfId="43" applyFont="1" applyAlignment="1">
      <alignment horizontal="center" vertical="center"/>
    </xf>
    <xf numFmtId="164" fontId="23" fillId="0" borderId="0" xfId="47" applyFont="1" applyAlignment="1">
      <alignment horizontal="center" vertical="center"/>
    </xf>
    <xf numFmtId="164" fontId="22" fillId="0" borderId="0" xfId="47" applyFont="1" applyAlignment="1">
      <alignment vertical="center"/>
    </xf>
    <xf numFmtId="43" fontId="49" fillId="0" borderId="0" xfId="0" applyNumberFormat="1" applyFont="1" applyAlignment="1">
      <alignment horizontal="center"/>
    </xf>
    <xf numFmtId="43" fontId="43" fillId="0" borderId="0" xfId="43" applyNumberFormat="1" applyFont="1" applyAlignment="1">
      <alignment horizontal="center" vertical="center"/>
    </xf>
    <xf numFmtId="0" fontId="44" fillId="0" borderId="0" xfId="0" applyFont="1" applyAlignment="1">
      <alignment vertical="center"/>
    </xf>
    <xf numFmtId="43" fontId="44" fillId="0" borderId="0" xfId="43" applyNumberFormat="1" applyFont="1" applyAlignment="1">
      <alignment horizontal="center" vertical="center"/>
    </xf>
    <xf numFmtId="43" fontId="44" fillId="0" borderId="0" xfId="43" applyNumberFormat="1" applyFont="1" applyAlignment="1">
      <alignment vertical="center"/>
    </xf>
    <xf numFmtId="164" fontId="23" fillId="0" borderId="0" xfId="47" applyFont="1" applyAlignment="1">
      <alignment vertical="center"/>
    </xf>
    <xf numFmtId="0" fontId="44" fillId="0" borderId="0" xfId="43" applyFont="1" applyAlignment="1">
      <alignment vertical="center"/>
    </xf>
    <xf numFmtId="43" fontId="43" fillId="0" borderId="0" xfId="43" applyNumberFormat="1" applyFont="1" applyAlignment="1">
      <alignment vertical="center"/>
    </xf>
    <xf numFmtId="43" fontId="44" fillId="0" borderId="0" xfId="1" applyFont="1" applyAlignment="1">
      <alignment horizontal="center" vertical="center" wrapText="1"/>
    </xf>
    <xf numFmtId="164" fontId="23" fillId="0" borderId="0" xfId="47" applyFont="1" applyAlignment="1">
      <alignment horizontal="center" vertical="center" wrapText="1"/>
    </xf>
    <xf numFmtId="164" fontId="44" fillId="0" borderId="0" xfId="47" applyFont="1" applyAlignment="1">
      <alignment horizontal="center" vertical="center" wrapText="1"/>
    </xf>
    <xf numFmtId="164" fontId="44" fillId="0" borderId="0" xfId="47" applyFont="1" applyAlignment="1">
      <alignment horizontal="center" vertical="center"/>
    </xf>
    <xf numFmtId="164" fontId="43" fillId="0" borderId="0" xfId="47" applyFont="1" applyAlignment="1">
      <alignment vertical="center"/>
    </xf>
    <xf numFmtId="0" fontId="22" fillId="0" borderId="0" xfId="0" applyFont="1" applyAlignment="1">
      <alignment horizontal="left" vertical="center"/>
    </xf>
    <xf numFmtId="0" fontId="23" fillId="0" borderId="0" xfId="0" applyFont="1" applyAlignment="1">
      <alignment horizontal="left" vertical="center"/>
    </xf>
    <xf numFmtId="164" fontId="44" fillId="0" borderId="0" xfId="47" applyFont="1" applyAlignment="1">
      <alignment vertical="center"/>
    </xf>
    <xf numFmtId="0" fontId="23" fillId="0" borderId="25" xfId="43" applyFont="1" applyBorder="1" applyAlignment="1">
      <alignment vertical="center"/>
    </xf>
    <xf numFmtId="0" fontId="43" fillId="0" borderId="25" xfId="0" applyFont="1" applyBorder="1" applyAlignment="1">
      <alignment vertical="center"/>
    </xf>
    <xf numFmtId="164" fontId="44" fillId="0" borderId="25" xfId="47" applyFont="1" applyBorder="1" applyAlignment="1">
      <alignment horizontal="center" vertical="center"/>
    </xf>
    <xf numFmtId="164" fontId="23" fillId="0" borderId="25" xfId="47" applyFont="1" applyBorder="1" applyAlignment="1">
      <alignment horizontal="center" vertical="center"/>
    </xf>
    <xf numFmtId="0" fontId="22" fillId="0" borderId="48" xfId="0" applyFont="1" applyBorder="1" applyAlignment="1">
      <alignment vertical="center"/>
    </xf>
    <xf numFmtId="0" fontId="43" fillId="0" borderId="48" xfId="0" applyFont="1" applyBorder="1" applyAlignment="1">
      <alignment vertical="center"/>
    </xf>
    <xf numFmtId="164" fontId="44" fillId="0" borderId="48" xfId="47" applyFont="1" applyBorder="1" applyAlignment="1">
      <alignment horizontal="center" vertical="center"/>
    </xf>
    <xf numFmtId="164" fontId="23" fillId="0" borderId="48" xfId="47" applyFont="1" applyBorder="1" applyAlignment="1">
      <alignment horizontal="center" vertical="center"/>
    </xf>
    <xf numFmtId="167" fontId="43" fillId="0" borderId="0" xfId="47" applyNumberFormat="1" applyFont="1" applyAlignment="1">
      <alignment vertical="center"/>
    </xf>
    <xf numFmtId="164" fontId="22" fillId="0" borderId="0" xfId="47" applyFont="1" applyAlignment="1">
      <alignment horizontal="right" vertical="center"/>
    </xf>
    <xf numFmtId="0" fontId="22" fillId="0" borderId="0" xfId="0" applyFont="1" applyAlignment="1">
      <alignment horizontal="left" vertical="center" wrapText="1"/>
    </xf>
    <xf numFmtId="167" fontId="44" fillId="0" borderId="49" xfId="47" applyNumberFormat="1" applyFont="1" applyBorder="1" applyAlignment="1">
      <alignment vertical="center"/>
    </xf>
    <xf numFmtId="164" fontId="23" fillId="0" borderId="49" xfId="47" applyFont="1" applyBorder="1" applyAlignment="1">
      <alignment vertical="center"/>
    </xf>
    <xf numFmtId="174" fontId="43" fillId="0" borderId="0" xfId="47" applyNumberFormat="1" applyFont="1" applyAlignment="1">
      <alignment vertical="center"/>
    </xf>
    <xf numFmtId="43" fontId="22" fillId="0" borderId="0" xfId="0" applyNumberFormat="1" applyFont="1" applyAlignment="1">
      <alignment vertical="top"/>
    </xf>
    <xf numFmtId="4" fontId="22" fillId="0" borderId="0" xfId="0" applyNumberFormat="1" applyFont="1" applyAlignment="1">
      <alignment vertical="top"/>
    </xf>
    <xf numFmtId="0" fontId="43" fillId="0" borderId="19" xfId="0" applyFont="1" applyBorder="1" applyAlignment="1">
      <alignment vertical="top"/>
    </xf>
    <xf numFmtId="43" fontId="51" fillId="0" borderId="0" xfId="1" applyFont="1" applyAlignment="1">
      <alignment horizontal="center" vertical="top" wrapText="1"/>
    </xf>
    <xf numFmtId="43" fontId="52" fillId="0" borderId="18" xfId="1" applyFont="1" applyBorder="1" applyAlignment="1">
      <alignment horizontal="right" vertical="top" wrapText="1"/>
    </xf>
    <xf numFmtId="43" fontId="51" fillId="37" borderId="21" xfId="1" applyFont="1" applyFill="1" applyBorder="1" applyAlignment="1">
      <alignment horizontal="center" vertical="center" wrapText="1"/>
    </xf>
    <xf numFmtId="43" fontId="53" fillId="0" borderId="23" xfId="1" applyFont="1" applyBorder="1" applyAlignment="1">
      <alignment horizontal="center" vertical="top"/>
    </xf>
    <xf numFmtId="43" fontId="53" fillId="0" borderId="23" xfId="1" applyFont="1" applyBorder="1" applyAlignment="1">
      <alignment vertical="top"/>
    </xf>
    <xf numFmtId="43" fontId="51" fillId="0" borderId="21" xfId="1" applyFont="1" applyBorder="1" applyAlignment="1">
      <alignment horizontal="center" vertical="top"/>
    </xf>
    <xf numFmtId="43" fontId="44" fillId="0" borderId="23" xfId="1" applyFont="1" applyBorder="1" applyAlignment="1">
      <alignment horizontal="center" vertical="top"/>
    </xf>
    <xf numFmtId="43" fontId="44" fillId="0" borderId="22" xfId="1" applyFont="1" applyBorder="1" applyAlignment="1">
      <alignment vertical="top"/>
    </xf>
    <xf numFmtId="43" fontId="43" fillId="0" borderId="23" xfId="1" applyFont="1" applyBorder="1" applyAlignment="1">
      <alignment horizontal="center" vertical="top"/>
    </xf>
    <xf numFmtId="43" fontId="44" fillId="0" borderId="23" xfId="1" applyFont="1" applyBorder="1" applyAlignment="1">
      <alignment vertical="top"/>
    </xf>
    <xf numFmtId="43" fontId="54" fillId="0" borderId="23" xfId="1" applyFont="1" applyBorder="1" applyAlignment="1">
      <alignment vertical="top"/>
    </xf>
    <xf numFmtId="43" fontId="54" fillId="0" borderId="26" xfId="1" applyFont="1" applyBorder="1" applyAlignment="1">
      <alignment horizontal="center" vertical="top"/>
    </xf>
    <xf numFmtId="43" fontId="51" fillId="0" borderId="21" xfId="1" applyFont="1" applyBorder="1" applyAlignment="1">
      <alignment vertical="top"/>
    </xf>
    <xf numFmtId="43" fontId="55" fillId="0" borderId="23" xfId="1" applyFont="1" applyBorder="1" applyAlignment="1">
      <alignment vertical="top"/>
    </xf>
    <xf numFmtId="43" fontId="53" fillId="0" borderId="0" xfId="1" applyFont="1" applyAlignment="1">
      <alignment horizontal="center" vertical="top"/>
    </xf>
    <xf numFmtId="43" fontId="53" fillId="0" borderId="18" xfId="1" applyFont="1" applyBorder="1" applyAlignment="1">
      <alignment vertical="top"/>
    </xf>
    <xf numFmtId="43" fontId="53" fillId="0" borderId="18" xfId="1" applyFont="1" applyBorder="1"/>
    <xf numFmtId="43" fontId="53" fillId="0" borderId="0" xfId="1" applyFont="1" applyAlignment="1">
      <alignment vertical="top"/>
    </xf>
    <xf numFmtId="43" fontId="51" fillId="0" borderId="0" xfId="1" applyFont="1" applyAlignment="1">
      <alignment horizontal="left" vertical="top"/>
    </xf>
    <xf numFmtId="43" fontId="43" fillId="0" borderId="18" xfId="1" applyFont="1" applyBorder="1" applyAlignment="1">
      <alignment vertical="top"/>
    </xf>
    <xf numFmtId="43" fontId="51" fillId="0" borderId="15" xfId="1" applyFont="1" applyBorder="1" applyAlignment="1">
      <alignment horizontal="center" vertical="top"/>
    </xf>
    <xf numFmtId="43" fontId="51" fillId="0" borderId="15" xfId="1" applyFont="1" applyBorder="1" applyAlignment="1">
      <alignment vertical="top"/>
    </xf>
    <xf numFmtId="43" fontId="53" fillId="0" borderId="10" xfId="1" applyFont="1" applyBorder="1" applyAlignment="1">
      <alignment vertical="top"/>
    </xf>
    <xf numFmtId="43" fontId="53" fillId="0" borderId="20" xfId="1" applyFont="1" applyBorder="1" applyAlignment="1">
      <alignment vertical="top"/>
    </xf>
    <xf numFmtId="43" fontId="54" fillId="0" borderId="0" xfId="1" applyFont="1" applyAlignment="1">
      <alignment vertical="top"/>
    </xf>
    <xf numFmtId="43" fontId="43" fillId="0" borderId="10" xfId="1" applyFont="1" applyBorder="1" applyAlignment="1">
      <alignment vertical="top"/>
    </xf>
    <xf numFmtId="43" fontId="43" fillId="0" borderId="20" xfId="1" applyFont="1" applyBorder="1" applyAlignment="1">
      <alignment vertical="top"/>
    </xf>
    <xf numFmtId="0" fontId="43" fillId="38" borderId="0" xfId="0" quotePrefix="1" applyFont="1" applyFill="1" applyAlignment="1">
      <alignment vertical="top"/>
    </xf>
    <xf numFmtId="43" fontId="54" fillId="0" borderId="23" xfId="1" applyFont="1" applyBorder="1"/>
    <xf numFmtId="43" fontId="53" fillId="0" borderId="23" xfId="1" applyFont="1" applyBorder="1"/>
    <xf numFmtId="43" fontId="51" fillId="0" borderId="13" xfId="1" applyFont="1" applyBorder="1"/>
    <xf numFmtId="0" fontId="43" fillId="40" borderId="21" xfId="0" applyFont="1" applyFill="1" applyBorder="1" applyAlignment="1">
      <alignment horizontal="left" vertical="top"/>
    </xf>
    <xf numFmtId="0" fontId="43" fillId="40" borderId="21" xfId="0" applyFont="1" applyFill="1" applyBorder="1" applyAlignment="1">
      <alignment horizontal="left"/>
    </xf>
    <xf numFmtId="0" fontId="43" fillId="40" borderId="0" xfId="0" applyFont="1" applyFill="1" applyAlignment="1">
      <alignment horizontal="left" vertical="top"/>
    </xf>
    <xf numFmtId="0" fontId="43" fillId="40" borderId="0" xfId="0" applyFont="1" applyFill="1" applyAlignment="1">
      <alignment horizontal="left"/>
    </xf>
    <xf numFmtId="0" fontId="49" fillId="40" borderId="21" xfId="0" applyFont="1" applyFill="1" applyBorder="1" applyAlignment="1">
      <alignment vertical="top"/>
    </xf>
    <xf numFmtId="0" fontId="49" fillId="40" borderId="21" xfId="0" applyFont="1" applyFill="1" applyBorder="1" applyAlignment="1">
      <alignment horizontal="left"/>
    </xf>
    <xf numFmtId="0" fontId="48" fillId="40" borderId="21" xfId="0" applyFont="1" applyFill="1" applyBorder="1" applyAlignment="1">
      <alignment horizontal="left" vertical="top"/>
    </xf>
    <xf numFmtId="0" fontId="48" fillId="40" borderId="21" xfId="0" applyFont="1" applyFill="1" applyBorder="1" applyAlignment="1">
      <alignment horizontal="left"/>
    </xf>
    <xf numFmtId="0" fontId="43" fillId="40" borderId="23" xfId="0" applyFont="1" applyFill="1" applyBorder="1" applyAlignment="1">
      <alignment horizontal="left" vertical="top"/>
    </xf>
    <xf numFmtId="0" fontId="43" fillId="40" borderId="23" xfId="0" applyFont="1" applyFill="1" applyBorder="1" applyAlignment="1">
      <alignment horizontal="left"/>
    </xf>
    <xf numFmtId="0" fontId="43" fillId="40" borderId="21" xfId="0" applyFont="1" applyFill="1" applyBorder="1" applyAlignment="1">
      <alignment vertical="top"/>
    </xf>
    <xf numFmtId="0" fontId="49" fillId="40" borderId="30" xfId="0" applyFont="1" applyFill="1" applyBorder="1" applyAlignment="1">
      <alignment horizontal="left"/>
    </xf>
    <xf numFmtId="0" fontId="49" fillId="40" borderId="23" xfId="0" applyFont="1" applyFill="1" applyBorder="1" applyAlignment="1">
      <alignment horizontal="left"/>
    </xf>
    <xf numFmtId="0" fontId="79" fillId="40" borderId="21" xfId="0" applyFont="1" applyFill="1" applyBorder="1"/>
    <xf numFmtId="0" fontId="81" fillId="40" borderId="21" xfId="0" applyFont="1" applyFill="1" applyBorder="1" applyAlignment="1">
      <alignment vertical="center"/>
    </xf>
    <xf numFmtId="43" fontId="53" fillId="0" borderId="17" xfId="1" applyFont="1" applyBorder="1" applyAlignment="1">
      <alignment vertical="center"/>
    </xf>
    <xf numFmtId="43" fontId="53" fillId="0" borderId="17" xfId="1" applyFont="1" applyBorder="1"/>
    <xf numFmtId="43" fontId="51" fillId="0" borderId="11" xfId="1" applyFont="1" applyBorder="1" applyAlignment="1">
      <alignment vertical="center"/>
    </xf>
    <xf numFmtId="43" fontId="51" fillId="0" borderId="12" xfId="1" applyFont="1" applyBorder="1" applyAlignment="1">
      <alignment vertical="center"/>
    </xf>
    <xf numFmtId="43" fontId="51" fillId="0" borderId="13" xfId="1" applyFont="1" applyBorder="1" applyAlignment="1">
      <alignment vertical="center"/>
    </xf>
    <xf numFmtId="43" fontId="53" fillId="0" borderId="11" xfId="1" applyFont="1" applyBorder="1" applyAlignment="1">
      <alignment vertical="center"/>
    </xf>
    <xf numFmtId="43" fontId="53" fillId="0" borderId="12" xfId="1" applyFont="1" applyBorder="1" applyAlignment="1">
      <alignment vertical="center"/>
    </xf>
    <xf numFmtId="43" fontId="53" fillId="0" borderId="13" xfId="1" applyFont="1" applyBorder="1" applyAlignment="1">
      <alignment vertical="center"/>
    </xf>
    <xf numFmtId="43" fontId="53" fillId="0" borderId="10" xfId="1" applyFont="1" applyBorder="1" applyAlignment="1">
      <alignment vertical="center"/>
    </xf>
    <xf numFmtId="43" fontId="53" fillId="0" borderId="20" xfId="1" applyFont="1" applyBorder="1" applyAlignment="1">
      <alignment vertical="center"/>
    </xf>
    <xf numFmtId="43" fontId="53" fillId="0" borderId="12" xfId="1" applyFont="1" applyBorder="1"/>
    <xf numFmtId="43" fontId="53" fillId="0" borderId="11" xfId="1" applyFont="1" applyBorder="1"/>
    <xf numFmtId="43" fontId="53" fillId="0" borderId="19" xfId="1" applyFont="1" applyBorder="1" applyAlignment="1">
      <alignment vertical="center"/>
    </xf>
    <xf numFmtId="43" fontId="53" fillId="0" borderId="14" xfId="1" applyFont="1" applyBorder="1" applyAlignment="1">
      <alignment vertical="center"/>
    </xf>
    <xf numFmtId="43" fontId="53" fillId="0" borderId="15" xfId="1" applyFont="1" applyBorder="1" applyAlignment="1">
      <alignment horizontal="right" vertical="top"/>
    </xf>
    <xf numFmtId="43" fontId="53" fillId="0" borderId="15" xfId="1" applyFont="1" applyBorder="1" applyAlignment="1">
      <alignment vertical="center"/>
    </xf>
    <xf numFmtId="43" fontId="53" fillId="0" borderId="16" xfId="1" applyFont="1" applyBorder="1" applyAlignment="1">
      <alignment vertical="center"/>
    </xf>
    <xf numFmtId="43" fontId="54" fillId="0" borderId="23" xfId="1" applyFont="1" applyBorder="1" applyAlignment="1">
      <alignment horizontal="right" vertical="top"/>
    </xf>
    <xf numFmtId="43" fontId="55" fillId="0" borderId="21" xfId="1" applyFont="1" applyBorder="1"/>
    <xf numFmtId="0" fontId="48" fillId="0" borderId="21" xfId="0" applyFont="1" applyBorder="1" applyAlignment="1">
      <alignment horizontal="left" vertical="top"/>
    </xf>
    <xf numFmtId="0" fontId="43" fillId="0" borderId="21" xfId="0" applyFont="1" applyBorder="1" applyAlignment="1">
      <alignment horizontal="left"/>
    </xf>
    <xf numFmtId="43" fontId="43" fillId="35" borderId="21" xfId="44" applyFont="1" applyFill="1" applyBorder="1" applyAlignment="1">
      <alignment horizontal="right" vertical="top"/>
    </xf>
    <xf numFmtId="0" fontId="49" fillId="0" borderId="21" xfId="0" applyFont="1" applyBorder="1" applyAlignment="1">
      <alignment horizontal="left"/>
    </xf>
    <xf numFmtId="0" fontId="43" fillId="0" borderId="21" xfId="0" applyFont="1" applyBorder="1" applyAlignment="1">
      <alignment horizontal="left" vertical="top"/>
    </xf>
    <xf numFmtId="43" fontId="55" fillId="0" borderId="22" xfId="1" applyFont="1" applyBorder="1" applyAlignment="1">
      <alignment horizontal="right" vertical="top"/>
    </xf>
    <xf numFmtId="43" fontId="55" fillId="0" borderId="23" xfId="1" applyFont="1" applyBorder="1" applyAlignment="1">
      <alignment horizontal="right" vertical="top"/>
    </xf>
    <xf numFmtId="43" fontId="54" fillId="0" borderId="17" xfId="1" applyFont="1" applyBorder="1" applyAlignment="1">
      <alignment horizontal="right" vertical="top"/>
    </xf>
    <xf numFmtId="43" fontId="43" fillId="37" borderId="21" xfId="44" applyFont="1" applyFill="1" applyBorder="1" applyAlignment="1">
      <alignment horizontal="right" vertical="top"/>
    </xf>
    <xf numFmtId="0" fontId="48" fillId="0" borderId="21" xfId="0" applyFont="1" applyBorder="1" applyAlignment="1">
      <alignment horizontal="left"/>
    </xf>
    <xf numFmtId="43" fontId="54" fillId="0" borderId="23" xfId="1" applyFont="1" applyBorder="1" applyAlignment="1">
      <alignment vertical="top" wrapText="1"/>
    </xf>
    <xf numFmtId="43" fontId="54" fillId="0" borderId="22" xfId="1" applyFont="1" applyBorder="1" applyAlignment="1">
      <alignment vertical="top" wrapText="1"/>
    </xf>
    <xf numFmtId="43" fontId="43" fillId="0" borderId="22" xfId="1" applyFont="1" applyBorder="1" applyAlignment="1">
      <alignment vertical="top" wrapText="1"/>
    </xf>
    <xf numFmtId="43" fontId="54" fillId="0" borderId="18" xfId="1" applyFont="1" applyBorder="1" applyAlignment="1">
      <alignment vertical="top"/>
    </xf>
    <xf numFmtId="43" fontId="51" fillId="0" borderId="10" xfId="1" applyFont="1" applyBorder="1" applyAlignment="1">
      <alignment vertical="top"/>
    </xf>
    <xf numFmtId="43" fontId="51" fillId="0" borderId="20" xfId="1" applyFont="1" applyBorder="1" applyAlignment="1">
      <alignment vertical="top"/>
    </xf>
    <xf numFmtId="0" fontId="43" fillId="37" borderId="21" xfId="0" applyFont="1" applyFill="1" applyBorder="1" applyAlignment="1">
      <alignment horizontal="left" vertical="top"/>
    </xf>
    <xf numFmtId="0" fontId="43" fillId="37" borderId="21" xfId="0" applyFont="1" applyFill="1" applyBorder="1" applyAlignment="1">
      <alignment horizontal="left"/>
    </xf>
    <xf numFmtId="0" fontId="49" fillId="37" borderId="21" xfId="0" applyFont="1" applyFill="1" applyBorder="1" applyAlignment="1">
      <alignment horizontal="left"/>
    </xf>
    <xf numFmtId="0" fontId="49" fillId="37" borderId="21" xfId="0" applyFont="1" applyFill="1" applyBorder="1" applyAlignment="1">
      <alignment vertical="top"/>
    </xf>
    <xf numFmtId="0" fontId="49" fillId="37" borderId="0" xfId="0" applyFont="1" applyFill="1" applyAlignment="1">
      <alignment vertical="top"/>
    </xf>
    <xf numFmtId="0" fontId="49" fillId="37" borderId="23" xfId="0" applyFont="1" applyFill="1" applyBorder="1" applyAlignment="1">
      <alignment horizontal="left"/>
    </xf>
    <xf numFmtId="0" fontId="49" fillId="37" borderId="21" xfId="0" applyFont="1" applyFill="1" applyBorder="1" applyAlignment="1">
      <alignment horizontal="left" vertical="top"/>
    </xf>
    <xf numFmtId="0" fontId="48" fillId="37" borderId="21" xfId="0" applyFont="1" applyFill="1" applyBorder="1" applyAlignment="1">
      <alignment horizontal="left" vertical="top"/>
    </xf>
    <xf numFmtId="43" fontId="52" fillId="0" borderId="18" xfId="1" applyFont="1" applyBorder="1" applyAlignment="1">
      <alignment horizontal="right"/>
    </xf>
    <xf numFmtId="43" fontId="51" fillId="37" borderId="13" xfId="1" applyFont="1" applyFill="1" applyBorder="1" applyAlignment="1">
      <alignment horizontal="center" vertical="center" wrapText="1"/>
    </xf>
    <xf numFmtId="43" fontId="51" fillId="0" borderId="23" xfId="1" applyFont="1" applyBorder="1"/>
    <xf numFmtId="43" fontId="51" fillId="0" borderId="18" xfId="1" applyFont="1" applyBorder="1"/>
    <xf numFmtId="43" fontId="55" fillId="0" borderId="18" xfId="1" applyFont="1" applyBorder="1"/>
    <xf numFmtId="43" fontId="55" fillId="0" borderId="13" xfId="1" applyFont="1" applyBorder="1"/>
    <xf numFmtId="43" fontId="51" fillId="0" borderId="0" xfId="1" applyFont="1"/>
    <xf numFmtId="43" fontId="55" fillId="0" borderId="23" xfId="1" applyFont="1" applyBorder="1"/>
    <xf numFmtId="43" fontId="55" fillId="0" borderId="26" xfId="1" applyFont="1" applyBorder="1"/>
    <xf numFmtId="43" fontId="55" fillId="0" borderId="20" xfId="1" applyFont="1" applyBorder="1"/>
    <xf numFmtId="43" fontId="51" fillId="0" borderId="15" xfId="1" applyFont="1" applyBorder="1"/>
    <xf numFmtId="43" fontId="51" fillId="0" borderId="16" xfId="1" applyFont="1" applyBorder="1"/>
    <xf numFmtId="43" fontId="54" fillId="0" borderId="26" xfId="1" applyFont="1" applyBorder="1"/>
    <xf numFmtId="43" fontId="54" fillId="0" borderId="23" xfId="1" applyFont="1" applyBorder="1" applyAlignment="1">
      <alignment wrapText="1"/>
    </xf>
    <xf numFmtId="43" fontId="54" fillId="0" borderId="18" xfId="1" applyFont="1" applyBorder="1" applyAlignment="1">
      <alignment wrapText="1"/>
    </xf>
    <xf numFmtId="43" fontId="55" fillId="0" borderId="0" xfId="1" applyFont="1"/>
    <xf numFmtId="43" fontId="55" fillId="0" borderId="10" xfId="1" applyFont="1" applyBorder="1"/>
    <xf numFmtId="43" fontId="54" fillId="0" borderId="11" xfId="1" applyFont="1" applyBorder="1" applyAlignment="1">
      <alignment horizontal="center" vertical="top"/>
    </xf>
    <xf numFmtId="43" fontId="54" fillId="0" borderId="21" xfId="1" applyFont="1" applyBorder="1" applyAlignment="1">
      <alignment horizontal="center" vertical="top"/>
    </xf>
    <xf numFmtId="43" fontId="54" fillId="0" borderId="11" xfId="1" applyFont="1" applyBorder="1" applyAlignment="1">
      <alignment vertical="top"/>
    </xf>
    <xf numFmtId="43" fontId="54" fillId="0" borderId="21" xfId="1" applyFont="1" applyBorder="1" applyAlignment="1">
      <alignment vertical="top"/>
    </xf>
    <xf numFmtId="43" fontId="51" fillId="0" borderId="11" xfId="1" applyFont="1" applyBorder="1" applyAlignment="1">
      <alignment horizontal="center" vertical="top"/>
    </xf>
    <xf numFmtId="43" fontId="54" fillId="0" borderId="14" xfId="1" applyFont="1" applyBorder="1" applyAlignment="1">
      <alignment horizontal="center" vertical="center"/>
    </xf>
    <xf numFmtId="43" fontId="51" fillId="0" borderId="11" xfId="1" applyFont="1" applyBorder="1"/>
    <xf numFmtId="43" fontId="54" fillId="0" borderId="21" xfId="1" applyFont="1" applyBorder="1" applyAlignment="1">
      <alignment horizontal="center" vertical="center"/>
    </xf>
    <xf numFmtId="43" fontId="55" fillId="0" borderId="11" xfId="1" applyFont="1" applyBorder="1" applyAlignment="1">
      <alignment vertical="center"/>
    </xf>
    <xf numFmtId="43" fontId="55" fillId="0" borderId="13" xfId="1" applyFont="1" applyBorder="1" applyAlignment="1">
      <alignment vertical="center"/>
    </xf>
    <xf numFmtId="43" fontId="44" fillId="0" borderId="17" xfId="1" applyFont="1" applyBorder="1" applyAlignment="1">
      <alignment vertical="center"/>
    </xf>
    <xf numFmtId="43" fontId="44" fillId="0" borderId="18" xfId="1" applyFont="1" applyBorder="1" applyAlignment="1">
      <alignment vertical="center"/>
    </xf>
    <xf numFmtId="43" fontId="43" fillId="0" borderId="18" xfId="1" applyFont="1" applyBorder="1"/>
    <xf numFmtId="43" fontId="54" fillId="0" borderId="18" xfId="1" applyFont="1" applyBorder="1" applyAlignment="1">
      <alignment horizontal="right" vertical="top"/>
    </xf>
    <xf numFmtId="43" fontId="55" fillId="0" borderId="18" xfId="1" applyFont="1" applyBorder="1" applyAlignment="1">
      <alignment horizontal="right" vertical="top"/>
    </xf>
    <xf numFmtId="43" fontId="51" fillId="37" borderId="21" xfId="1" applyFont="1" applyFill="1" applyBorder="1" applyAlignment="1">
      <alignment horizontal="center" vertical="top" wrapText="1"/>
    </xf>
    <xf numFmtId="43" fontId="51" fillId="37" borderId="13" xfId="1" applyFont="1" applyFill="1" applyBorder="1" applyAlignment="1">
      <alignment horizontal="center" vertical="top" wrapText="1"/>
    </xf>
    <xf numFmtId="43" fontId="54" fillId="0" borderId="0" xfId="1" applyFont="1" applyAlignment="1">
      <alignment horizontal="right" vertical="top"/>
    </xf>
    <xf numFmtId="43" fontId="55" fillId="0" borderId="16" xfId="1" applyFont="1" applyBorder="1" applyAlignment="1">
      <alignment horizontal="right" vertical="top"/>
    </xf>
    <xf numFmtId="43" fontId="44" fillId="0" borderId="0" xfId="1" applyFont="1" applyAlignment="1">
      <alignment vertical="top"/>
    </xf>
    <xf numFmtId="43" fontId="51" fillId="0" borderId="36" xfId="1" applyFont="1" applyBorder="1"/>
    <xf numFmtId="43" fontId="51" fillId="0" borderId="43" xfId="1" applyFont="1" applyBorder="1"/>
    <xf numFmtId="43" fontId="51" fillId="0" borderId="36" xfId="1" applyFont="1" applyBorder="1" applyAlignment="1">
      <alignment vertical="center" wrapText="1"/>
    </xf>
    <xf numFmtId="43" fontId="51" fillId="0" borderId="37" xfId="1" applyFont="1" applyBorder="1" applyAlignment="1">
      <alignment vertical="center" wrapText="1"/>
    </xf>
    <xf numFmtId="43" fontId="51" fillId="0" borderId="38" xfId="1" applyFont="1" applyBorder="1" applyAlignment="1">
      <alignment vertical="top"/>
    </xf>
    <xf numFmtId="43" fontId="55" fillId="0" borderId="44" xfId="1" applyFont="1" applyBorder="1" applyAlignment="1">
      <alignment vertical="top"/>
    </xf>
    <xf numFmtId="43" fontId="63" fillId="0" borderId="0" xfId="1" applyFont="1" applyAlignment="1">
      <alignment vertical="top"/>
    </xf>
    <xf numFmtId="43" fontId="55" fillId="0" borderId="38" xfId="1" applyFont="1" applyBorder="1" applyAlignment="1">
      <alignment vertical="top"/>
    </xf>
    <xf numFmtId="43" fontId="53" fillId="0" borderId="44" xfId="1" applyFont="1" applyBorder="1" applyAlignment="1">
      <alignment vertical="top"/>
    </xf>
    <xf numFmtId="43" fontId="51" fillId="0" borderId="40" xfId="1" applyFont="1" applyBorder="1" applyAlignment="1">
      <alignment vertical="top"/>
    </xf>
    <xf numFmtId="43" fontId="51" fillId="0" borderId="45" xfId="1" applyFont="1" applyBorder="1" applyAlignment="1">
      <alignment vertical="top"/>
    </xf>
    <xf numFmtId="43" fontId="43" fillId="0" borderId="19" xfId="1" applyFont="1" applyBorder="1" applyAlignment="1">
      <alignment vertical="top"/>
    </xf>
    <xf numFmtId="43" fontId="44" fillId="0" borderId="14" xfId="1" quotePrefix="1" applyFont="1" applyBorder="1" applyAlignment="1">
      <alignment horizontal="center" vertical="top" wrapText="1"/>
    </xf>
    <xf numFmtId="43" fontId="43" fillId="0" borderId="16" xfId="1" applyFont="1" applyBorder="1" applyAlignment="1">
      <alignment vertical="top"/>
    </xf>
    <xf numFmtId="43" fontId="43" fillId="0" borderId="17" xfId="1" applyFont="1" applyBorder="1" applyAlignment="1">
      <alignment vertical="top"/>
    </xf>
    <xf numFmtId="43" fontId="44" fillId="0" borderId="17" xfId="1" applyFont="1" applyBorder="1" applyAlignment="1">
      <alignment vertical="top"/>
    </xf>
    <xf numFmtId="43" fontId="44" fillId="0" borderId="19" xfId="1" applyFont="1" applyBorder="1" applyAlignment="1">
      <alignment vertical="top"/>
    </xf>
    <xf numFmtId="43" fontId="44" fillId="0" borderId="0" xfId="1" applyFont="1" applyAlignment="1">
      <alignment horizontal="left" vertical="top"/>
    </xf>
    <xf numFmtId="43" fontId="44" fillId="0" borderId="18" xfId="1" applyFont="1" applyBorder="1" applyAlignment="1">
      <alignment horizontal="right" vertical="top"/>
    </xf>
    <xf numFmtId="43" fontId="55" fillId="0" borderId="0" xfId="1" applyFont="1" applyAlignment="1">
      <alignment horizontal="justify" vertical="top"/>
    </xf>
    <xf numFmtId="43" fontId="55" fillId="0" borderId="10" xfId="1" applyFont="1" applyBorder="1" applyAlignment="1">
      <alignment horizontal="justify" vertical="top"/>
    </xf>
    <xf numFmtId="43" fontId="51" fillId="0" borderId="12" xfId="1" applyFont="1" applyBorder="1" applyAlignment="1">
      <alignment horizontal="right" vertical="top"/>
    </xf>
    <xf numFmtId="43" fontId="44" fillId="0" borderId="20" xfId="1" applyFont="1" applyBorder="1" applyAlignment="1">
      <alignment horizontal="right" vertical="top"/>
    </xf>
    <xf numFmtId="43" fontId="55" fillId="0" borderId="0" xfId="1" applyFont="1" applyAlignment="1">
      <alignment horizontal="left" vertical="top"/>
    </xf>
    <xf numFmtId="43" fontId="43" fillId="0" borderId="46" xfId="1" applyFont="1" applyBorder="1" applyAlignment="1">
      <alignment vertical="top"/>
    </xf>
    <xf numFmtId="43" fontId="54" fillId="0" borderId="25" xfId="1" applyFont="1" applyBorder="1" applyAlignment="1">
      <alignment vertical="top"/>
    </xf>
    <xf numFmtId="43" fontId="43" fillId="0" borderId="25" xfId="1" applyFont="1" applyBorder="1" applyAlignment="1">
      <alignment vertical="top"/>
    </xf>
    <xf numFmtId="43" fontId="43" fillId="0" borderId="47" xfId="1" applyFont="1" applyBorder="1" applyAlignment="1">
      <alignment vertical="top"/>
    </xf>
    <xf numFmtId="43" fontId="43" fillId="33" borderId="0" xfId="1" applyFont="1" applyFill="1" applyAlignment="1">
      <alignment vertical="top"/>
    </xf>
    <xf numFmtId="43" fontId="43" fillId="33" borderId="0" xfId="1" applyFont="1" applyFill="1"/>
    <xf numFmtId="0" fontId="51" fillId="0" borderId="21" xfId="1" quotePrefix="1" applyNumberFormat="1" applyFont="1" applyBorder="1" applyAlignment="1">
      <alignment horizontal="center" vertical="top" wrapText="1"/>
    </xf>
    <xf numFmtId="0" fontId="51" fillId="0" borderId="13" xfId="1" quotePrefix="1" applyNumberFormat="1" applyFont="1" applyBorder="1" applyAlignment="1">
      <alignment horizontal="center" vertical="top" wrapText="1"/>
    </xf>
    <xf numFmtId="175" fontId="43" fillId="0" borderId="20" xfId="1" applyNumberFormat="1" applyFont="1" applyBorder="1" applyAlignment="1">
      <alignment vertical="top"/>
    </xf>
    <xf numFmtId="4" fontId="0" fillId="0" borderId="0" xfId="0" applyNumberFormat="1"/>
    <xf numFmtId="43" fontId="63" fillId="0" borderId="0" xfId="1" applyFont="1"/>
    <xf numFmtId="43" fontId="67" fillId="0" borderId="18" xfId="1" applyFont="1" applyBorder="1" applyAlignment="1">
      <alignment horizontal="right"/>
    </xf>
    <xf numFmtId="43" fontId="63" fillId="38" borderId="0" xfId="1" applyFont="1" applyFill="1"/>
    <xf numFmtId="43" fontId="67" fillId="38" borderId="0" xfId="1" applyFont="1" applyFill="1" applyAlignment="1">
      <alignment horizontal="right"/>
    </xf>
    <xf numFmtId="43" fontId="67" fillId="0" borderId="0" xfId="1" applyFont="1" applyAlignment="1">
      <alignment horizontal="right"/>
    </xf>
    <xf numFmtId="43" fontId="51" fillId="0" borderId="18" xfId="1" applyFont="1" applyBorder="1" applyAlignment="1">
      <alignment horizontal="center" vertical="top" wrapText="1"/>
    </xf>
    <xf numFmtId="43" fontId="55" fillId="0" borderId="13" xfId="1" applyFont="1" applyBorder="1" applyAlignment="1">
      <alignment horizontal="right" vertical="top"/>
    </xf>
    <xf numFmtId="43" fontId="55" fillId="0" borderId="0" xfId="1" applyFont="1" applyAlignment="1">
      <alignment horizontal="right" vertical="top"/>
    </xf>
    <xf numFmtId="43" fontId="55" fillId="0" borderId="26" xfId="1" applyFont="1" applyBorder="1" applyAlignment="1">
      <alignment horizontal="right" vertical="top"/>
    </xf>
    <xf numFmtId="43" fontId="55" fillId="0" borderId="20" xfId="1" applyFont="1" applyBorder="1" applyAlignment="1">
      <alignment horizontal="right" vertical="top"/>
    </xf>
    <xf numFmtId="43" fontId="55" fillId="0" borderId="12" xfId="1" applyFont="1" applyBorder="1" applyAlignment="1">
      <alignment horizontal="right" vertical="top"/>
    </xf>
    <xf numFmtId="43" fontId="51" fillId="0" borderId="23" xfId="1" applyFont="1" applyBorder="1" applyAlignment="1">
      <alignment horizontal="center" vertical="top" wrapText="1"/>
    </xf>
    <xf numFmtId="43" fontId="63" fillId="0" borderId="18" xfId="1" applyFont="1" applyBorder="1" applyAlignment="1">
      <alignment horizontal="left" vertical="center" wrapText="1"/>
    </xf>
    <xf numFmtId="43" fontId="55" fillId="0" borderId="21" xfId="1" applyFont="1" applyBorder="1" applyAlignment="1">
      <alignment horizontal="right" vertical="top"/>
    </xf>
    <xf numFmtId="43" fontId="63" fillId="0" borderId="10" xfId="1" applyFont="1" applyBorder="1" applyAlignment="1">
      <alignment horizontal="right" vertical="top"/>
    </xf>
    <xf numFmtId="43" fontId="63" fillId="0" borderId="20" xfId="1" applyFont="1" applyBorder="1" applyAlignment="1">
      <alignment horizontal="right" vertical="top"/>
    </xf>
    <xf numFmtId="43" fontId="44" fillId="0" borderId="21" xfId="1" applyFont="1" applyBorder="1"/>
    <xf numFmtId="43" fontId="44" fillId="0" borderId="13" xfId="1" applyFont="1" applyBorder="1"/>
    <xf numFmtId="43" fontId="51" fillId="0" borderId="22" xfId="1" applyFont="1" applyBorder="1" applyAlignment="1">
      <alignment horizontal="center" vertical="top" wrapText="1"/>
    </xf>
    <xf numFmtId="43" fontId="66" fillId="0" borderId="23" xfId="1" applyFont="1" applyBorder="1" applyAlignment="1">
      <alignment horizontal="center" vertical="center" wrapText="1"/>
    </xf>
    <xf numFmtId="43" fontId="66" fillId="0" borderId="18" xfId="1" applyFont="1" applyBorder="1" applyAlignment="1">
      <alignment horizontal="center" vertical="center" wrapText="1"/>
    </xf>
    <xf numFmtId="43" fontId="66" fillId="0" borderId="0" xfId="1" applyFont="1"/>
    <xf numFmtId="43" fontId="66" fillId="0" borderId="12" xfId="1" applyFont="1" applyBorder="1"/>
    <xf numFmtId="43" fontId="66" fillId="0" borderId="21" xfId="1" applyFont="1" applyBorder="1"/>
    <xf numFmtId="43" fontId="66" fillId="0" borderId="13" xfId="1" applyFont="1" applyBorder="1"/>
    <xf numFmtId="43" fontId="66" fillId="0" borderId="10" xfId="1" applyFont="1" applyBorder="1"/>
    <xf numFmtId="43" fontId="66" fillId="0" borderId="20" xfId="1" applyFont="1" applyBorder="1"/>
    <xf numFmtId="43" fontId="51" fillId="0" borderId="16" xfId="1" applyFont="1" applyBorder="1" applyAlignment="1">
      <alignment horizontal="center" vertical="top" wrapText="1"/>
    </xf>
    <xf numFmtId="43" fontId="54" fillId="0" borderId="20" xfId="1" applyFont="1" applyBorder="1" applyAlignment="1">
      <alignment horizontal="right" vertical="top"/>
    </xf>
    <xf numFmtId="43" fontId="22" fillId="38" borderId="0" xfId="1" applyFont="1" applyFill="1"/>
    <xf numFmtId="43" fontId="22" fillId="38" borderId="0" xfId="0" applyNumberFormat="1" applyFont="1" applyFill="1"/>
    <xf numFmtId="43" fontId="78" fillId="39" borderId="21" xfId="1" applyFont="1" applyFill="1" applyBorder="1" applyAlignment="1">
      <alignment horizontal="center" vertical="center"/>
    </xf>
    <xf numFmtId="4" fontId="0" fillId="0" borderId="0" xfId="0" applyNumberFormat="1" applyAlignment="1">
      <alignment horizontal="right" vertical="top"/>
    </xf>
    <xf numFmtId="43" fontId="20" fillId="0" borderId="18" xfId="1" applyNumberFormat="1" applyFont="1" applyBorder="1"/>
    <xf numFmtId="4" fontId="22" fillId="0" borderId="0" xfId="0" applyNumberFormat="1" applyFont="1"/>
    <xf numFmtId="43" fontId="54" fillId="41" borderId="23" xfId="1" applyFont="1" applyFill="1" applyBorder="1"/>
    <xf numFmtId="43" fontId="54" fillId="41" borderId="23" xfId="1" applyFont="1" applyFill="1" applyBorder="1" applyAlignment="1">
      <alignment horizontal="right" vertical="top"/>
    </xf>
    <xf numFmtId="0" fontId="22" fillId="0" borderId="23" xfId="0" applyFont="1" applyFill="1" applyBorder="1"/>
    <xf numFmtId="166" fontId="22" fillId="0" borderId="18" xfId="1" applyNumberFormat="1" applyFont="1" applyFill="1" applyBorder="1"/>
    <xf numFmtId="43" fontId="43" fillId="42" borderId="21" xfId="44" applyFont="1" applyFill="1" applyBorder="1" applyAlignment="1">
      <alignment horizontal="right" vertical="top"/>
    </xf>
    <xf numFmtId="43" fontId="22" fillId="42" borderId="21" xfId="44" applyFont="1" applyFill="1" applyBorder="1" applyAlignment="1">
      <alignment horizontal="right" vertical="top"/>
    </xf>
    <xf numFmtId="43" fontId="48" fillId="42" borderId="21" xfId="44" applyFont="1" applyFill="1" applyBorder="1" applyAlignment="1">
      <alignment horizontal="right" vertical="top"/>
    </xf>
    <xf numFmtId="43" fontId="0" fillId="0" borderId="0" xfId="1" applyFont="1"/>
    <xf numFmtId="0" fontId="51" fillId="0" borderId="17" xfId="0" applyFont="1" applyFill="1" applyBorder="1" applyAlignment="1">
      <alignment horizontal="left" vertical="center" indent="1"/>
    </xf>
    <xf numFmtId="0" fontId="43" fillId="0" borderId="23" xfId="0" applyFont="1" applyFill="1" applyBorder="1" applyAlignment="1">
      <alignment horizontal="center"/>
    </xf>
    <xf numFmtId="166" fontId="43" fillId="0" borderId="23" xfId="1" applyNumberFormat="1" applyFont="1" applyFill="1" applyBorder="1" applyAlignment="1">
      <alignment horizontal="center"/>
    </xf>
    <xf numFmtId="166" fontId="43" fillId="0" borderId="23" xfId="1" applyNumberFormat="1" applyFont="1" applyFill="1" applyBorder="1"/>
    <xf numFmtId="49" fontId="54" fillId="0" borderId="17" xfId="0" applyNumberFormat="1" applyFont="1" applyFill="1" applyBorder="1" applyAlignment="1">
      <alignment horizontal="left" vertical="top" indent="4"/>
    </xf>
    <xf numFmtId="0" fontId="54" fillId="0" borderId="23" xfId="0" applyFont="1" applyFill="1" applyBorder="1" applyAlignment="1">
      <alignment horizontal="center"/>
    </xf>
    <xf numFmtId="43" fontId="54" fillId="0" borderId="23" xfId="1" applyFont="1" applyFill="1" applyBorder="1" applyAlignment="1">
      <alignment horizontal="center"/>
    </xf>
    <xf numFmtId="0" fontId="54" fillId="0" borderId="17" xfId="0" applyFont="1" applyFill="1" applyBorder="1" applyAlignment="1">
      <alignment horizontal="left" vertical="top" indent="4"/>
    </xf>
    <xf numFmtId="43" fontId="43" fillId="0" borderId="23" xfId="1" applyFont="1" applyFill="1" applyBorder="1" applyAlignment="1">
      <alignment horizontal="center"/>
    </xf>
    <xf numFmtId="0" fontId="54" fillId="0" borderId="17" xfId="0" applyFont="1" applyFill="1" applyBorder="1" applyAlignment="1">
      <alignment horizontal="left" indent="4"/>
    </xf>
    <xf numFmtId="0" fontId="51" fillId="0" borderId="17" xfId="0" applyFont="1" applyFill="1" applyBorder="1" applyAlignment="1">
      <alignment horizontal="left" indent="3"/>
    </xf>
    <xf numFmtId="0" fontId="53" fillId="0" borderId="23" xfId="0" applyFont="1" applyFill="1" applyBorder="1" applyAlignment="1">
      <alignment horizontal="center"/>
    </xf>
    <xf numFmtId="43" fontId="51" fillId="0" borderId="21" xfId="1" applyFont="1" applyFill="1" applyBorder="1" applyAlignment="1">
      <alignment horizontal="center"/>
    </xf>
    <xf numFmtId="0" fontId="44" fillId="0" borderId="17" xfId="0" applyFont="1" applyFill="1" applyBorder="1" applyAlignment="1">
      <alignment horizontal="left" indent="1"/>
    </xf>
    <xf numFmtId="43" fontId="44" fillId="0" borderId="23" xfId="1" applyFont="1" applyFill="1" applyBorder="1" applyAlignment="1">
      <alignment horizontal="center"/>
    </xf>
    <xf numFmtId="0" fontId="51" fillId="0" borderId="17" xfId="0" applyFont="1" applyFill="1" applyBorder="1" applyAlignment="1">
      <alignment horizontal="left" indent="1"/>
    </xf>
    <xf numFmtId="43" fontId="43" fillId="0" borderId="23" xfId="1" applyFont="1" applyFill="1" applyBorder="1"/>
    <xf numFmtId="43" fontId="54" fillId="0" borderId="23" xfId="1" applyFont="1" applyFill="1" applyBorder="1"/>
    <xf numFmtId="0" fontId="53" fillId="0" borderId="23" xfId="0" applyFont="1" applyFill="1" applyBorder="1"/>
    <xf numFmtId="43" fontId="51" fillId="0" borderId="22" xfId="1" applyFont="1" applyFill="1" applyBorder="1"/>
    <xf numFmtId="0" fontId="44" fillId="0" borderId="17" xfId="0" applyFont="1" applyFill="1" applyBorder="1"/>
    <xf numFmtId="0" fontId="43" fillId="0" borderId="23" xfId="0" applyFont="1" applyFill="1" applyBorder="1"/>
    <xf numFmtId="43" fontId="44" fillId="0" borderId="22" xfId="1" applyFont="1" applyFill="1" applyBorder="1"/>
    <xf numFmtId="43" fontId="44" fillId="0" borderId="23" xfId="1" applyFont="1" applyFill="1" applyBorder="1"/>
    <xf numFmtId="0" fontId="51" fillId="0" borderId="17" xfId="0" applyFont="1" applyFill="1" applyBorder="1" applyAlignment="1">
      <alignment horizontal="center" vertical="center"/>
    </xf>
    <xf numFmtId="43" fontId="51" fillId="0" borderId="21" xfId="1" applyFont="1" applyFill="1" applyBorder="1"/>
    <xf numFmtId="0" fontId="43" fillId="0" borderId="17" xfId="0" applyFont="1" applyFill="1" applyBorder="1"/>
    <xf numFmtId="0" fontId="51" fillId="0" borderId="17" xfId="0" applyFont="1" applyFill="1" applyBorder="1"/>
    <xf numFmtId="0" fontId="54" fillId="0" borderId="17" xfId="0" applyFont="1" applyFill="1" applyBorder="1" applyAlignment="1">
      <alignment horizontal="left" vertical="center" indent="4"/>
    </xf>
    <xf numFmtId="0" fontId="54" fillId="0" borderId="23" xfId="0" applyFont="1" applyFill="1" applyBorder="1" applyAlignment="1">
      <alignment horizontal="center" vertical="center"/>
    </xf>
    <xf numFmtId="43" fontId="54" fillId="0" borderId="23" xfId="1" applyFont="1" applyFill="1" applyBorder="1" applyAlignment="1">
      <alignment horizontal="center" vertical="center"/>
    </xf>
    <xf numFmtId="0" fontId="51" fillId="0" borderId="23" xfId="0" applyFont="1" applyFill="1" applyBorder="1"/>
    <xf numFmtId="0" fontId="44" fillId="0" borderId="17" xfId="0" applyFont="1" applyFill="1" applyBorder="1" applyAlignment="1">
      <alignment horizontal="left" indent="3"/>
    </xf>
    <xf numFmtId="0" fontId="44" fillId="0" borderId="23" xfId="0" applyFont="1" applyFill="1" applyBorder="1"/>
    <xf numFmtId="0" fontId="53" fillId="0" borderId="23" xfId="0" applyFont="1" applyFill="1" applyBorder="1" applyAlignment="1">
      <alignment horizontal="center" vertical="center"/>
    </xf>
    <xf numFmtId="43" fontId="53" fillId="0" borderId="23" xfId="1" applyFont="1" applyFill="1" applyBorder="1"/>
    <xf numFmtId="0" fontId="44" fillId="0" borderId="17" xfId="0" applyFont="1" applyFill="1" applyBorder="1" applyAlignment="1">
      <alignment horizontal="left" indent="2"/>
    </xf>
    <xf numFmtId="0" fontId="51" fillId="0" borderId="19" xfId="0" applyFont="1" applyFill="1" applyBorder="1" applyAlignment="1">
      <alignment horizontal="center"/>
    </xf>
    <xf numFmtId="0" fontId="51" fillId="0" borderId="26" xfId="0" applyFont="1" applyFill="1" applyBorder="1"/>
    <xf numFmtId="0" fontId="54" fillId="0" borderId="11" xfId="0" applyFont="1" applyFill="1" applyBorder="1" applyAlignment="1">
      <alignment vertical="top"/>
    </xf>
    <xf numFmtId="0" fontId="54" fillId="0" borderId="0" xfId="0" applyFont="1" applyFill="1" applyAlignment="1">
      <alignment horizontal="center" vertical="top"/>
    </xf>
    <xf numFmtId="43" fontId="54" fillId="0" borderId="0" xfId="1" applyFont="1" applyFill="1"/>
    <xf numFmtId="43" fontId="54" fillId="0" borderId="18" xfId="1" applyFont="1" applyFill="1" applyBorder="1"/>
    <xf numFmtId="0" fontId="51" fillId="0" borderId="0" xfId="0" applyFont="1" applyFill="1"/>
    <xf numFmtId="0" fontId="53" fillId="0" borderId="0" xfId="0" applyFont="1" applyFill="1" applyAlignment="1">
      <alignment horizontal="center"/>
    </xf>
    <xf numFmtId="0" fontId="51" fillId="0" borderId="18" xfId="0" applyFont="1" applyFill="1" applyBorder="1" applyAlignment="1">
      <alignment horizontal="right" vertical="top"/>
    </xf>
    <xf numFmtId="0" fontId="53" fillId="0" borderId="17" xfId="0" applyFont="1" applyFill="1" applyBorder="1"/>
    <xf numFmtId="0" fontId="53" fillId="0" borderId="0" xfId="0" applyFont="1" applyFill="1"/>
    <xf numFmtId="0" fontId="43" fillId="0" borderId="18" xfId="0" applyFont="1" applyFill="1" applyBorder="1"/>
    <xf numFmtId="43" fontId="53" fillId="0" borderId="0" xfId="1" applyFont="1" applyFill="1"/>
    <xf numFmtId="0" fontId="53" fillId="0" borderId="18" xfId="0" applyFont="1" applyFill="1" applyBorder="1"/>
    <xf numFmtId="0" fontId="51" fillId="0" borderId="16" xfId="43" applyFont="1" applyFill="1" applyBorder="1" applyAlignment="1">
      <alignment horizontal="center" vertical="center"/>
    </xf>
    <xf numFmtId="0" fontId="51" fillId="0" borderId="18" xfId="0" applyFont="1" applyFill="1" applyBorder="1" applyAlignment="1">
      <alignment horizontal="left" vertical="center"/>
    </xf>
    <xf numFmtId="0" fontId="43" fillId="0" borderId="0" xfId="0" applyFont="1" applyFill="1"/>
    <xf numFmtId="0" fontId="53" fillId="0" borderId="17" xfId="0" applyFont="1" applyFill="1" applyBorder="1" applyAlignment="1">
      <alignment horizontal="justify" vertical="center"/>
    </xf>
    <xf numFmtId="0" fontId="51" fillId="0" borderId="16" xfId="0" applyFont="1" applyFill="1" applyBorder="1" applyAlignment="1">
      <alignment horizontal="right"/>
    </xf>
    <xf numFmtId="0" fontId="51" fillId="0" borderId="17" xfId="0" applyFont="1" applyFill="1" applyBorder="1" applyAlignment="1">
      <alignment horizontal="justify" vertical="center"/>
    </xf>
    <xf numFmtId="0" fontId="44" fillId="0" borderId="18" xfId="0" applyFont="1" applyFill="1" applyBorder="1" applyAlignment="1">
      <alignment horizontal="justify" vertical="center"/>
    </xf>
    <xf numFmtId="0" fontId="53" fillId="0" borderId="19" xfId="0" applyFont="1" applyFill="1" applyBorder="1"/>
    <xf numFmtId="0" fontId="43" fillId="0" borderId="10" xfId="0" applyFont="1" applyFill="1" applyBorder="1"/>
    <xf numFmtId="0" fontId="44" fillId="0" borderId="20" xfId="0" applyFont="1" applyFill="1" applyBorder="1" applyAlignment="1">
      <alignment horizontal="justify" vertical="center"/>
    </xf>
    <xf numFmtId="0" fontId="54" fillId="0" borderId="0" xfId="0" applyFont="1" applyFill="1"/>
    <xf numFmtId="43" fontId="43" fillId="0" borderId="0" xfId="0" applyNumberFormat="1" applyFont="1" applyFill="1"/>
    <xf numFmtId="166" fontId="43" fillId="0" borderId="0" xfId="0" applyNumberFormat="1" applyFont="1" applyFill="1"/>
    <xf numFmtId="4" fontId="43" fillId="0" borderId="0" xfId="0" applyNumberFormat="1" applyFont="1" applyFill="1"/>
    <xf numFmtId="43" fontId="43" fillId="0" borderId="0" xfId="1" applyFont="1" applyFill="1"/>
    <xf numFmtId="0" fontId="20" fillId="0" borderId="0" xfId="0" applyFont="1" applyFill="1" applyAlignment="1">
      <alignment vertical="top"/>
    </xf>
    <xf numFmtId="43" fontId="20" fillId="0" borderId="0" xfId="0" applyNumberFormat="1" applyFont="1" applyFill="1" applyAlignment="1">
      <alignment vertical="top"/>
    </xf>
    <xf numFmtId="0" fontId="20" fillId="0" borderId="0" xfId="0" applyFont="1" applyFill="1" applyAlignment="1">
      <alignment vertical="center"/>
    </xf>
    <xf numFmtId="166" fontId="20" fillId="0" borderId="0" xfId="1" applyNumberFormat="1" applyFont="1" applyFill="1" applyAlignment="1">
      <alignment horizontal="right" vertical="top" wrapText="1"/>
    </xf>
    <xf numFmtId="43" fontId="20" fillId="0" borderId="0" xfId="1" applyFont="1" applyFill="1" applyAlignment="1">
      <alignment horizontal="right" vertical="top" wrapText="1"/>
    </xf>
    <xf numFmtId="166" fontId="21" fillId="0" borderId="0" xfId="1" applyNumberFormat="1" applyFont="1" applyFill="1" applyAlignment="1">
      <alignment horizontal="right" vertical="top" wrapText="1"/>
    </xf>
    <xf numFmtId="43" fontId="21" fillId="0" borderId="0" xfId="1" applyFont="1" applyFill="1" applyAlignment="1">
      <alignment horizontal="right" vertical="top" wrapText="1"/>
    </xf>
    <xf numFmtId="0" fontId="26" fillId="0" borderId="0" xfId="0" applyFont="1" applyFill="1" applyAlignment="1">
      <alignment vertical="top"/>
    </xf>
    <xf numFmtId="166" fontId="20" fillId="0" borderId="0" xfId="0" applyNumberFormat="1" applyFont="1" applyFill="1" applyAlignment="1">
      <alignment vertical="top"/>
    </xf>
    <xf numFmtId="0" fontId="59" fillId="0" borderId="0" xfId="0" applyFont="1" applyFill="1" applyAlignment="1">
      <alignment vertical="top"/>
    </xf>
    <xf numFmtId="0" fontId="22" fillId="0" borderId="0" xfId="0" applyFont="1" applyFill="1"/>
    <xf numFmtId="0" fontId="54" fillId="0" borderId="17" xfId="0" applyFont="1" applyFill="1" applyBorder="1"/>
    <xf numFmtId="0" fontId="55" fillId="0" borderId="17" xfId="0" applyFont="1" applyFill="1" applyBorder="1"/>
    <xf numFmtId="0" fontId="22" fillId="0" borderId="27" xfId="0" applyFont="1" applyFill="1" applyBorder="1" applyAlignment="1">
      <alignment vertical="top"/>
    </xf>
    <xf numFmtId="0" fontId="54" fillId="0" borderId="17" xfId="0" applyFont="1" applyFill="1" applyBorder="1" applyAlignment="1">
      <alignment vertical="top"/>
    </xf>
    <xf numFmtId="0" fontId="22" fillId="0" borderId="0" xfId="0" applyFont="1" applyFill="1" applyAlignment="1">
      <alignment vertical="top"/>
    </xf>
    <xf numFmtId="0" fontId="53" fillId="0" borderId="17" xfId="0" applyFont="1" applyFill="1" applyBorder="1" applyAlignment="1">
      <alignment vertical="top"/>
    </xf>
    <xf numFmtId="43" fontId="51" fillId="0" borderId="13" xfId="1" applyFont="1" applyFill="1" applyBorder="1"/>
    <xf numFmtId="43" fontId="55" fillId="0" borderId="0" xfId="1" applyFont="1" applyFill="1"/>
    <xf numFmtId="43" fontId="55" fillId="0" borderId="18" xfId="1" applyFont="1" applyFill="1" applyBorder="1"/>
    <xf numFmtId="43" fontId="64" fillId="0" borderId="18" xfId="1" applyFont="1" applyFill="1" applyBorder="1" applyAlignment="1">
      <alignment horizontal="right"/>
    </xf>
    <xf numFmtId="0" fontId="51" fillId="0" borderId="11" xfId="0" applyFont="1" applyFill="1" applyBorder="1" applyAlignment="1">
      <alignment horizontal="center" vertical="center"/>
    </xf>
    <xf numFmtId="43" fontId="51" fillId="0" borderId="21" xfId="1" applyFont="1" applyFill="1" applyBorder="1" applyAlignment="1">
      <alignment horizontal="center" vertical="top" wrapText="1"/>
    </xf>
    <xf numFmtId="43" fontId="51" fillId="0" borderId="13" xfId="1" applyFont="1" applyFill="1" applyBorder="1" applyAlignment="1">
      <alignment horizontal="center" vertical="top" wrapText="1"/>
    </xf>
    <xf numFmtId="0" fontId="55" fillId="0" borderId="17" xfId="0" applyFont="1" applyFill="1" applyBorder="1" applyAlignment="1">
      <alignment horizontal="center" vertical="center"/>
    </xf>
    <xf numFmtId="43" fontId="55" fillId="0" borderId="23" xfId="1" applyFont="1" applyFill="1" applyBorder="1" applyAlignment="1">
      <alignment horizontal="center" vertical="top" wrapText="1"/>
    </xf>
    <xf numFmtId="43" fontId="55" fillId="0" borderId="18" xfId="1" applyFont="1" applyFill="1" applyBorder="1" applyAlignment="1">
      <alignment horizontal="center" vertical="top" wrapText="1"/>
    </xf>
    <xf numFmtId="0" fontId="54" fillId="0" borderId="17" xfId="0" applyFont="1" applyFill="1" applyBorder="1" applyAlignment="1">
      <alignment wrapText="1"/>
    </xf>
    <xf numFmtId="0" fontId="22" fillId="0" borderId="11" xfId="0" applyFont="1" applyFill="1" applyBorder="1" applyAlignment="1">
      <alignment vertical="top"/>
    </xf>
    <xf numFmtId="43" fontId="54" fillId="0" borderId="23" xfId="1" applyFont="1" applyFill="1" applyBorder="1" applyAlignment="1">
      <alignment horizontal="right" vertical="top"/>
    </xf>
    <xf numFmtId="43" fontId="54" fillId="0" borderId="18" xfId="1" applyFont="1" applyFill="1" applyBorder="1" applyAlignment="1">
      <alignment horizontal="right" vertical="top"/>
    </xf>
    <xf numFmtId="0" fontId="54" fillId="0" borderId="17" xfId="0" applyFont="1" applyFill="1" applyBorder="1" applyAlignment="1">
      <alignment horizontal="left" wrapText="1"/>
    </xf>
    <xf numFmtId="43" fontId="22" fillId="0" borderId="0" xfId="0" applyNumberFormat="1" applyFont="1" applyFill="1"/>
    <xf numFmtId="43" fontId="23" fillId="0" borderId="0" xfId="0" applyNumberFormat="1" applyFont="1" applyFill="1"/>
    <xf numFmtId="43" fontId="55" fillId="0" borderId="21" xfId="1" applyFont="1" applyFill="1" applyBorder="1" applyAlignment="1">
      <alignment vertical="top"/>
    </xf>
    <xf numFmtId="43" fontId="55" fillId="0" borderId="13" xfId="1" applyFont="1" applyFill="1" applyBorder="1" applyAlignment="1">
      <alignment vertical="top"/>
    </xf>
    <xf numFmtId="43" fontId="55" fillId="0" borderId="22" xfId="1" applyFont="1" applyFill="1" applyBorder="1"/>
    <xf numFmtId="43" fontId="55" fillId="0" borderId="16" xfId="1" applyFont="1" applyFill="1" applyBorder="1"/>
    <xf numFmtId="0" fontId="54" fillId="0" borderId="19" xfId="0" applyFont="1" applyFill="1" applyBorder="1" applyAlignment="1">
      <alignment vertical="center"/>
    </xf>
    <xf numFmtId="43" fontId="55" fillId="0" borderId="20" xfId="1" applyFont="1" applyFill="1" applyBorder="1"/>
    <xf numFmtId="43" fontId="55" fillId="0" borderId="17" xfId="1" applyFont="1" applyFill="1" applyBorder="1"/>
    <xf numFmtId="43" fontId="55" fillId="0" borderId="14" xfId="1" applyFont="1" applyFill="1" applyBorder="1"/>
    <xf numFmtId="43" fontId="55" fillId="0" borderId="13" xfId="1" applyFont="1" applyFill="1" applyBorder="1"/>
    <xf numFmtId="166" fontId="22" fillId="0" borderId="0" xfId="1" applyNumberFormat="1" applyFont="1" applyFill="1"/>
    <xf numFmtId="43" fontId="55" fillId="0" borderId="23" xfId="1" applyFont="1" applyFill="1" applyBorder="1" applyAlignment="1">
      <alignment horizontal="right" vertical="top"/>
    </xf>
    <xf numFmtId="43" fontId="55" fillId="0" borderId="18" xfId="1" applyFont="1" applyFill="1" applyBorder="1" applyAlignment="1">
      <alignment horizontal="right" vertical="top"/>
    </xf>
    <xf numFmtId="0" fontId="51" fillId="0" borderId="17" xfId="0" applyFont="1" applyFill="1" applyBorder="1" applyAlignment="1">
      <alignment horizontal="center"/>
    </xf>
    <xf numFmtId="43" fontId="55" fillId="0" borderId="21" xfId="1" applyFont="1" applyFill="1" applyBorder="1"/>
    <xf numFmtId="0" fontId="55" fillId="0" borderId="17" xfId="0" applyFont="1" applyFill="1" applyBorder="1" applyAlignment="1">
      <alignment horizontal="center"/>
    </xf>
    <xf numFmtId="43" fontId="55" fillId="0" borderId="23" xfId="1" applyFont="1" applyFill="1" applyBorder="1"/>
    <xf numFmtId="43" fontId="54" fillId="0" borderId="17" xfId="1" applyFont="1" applyFill="1" applyBorder="1" applyAlignment="1">
      <alignment horizontal="right" vertical="top"/>
    </xf>
    <xf numFmtId="43" fontId="54" fillId="0" borderId="0" xfId="1" applyFont="1" applyFill="1" applyAlignment="1">
      <alignment horizontal="right" vertical="top"/>
    </xf>
    <xf numFmtId="0" fontId="54" fillId="0" borderId="17" xfId="0" applyFont="1" applyFill="1" applyBorder="1" applyAlignment="1">
      <alignment horizontal="left" vertical="top"/>
    </xf>
    <xf numFmtId="43" fontId="54" fillId="0" borderId="17" xfId="1" applyFont="1" applyFill="1" applyBorder="1" applyAlignment="1">
      <alignment vertical="top" wrapText="1"/>
    </xf>
    <xf numFmtId="43" fontId="54" fillId="0" borderId="18" xfId="1" applyFont="1" applyFill="1" applyBorder="1" applyAlignment="1">
      <alignment vertical="top" wrapText="1"/>
    </xf>
    <xf numFmtId="0" fontId="54" fillId="0" borderId="19" xfId="0" applyFont="1" applyFill="1" applyBorder="1" applyAlignment="1">
      <alignment horizontal="left" vertical="top"/>
    </xf>
    <xf numFmtId="43" fontId="54" fillId="0" borderId="10" xfId="1" applyFont="1" applyFill="1" applyBorder="1" applyAlignment="1">
      <alignment vertical="top" wrapText="1"/>
    </xf>
    <xf numFmtId="43" fontId="54" fillId="0" borderId="20" xfId="1" applyFont="1" applyFill="1" applyBorder="1" applyAlignment="1">
      <alignment vertical="top" wrapText="1"/>
    </xf>
    <xf numFmtId="0" fontId="51" fillId="0" borderId="17" xfId="0" applyFont="1" applyFill="1" applyBorder="1" applyAlignment="1">
      <alignment wrapText="1"/>
    </xf>
    <xf numFmtId="164" fontId="22" fillId="0" borderId="0" xfId="0" applyNumberFormat="1" applyFont="1" applyFill="1"/>
    <xf numFmtId="0" fontId="55" fillId="0" borderId="17" xfId="0" applyFont="1" applyFill="1" applyBorder="1" applyAlignment="1">
      <alignment wrapText="1"/>
    </xf>
    <xf numFmtId="43" fontId="54" fillId="0" borderId="26" xfId="1" applyFont="1" applyFill="1" applyBorder="1" applyAlignment="1">
      <alignment horizontal="right" vertical="top"/>
    </xf>
    <xf numFmtId="0" fontId="54" fillId="0" borderId="26" xfId="0" applyFont="1" applyFill="1" applyBorder="1" applyAlignment="1">
      <alignment wrapText="1"/>
    </xf>
    <xf numFmtId="0" fontId="54" fillId="0" borderId="14" xfId="0" applyFont="1" applyFill="1" applyBorder="1" applyAlignment="1">
      <alignment wrapText="1"/>
    </xf>
    <xf numFmtId="43" fontId="55" fillId="0" borderId="15" xfId="1" applyFont="1" applyFill="1" applyBorder="1"/>
    <xf numFmtId="0" fontId="51" fillId="0" borderId="21" xfId="0" applyFont="1" applyFill="1" applyBorder="1" applyAlignment="1">
      <alignment horizontal="center" vertical="center"/>
    </xf>
    <xf numFmtId="0" fontId="54" fillId="0" borderId="26" xfId="0" applyFont="1" applyFill="1" applyBorder="1"/>
    <xf numFmtId="166" fontId="22" fillId="0" borderId="0" xfId="0" applyNumberFormat="1" applyFont="1" applyFill="1"/>
    <xf numFmtId="3" fontId="22" fillId="0" borderId="0" xfId="0" applyNumberFormat="1" applyFont="1" applyFill="1"/>
    <xf numFmtId="0" fontId="51" fillId="0" borderId="11" xfId="0" applyFont="1" applyFill="1" applyBorder="1" applyAlignment="1">
      <alignment horizontal="center" vertical="top" wrapText="1"/>
    </xf>
    <xf numFmtId="0" fontId="51" fillId="0" borderId="17" xfId="0" applyFont="1" applyFill="1" applyBorder="1" applyAlignment="1">
      <alignment vertical="top"/>
    </xf>
    <xf numFmtId="43" fontId="54" fillId="0" borderId="18" xfId="1" applyFont="1" applyFill="1" applyBorder="1" applyAlignment="1">
      <alignment vertical="top"/>
    </xf>
    <xf numFmtId="43" fontId="55" fillId="0" borderId="22" xfId="1" applyFont="1" applyFill="1" applyBorder="1" applyAlignment="1">
      <alignment horizontal="right" vertical="top"/>
    </xf>
    <xf numFmtId="43" fontId="55" fillId="0" borderId="16" xfId="1" applyFont="1" applyFill="1" applyBorder="1" applyAlignment="1">
      <alignment horizontal="right" vertical="top"/>
    </xf>
    <xf numFmtId="43" fontId="54" fillId="0" borderId="20" xfId="1" applyFont="1" applyFill="1" applyBorder="1" applyAlignment="1">
      <alignment horizontal="right" vertical="top"/>
    </xf>
    <xf numFmtId="0" fontId="54" fillId="0" borderId="23" xfId="0" applyFont="1" applyFill="1" applyBorder="1"/>
    <xf numFmtId="0" fontId="54" fillId="0" borderId="21" xfId="0" applyFont="1" applyFill="1" applyBorder="1"/>
    <xf numFmtId="43" fontId="55" fillId="0" borderId="29" xfId="1" applyFont="1" applyFill="1" applyBorder="1" applyAlignment="1">
      <alignment vertical="top"/>
    </xf>
    <xf numFmtId="43" fontId="44" fillId="0" borderId="0" xfId="1" applyFont="1" applyFill="1" applyAlignment="1">
      <alignment vertical="top"/>
    </xf>
    <xf numFmtId="4" fontId="56" fillId="0" borderId="0" xfId="0" applyNumberFormat="1" applyFont="1" applyAlignment="1">
      <alignment vertical="center"/>
    </xf>
    <xf numFmtId="43" fontId="56" fillId="0" borderId="0" xfId="0" applyNumberFormat="1" applyFont="1" applyAlignment="1">
      <alignment vertical="center"/>
    </xf>
    <xf numFmtId="4" fontId="22" fillId="0" borderId="0" xfId="0" applyNumberFormat="1" applyFont="1" applyFill="1"/>
    <xf numFmtId="43" fontId="54" fillId="35" borderId="23" xfId="1" applyFont="1" applyFill="1" applyBorder="1" applyAlignment="1">
      <alignment horizontal="right" vertical="top"/>
    </xf>
    <xf numFmtId="0" fontId="49" fillId="0" borderId="21" xfId="0" applyFont="1" applyFill="1" applyBorder="1" applyAlignment="1">
      <alignment horizontal="left"/>
    </xf>
    <xf numFmtId="0" fontId="43" fillId="0" borderId="21" xfId="0" applyFont="1" applyFill="1" applyBorder="1" applyAlignment="1">
      <alignment horizontal="left"/>
    </xf>
    <xf numFmtId="43" fontId="43" fillId="0" borderId="21" xfId="44" applyFont="1" applyFill="1" applyBorder="1" applyAlignment="1">
      <alignment horizontal="right" vertical="top"/>
    </xf>
    <xf numFmtId="4" fontId="22" fillId="38" borderId="0" xfId="0" applyNumberFormat="1" applyFont="1" applyFill="1"/>
    <xf numFmtId="0" fontId="51" fillId="0" borderId="0" xfId="0" applyFont="1" applyFill="1" applyAlignment="1">
      <alignment horizontal="center"/>
    </xf>
    <xf numFmtId="0" fontId="52" fillId="0" borderId="18" xfId="0" applyFont="1" applyFill="1" applyBorder="1" applyAlignment="1">
      <alignment horizontal="right"/>
    </xf>
    <xf numFmtId="0" fontId="51" fillId="0" borderId="21" xfId="0" applyFont="1" applyFill="1" applyBorder="1" applyAlignment="1">
      <alignment horizontal="center" vertical="center" wrapText="1"/>
    </xf>
    <xf numFmtId="0" fontId="51" fillId="0" borderId="17" xfId="0" applyFont="1" applyFill="1" applyBorder="1" applyAlignment="1">
      <alignment vertical="center"/>
    </xf>
    <xf numFmtId="166" fontId="43" fillId="0" borderId="22" xfId="1" applyNumberFormat="1" applyFont="1" applyFill="1" applyBorder="1" applyAlignment="1">
      <alignment horizontal="center"/>
    </xf>
    <xf numFmtId="43" fontId="43" fillId="0" borderId="22" xfId="1" applyFont="1" applyFill="1" applyBorder="1"/>
    <xf numFmtId="0" fontId="51" fillId="0" borderId="14" xfId="0" applyFont="1" applyBorder="1" applyAlignment="1">
      <alignment horizontal="center" vertical="top"/>
    </xf>
    <xf numFmtId="0" fontId="51" fillId="0" borderId="15" xfId="0" applyFont="1" applyBorder="1" applyAlignment="1">
      <alignment horizontal="center" vertical="top"/>
    </xf>
    <xf numFmtId="0" fontId="51" fillId="0" borderId="16" xfId="0" applyFont="1" applyBorder="1" applyAlignment="1">
      <alignment horizontal="center" vertical="top"/>
    </xf>
    <xf numFmtId="0" fontId="52" fillId="0" borderId="17" xfId="0" applyFont="1" applyBorder="1" applyAlignment="1">
      <alignment horizontal="center" vertical="top" wrapText="1"/>
    </xf>
    <xf numFmtId="0" fontId="52" fillId="0" borderId="0" xfId="0" applyFont="1" applyAlignment="1">
      <alignment horizontal="center" vertical="top" wrapText="1"/>
    </xf>
    <xf numFmtId="0" fontId="52" fillId="0" borderId="18" xfId="0" applyFont="1" applyBorder="1" applyAlignment="1">
      <alignment horizontal="center" vertical="top" wrapText="1"/>
    </xf>
    <xf numFmtId="0" fontId="51" fillId="0" borderId="14" xfId="0" applyFont="1" applyFill="1" applyBorder="1" applyAlignment="1">
      <alignment horizontal="center"/>
    </xf>
    <xf numFmtId="0" fontId="51" fillId="0" borderId="15" xfId="0" applyFont="1" applyFill="1" applyBorder="1" applyAlignment="1">
      <alignment horizontal="center"/>
    </xf>
    <xf numFmtId="0" fontId="51" fillId="0" borderId="16" xfId="0" applyFont="1" applyFill="1" applyBorder="1" applyAlignment="1">
      <alignment horizontal="center"/>
    </xf>
    <xf numFmtId="0" fontId="53" fillId="0" borderId="17" xfId="0" applyFont="1" applyFill="1" applyBorder="1" applyAlignment="1">
      <alignment horizontal="left"/>
    </xf>
    <xf numFmtId="0" fontId="53" fillId="0" borderId="15" xfId="0" applyFont="1" applyFill="1" applyBorder="1" applyAlignment="1">
      <alignment horizontal="left"/>
    </xf>
    <xf numFmtId="0" fontId="53" fillId="0" borderId="16" xfId="0" applyFont="1" applyFill="1" applyBorder="1" applyAlignment="1">
      <alignment horizontal="left"/>
    </xf>
    <xf numFmtId="0" fontId="53" fillId="0" borderId="0" xfId="0" applyFont="1" applyFill="1" applyAlignment="1">
      <alignment horizontal="left"/>
    </xf>
    <xf numFmtId="0" fontId="53" fillId="0" borderId="18" xfId="0" applyFont="1" applyFill="1" applyBorder="1" applyAlignment="1">
      <alignment horizontal="left"/>
    </xf>
    <xf numFmtId="43" fontId="53" fillId="0" borderId="17" xfId="0" applyNumberFormat="1" applyFont="1" applyFill="1" applyBorder="1" applyAlignment="1">
      <alignment horizontal="left"/>
    </xf>
    <xf numFmtId="0" fontId="52" fillId="0" borderId="17" xfId="0" applyFont="1" applyFill="1" applyBorder="1" applyAlignment="1">
      <alignment horizontal="center"/>
    </xf>
    <xf numFmtId="0" fontId="52" fillId="0" borderId="0" xfId="0" applyFont="1" applyFill="1" applyAlignment="1">
      <alignment horizontal="center"/>
    </xf>
    <xf numFmtId="0" fontId="52" fillId="0" borderId="18" xfId="0" applyFont="1" applyFill="1" applyBorder="1" applyAlignment="1">
      <alignment horizontal="center"/>
    </xf>
    <xf numFmtId="43" fontId="51" fillId="37" borderId="21" xfId="1" applyFont="1" applyFill="1" applyBorder="1" applyAlignment="1">
      <alignment horizontal="center"/>
    </xf>
    <xf numFmtId="43" fontId="51" fillId="37" borderId="11" xfId="1" applyFont="1" applyFill="1" applyBorder="1" applyAlignment="1">
      <alignment horizontal="center"/>
    </xf>
    <xf numFmtId="0" fontId="51" fillId="0" borderId="14" xfId="0" applyFont="1" applyBorder="1" applyAlignment="1">
      <alignment horizontal="center"/>
    </xf>
    <xf numFmtId="0" fontId="51" fillId="0" borderId="15" xfId="0" applyFont="1" applyBorder="1" applyAlignment="1">
      <alignment horizontal="center"/>
    </xf>
    <xf numFmtId="0" fontId="51" fillId="0" borderId="16" xfId="0" applyFont="1" applyBorder="1" applyAlignment="1">
      <alignment horizontal="center"/>
    </xf>
    <xf numFmtId="0" fontId="52" fillId="0" borderId="17" xfId="0" applyFont="1" applyBorder="1" applyAlignment="1">
      <alignment horizontal="center"/>
    </xf>
    <xf numFmtId="0" fontId="52" fillId="0" borderId="0" xfId="0" applyFont="1" applyAlignment="1">
      <alignment horizontal="center"/>
    </xf>
    <xf numFmtId="0" fontId="52" fillId="0" borderId="18" xfId="0" applyFont="1" applyBorder="1" applyAlignment="1">
      <alignment horizontal="center"/>
    </xf>
    <xf numFmtId="0" fontId="52" fillId="0" borderId="17" xfId="43" applyFont="1" applyBorder="1" applyAlignment="1">
      <alignment horizontal="right" vertical="center" wrapText="1"/>
    </xf>
    <xf numFmtId="0" fontId="52" fillId="0" borderId="0" xfId="43" applyFont="1" applyAlignment="1">
      <alignment horizontal="right" vertical="center" wrapText="1"/>
    </xf>
    <xf numFmtId="0" fontId="52" fillId="0" borderId="18" xfId="43" applyFont="1" applyBorder="1" applyAlignment="1">
      <alignment horizontal="right" vertical="center" wrapText="1"/>
    </xf>
    <xf numFmtId="0" fontId="51" fillId="0" borderId="17" xfId="0" applyFont="1" applyBorder="1" applyAlignment="1">
      <alignment horizontal="left" vertical="center" wrapText="1"/>
    </xf>
    <xf numFmtId="0" fontId="51" fillId="0" borderId="0" xfId="0" applyFont="1" applyAlignment="1">
      <alignment horizontal="left" vertical="center" wrapText="1"/>
    </xf>
    <xf numFmtId="0" fontId="51" fillId="0" borderId="18" xfId="0" applyFont="1" applyBorder="1" applyAlignment="1">
      <alignment horizontal="left" vertical="center" wrapText="1"/>
    </xf>
    <xf numFmtId="0" fontId="53" fillId="0" borderId="17" xfId="0" applyFont="1" applyBorder="1" applyAlignment="1">
      <alignment horizontal="left" vertical="center" wrapText="1"/>
    </xf>
    <xf numFmtId="0" fontId="53" fillId="0" borderId="0" xfId="0" applyFont="1" applyAlignment="1">
      <alignment horizontal="left" vertical="center" wrapText="1"/>
    </xf>
    <xf numFmtId="0" fontId="53" fillId="0" borderId="18" xfId="0" applyFont="1" applyBorder="1" applyAlignment="1">
      <alignment horizontal="left" vertical="center" wrapText="1"/>
    </xf>
    <xf numFmtId="0" fontId="51" fillId="0" borderId="14" xfId="0" applyFont="1" applyBorder="1" applyAlignment="1">
      <alignment horizontal="center" vertical="center"/>
    </xf>
    <xf numFmtId="0" fontId="51" fillId="0" borderId="15" xfId="0" applyFont="1" applyBorder="1" applyAlignment="1">
      <alignment horizontal="center" vertical="center"/>
    </xf>
    <xf numFmtId="0" fontId="51" fillId="0" borderId="16" xfId="0" applyFont="1" applyBorder="1" applyAlignment="1">
      <alignment horizontal="center" vertical="center"/>
    </xf>
    <xf numFmtId="43" fontId="51" fillId="37" borderId="16" xfId="1" applyFont="1" applyFill="1" applyBorder="1" applyAlignment="1">
      <alignment horizontal="center" vertical="center"/>
    </xf>
    <xf numFmtId="43" fontId="51" fillId="37" borderId="22" xfId="1" applyFont="1" applyFill="1" applyBorder="1" applyAlignment="1">
      <alignment horizontal="center" vertical="center"/>
    </xf>
    <xf numFmtId="43" fontId="51" fillId="37" borderId="21" xfId="1" applyFont="1" applyFill="1" applyBorder="1" applyAlignment="1">
      <alignment horizontal="center" vertical="center"/>
    </xf>
    <xf numFmtId="0" fontId="52" fillId="0" borderId="17" xfId="0" applyFont="1" applyBorder="1" applyAlignment="1">
      <alignment horizontal="center" vertical="center"/>
    </xf>
    <xf numFmtId="0" fontId="52" fillId="0" borderId="0" xfId="0" applyFont="1" applyAlignment="1">
      <alignment horizontal="center" vertical="center"/>
    </xf>
    <xf numFmtId="0" fontId="52" fillId="0" borderId="18" xfId="0" applyFont="1" applyBorder="1" applyAlignment="1">
      <alignment horizontal="center" vertical="center"/>
    </xf>
    <xf numFmtId="43" fontId="51" fillId="37" borderId="26" xfId="1" applyFont="1" applyFill="1" applyBorder="1" applyAlignment="1">
      <alignment horizontal="center" vertical="center"/>
    </xf>
    <xf numFmtId="0" fontId="51" fillId="0" borderId="17" xfId="0" applyFont="1" applyBorder="1" applyAlignment="1">
      <alignment horizontal="center"/>
    </xf>
    <xf numFmtId="0" fontId="51" fillId="0" borderId="0" xfId="0" applyFont="1" applyAlignment="1">
      <alignment horizontal="center"/>
    </xf>
    <xf numFmtId="0" fontId="51" fillId="0" borderId="18" xfId="0" applyFont="1" applyBorder="1" applyAlignment="1">
      <alignment horizontal="center"/>
    </xf>
    <xf numFmtId="0" fontId="54" fillId="0" borderId="14" xfId="0" applyFont="1" applyBorder="1" applyAlignment="1">
      <alignment horizontal="justify" wrapText="1"/>
    </xf>
    <xf numFmtId="0" fontId="54" fillId="0" borderId="15" xfId="0" applyFont="1" applyBorder="1" applyAlignment="1">
      <alignment horizontal="justify" wrapText="1"/>
    </xf>
    <xf numFmtId="0" fontId="54" fillId="0" borderId="16" xfId="0" applyFont="1" applyBorder="1" applyAlignment="1">
      <alignment horizontal="justify" wrapText="1"/>
    </xf>
    <xf numFmtId="0" fontId="54" fillId="0" borderId="17" xfId="0" applyFont="1" applyBorder="1" applyAlignment="1">
      <alignment horizontal="justify" wrapText="1"/>
    </xf>
    <xf numFmtId="0" fontId="54" fillId="0" borderId="0" xfId="0" applyFont="1" applyAlignment="1">
      <alignment horizontal="justify" wrapText="1"/>
    </xf>
    <xf numFmtId="0" fontId="54" fillId="0" borderId="18" xfId="0" applyFont="1" applyBorder="1" applyAlignment="1">
      <alignment horizontal="justify" wrapText="1"/>
    </xf>
    <xf numFmtId="0" fontId="54" fillId="0" borderId="19" xfId="0" applyFont="1" applyBorder="1" applyAlignment="1">
      <alignment horizontal="justify" wrapText="1"/>
    </xf>
    <xf numFmtId="0" fontId="54" fillId="0" borderId="10" xfId="0" applyFont="1" applyBorder="1" applyAlignment="1">
      <alignment horizontal="justify" wrapText="1"/>
    </xf>
    <xf numFmtId="0" fontId="54" fillId="0" borderId="20" xfId="0" applyFont="1" applyBorder="1" applyAlignment="1">
      <alignment horizontal="justify" wrapText="1"/>
    </xf>
    <xf numFmtId="0" fontId="54" fillId="0" borderId="17" xfId="0" applyFont="1" applyFill="1" applyBorder="1" applyAlignment="1">
      <alignment horizontal="left" vertical="top" wrapText="1"/>
    </xf>
    <xf numFmtId="0" fontId="54" fillId="0" borderId="0" xfId="0" applyFont="1" applyFill="1" applyAlignment="1">
      <alignment horizontal="left" vertical="top" wrapText="1"/>
    </xf>
    <xf numFmtId="0" fontId="54" fillId="0" borderId="18" xfId="0" applyFont="1" applyFill="1" applyBorder="1" applyAlignment="1">
      <alignment horizontal="left" vertical="top" wrapText="1"/>
    </xf>
    <xf numFmtId="0" fontId="54" fillId="0" borderId="17" xfId="0" applyFont="1" applyBorder="1" applyAlignment="1">
      <alignment horizontal="left" vertical="center" wrapText="1" indent="10"/>
    </xf>
    <xf numFmtId="0" fontId="54" fillId="0" borderId="0" xfId="0" applyFont="1" applyAlignment="1">
      <alignment horizontal="left" vertical="center" wrapText="1" indent="10"/>
    </xf>
    <xf numFmtId="0" fontId="54" fillId="0" borderId="18" xfId="0" applyFont="1" applyBorder="1" applyAlignment="1">
      <alignment horizontal="left" vertical="center" wrapText="1" indent="10"/>
    </xf>
    <xf numFmtId="0" fontId="54" fillId="0" borderId="17" xfId="0" applyFont="1" applyBorder="1" applyAlignment="1">
      <alignment horizontal="left" vertical="top" wrapText="1" indent="10"/>
    </xf>
    <xf numFmtId="0" fontId="54" fillId="0" borderId="0" xfId="0" applyFont="1" applyAlignment="1">
      <alignment horizontal="left" vertical="top" wrapText="1" indent="10"/>
    </xf>
    <xf numFmtId="0" fontId="54" fillId="0" borderId="18" xfId="0" applyFont="1" applyBorder="1" applyAlignment="1">
      <alignment horizontal="left" vertical="top" wrapText="1" indent="10"/>
    </xf>
    <xf numFmtId="0" fontId="51" fillId="37" borderId="21" xfId="0" applyFont="1" applyFill="1" applyBorder="1" applyAlignment="1">
      <alignment horizontal="center" vertical="center"/>
    </xf>
    <xf numFmtId="0" fontId="54" fillId="0" borderId="17" xfId="49" applyFont="1" applyBorder="1" applyAlignment="1">
      <alignment horizontal="justify" vertical="justify" wrapText="1"/>
    </xf>
    <xf numFmtId="0" fontId="54" fillId="0" borderId="0" xfId="49" applyFont="1" applyAlignment="1">
      <alignment horizontal="justify" vertical="justify" wrapText="1"/>
    </xf>
    <xf numFmtId="0" fontId="54" fillId="0" borderId="18" xfId="49" applyFont="1" applyBorder="1" applyAlignment="1">
      <alignment horizontal="justify" vertical="justify" wrapText="1"/>
    </xf>
    <xf numFmtId="166" fontId="44" fillId="0" borderId="0" xfId="1" applyNumberFormat="1" applyFont="1" applyAlignment="1">
      <alignment horizontal="center" vertical="top" wrapText="1"/>
    </xf>
    <xf numFmtId="166" fontId="44" fillId="0" borderId="18" xfId="1" applyNumberFormat="1" applyFont="1" applyBorder="1" applyAlignment="1">
      <alignment horizontal="center" vertical="top" wrapText="1"/>
    </xf>
    <xf numFmtId="0" fontId="51" fillId="0" borderId="14" xfId="49" applyFont="1" applyBorder="1" applyAlignment="1">
      <alignment vertical="center" wrapText="1"/>
    </xf>
    <xf numFmtId="0" fontId="51" fillId="0" borderId="17" xfId="49" applyFont="1" applyBorder="1" applyAlignment="1">
      <alignment vertical="center" wrapText="1"/>
    </xf>
    <xf numFmtId="0" fontId="51" fillId="0" borderId="19" xfId="49" applyFont="1" applyBorder="1" applyAlignment="1">
      <alignment vertical="center" wrapText="1"/>
    </xf>
    <xf numFmtId="43" fontId="51" fillId="0" borderId="11" xfId="49" applyNumberFormat="1" applyFont="1" applyBorder="1" applyAlignment="1">
      <alignment horizontal="center" vertical="top"/>
    </xf>
    <xf numFmtId="0" fontId="51" fillId="0" borderId="13" xfId="49" applyFont="1" applyBorder="1" applyAlignment="1">
      <alignment horizontal="center" vertical="top"/>
    </xf>
    <xf numFmtId="166" fontId="51" fillId="0" borderId="11" xfId="1" applyNumberFormat="1" applyFont="1" applyBorder="1" applyAlignment="1">
      <alignment horizontal="center" vertical="center"/>
    </xf>
    <xf numFmtId="166" fontId="51" fillId="0" borderId="13" xfId="1" applyNumberFormat="1" applyFont="1" applyBorder="1" applyAlignment="1">
      <alignment horizontal="center" vertical="center"/>
    </xf>
    <xf numFmtId="0" fontId="51" fillId="0" borderId="11" xfId="49" applyFont="1" applyBorder="1" applyAlignment="1">
      <alignment horizontal="center" vertical="center" wrapText="1"/>
    </xf>
    <xf numFmtId="0" fontId="51" fillId="0" borderId="13" xfId="49" applyFont="1" applyBorder="1" applyAlignment="1">
      <alignment horizontal="center" vertical="center" wrapText="1"/>
    </xf>
    <xf numFmtId="166" fontId="51" fillId="0" borderId="11" xfId="1" applyNumberFormat="1" applyFont="1" applyBorder="1" applyAlignment="1">
      <alignment vertical="center" wrapText="1"/>
    </xf>
    <xf numFmtId="166" fontId="51" fillId="0" borderId="13" xfId="1" applyNumberFormat="1" applyFont="1" applyBorder="1" applyAlignment="1">
      <alignment vertical="center" wrapText="1"/>
    </xf>
    <xf numFmtId="0" fontId="51" fillId="0" borderId="17" xfId="49" applyFont="1" applyBorder="1" applyAlignment="1">
      <alignment horizontal="left" vertical="justify" wrapText="1"/>
    </xf>
    <xf numFmtId="0" fontId="51" fillId="0" borderId="0" xfId="49" applyFont="1" applyAlignment="1">
      <alignment horizontal="left" vertical="justify" wrapText="1"/>
    </xf>
    <xf numFmtId="0" fontId="51" fillId="0" borderId="22" xfId="49" applyFont="1" applyBorder="1" applyAlignment="1">
      <alignment vertical="center"/>
    </xf>
    <xf numFmtId="0" fontId="51" fillId="0" borderId="26" xfId="49" applyFont="1" applyBorder="1" applyAlignment="1">
      <alignment vertical="center"/>
    </xf>
    <xf numFmtId="43" fontId="51" fillId="0" borderId="11" xfId="49" applyNumberFormat="1" applyFont="1" applyBorder="1" applyAlignment="1">
      <alignment horizontal="center" vertical="center"/>
    </xf>
    <xf numFmtId="0" fontId="51" fillId="0" borderId="13" xfId="49" applyFont="1" applyBorder="1" applyAlignment="1">
      <alignment horizontal="center" vertical="center"/>
    </xf>
    <xf numFmtId="166" fontId="51" fillId="0" borderId="11" xfId="1" applyNumberFormat="1" applyFont="1" applyBorder="1" applyAlignment="1">
      <alignment horizontal="center" vertical="center" wrapText="1"/>
    </xf>
    <xf numFmtId="166" fontId="51" fillId="0" borderId="13" xfId="1" applyNumberFormat="1" applyFont="1" applyBorder="1" applyAlignment="1">
      <alignment horizontal="center" vertical="center" wrapText="1"/>
    </xf>
    <xf numFmtId="0" fontId="54" fillId="0" borderId="19" xfId="0" applyFont="1" applyFill="1" applyBorder="1" applyAlignment="1">
      <alignment horizontal="left" wrapText="1"/>
    </xf>
    <xf numFmtId="0" fontId="54" fillId="0" borderId="10" xfId="0" applyFont="1" applyFill="1" applyBorder="1" applyAlignment="1">
      <alignment horizontal="left" wrapText="1"/>
    </xf>
    <xf numFmtId="0" fontId="54" fillId="0" borderId="20" xfId="0" applyFont="1" applyFill="1" applyBorder="1" applyAlignment="1">
      <alignment horizontal="left" wrapText="1"/>
    </xf>
    <xf numFmtId="0" fontId="54" fillId="0" borderId="14" xfId="0" applyFont="1" applyFill="1" applyBorder="1" applyAlignment="1">
      <alignment horizontal="left" wrapText="1"/>
    </xf>
    <xf numFmtId="0" fontId="54" fillId="0" borderId="15" xfId="0" applyFont="1" applyFill="1" applyBorder="1" applyAlignment="1">
      <alignment horizontal="left" wrapText="1"/>
    </xf>
    <xf numFmtId="0" fontId="54" fillId="0" borderId="16" xfId="0" applyFont="1" applyFill="1" applyBorder="1" applyAlignment="1">
      <alignment horizontal="left" wrapText="1"/>
    </xf>
    <xf numFmtId="0" fontId="54" fillId="0" borderId="17" xfId="0" applyFont="1" applyFill="1" applyBorder="1" applyAlignment="1">
      <alignment horizontal="justify" wrapText="1"/>
    </xf>
    <xf numFmtId="0" fontId="54" fillId="0" borderId="0" xfId="0" applyFont="1" applyFill="1" applyAlignment="1">
      <alignment horizontal="justify" wrapText="1"/>
    </xf>
    <xf numFmtId="0" fontId="54" fillId="0" borderId="18" xfId="0" applyFont="1" applyFill="1" applyBorder="1" applyAlignment="1">
      <alignment horizontal="justify" wrapText="1"/>
    </xf>
    <xf numFmtId="0" fontId="54" fillId="0" borderId="14" xfId="0" applyFont="1" applyFill="1" applyBorder="1" applyAlignment="1">
      <alignment horizontal="left" vertical="top" wrapText="1"/>
    </xf>
    <xf numFmtId="0" fontId="54" fillId="0" borderId="15" xfId="0" applyFont="1" applyFill="1" applyBorder="1" applyAlignment="1">
      <alignment horizontal="left" vertical="top" wrapText="1"/>
    </xf>
    <xf numFmtId="0" fontId="54" fillId="0" borderId="16" xfId="0" applyFont="1" applyFill="1" applyBorder="1" applyAlignment="1">
      <alignment horizontal="left" vertical="top" wrapText="1"/>
    </xf>
    <xf numFmtId="0" fontId="43" fillId="0" borderId="17" xfId="43" applyFont="1" applyBorder="1" applyAlignment="1">
      <alignment horizontal="left" vertical="center"/>
    </xf>
    <xf numFmtId="0" fontId="43" fillId="0" borderId="18" xfId="43" applyFont="1" applyBorder="1" applyAlignment="1">
      <alignment horizontal="left" vertical="center"/>
    </xf>
    <xf numFmtId="0" fontId="23" fillId="0" borderId="0" xfId="0" applyFont="1" applyAlignment="1">
      <alignment horizontal="left" vertical="center" wrapText="1"/>
    </xf>
    <xf numFmtId="0" fontId="44" fillId="0" borderId="14" xfId="0" applyFont="1" applyBorder="1" applyAlignment="1">
      <alignment horizontal="center"/>
    </xf>
    <xf numFmtId="0" fontId="44" fillId="0" borderId="15" xfId="0" applyFont="1" applyBorder="1" applyAlignment="1">
      <alignment horizontal="center"/>
    </xf>
    <xf numFmtId="0" fontId="44" fillId="0" borderId="16" xfId="0" applyFont="1" applyBorder="1" applyAlignment="1">
      <alignment horizontal="center"/>
    </xf>
    <xf numFmtId="0" fontId="82" fillId="0" borderId="17" xfId="0" applyFont="1" applyBorder="1" applyAlignment="1">
      <alignment horizontal="center" vertical="center"/>
    </xf>
    <xf numFmtId="0" fontId="82" fillId="0" borderId="0" xfId="0" applyFont="1" applyAlignment="1">
      <alignment horizontal="center" vertical="center"/>
    </xf>
    <xf numFmtId="0" fontId="82" fillId="0" borderId="18" xfId="0" applyFont="1" applyBorder="1" applyAlignment="1">
      <alignment horizontal="center" vertical="center"/>
    </xf>
    <xf numFmtId="0" fontId="44" fillId="37" borderId="21" xfId="0" applyFont="1" applyFill="1" applyBorder="1" applyAlignment="1">
      <alignment horizontal="center" vertical="center"/>
    </xf>
    <xf numFmtId="49" fontId="62" fillId="0" borderId="14" xfId="0" applyNumberFormat="1" applyFont="1" applyBorder="1" applyAlignment="1">
      <alignment horizontal="center"/>
    </xf>
    <xf numFmtId="49" fontId="62" fillId="0" borderId="15" xfId="0" applyNumberFormat="1" applyFont="1" applyBorder="1" applyAlignment="1">
      <alignment horizontal="center"/>
    </xf>
    <xf numFmtId="49" fontId="62" fillId="0" borderId="16" xfId="0" applyNumberFormat="1" applyFont="1" applyBorder="1" applyAlignment="1">
      <alignment horizontal="center"/>
    </xf>
    <xf numFmtId="0" fontId="65" fillId="0" borderId="17" xfId="43" applyFont="1" applyBorder="1" applyAlignment="1">
      <alignment horizontal="left" vertical="top" wrapText="1"/>
    </xf>
    <xf numFmtId="0" fontId="65" fillId="0" borderId="0" xfId="43" applyFont="1" applyAlignment="1">
      <alignment horizontal="left" vertical="top" wrapText="1"/>
    </xf>
    <xf numFmtId="0" fontId="65" fillId="0" borderId="18" xfId="43" applyFont="1" applyBorder="1" applyAlignment="1">
      <alignment horizontal="left" vertical="top" wrapText="1"/>
    </xf>
    <xf numFmtId="0" fontId="43" fillId="0" borderId="0" xfId="43" quotePrefix="1" applyFont="1" applyAlignment="1">
      <alignment horizontal="left" vertical="top" wrapText="1"/>
    </xf>
    <xf numFmtId="0" fontId="62" fillId="37" borderId="14" xfId="43" quotePrefix="1" applyFont="1" applyFill="1" applyBorder="1" applyAlignment="1">
      <alignment horizontal="center" vertical="center"/>
    </xf>
    <xf numFmtId="0" fontId="62" fillId="37" borderId="15" xfId="43" quotePrefix="1" applyFont="1" applyFill="1" applyBorder="1" applyAlignment="1">
      <alignment horizontal="center" vertical="center"/>
    </xf>
    <xf numFmtId="15" fontId="62" fillId="37" borderId="21" xfId="66" quotePrefix="1" applyNumberFormat="1" applyFont="1" applyFill="1" applyBorder="1" applyAlignment="1">
      <alignment horizontal="center" vertical="center"/>
    </xf>
    <xf numFmtId="15" fontId="62" fillId="37" borderId="21" xfId="66" applyNumberFormat="1" applyFont="1" applyFill="1" applyBorder="1" applyAlignment="1">
      <alignment horizontal="center" vertical="center"/>
    </xf>
    <xf numFmtId="15" fontId="69" fillId="33" borderId="0" xfId="66" quotePrefix="1" applyNumberFormat="1" applyFont="1" applyFill="1" applyAlignment="1">
      <alignment horizontal="center" vertical="center" wrapText="1"/>
    </xf>
    <xf numFmtId="15" fontId="69" fillId="33" borderId="18" xfId="66" applyNumberFormat="1" applyFont="1" applyFill="1" applyBorder="1" applyAlignment="1">
      <alignment horizontal="center" vertical="center"/>
    </xf>
    <xf numFmtId="0" fontId="51" fillId="37" borderId="14" xfId="0" applyFont="1" applyFill="1" applyBorder="1" applyAlignment="1">
      <alignment horizontal="center" vertical="center"/>
    </xf>
    <xf numFmtId="0" fontId="51" fillId="37" borderId="19" xfId="0" applyFont="1" applyFill="1" applyBorder="1" applyAlignment="1">
      <alignment horizontal="center" vertical="center"/>
    </xf>
    <xf numFmtId="0" fontId="62" fillId="37" borderId="16" xfId="43" quotePrefix="1" applyFont="1" applyFill="1" applyBorder="1" applyAlignment="1">
      <alignment horizontal="center" vertical="center"/>
    </xf>
    <xf numFmtId="0" fontId="68" fillId="36" borderId="50" xfId="43" quotePrefix="1" applyFont="1" applyFill="1" applyBorder="1" applyAlignment="1">
      <alignment horizontal="center" vertical="center"/>
    </xf>
    <xf numFmtId="0" fontId="68" fillId="36" borderId="32" xfId="43" quotePrefix="1" applyFont="1" applyFill="1" applyBorder="1" applyAlignment="1">
      <alignment horizontal="center" vertical="center"/>
    </xf>
    <xf numFmtId="0" fontId="65" fillId="0" borderId="17" xfId="66" applyFont="1" applyBorder="1" applyAlignment="1">
      <alignment horizontal="left" vertical="top" wrapText="1"/>
    </xf>
    <xf numFmtId="0" fontId="65" fillId="0" borderId="0" xfId="66" applyFont="1" applyAlignment="1">
      <alignment horizontal="left" vertical="top" wrapText="1"/>
    </xf>
    <xf numFmtId="0" fontId="65" fillId="0" borderId="18" xfId="66" applyFont="1" applyBorder="1" applyAlignment="1">
      <alignment horizontal="left" vertical="top" wrapText="1"/>
    </xf>
    <xf numFmtId="0" fontId="62" fillId="37" borderId="22" xfId="66" applyFont="1" applyFill="1" applyBorder="1" applyAlignment="1">
      <alignment horizontal="center" vertical="center"/>
    </xf>
    <xf numFmtId="0" fontId="62" fillId="37" borderId="26" xfId="66" applyFont="1" applyFill="1" applyBorder="1" applyAlignment="1">
      <alignment horizontal="center" vertical="center"/>
    </xf>
    <xf numFmtId="0" fontId="65" fillId="0" borderId="17" xfId="66" applyFont="1" applyBorder="1" applyAlignment="1">
      <alignment horizontal="left" wrapText="1"/>
    </xf>
    <xf numFmtId="0" fontId="65" fillId="0" borderId="0" xfId="66" applyFont="1" applyAlignment="1">
      <alignment horizontal="left" wrapText="1"/>
    </xf>
    <xf numFmtId="0" fontId="65" fillId="0" borderId="18" xfId="66" applyFont="1" applyBorder="1" applyAlignment="1">
      <alignment horizontal="left" wrapText="1"/>
    </xf>
    <xf numFmtId="0" fontId="65" fillId="0" borderId="19" xfId="66" applyFont="1" applyBorder="1" applyAlignment="1">
      <alignment horizontal="left" wrapText="1"/>
    </xf>
    <xf numFmtId="0" fontId="65" fillId="0" borderId="10" xfId="66" applyFont="1" applyBorder="1" applyAlignment="1">
      <alignment horizontal="left" wrapText="1"/>
    </xf>
    <xf numFmtId="0" fontId="65" fillId="0" borderId="20" xfId="66" applyFont="1" applyBorder="1" applyAlignment="1">
      <alignment horizontal="left" wrapText="1"/>
    </xf>
    <xf numFmtId="0" fontId="51" fillId="0" borderId="12" xfId="68" applyFont="1" applyBorder="1" applyAlignment="1">
      <alignment horizontal="center" vertical="top"/>
    </xf>
    <xf numFmtId="0" fontId="51" fillId="0" borderId="13" xfId="68" applyFont="1" applyBorder="1" applyAlignment="1">
      <alignment horizontal="center" vertical="top"/>
    </xf>
    <xf numFmtId="0" fontId="65" fillId="0" borderId="17" xfId="0" applyFont="1" applyBorder="1" applyAlignment="1">
      <alignment horizontal="justify" vertical="top" wrapText="1"/>
    </xf>
    <xf numFmtId="0" fontId="65" fillId="0" borderId="0" xfId="0" applyFont="1" applyAlignment="1">
      <alignment horizontal="justify" vertical="top" wrapText="1"/>
    </xf>
    <xf numFmtId="0" fontId="65" fillId="0" borderId="19" xfId="0" applyFont="1" applyBorder="1" applyAlignment="1">
      <alignment horizontal="justify" vertical="top" wrapText="1"/>
    </xf>
    <xf numFmtId="0" fontId="65" fillId="0" borderId="10" xfId="0" applyFont="1" applyBorder="1" applyAlignment="1">
      <alignment horizontal="justify" vertical="top" wrapText="1"/>
    </xf>
    <xf numFmtId="0" fontId="54" fillId="0" borderId="17" xfId="43" applyFont="1" applyBorder="1" applyAlignment="1">
      <alignment horizontal="justify" vertical="top" wrapText="1"/>
    </xf>
    <xf numFmtId="0" fontId="54" fillId="0" borderId="0" xfId="43" applyFont="1" applyAlignment="1">
      <alignment horizontal="justify" vertical="top" wrapText="1"/>
    </xf>
    <xf numFmtId="0" fontId="54" fillId="0" borderId="19" xfId="43" applyFont="1" applyBorder="1" applyAlignment="1">
      <alignment horizontal="justify" vertical="top" wrapText="1"/>
    </xf>
    <xf numFmtId="0" fontId="54" fillId="0" borderId="10" xfId="43" applyFont="1" applyBorder="1" applyAlignment="1">
      <alignment horizontal="justify" vertical="top" wrapText="1"/>
    </xf>
    <xf numFmtId="0" fontId="54" fillId="0" borderId="17" xfId="43" applyFont="1" applyBorder="1" applyAlignment="1">
      <alignment horizontal="left" vertical="center" wrapText="1"/>
    </xf>
    <xf numFmtId="0" fontId="54" fillId="0" borderId="0" xfId="43" applyFont="1" applyAlignment="1">
      <alignment horizontal="left" vertical="center" wrapText="1"/>
    </xf>
    <xf numFmtId="0" fontId="55" fillId="0" borderId="17" xfId="43" applyFont="1" applyBorder="1" applyAlignment="1">
      <alignment horizontal="left" vertical="top" wrapText="1"/>
    </xf>
    <xf numFmtId="0" fontId="55" fillId="0" borderId="0" xfId="43" applyFont="1" applyAlignment="1">
      <alignment horizontal="left" vertical="top" wrapText="1"/>
    </xf>
    <xf numFmtId="0" fontId="54" fillId="0" borderId="17" xfId="43" applyFont="1" applyBorder="1" applyAlignment="1">
      <alignment horizontal="left" vertical="top" wrapText="1"/>
    </xf>
    <xf numFmtId="0" fontId="54" fillId="0" borderId="0" xfId="43" applyFont="1" applyAlignment="1">
      <alignment horizontal="left" vertical="top" wrapText="1"/>
    </xf>
    <xf numFmtId="0" fontId="54" fillId="0" borderId="17" xfId="68" applyFont="1" applyBorder="1" applyAlignment="1">
      <alignment horizontal="left" vertical="top" wrapText="1"/>
    </xf>
    <xf numFmtId="0" fontId="54" fillId="0" borderId="0" xfId="68" applyFont="1" applyAlignment="1">
      <alignment horizontal="left" vertical="top" wrapText="1"/>
    </xf>
    <xf numFmtId="166" fontId="51" fillId="37" borderId="11" xfId="1" applyNumberFormat="1" applyFont="1" applyFill="1" applyBorder="1" applyAlignment="1">
      <alignment horizontal="center" vertical="center" wrapText="1"/>
    </xf>
    <xf numFmtId="166" fontId="51" fillId="37" borderId="13" xfId="1" applyNumberFormat="1" applyFont="1" applyFill="1" applyBorder="1" applyAlignment="1">
      <alignment horizontal="center" vertical="center" wrapText="1"/>
    </xf>
    <xf numFmtId="166" fontId="58" fillId="0" borderId="22" xfId="1" applyNumberFormat="1" applyFont="1" applyBorder="1" applyAlignment="1">
      <alignment horizontal="center" vertical="center" wrapText="1"/>
    </xf>
    <xf numFmtId="166" fontId="58" fillId="0" borderId="26" xfId="1" applyNumberFormat="1" applyFont="1" applyBorder="1" applyAlignment="1">
      <alignment horizontal="center" vertical="center" wrapText="1"/>
    </xf>
    <xf numFmtId="0" fontId="51" fillId="0" borderId="11" xfId="68" applyFont="1" applyBorder="1" applyAlignment="1">
      <alignment horizontal="left" vertical="top" wrapText="1"/>
    </xf>
    <xf numFmtId="0" fontId="51" fillId="0" borderId="13" xfId="68" applyFont="1" applyBorder="1" applyAlignment="1">
      <alignment horizontal="left" vertical="top" wrapText="1"/>
    </xf>
    <xf numFmtId="0" fontId="51" fillId="0" borderId="21" xfId="43" applyFont="1" applyBorder="1" applyAlignment="1">
      <alignment horizontal="center" vertical="center" wrapText="1"/>
    </xf>
    <xf numFmtId="0" fontId="54" fillId="0" borderId="21" xfId="43" applyFont="1" applyBorder="1" applyAlignment="1">
      <alignment horizontal="left" vertical="center" wrapText="1" indent="1"/>
    </xf>
    <xf numFmtId="166" fontId="32" fillId="0" borderId="21" xfId="1" applyNumberFormat="1" applyFont="1" applyBorder="1" applyAlignment="1">
      <alignment horizontal="center"/>
    </xf>
    <xf numFmtId="0" fontId="66" fillId="0" borderId="21" xfId="43" applyFont="1" applyBorder="1" applyAlignment="1">
      <alignment horizontal="center" vertical="center"/>
    </xf>
    <xf numFmtId="43" fontId="56" fillId="0" borderId="18" xfId="1" applyFont="1" applyBorder="1" applyAlignment="1">
      <alignment horizontal="left" vertical="center" wrapText="1"/>
    </xf>
    <xf numFmtId="0" fontId="59" fillId="0" borderId="0" xfId="0" applyFont="1" applyAlignment="1">
      <alignment horizontal="left" vertical="center" wrapText="1"/>
    </xf>
    <xf numFmtId="43" fontId="54" fillId="0" borderId="18" xfId="1" applyFont="1" applyBorder="1" applyAlignment="1">
      <alignment horizontal="left" vertical="center" wrapText="1"/>
    </xf>
    <xf numFmtId="0" fontId="65" fillId="0" borderId="0" xfId="0" applyFont="1" applyAlignment="1">
      <alignment horizontal="left" vertical="center" wrapText="1"/>
    </xf>
    <xf numFmtId="43" fontId="54" fillId="0" borderId="0" xfId="1" applyFont="1" applyAlignment="1">
      <alignment horizontal="left" vertical="center" wrapText="1"/>
    </xf>
    <xf numFmtId="0" fontId="65" fillId="0" borderId="18" xfId="0" applyFont="1" applyBorder="1" applyAlignment="1">
      <alignment horizontal="left" vertical="center" wrapText="1"/>
    </xf>
    <xf numFmtId="0" fontId="65" fillId="0" borderId="10" xfId="0" applyFont="1" applyBorder="1" applyAlignment="1">
      <alignment horizontal="left" vertical="center" wrapText="1"/>
    </xf>
    <xf numFmtId="0" fontId="65" fillId="0" borderId="20" xfId="0" applyFont="1" applyBorder="1" applyAlignment="1">
      <alignment horizontal="left" vertical="center" wrapText="1"/>
    </xf>
    <xf numFmtId="0" fontId="51" fillId="37" borderId="16" xfId="0" applyFont="1" applyFill="1" applyBorder="1" applyAlignment="1">
      <alignment horizontal="center" vertical="center" wrapText="1"/>
    </xf>
    <xf numFmtId="0" fontId="51" fillId="37" borderId="20" xfId="0" applyFont="1" applyFill="1" applyBorder="1" applyAlignment="1">
      <alignment horizontal="center" vertical="center" wrapText="1"/>
    </xf>
    <xf numFmtId="0" fontId="51" fillId="37" borderId="22" xfId="0" applyFont="1" applyFill="1" applyBorder="1" applyAlignment="1">
      <alignment horizontal="center" vertical="center" wrapText="1"/>
    </xf>
    <xf numFmtId="0" fontId="51" fillId="37" borderId="26" xfId="0" applyFont="1" applyFill="1" applyBorder="1" applyAlignment="1">
      <alignment horizontal="center" vertical="center" wrapText="1"/>
    </xf>
    <xf numFmtId="0" fontId="51" fillId="37" borderId="21" xfId="0" applyFont="1" applyFill="1" applyBorder="1" applyAlignment="1">
      <alignment horizontal="center" vertical="top"/>
    </xf>
    <xf numFmtId="0" fontId="62" fillId="37" borderId="21" xfId="0" applyFont="1" applyFill="1" applyBorder="1" applyAlignment="1">
      <alignment horizontal="center" vertical="center"/>
    </xf>
    <xf numFmtId="0" fontId="65" fillId="0" borderId="0" xfId="0" applyFont="1" applyAlignment="1">
      <alignment horizontal="justify" vertical="center" wrapText="1"/>
    </xf>
    <xf numFmtId="0" fontId="65" fillId="0" borderId="18" xfId="0" applyFont="1" applyBorder="1" applyAlignment="1">
      <alignment horizontal="justify" vertical="center" wrapText="1"/>
    </xf>
    <xf numFmtId="0" fontId="51" fillId="0" borderId="15" xfId="0" applyFont="1" applyBorder="1" applyAlignment="1">
      <alignment horizontal="center" wrapText="1"/>
    </xf>
    <xf numFmtId="0" fontId="25" fillId="0" borderId="15" xfId="0" applyFont="1" applyBorder="1" applyAlignment="1">
      <alignment horizontal="center"/>
    </xf>
    <xf numFmtId="0" fontId="25" fillId="0" borderId="16" xfId="0" applyFont="1" applyBorder="1" applyAlignment="1">
      <alignment horizontal="center"/>
    </xf>
    <xf numFmtId="0" fontId="52" fillId="0" borderId="17" xfId="0" applyFont="1" applyBorder="1" applyAlignment="1">
      <alignment horizontal="center" vertical="top"/>
    </xf>
    <xf numFmtId="0" fontId="52" fillId="0" borderId="0" xfId="0" applyFont="1" applyAlignment="1">
      <alignment horizontal="center" vertical="top"/>
    </xf>
    <xf numFmtId="0" fontId="52" fillId="0" borderId="18" xfId="0" applyFont="1" applyBorder="1" applyAlignment="1">
      <alignment horizontal="center" vertical="top"/>
    </xf>
    <xf numFmtId="0" fontId="34" fillId="0" borderId="22" xfId="0" applyFont="1" applyBorder="1" applyAlignment="1">
      <alignment horizontal="center" vertical="center"/>
    </xf>
    <xf numFmtId="0" fontId="34" fillId="0" borderId="23" xfId="0" applyFont="1" applyBorder="1" applyAlignment="1">
      <alignment horizontal="center" vertical="center"/>
    </xf>
    <xf numFmtId="0" fontId="34" fillId="0" borderId="26" xfId="0" applyFont="1" applyBorder="1" applyAlignment="1">
      <alignment horizontal="center" vertical="center"/>
    </xf>
    <xf numFmtId="0" fontId="34" fillId="0" borderId="11" xfId="0" applyFont="1" applyBorder="1" applyAlignment="1">
      <alignment horizontal="center"/>
    </xf>
    <xf numFmtId="0" fontId="34" fillId="0" borderId="13" xfId="0" applyFont="1" applyBorder="1" applyAlignment="1">
      <alignment horizontal="center"/>
    </xf>
    <xf numFmtId="0" fontId="32" fillId="0" borderId="0" xfId="0" applyFont="1" applyAlignment="1">
      <alignment horizontal="center" vertical="center"/>
    </xf>
    <xf numFmtId="0" fontId="34" fillId="0" borderId="11" xfId="0" applyFont="1" applyBorder="1" applyAlignment="1">
      <alignment horizontal="center" vertical="center"/>
    </xf>
    <xf numFmtId="0" fontId="34" fillId="0" borderId="13" xfId="0" applyFont="1" applyBorder="1" applyAlignment="1">
      <alignment horizontal="center" vertical="center"/>
    </xf>
    <xf numFmtId="0" fontId="41" fillId="0" borderId="0" xfId="0" applyFont="1" applyAlignment="1">
      <alignment horizontal="center" vertical="top"/>
    </xf>
    <xf numFmtId="0" fontId="21" fillId="0" borderId="0" xfId="0" applyFont="1" applyAlignment="1">
      <alignment horizontal="center"/>
    </xf>
    <xf numFmtId="0" fontId="21" fillId="0" borderId="10" xfId="0" applyFont="1" applyBorder="1" applyAlignment="1">
      <alignment horizontal="center"/>
    </xf>
    <xf numFmtId="0" fontId="23" fillId="0" borderId="21" xfId="0" applyFont="1" applyBorder="1" applyAlignment="1">
      <alignment horizontal="left"/>
    </xf>
  </cellXfs>
  <cellStyles count="75">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Comma 18" xfId="65"/>
    <cellStyle name="Comma 19" xfId="67"/>
    <cellStyle name="Comma 2" xfId="44"/>
    <cellStyle name="Comma 2 2" xfId="47"/>
    <cellStyle name="Comma 2 3" xfId="54"/>
    <cellStyle name="Comma 2 7" xfId="69"/>
    <cellStyle name="Comma 3" xfId="48"/>
    <cellStyle name="Comma 3 2" xfId="55"/>
    <cellStyle name="Comma 4" xfId="46"/>
    <cellStyle name="Comma 4 2" xfId="56"/>
    <cellStyle name="Comma 5" xfId="73"/>
    <cellStyle name="Excel Built-in Normal" xfId="57"/>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10" xfId="51"/>
    <cellStyle name="Normal 10 2" xfId="58"/>
    <cellStyle name="Normal 11" xfId="66"/>
    <cellStyle name="Normal 2" xfId="43"/>
    <cellStyle name="Normal 2 3 2" xfId="68"/>
    <cellStyle name="Normal 29" xfId="71"/>
    <cellStyle name="Normal 3" xfId="49"/>
    <cellStyle name="Normal 30" xfId="72"/>
    <cellStyle name="Normal 4" xfId="59"/>
    <cellStyle name="Normal 5" xfId="60"/>
    <cellStyle name="Normal 58" xfId="70"/>
    <cellStyle name="Normal 6" xfId="61"/>
    <cellStyle name="Normal 7" xfId="63"/>
    <cellStyle name="Normal 7 2" xfId="64"/>
    <cellStyle name="Normal 8" xfId="62"/>
    <cellStyle name="Note" xfId="16" builtinId="10" customBuiltin="1"/>
    <cellStyle name="Output" xfId="11" builtinId="21" customBuiltin="1"/>
    <cellStyle name="Percent" xfId="50" builtinId="5"/>
    <cellStyle name="Percent 11" xfId="74"/>
    <cellStyle name="Percent 2" xfId="45"/>
    <cellStyle name="TableStyleLight1" xfId="53"/>
    <cellStyle name="Title" xfId="2" builtinId="15" customBuiltin="1"/>
    <cellStyle name="Title 2" xfId="52"/>
    <cellStyle name="Total" xfId="18" builtinId="25" customBuiltin="1"/>
    <cellStyle name="Warning Text" xfId="15" builtinId="11" customBuiltin="1"/>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160E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2741083</xdr:colOff>
      <xdr:row>5</xdr:row>
      <xdr:rowOff>254000</xdr:rowOff>
    </xdr:from>
    <xdr:ext cx="184731" cy="264560"/>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3026833" y="11006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1771650</xdr:colOff>
      <xdr:row>14</xdr:row>
      <xdr:rowOff>0</xdr:rowOff>
    </xdr:from>
    <xdr:to>
      <xdr:col>2</xdr:col>
      <xdr:colOff>1809750</xdr:colOff>
      <xdr:row>15</xdr:row>
      <xdr:rowOff>0</xdr:rowOff>
    </xdr:to>
    <xdr:pic>
      <xdr:nvPicPr>
        <xdr:cNvPr id="2" name="Picture 2">
          <a:extLst>
            <a:ext uri="{FF2B5EF4-FFF2-40B4-BE49-F238E27FC236}">
              <a16:creationId xmlns="" xmlns:a16="http://schemas.microsoft.com/office/drawing/2014/main" id="{00000000-0008-0000-1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7143750" y="2724150"/>
          <a:ext cx="0" cy="161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Dropbox\Official%20document\Important%20Files\Audited%20Final%20Accounts\2018\Audited%20Financial%20Report%202018\3.%20Financial%20statement(version11)%202018(V1)f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ell3000/Downloads/March%2018%20BS%20for%20Sending_19.09.18%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SHVIS~1/AppData/Local/Temp/Comparative%20V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DHPC\Bhutan%20Telecom%20Ltd\Audit%20data\Financials\Disclosures\2018\3.%20Financial%20statement(version7)%20201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E"/>
      <sheetName val="Regrouping"/>
      <sheetName val="SAP "/>
      <sheetName val="Trial"/>
      <sheetName val="2SFP"/>
      <sheetName val="3SOCI"/>
      <sheetName val="5SOCE"/>
      <sheetName val="4CF"/>
      <sheetName val="6N_PPE"/>
      <sheetName val="7N_3-12"/>
      <sheetName val="8N_13"/>
      <sheetName val="9N_14-21"/>
      <sheetName val="10N_22-33"/>
      <sheetName val="Note 32"/>
      <sheetName val="10FV_34"/>
      <sheetName val="11FRM_35"/>
      <sheetName val="12CapMgt_36"/>
      <sheetName val="Note 37"/>
      <sheetName val="Ratio"/>
      <sheetName val="Tax"/>
      <sheetName val="13IFRS"/>
      <sheetName val="CFs"/>
      <sheetName val="D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197">
          <cell r="E197">
            <v>952836073.99000001</v>
          </cell>
        </row>
        <row r="280">
          <cell r="E280">
            <v>118078037.32000002</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BS"/>
      <sheetName val="P&amp;L"/>
      <sheetName val="Trial Conso IND AS 31.03.18"/>
      <sheetName val="SOCE"/>
      <sheetName val="Additional Notes"/>
      <sheetName val="Note 3 Cow Disclosure (In lakh)"/>
      <sheetName val="Cash Flow (F)"/>
      <sheetName val="Note-17 (Share Capital)"/>
      <sheetName val="Note 2 Investment Property"/>
      <sheetName val="Accounting policies (F)"/>
      <sheetName val="Working for Cash Flow (F)"/>
      <sheetName val="Sub Schedule"/>
      <sheetName val="UNIT WISE TRIAL 31.03.18"/>
    </sheetNames>
    <sheetDataSet>
      <sheetData sheetId="0" refreshError="1"/>
      <sheetData sheetId="1" refreshError="1"/>
      <sheetData sheetId="2">
        <row r="1682">
          <cell r="C1682">
            <v>245575</v>
          </cell>
          <cell r="D1682">
            <v>0</v>
          </cell>
        </row>
        <row r="1683">
          <cell r="C1683">
            <v>25392.230000000003</v>
          </cell>
          <cell r="D1683">
            <v>34.869999999999997</v>
          </cell>
          <cell r="L1683">
            <v>7</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AE"/>
      <sheetName val="Regrouping"/>
      <sheetName val="BS"/>
      <sheetName val="P&amp;L"/>
      <sheetName val="Notes"/>
    </sheetNames>
    <sheetDataSet>
      <sheetData sheetId="0" refreshError="1">
        <row r="38">
          <cell r="E38">
            <v>44096955.799999997</v>
          </cell>
        </row>
        <row r="41">
          <cell r="E41">
            <v>45871447.250000015</v>
          </cell>
        </row>
        <row r="54">
          <cell r="F54">
            <v>12297387</v>
          </cell>
        </row>
        <row r="77">
          <cell r="F77">
            <v>12950000</v>
          </cell>
        </row>
        <row r="78">
          <cell r="F78">
            <v>12950000</v>
          </cell>
        </row>
        <row r="83">
          <cell r="E83">
            <v>777000000</v>
          </cell>
        </row>
        <row r="85">
          <cell r="F85">
            <v>518000000</v>
          </cell>
        </row>
        <row r="113">
          <cell r="F113">
            <v>241502.94999999925</v>
          </cell>
        </row>
        <row r="133">
          <cell r="E133">
            <v>333243226.17999983</v>
          </cell>
        </row>
        <row r="138">
          <cell r="F138">
            <v>7272443.75</v>
          </cell>
        </row>
        <row r="153">
          <cell r="E153">
            <v>45335766.469415516</v>
          </cell>
        </row>
        <row r="157">
          <cell r="F157">
            <v>1653563.3166136986</v>
          </cell>
        </row>
      </sheetData>
      <sheetData sheetId="1" refreshError="1">
        <row r="9">
          <cell r="E9">
            <v>703939</v>
          </cell>
        </row>
        <row r="10">
          <cell r="F10">
            <v>703939</v>
          </cell>
        </row>
        <row r="12">
          <cell r="E12">
            <v>576186</v>
          </cell>
        </row>
        <row r="13">
          <cell r="F13">
            <v>576186</v>
          </cell>
        </row>
        <row r="39">
          <cell r="F39">
            <v>51800000</v>
          </cell>
        </row>
        <row r="45">
          <cell r="F45">
            <v>4215469.49</v>
          </cell>
        </row>
      </sheetData>
      <sheetData sheetId="2" refreshError="1"/>
      <sheetData sheetId="3" refreshError="1"/>
      <sheetData sheetId="4"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AE"/>
      <sheetName val="Regrouping"/>
      <sheetName val="SAP "/>
      <sheetName val="Trial"/>
      <sheetName val="2SFP"/>
      <sheetName val="3SOCI"/>
      <sheetName val="10N_22-33"/>
      <sheetName val="4CF"/>
      <sheetName val="5SOCE"/>
      <sheetName val="6N_PPE"/>
      <sheetName val="7N_3-11"/>
      <sheetName val="8N_12-13"/>
      <sheetName val="9N_14-21"/>
      <sheetName val="10FV"/>
      <sheetName val="11FRM"/>
      <sheetName val="12CapMgt"/>
      <sheetName val="Tax"/>
      <sheetName val="Ratio"/>
      <sheetName val="13IFRS"/>
      <sheetName val="CFs"/>
      <sheetName val="D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enableFormatConditionsCalculation="0">
    <tabColor theme="4"/>
  </sheetPr>
  <dimension ref="A1:D396"/>
  <sheetViews>
    <sheetView showGridLines="0" workbookViewId="0">
      <pane ySplit="2" topLeftCell="A378" activePane="bottomLeft" state="frozen"/>
      <selection activeCell="B632" sqref="B632"/>
      <selection pane="bottomLeft" activeCell="J383" sqref="J383"/>
    </sheetView>
  </sheetViews>
  <sheetFormatPr defaultColWidth="9.140625" defaultRowHeight="15"/>
  <cols>
    <col min="1" max="1" width="13.85546875" style="897" bestFit="1" customWidth="1"/>
    <col min="2" max="2" width="49.28515625" style="897" bestFit="1" customWidth="1"/>
    <col min="3" max="3" width="19.42578125" style="898" bestFit="1" customWidth="1"/>
    <col min="4" max="4" width="17.7109375" style="898" bestFit="1" customWidth="1"/>
    <col min="5" max="16384" width="9.140625" style="897"/>
  </cols>
  <sheetData>
    <row r="1" spans="1:4" ht="15.75" thickBot="1">
      <c r="B1" s="902" t="s">
        <v>1126</v>
      </c>
      <c r="C1" s="899">
        <f>SUM(C3:C1371)</f>
        <v>6.4494088292121887E-7</v>
      </c>
      <c r="D1" s="899">
        <f>SUM(D3:D1371)</f>
        <v>511561055.52000076</v>
      </c>
    </row>
    <row r="2" spans="1:4" ht="15.75" thickTop="1">
      <c r="A2" s="900" t="s">
        <v>141</v>
      </c>
      <c r="B2" s="900" t="s">
        <v>143</v>
      </c>
      <c r="C2" s="901">
        <v>2019</v>
      </c>
      <c r="D2" s="1206">
        <v>2018</v>
      </c>
    </row>
    <row r="3" spans="1:4">
      <c r="A3">
        <v>4101101000</v>
      </c>
      <c r="B3" t="s">
        <v>1488</v>
      </c>
      <c r="C3" s="1217">
        <v>-1837737.17</v>
      </c>
      <c r="D3" s="1174">
        <v>-1341824.8600000001</v>
      </c>
    </row>
    <row r="4" spans="1:4">
      <c r="A4">
        <v>4101102000</v>
      </c>
      <c r="B4" t="s">
        <v>1489</v>
      </c>
      <c r="C4" s="1217">
        <v>-19218019.43</v>
      </c>
      <c r="D4" s="1174">
        <v>-22170028.280000001</v>
      </c>
    </row>
    <row r="5" spans="1:4">
      <c r="A5">
        <v>4101103000</v>
      </c>
      <c r="B5" t="s">
        <v>1490</v>
      </c>
      <c r="C5" s="1217">
        <v>-6436236.6100000003</v>
      </c>
      <c r="D5" s="1174">
        <v>-4098598.6</v>
      </c>
    </row>
    <row r="6" spans="1:4">
      <c r="A6">
        <v>4101103001</v>
      </c>
      <c r="B6" t="s">
        <v>1491</v>
      </c>
      <c r="C6" s="1217">
        <v>-1064880.68</v>
      </c>
      <c r="D6" s="1174">
        <v>-511960.4</v>
      </c>
    </row>
    <row r="7" spans="1:4">
      <c r="A7">
        <v>4101104000</v>
      </c>
      <c r="B7" t="s">
        <v>1492</v>
      </c>
      <c r="C7" s="1217">
        <v>-4579300</v>
      </c>
      <c r="D7" s="1174">
        <v>-3340350</v>
      </c>
    </row>
    <row r="8" spans="1:4">
      <c r="A8">
        <v>4101104001</v>
      </c>
      <c r="B8" t="s">
        <v>1493</v>
      </c>
      <c r="C8" s="1217">
        <v>-339038313.55000001</v>
      </c>
      <c r="D8" s="1174">
        <v>-229402002.34</v>
      </c>
    </row>
    <row r="9" spans="1:4">
      <c r="A9">
        <v>4101104002</v>
      </c>
      <c r="B9" t="s">
        <v>1494</v>
      </c>
      <c r="C9" s="1217">
        <v>-38332060.640000001</v>
      </c>
      <c r="D9" s="1174">
        <v>-41978138.469999999</v>
      </c>
    </row>
    <row r="10" spans="1:4">
      <c r="A10">
        <v>4101104003</v>
      </c>
      <c r="B10" t="s">
        <v>1495</v>
      </c>
      <c r="C10" s="1217">
        <v>-155595794.65000001</v>
      </c>
      <c r="D10" s="1174">
        <v>-207938219.97</v>
      </c>
    </row>
    <row r="11" spans="1:4">
      <c r="A11">
        <v>4101104004</v>
      </c>
      <c r="B11" t="s">
        <v>1496</v>
      </c>
      <c r="C11" s="1217">
        <v>-1100896.6399999999</v>
      </c>
      <c r="D11" s="1174">
        <v>-1103909.31</v>
      </c>
    </row>
    <row r="12" spans="1:4">
      <c r="A12">
        <v>4101104007</v>
      </c>
      <c r="B12" t="s">
        <v>1497</v>
      </c>
      <c r="C12" s="1217">
        <v>-267137974.97999999</v>
      </c>
      <c r="D12" s="1174">
        <v>-198911334.53</v>
      </c>
    </row>
    <row r="13" spans="1:4">
      <c r="A13">
        <v>4101105013</v>
      </c>
      <c r="B13" t="s">
        <v>1498</v>
      </c>
      <c r="C13" s="1217">
        <v>-21964437.789999999</v>
      </c>
      <c r="D13" s="1174">
        <v>-23579791.609999999</v>
      </c>
    </row>
    <row r="14" spans="1:4">
      <c r="A14">
        <v>4101108001</v>
      </c>
      <c r="B14" t="s">
        <v>1499</v>
      </c>
      <c r="C14" s="1217">
        <v>-164598</v>
      </c>
      <c r="D14" s="1174">
        <v>-468398</v>
      </c>
    </row>
    <row r="15" spans="1:4">
      <c r="A15">
        <v>4102110007</v>
      </c>
      <c r="B15" t="s">
        <v>1500</v>
      </c>
      <c r="C15" s="1217">
        <v>-180457</v>
      </c>
      <c r="D15" s="1174">
        <v>0</v>
      </c>
    </row>
    <row r="16" spans="1:4">
      <c r="A16">
        <v>4101105000</v>
      </c>
      <c r="B16" t="s">
        <v>1501</v>
      </c>
      <c r="C16" s="1217">
        <v>-4549371.87</v>
      </c>
      <c r="D16" s="1174">
        <v>-13582363.84</v>
      </c>
    </row>
    <row r="17" spans="1:4">
      <c r="A17">
        <v>4101105001</v>
      </c>
      <c r="B17" t="s">
        <v>1502</v>
      </c>
      <c r="C17" s="1217">
        <v>-14448684.640000001</v>
      </c>
      <c r="D17" s="1174">
        <v>-12124999.550000001</v>
      </c>
    </row>
    <row r="18" spans="1:4">
      <c r="A18">
        <v>4101105002</v>
      </c>
      <c r="B18" t="s">
        <v>1503</v>
      </c>
      <c r="C18" s="1217">
        <v>-67572737.310000002</v>
      </c>
      <c r="D18" s="1174">
        <v>-73082052.640000001</v>
      </c>
    </row>
    <row r="19" spans="1:4">
      <c r="A19">
        <v>4101105003</v>
      </c>
      <c r="B19" t="s">
        <v>1504</v>
      </c>
      <c r="C19" s="1217">
        <v>-613408.44999999995</v>
      </c>
      <c r="D19" s="1174">
        <v>-392222.6</v>
      </c>
    </row>
    <row r="20" spans="1:4">
      <c r="A20">
        <v>4101105004</v>
      </c>
      <c r="B20" t="s">
        <v>1505</v>
      </c>
      <c r="C20" s="1217">
        <v>0</v>
      </c>
      <c r="D20" s="1174">
        <v>-262544</v>
      </c>
    </row>
    <row r="21" spans="1:4">
      <c r="A21">
        <v>4101105008</v>
      </c>
      <c r="B21" t="s">
        <v>1506</v>
      </c>
      <c r="C21" s="1217">
        <v>-1188425.3</v>
      </c>
      <c r="D21" s="1174">
        <v>-2236688.5499999998</v>
      </c>
    </row>
    <row r="22" spans="1:4">
      <c r="A22">
        <v>4101105009</v>
      </c>
      <c r="B22" t="s">
        <v>1507</v>
      </c>
      <c r="C22" s="1217">
        <v>-95</v>
      </c>
      <c r="D22" s="1174">
        <v>-4693</v>
      </c>
    </row>
    <row r="23" spans="1:4">
      <c r="A23">
        <v>4101106000</v>
      </c>
      <c r="B23" t="s">
        <v>1508</v>
      </c>
      <c r="C23" s="1217">
        <v>0</v>
      </c>
      <c r="D23" s="1174">
        <v>-880041.89</v>
      </c>
    </row>
    <row r="24" spans="1:4">
      <c r="A24">
        <v>4101106001</v>
      </c>
      <c r="B24" t="s">
        <v>1509</v>
      </c>
      <c r="C24" s="1217">
        <v>-193344.36</v>
      </c>
      <c r="D24" s="1174">
        <v>-190184.04</v>
      </c>
    </row>
    <row r="25" spans="1:4">
      <c r="A25">
        <v>4101106002</v>
      </c>
      <c r="B25" t="s">
        <v>1510</v>
      </c>
      <c r="C25" s="1217">
        <v>0</v>
      </c>
      <c r="D25" s="1174">
        <v>-85010.1</v>
      </c>
    </row>
    <row r="26" spans="1:4">
      <c r="A26">
        <v>4101105011</v>
      </c>
      <c r="B26" t="s">
        <v>1511</v>
      </c>
      <c r="C26" s="1217">
        <v>-1618742.34</v>
      </c>
      <c r="D26" s="1174">
        <v>-2054305.69</v>
      </c>
    </row>
    <row r="27" spans="1:4">
      <c r="A27">
        <v>4101105014</v>
      </c>
      <c r="B27" t="s">
        <v>1512</v>
      </c>
      <c r="C27" s="1217">
        <v>-2332711.16</v>
      </c>
      <c r="D27" s="1174">
        <v>-4907003.74</v>
      </c>
    </row>
    <row r="28" spans="1:4">
      <c r="A28">
        <v>4101105015</v>
      </c>
      <c r="B28" t="s">
        <v>1513</v>
      </c>
      <c r="C28" s="1217">
        <v>-582942</v>
      </c>
      <c r="D28" s="1174">
        <v>0</v>
      </c>
    </row>
    <row r="29" spans="1:4">
      <c r="A29">
        <v>4102105000</v>
      </c>
      <c r="B29" t="s">
        <v>1514</v>
      </c>
      <c r="C29" s="1217">
        <v>-232211.52</v>
      </c>
      <c r="D29" s="1174">
        <v>-252784.5</v>
      </c>
    </row>
    <row r="30" spans="1:4">
      <c r="A30">
        <v>4101102001</v>
      </c>
      <c r="B30" t="s">
        <v>1515</v>
      </c>
      <c r="C30" s="1217">
        <v>-290798</v>
      </c>
      <c r="D30" s="1174">
        <v>-489783.5</v>
      </c>
    </row>
    <row r="31" spans="1:4">
      <c r="A31">
        <v>4101104005</v>
      </c>
      <c r="B31" t="s">
        <v>1516</v>
      </c>
      <c r="C31" s="1217">
        <v>-19408.37</v>
      </c>
      <c r="D31" s="1174">
        <v>-209327.61</v>
      </c>
    </row>
    <row r="32" spans="1:4">
      <c r="A32">
        <v>4101104006</v>
      </c>
      <c r="B32" t="s">
        <v>1517</v>
      </c>
      <c r="C32" s="1217">
        <v>-469725</v>
      </c>
      <c r="D32" s="1174">
        <v>-310525</v>
      </c>
    </row>
    <row r="33" spans="1:4">
      <c r="A33">
        <v>4101105005</v>
      </c>
      <c r="B33" t="s">
        <v>1518</v>
      </c>
      <c r="C33" s="1217">
        <v>-382567.41</v>
      </c>
      <c r="D33" s="1174">
        <v>-559411.65</v>
      </c>
    </row>
    <row r="34" spans="1:4">
      <c r="A34">
        <v>4101105007</v>
      </c>
      <c r="B34" t="s">
        <v>1519</v>
      </c>
      <c r="C34" s="1217">
        <v>-345785</v>
      </c>
      <c r="D34" s="1174">
        <v>-390670</v>
      </c>
    </row>
    <row r="35" spans="1:4">
      <c r="A35">
        <v>4102105002</v>
      </c>
      <c r="B35" t="s">
        <v>1520</v>
      </c>
      <c r="C35" s="1217">
        <v>-767923.8</v>
      </c>
      <c r="D35" s="1174">
        <v>0</v>
      </c>
    </row>
    <row r="36" spans="1:4">
      <c r="A36">
        <v>4102103002</v>
      </c>
      <c r="B36" t="s">
        <v>1521</v>
      </c>
      <c r="C36" s="1217">
        <v>-12550</v>
      </c>
      <c r="D36" s="1174">
        <v>-1397916</v>
      </c>
    </row>
    <row r="37" spans="1:4">
      <c r="A37">
        <v>4102103003</v>
      </c>
      <c r="B37" t="s">
        <v>1522</v>
      </c>
      <c r="C37" s="1217">
        <v>-13698</v>
      </c>
      <c r="D37" s="1174">
        <v>-10629</v>
      </c>
    </row>
    <row r="38" spans="1:4">
      <c r="A38">
        <v>4102106000</v>
      </c>
      <c r="B38" t="s">
        <v>1523</v>
      </c>
      <c r="C38" s="1217">
        <v>-1098311.6299999999</v>
      </c>
      <c r="D38" s="1174">
        <v>-254594.26</v>
      </c>
    </row>
    <row r="39" spans="1:4">
      <c r="A39">
        <v>4102108000</v>
      </c>
      <c r="B39" t="s">
        <v>1524</v>
      </c>
      <c r="C39" s="1217">
        <v>0</v>
      </c>
      <c r="D39" s="1174">
        <v>0</v>
      </c>
    </row>
    <row r="40" spans="1:4">
      <c r="A40">
        <v>4104102000</v>
      </c>
      <c r="B40" t="s">
        <v>1525</v>
      </c>
      <c r="C40" s="1217">
        <v>-334557.40999999997</v>
      </c>
      <c r="D40" s="1174">
        <v>-246451.79</v>
      </c>
    </row>
    <row r="41" spans="1:4">
      <c r="A41">
        <v>4102102000</v>
      </c>
      <c r="B41" t="s">
        <v>1526</v>
      </c>
      <c r="C41" s="1217">
        <v>-697015</v>
      </c>
      <c r="D41" s="1174">
        <v>-1194542.82</v>
      </c>
    </row>
    <row r="42" spans="1:4">
      <c r="A42">
        <v>4102102001</v>
      </c>
      <c r="B42" t="s">
        <v>1527</v>
      </c>
      <c r="C42" s="1217">
        <v>-49800</v>
      </c>
      <c r="D42" s="1174">
        <v>0</v>
      </c>
    </row>
    <row r="43" spans="1:4">
      <c r="A43">
        <v>4102103000</v>
      </c>
      <c r="B43" t="s">
        <v>1528</v>
      </c>
      <c r="C43" s="1217">
        <v>-59504</v>
      </c>
      <c r="D43" s="1174">
        <v>-3640</v>
      </c>
    </row>
    <row r="44" spans="1:4">
      <c r="A44">
        <v>4102109000</v>
      </c>
      <c r="B44" t="s">
        <v>1529</v>
      </c>
      <c r="C44" s="1217">
        <v>0</v>
      </c>
      <c r="D44" s="1174">
        <v>0</v>
      </c>
    </row>
    <row r="45" spans="1:4">
      <c r="A45">
        <v>4102110005</v>
      </c>
      <c r="B45" t="s">
        <v>1530</v>
      </c>
      <c r="C45" s="1217">
        <v>0</v>
      </c>
      <c r="D45" s="1174">
        <v>0</v>
      </c>
    </row>
    <row r="46" spans="1:4">
      <c r="A46">
        <v>4102110006</v>
      </c>
      <c r="B46" t="s">
        <v>1531</v>
      </c>
      <c r="C46" s="1217">
        <v>-3.61</v>
      </c>
      <c r="D46" s="1174">
        <v>-1.08</v>
      </c>
    </row>
    <row r="47" spans="1:4">
      <c r="A47">
        <v>4102119999</v>
      </c>
      <c r="B47" t="s">
        <v>1532</v>
      </c>
      <c r="C47" s="1217">
        <v>-117963</v>
      </c>
      <c r="D47" s="1174">
        <v>-8956649.1899999995</v>
      </c>
    </row>
    <row r="48" spans="1:4">
      <c r="A48">
        <v>5105126007</v>
      </c>
      <c r="B48" t="s">
        <v>1533</v>
      </c>
      <c r="C48" s="1217">
        <v>0.17</v>
      </c>
      <c r="D48" s="1174">
        <v>1.67</v>
      </c>
    </row>
    <row r="49" spans="1:4">
      <c r="A49">
        <v>5105119005</v>
      </c>
      <c r="B49" t="s">
        <v>1534</v>
      </c>
      <c r="C49" s="1217">
        <v>20058663.370000001</v>
      </c>
      <c r="D49" s="1174">
        <v>19541049.25</v>
      </c>
    </row>
    <row r="50" spans="1:4">
      <c r="A50">
        <v>5105120002</v>
      </c>
      <c r="B50" t="s">
        <v>1535</v>
      </c>
      <c r="C50" s="1217">
        <v>0</v>
      </c>
      <c r="D50" s="1174">
        <v>677909.02</v>
      </c>
    </row>
    <row r="51" spans="1:4">
      <c r="A51">
        <v>5105120003</v>
      </c>
      <c r="B51" t="s">
        <v>1536</v>
      </c>
      <c r="C51" s="1217">
        <v>17413803.48</v>
      </c>
      <c r="D51" s="1174">
        <v>40353786.960000001</v>
      </c>
    </row>
    <row r="52" spans="1:4">
      <c r="A52">
        <v>5105120004</v>
      </c>
      <c r="B52" t="s">
        <v>1537</v>
      </c>
      <c r="C52" s="1217">
        <v>1140072.6200000001</v>
      </c>
      <c r="D52" s="1174">
        <v>1439387.92</v>
      </c>
    </row>
    <row r="53" spans="1:4">
      <c r="A53">
        <v>5105120005</v>
      </c>
      <c r="B53" t="s">
        <v>1538</v>
      </c>
      <c r="C53" s="1217">
        <v>1604369.04</v>
      </c>
      <c r="D53" s="1174">
        <v>1706618.51</v>
      </c>
    </row>
    <row r="54" spans="1:4">
      <c r="A54">
        <v>5105120006</v>
      </c>
      <c r="B54" t="s">
        <v>1539</v>
      </c>
      <c r="C54" s="1217">
        <v>2165609.0099999998</v>
      </c>
      <c r="D54" s="1174">
        <v>2960039.15</v>
      </c>
    </row>
    <row r="55" spans="1:4">
      <c r="A55">
        <v>5105120008</v>
      </c>
      <c r="B55" t="s">
        <v>1540</v>
      </c>
      <c r="C55" s="1217">
        <v>313984.86</v>
      </c>
      <c r="D55" s="1174">
        <v>184280.34</v>
      </c>
    </row>
    <row r="56" spans="1:4">
      <c r="A56">
        <v>5103101000</v>
      </c>
      <c r="B56" t="s">
        <v>1541</v>
      </c>
      <c r="C56" s="1217">
        <v>30795.360000000001</v>
      </c>
      <c r="D56" s="1174">
        <v>99271</v>
      </c>
    </row>
    <row r="57" spans="1:4">
      <c r="A57">
        <v>5103101001</v>
      </c>
      <c r="B57" t="s">
        <v>1542</v>
      </c>
      <c r="C57" s="1217">
        <v>899969.02</v>
      </c>
      <c r="D57" s="1174">
        <v>962014.14</v>
      </c>
    </row>
    <row r="58" spans="1:4">
      <c r="A58">
        <v>5103101002</v>
      </c>
      <c r="B58" t="s">
        <v>1543</v>
      </c>
      <c r="C58" s="1217">
        <v>0</v>
      </c>
      <c r="D58" s="1174">
        <v>19500</v>
      </c>
    </row>
    <row r="59" spans="1:4">
      <c r="A59">
        <v>5105121000</v>
      </c>
      <c r="B59" t="s">
        <v>1544</v>
      </c>
      <c r="C59" s="1217">
        <v>8120156.0300000003</v>
      </c>
      <c r="D59" s="1174">
        <v>8432197.3300000001</v>
      </c>
    </row>
    <row r="60" spans="1:4">
      <c r="A60">
        <v>5102103000</v>
      </c>
      <c r="B60" t="s">
        <v>1545</v>
      </c>
      <c r="C60" s="1217">
        <v>8410041.7899999991</v>
      </c>
      <c r="D60" s="1174">
        <v>6918357.3499999996</v>
      </c>
    </row>
    <row r="61" spans="1:4">
      <c r="A61">
        <v>5102105000</v>
      </c>
      <c r="B61" t="s">
        <v>1546</v>
      </c>
      <c r="C61" s="1217">
        <v>1194012.48</v>
      </c>
      <c r="D61" s="1174">
        <v>370314.11</v>
      </c>
    </row>
    <row r="62" spans="1:4">
      <c r="A62">
        <v>5103102000</v>
      </c>
      <c r="B62" t="s">
        <v>1547</v>
      </c>
      <c r="C62" s="1217">
        <v>338848.44</v>
      </c>
      <c r="D62" s="1174">
        <v>207400</v>
      </c>
    </row>
    <row r="63" spans="1:4">
      <c r="A63">
        <v>5103102001</v>
      </c>
      <c r="B63" t="s">
        <v>1548</v>
      </c>
      <c r="C63" s="1217">
        <v>8505863.8200000003</v>
      </c>
      <c r="D63" s="1174">
        <v>2741667</v>
      </c>
    </row>
    <row r="64" spans="1:4">
      <c r="A64">
        <v>5103103004</v>
      </c>
      <c r="B64" t="s">
        <v>1549</v>
      </c>
      <c r="C64" s="1217">
        <v>31235</v>
      </c>
      <c r="D64" s="1174">
        <v>50655</v>
      </c>
    </row>
    <row r="65" spans="1:4">
      <c r="A65">
        <v>5103103007</v>
      </c>
      <c r="B65" t="s">
        <v>1550</v>
      </c>
      <c r="C65" s="1217">
        <v>0</v>
      </c>
      <c r="D65" s="1174">
        <v>5772237.7599999998</v>
      </c>
    </row>
    <row r="66" spans="1:4">
      <c r="A66">
        <v>5105107000</v>
      </c>
      <c r="B66" t="s">
        <v>1551</v>
      </c>
      <c r="C66" s="1217">
        <v>410646</v>
      </c>
      <c r="D66" s="1174">
        <v>652270</v>
      </c>
    </row>
    <row r="67" spans="1:4">
      <c r="A67">
        <v>5105107001</v>
      </c>
      <c r="B67" t="s">
        <v>1552</v>
      </c>
      <c r="C67" s="1217">
        <v>129839.36</v>
      </c>
      <c r="D67" s="1174">
        <v>458953.56</v>
      </c>
    </row>
    <row r="68" spans="1:4">
      <c r="A68">
        <v>5105114000</v>
      </c>
      <c r="B68" t="s">
        <v>1553</v>
      </c>
      <c r="C68" s="1217">
        <v>1333407.58</v>
      </c>
      <c r="D68" s="1174">
        <v>1612773.55</v>
      </c>
    </row>
    <row r="69" spans="1:4">
      <c r="A69">
        <v>5102108000</v>
      </c>
      <c r="B69" t="s">
        <v>1554</v>
      </c>
      <c r="C69" s="1217">
        <v>1303270.18</v>
      </c>
      <c r="D69" s="1174">
        <v>293738.17</v>
      </c>
    </row>
    <row r="70" spans="1:4">
      <c r="A70">
        <v>5102109000</v>
      </c>
      <c r="B70" t="s">
        <v>1555</v>
      </c>
      <c r="C70" s="1217">
        <v>6685590.5899999999</v>
      </c>
      <c r="D70" s="1174">
        <v>6767778.5300000003</v>
      </c>
    </row>
    <row r="71" spans="1:4">
      <c r="A71">
        <v>5104101000</v>
      </c>
      <c r="B71" t="s">
        <v>1556</v>
      </c>
      <c r="C71" s="1217">
        <v>36562216.439999998</v>
      </c>
      <c r="D71" s="1174">
        <v>35914643.350000001</v>
      </c>
    </row>
    <row r="72" spans="1:4">
      <c r="A72">
        <v>5104101001</v>
      </c>
      <c r="B72" t="s">
        <v>1557</v>
      </c>
      <c r="C72" s="1217">
        <v>0</v>
      </c>
      <c r="D72" s="1174">
        <v>3000</v>
      </c>
    </row>
    <row r="73" spans="1:4">
      <c r="A73">
        <v>5104102000</v>
      </c>
      <c r="B73" t="s">
        <v>1558</v>
      </c>
      <c r="C73" s="1217">
        <v>10183897.82</v>
      </c>
      <c r="D73" s="1174">
        <v>10183323.109999999</v>
      </c>
    </row>
    <row r="74" spans="1:4">
      <c r="A74">
        <v>5104103000</v>
      </c>
      <c r="B74" t="s">
        <v>1559</v>
      </c>
      <c r="C74" s="1217">
        <v>0</v>
      </c>
      <c r="D74" s="1174">
        <v>0</v>
      </c>
    </row>
    <row r="75" spans="1:4">
      <c r="A75">
        <v>5104104000</v>
      </c>
      <c r="B75" t="s">
        <v>1560</v>
      </c>
      <c r="C75" s="1217">
        <v>0</v>
      </c>
      <c r="D75" s="1174">
        <v>19915344.280000001</v>
      </c>
    </row>
    <row r="76" spans="1:4">
      <c r="A76">
        <v>5104203000</v>
      </c>
      <c r="B76" t="s">
        <v>1561</v>
      </c>
      <c r="C76" s="1217">
        <v>5225159</v>
      </c>
      <c r="D76" s="1174">
        <v>4703825</v>
      </c>
    </row>
    <row r="77" spans="1:4">
      <c r="A77">
        <v>5104204000</v>
      </c>
      <c r="B77" t="s">
        <v>1562</v>
      </c>
      <c r="C77" s="1217">
        <v>3999673</v>
      </c>
      <c r="D77" s="1174">
        <v>4006560</v>
      </c>
    </row>
    <row r="78" spans="1:4">
      <c r="A78">
        <v>5104205000</v>
      </c>
      <c r="B78" t="s">
        <v>1563</v>
      </c>
      <c r="C78" s="1217">
        <v>0</v>
      </c>
      <c r="D78" s="1174">
        <v>0</v>
      </c>
    </row>
    <row r="79" spans="1:4">
      <c r="A79">
        <v>5104105000</v>
      </c>
      <c r="B79" t="s">
        <v>1564</v>
      </c>
      <c r="C79" s="1217">
        <v>0</v>
      </c>
      <c r="D79" s="1174">
        <v>18684</v>
      </c>
    </row>
    <row r="80" spans="1:4">
      <c r="A80">
        <v>5104106000</v>
      </c>
      <c r="B80" t="s">
        <v>1565</v>
      </c>
      <c r="C80" s="1217">
        <v>38590</v>
      </c>
      <c r="D80" s="1174">
        <v>209512.33</v>
      </c>
    </row>
    <row r="81" spans="1:4">
      <c r="A81">
        <v>5104106001</v>
      </c>
      <c r="B81" t="s">
        <v>1566</v>
      </c>
      <c r="C81" s="1217">
        <v>29890</v>
      </c>
      <c r="D81" s="1174">
        <v>0</v>
      </c>
    </row>
    <row r="82" spans="1:4">
      <c r="A82">
        <v>5104202000</v>
      </c>
      <c r="B82" t="s">
        <v>1567</v>
      </c>
      <c r="C82" s="1217">
        <v>125939.8</v>
      </c>
      <c r="D82" s="1174">
        <v>0</v>
      </c>
    </row>
    <row r="83" spans="1:4">
      <c r="A83">
        <v>5104108000</v>
      </c>
      <c r="B83" t="s">
        <v>1568</v>
      </c>
      <c r="C83" s="1217">
        <v>553473</v>
      </c>
      <c r="D83" s="1174">
        <v>2000126</v>
      </c>
    </row>
    <row r="84" spans="1:4">
      <c r="A84">
        <v>5104108001</v>
      </c>
      <c r="B84" t="s">
        <v>1569</v>
      </c>
      <c r="C84" s="1217">
        <v>15000</v>
      </c>
      <c r="D84" s="1174">
        <v>484831.4</v>
      </c>
    </row>
    <row r="85" spans="1:4">
      <c r="A85">
        <v>5104108002</v>
      </c>
      <c r="B85" t="s">
        <v>1570</v>
      </c>
      <c r="C85" s="1217">
        <v>631122</v>
      </c>
      <c r="D85" s="1174">
        <v>1406665.2</v>
      </c>
    </row>
    <row r="86" spans="1:4">
      <c r="A86">
        <v>5104108005</v>
      </c>
      <c r="B86" t="s">
        <v>1571</v>
      </c>
      <c r="C86" s="1217">
        <v>1147013.26</v>
      </c>
      <c r="D86" s="1174">
        <v>1363527.22</v>
      </c>
    </row>
    <row r="87" spans="1:4">
      <c r="A87">
        <v>5104108006</v>
      </c>
      <c r="B87" t="s">
        <v>1572</v>
      </c>
      <c r="C87" s="1217">
        <v>0</v>
      </c>
      <c r="D87" s="1174">
        <v>1080</v>
      </c>
    </row>
    <row r="88" spans="1:4">
      <c r="A88">
        <v>5105101001</v>
      </c>
      <c r="B88" t="s">
        <v>1573</v>
      </c>
      <c r="C88" s="1217">
        <v>9000</v>
      </c>
      <c r="D88" s="1174">
        <v>492294.1</v>
      </c>
    </row>
    <row r="89" spans="1:4">
      <c r="A89">
        <v>5105101000</v>
      </c>
      <c r="B89" t="s">
        <v>1574</v>
      </c>
      <c r="C89" s="1217">
        <v>98715</v>
      </c>
      <c r="D89" s="1174">
        <v>91671</v>
      </c>
    </row>
    <row r="90" spans="1:4">
      <c r="A90">
        <v>5105109000</v>
      </c>
      <c r="B90" t="s">
        <v>1575</v>
      </c>
      <c r="C90" s="1217">
        <v>656615.5</v>
      </c>
      <c r="D90" s="1174">
        <v>118820</v>
      </c>
    </row>
    <row r="91" spans="1:4">
      <c r="A91">
        <v>5105120000</v>
      </c>
      <c r="B91" t="s">
        <v>1576</v>
      </c>
      <c r="C91" s="1217">
        <v>42843702.840000004</v>
      </c>
      <c r="D91" s="1174">
        <v>38689199.390000001</v>
      </c>
    </row>
    <row r="92" spans="1:4">
      <c r="A92">
        <v>5105104001</v>
      </c>
      <c r="B92" t="s">
        <v>1577</v>
      </c>
      <c r="C92" s="1217">
        <v>0</v>
      </c>
      <c r="D92" s="1174">
        <v>0</v>
      </c>
    </row>
    <row r="93" spans="1:4">
      <c r="A93">
        <v>5107101000</v>
      </c>
      <c r="B93" t="s">
        <v>1578</v>
      </c>
      <c r="C93" s="1217">
        <v>7015183.1900000004</v>
      </c>
      <c r="D93" s="1174">
        <v>6300625</v>
      </c>
    </row>
    <row r="94" spans="1:4">
      <c r="A94">
        <v>5107102000</v>
      </c>
      <c r="B94" t="s">
        <v>1579</v>
      </c>
      <c r="C94" s="1217">
        <v>92821649.599999994</v>
      </c>
      <c r="D94" s="1174">
        <v>88983670</v>
      </c>
    </row>
    <row r="95" spans="1:4">
      <c r="A95">
        <v>5107103000</v>
      </c>
      <c r="B95" t="s">
        <v>1580</v>
      </c>
      <c r="C95" s="1217">
        <v>1978783.08</v>
      </c>
      <c r="D95" s="1174">
        <v>2172885.84</v>
      </c>
    </row>
    <row r="96" spans="1:4">
      <c r="A96">
        <v>5107103001</v>
      </c>
      <c r="B96" t="s">
        <v>1581</v>
      </c>
      <c r="C96" s="1217">
        <v>362135.91</v>
      </c>
      <c r="D96" s="1174">
        <v>373956</v>
      </c>
    </row>
    <row r="97" spans="1:4">
      <c r="A97">
        <v>5107104000</v>
      </c>
      <c r="B97" t="s">
        <v>1582</v>
      </c>
      <c r="C97" s="1217">
        <v>27473611</v>
      </c>
      <c r="D97" s="1174">
        <v>28344469</v>
      </c>
    </row>
    <row r="98" spans="1:4">
      <c r="A98">
        <v>5107104001</v>
      </c>
      <c r="B98" t="s">
        <v>1583</v>
      </c>
      <c r="C98" s="1217">
        <v>11350321</v>
      </c>
      <c r="D98" s="1174">
        <v>10214794</v>
      </c>
    </row>
    <row r="99" spans="1:4">
      <c r="A99">
        <v>5107105000</v>
      </c>
      <c r="B99" t="s">
        <v>1584</v>
      </c>
      <c r="C99" s="1217">
        <v>1721460</v>
      </c>
      <c r="D99" s="1174">
        <v>1844989.13</v>
      </c>
    </row>
    <row r="100" spans="1:4">
      <c r="A100">
        <v>5107106000</v>
      </c>
      <c r="B100" t="s">
        <v>1585</v>
      </c>
      <c r="C100" s="1217">
        <v>2354814</v>
      </c>
      <c r="D100" s="1174">
        <v>1887482</v>
      </c>
    </row>
    <row r="101" spans="1:4">
      <c r="A101">
        <v>5107108000</v>
      </c>
      <c r="B101" t="s">
        <v>1586</v>
      </c>
      <c r="C101" s="1217">
        <v>0</v>
      </c>
      <c r="D101" s="1174">
        <v>0</v>
      </c>
    </row>
    <row r="102" spans="1:4">
      <c r="A102">
        <v>5107202000</v>
      </c>
      <c r="B102" t="s">
        <v>1587</v>
      </c>
      <c r="C102" s="1217">
        <v>92415235</v>
      </c>
      <c r="D102" s="1174">
        <v>73895945.700000003</v>
      </c>
    </row>
    <row r="103" spans="1:4">
      <c r="A103">
        <v>5106101000</v>
      </c>
      <c r="B103" t="s">
        <v>1588</v>
      </c>
      <c r="C103" s="1217">
        <v>1517653.52</v>
      </c>
      <c r="D103" s="1174">
        <v>878424.66</v>
      </c>
    </row>
    <row r="104" spans="1:4">
      <c r="A104">
        <v>5106102000</v>
      </c>
      <c r="B104" t="s">
        <v>1589</v>
      </c>
      <c r="C104" s="1217">
        <v>333261.7</v>
      </c>
      <c r="D104" s="1174">
        <v>201120.03</v>
      </c>
    </row>
    <row r="105" spans="1:4">
      <c r="A105">
        <v>5106101001</v>
      </c>
      <c r="B105" t="s">
        <v>1590</v>
      </c>
      <c r="C105" s="1217">
        <v>0</v>
      </c>
      <c r="D105" s="1174">
        <v>0</v>
      </c>
    </row>
    <row r="106" spans="1:4">
      <c r="A106">
        <v>5105114001</v>
      </c>
      <c r="B106" t="s">
        <v>1591</v>
      </c>
      <c r="C106" s="1217">
        <v>0</v>
      </c>
      <c r="D106" s="1174">
        <v>0</v>
      </c>
    </row>
    <row r="107" spans="1:4">
      <c r="A107">
        <v>5105117000</v>
      </c>
      <c r="B107" t="s">
        <v>1592</v>
      </c>
      <c r="C107" s="1217">
        <v>2500</v>
      </c>
      <c r="D107" s="1174">
        <v>12231.6</v>
      </c>
    </row>
    <row r="108" spans="1:4">
      <c r="A108">
        <v>5105126003</v>
      </c>
      <c r="B108" t="s">
        <v>1593</v>
      </c>
      <c r="C108" s="1217">
        <v>0</v>
      </c>
      <c r="D108" s="1174">
        <v>0</v>
      </c>
    </row>
    <row r="109" spans="1:4">
      <c r="A109">
        <v>5103103008</v>
      </c>
      <c r="B109" t="s">
        <v>1594</v>
      </c>
      <c r="C109" s="1217">
        <v>0</v>
      </c>
      <c r="D109" s="1174">
        <v>198413.68</v>
      </c>
    </row>
    <row r="110" spans="1:4">
      <c r="A110">
        <v>5105113000</v>
      </c>
      <c r="B110" t="s">
        <v>1595</v>
      </c>
      <c r="C110" s="1217">
        <v>85087.5</v>
      </c>
      <c r="D110" s="1174">
        <v>106026</v>
      </c>
    </row>
    <row r="111" spans="1:4">
      <c r="A111">
        <v>5105123000</v>
      </c>
      <c r="B111" t="s">
        <v>1596</v>
      </c>
      <c r="C111" s="1217">
        <v>111770</v>
      </c>
      <c r="D111" s="1174">
        <v>141123</v>
      </c>
    </row>
    <row r="112" spans="1:4">
      <c r="A112">
        <v>5103104000</v>
      </c>
      <c r="B112" t="s">
        <v>1597</v>
      </c>
      <c r="C112" s="1217">
        <v>2186016.2000000002</v>
      </c>
      <c r="D112" s="1174">
        <v>1526381.89</v>
      </c>
    </row>
    <row r="113" spans="1:4">
      <c r="A113">
        <v>5105130000</v>
      </c>
      <c r="B113" t="s">
        <v>1598</v>
      </c>
      <c r="C113" s="1217">
        <v>0</v>
      </c>
      <c r="D113" s="1174">
        <v>0</v>
      </c>
    </row>
    <row r="114" spans="1:4">
      <c r="A114">
        <v>5105130001</v>
      </c>
      <c r="B114" t="s">
        <v>1599</v>
      </c>
      <c r="C114" s="1217">
        <v>474948.5</v>
      </c>
      <c r="D114" s="1174">
        <v>410722.5</v>
      </c>
    </row>
    <row r="115" spans="1:4">
      <c r="A115">
        <v>5102106000</v>
      </c>
      <c r="B115" t="s">
        <v>1600</v>
      </c>
      <c r="C115" s="1217">
        <v>185693.3</v>
      </c>
      <c r="D115" s="1174">
        <v>199952.3</v>
      </c>
    </row>
    <row r="116" spans="1:4">
      <c r="A116">
        <v>5105108000</v>
      </c>
      <c r="B116" t="s">
        <v>1601</v>
      </c>
      <c r="C116" s="1217">
        <v>6830</v>
      </c>
      <c r="D116" s="1174">
        <v>0</v>
      </c>
    </row>
    <row r="117" spans="1:4">
      <c r="A117">
        <v>5105119000</v>
      </c>
      <c r="B117" t="s">
        <v>1602</v>
      </c>
      <c r="C117" s="1217">
        <v>25195</v>
      </c>
      <c r="D117" s="1174">
        <v>20415</v>
      </c>
    </row>
    <row r="118" spans="1:4">
      <c r="A118">
        <v>5105119003</v>
      </c>
      <c r="B118" t="s">
        <v>1603</v>
      </c>
      <c r="C118" s="1217">
        <v>0</v>
      </c>
      <c r="D118" s="1174">
        <v>0</v>
      </c>
    </row>
    <row r="119" spans="1:4">
      <c r="A119">
        <v>4102105001</v>
      </c>
      <c r="B119" t="s">
        <v>1604</v>
      </c>
      <c r="C119" s="1217">
        <v>0</v>
      </c>
      <c r="D119" s="1174">
        <v>-1227863.3999999999</v>
      </c>
    </row>
    <row r="120" spans="1:4">
      <c r="A120">
        <v>5105126005</v>
      </c>
      <c r="B120" t="s">
        <v>1605</v>
      </c>
      <c r="C120" s="1217">
        <v>0</v>
      </c>
      <c r="D120" s="1174">
        <v>0</v>
      </c>
    </row>
    <row r="121" spans="1:4">
      <c r="A121">
        <v>5105126006</v>
      </c>
      <c r="B121" t="s">
        <v>1606</v>
      </c>
      <c r="C121" s="1217">
        <v>0</v>
      </c>
      <c r="D121" s="1174">
        <v>171935.91</v>
      </c>
    </row>
    <row r="122" spans="1:4">
      <c r="A122">
        <v>5105104000</v>
      </c>
      <c r="B122" t="s">
        <v>1607</v>
      </c>
      <c r="C122" s="1217">
        <v>142000</v>
      </c>
      <c r="D122" s="1174">
        <v>258000</v>
      </c>
    </row>
    <row r="123" spans="1:4">
      <c r="A123">
        <v>5105128000</v>
      </c>
      <c r="B123" t="s">
        <v>1608</v>
      </c>
      <c r="C123" s="1217">
        <v>0</v>
      </c>
      <c r="D123" s="1174">
        <v>78799</v>
      </c>
    </row>
    <row r="124" spans="1:4">
      <c r="A124">
        <v>5105125000</v>
      </c>
      <c r="B124" t="s">
        <v>1609</v>
      </c>
      <c r="C124" s="1217">
        <v>55000</v>
      </c>
      <c r="D124" s="1174">
        <v>60000</v>
      </c>
    </row>
    <row r="125" spans="1:4">
      <c r="A125">
        <v>5105125001</v>
      </c>
      <c r="B125" t="s">
        <v>1610</v>
      </c>
      <c r="C125" s="1217">
        <v>80000</v>
      </c>
      <c r="D125" s="1174">
        <v>0</v>
      </c>
    </row>
    <row r="126" spans="1:4">
      <c r="A126">
        <v>5105115000</v>
      </c>
      <c r="B126" t="s">
        <v>1611</v>
      </c>
      <c r="C126" s="1217">
        <v>0</v>
      </c>
      <c r="D126" s="1174">
        <v>155020</v>
      </c>
    </row>
    <row r="127" spans="1:4">
      <c r="A127">
        <v>5105116000</v>
      </c>
      <c r="B127" t="s">
        <v>1612</v>
      </c>
      <c r="C127" s="1217">
        <v>2441800</v>
      </c>
      <c r="D127" s="1174">
        <v>1929746</v>
      </c>
    </row>
    <row r="128" spans="1:4">
      <c r="A128">
        <v>5105116001</v>
      </c>
      <c r="B128" t="s">
        <v>1613</v>
      </c>
      <c r="C128" s="1217">
        <v>303750</v>
      </c>
      <c r="D128" s="1174">
        <v>481416</v>
      </c>
    </row>
    <row r="129" spans="1:4">
      <c r="A129">
        <v>4102110002</v>
      </c>
      <c r="B129" t="s">
        <v>1614</v>
      </c>
      <c r="C129" s="1217">
        <v>0</v>
      </c>
      <c r="D129" s="1174">
        <v>-215653.88</v>
      </c>
    </row>
    <row r="130" spans="1:4">
      <c r="A130">
        <v>4102110003</v>
      </c>
      <c r="B130" t="s">
        <v>1615</v>
      </c>
      <c r="C130" s="1217">
        <v>-2295.48</v>
      </c>
      <c r="D130" s="1174">
        <v>-87701.29</v>
      </c>
    </row>
    <row r="131" spans="1:4">
      <c r="A131">
        <v>5105126000</v>
      </c>
      <c r="B131" t="s">
        <v>1616</v>
      </c>
      <c r="C131" s="1217">
        <v>0</v>
      </c>
      <c r="D131" s="1174">
        <v>0</v>
      </c>
    </row>
    <row r="132" spans="1:4">
      <c r="A132">
        <v>5105126001</v>
      </c>
      <c r="B132" t="s">
        <v>1617</v>
      </c>
      <c r="C132" s="1217">
        <v>0</v>
      </c>
      <c r="D132" s="1174">
        <v>256351.56</v>
      </c>
    </row>
    <row r="133" spans="1:4">
      <c r="A133">
        <v>5105126002</v>
      </c>
      <c r="B133" t="s">
        <v>1618</v>
      </c>
      <c r="C133" s="1217">
        <v>66701.399999999994</v>
      </c>
      <c r="D133" s="1174">
        <v>558832.77</v>
      </c>
    </row>
    <row r="134" spans="1:4">
      <c r="A134">
        <v>5103103000</v>
      </c>
      <c r="B134" t="s">
        <v>1619</v>
      </c>
      <c r="C134" s="1217">
        <v>930951.63</v>
      </c>
      <c r="D134" s="1174">
        <v>398811.71</v>
      </c>
    </row>
    <row r="135" spans="1:4">
      <c r="A135">
        <v>5102101000</v>
      </c>
      <c r="B135" t="s">
        <v>1620</v>
      </c>
      <c r="C135" s="1217">
        <v>229199.16</v>
      </c>
      <c r="D135" s="1174">
        <v>442536.47</v>
      </c>
    </row>
    <row r="136" spans="1:4">
      <c r="A136">
        <v>5102102000</v>
      </c>
      <c r="B136" t="s">
        <v>1621</v>
      </c>
      <c r="C136" s="1217">
        <v>476883.53</v>
      </c>
      <c r="D136" s="1174">
        <v>273652.37</v>
      </c>
    </row>
    <row r="137" spans="1:4">
      <c r="A137">
        <v>5102104000</v>
      </c>
      <c r="B137" t="s">
        <v>1622</v>
      </c>
      <c r="C137" s="1217">
        <v>0</v>
      </c>
      <c r="D137" s="1174">
        <v>147390.5</v>
      </c>
    </row>
    <row r="138" spans="1:4">
      <c r="A138">
        <v>5103103001</v>
      </c>
      <c r="B138" t="s">
        <v>1623</v>
      </c>
      <c r="C138" s="1217">
        <v>62027</v>
      </c>
      <c r="D138" s="1174">
        <v>40260</v>
      </c>
    </row>
    <row r="139" spans="1:4">
      <c r="A139">
        <v>5103103002</v>
      </c>
      <c r="B139" t="s">
        <v>1624</v>
      </c>
      <c r="C139" s="1217">
        <v>0</v>
      </c>
      <c r="D139" s="1174">
        <v>0</v>
      </c>
    </row>
    <row r="140" spans="1:4">
      <c r="A140">
        <v>5103103003</v>
      </c>
      <c r="B140" t="s">
        <v>1625</v>
      </c>
      <c r="C140" s="1217">
        <v>30000</v>
      </c>
      <c r="D140" s="1174">
        <v>249890</v>
      </c>
    </row>
    <row r="141" spans="1:4">
      <c r="A141">
        <v>5103104001</v>
      </c>
      <c r="B141" t="s">
        <v>1626</v>
      </c>
      <c r="C141" s="1217">
        <v>1354155.16</v>
      </c>
      <c r="D141" s="1174">
        <v>1299621</v>
      </c>
    </row>
    <row r="142" spans="1:4">
      <c r="A142">
        <v>5105126009</v>
      </c>
      <c r="B142" t="s">
        <v>1627</v>
      </c>
      <c r="C142" s="1217">
        <v>0</v>
      </c>
      <c r="D142" s="1174">
        <v>0</v>
      </c>
    </row>
    <row r="143" spans="1:4">
      <c r="A143">
        <v>4103501000</v>
      </c>
      <c r="B143" t="s">
        <v>1628</v>
      </c>
      <c r="C143" s="1217">
        <v>-332148.43</v>
      </c>
      <c r="D143" s="1174">
        <v>-1627401.15</v>
      </c>
    </row>
    <row r="144" spans="1:4">
      <c r="A144">
        <v>5105113001</v>
      </c>
      <c r="B144" t="s">
        <v>1629</v>
      </c>
      <c r="C144" s="1217">
        <v>147220.89000000001</v>
      </c>
      <c r="D144" s="1174">
        <v>79479.92</v>
      </c>
    </row>
    <row r="145" spans="1:4">
      <c r="A145">
        <v>5105113002</v>
      </c>
      <c r="B145" t="s">
        <v>1630</v>
      </c>
      <c r="C145" s="1217">
        <v>54257</v>
      </c>
      <c r="D145" s="1174">
        <v>24738</v>
      </c>
    </row>
    <row r="146" spans="1:4">
      <c r="A146">
        <v>5105117001</v>
      </c>
      <c r="B146" t="s">
        <v>1631</v>
      </c>
      <c r="C146" s="1217">
        <v>2260</v>
      </c>
      <c r="D146" s="1174">
        <v>0</v>
      </c>
    </row>
    <row r="147" spans="1:4">
      <c r="A147">
        <v>5105117003</v>
      </c>
      <c r="B147" t="s">
        <v>1632</v>
      </c>
      <c r="C147" s="1217">
        <v>0</v>
      </c>
      <c r="D147" s="1174">
        <v>0</v>
      </c>
    </row>
    <row r="148" spans="1:4">
      <c r="A148">
        <v>5105118000</v>
      </c>
      <c r="B148" t="s">
        <v>1633</v>
      </c>
      <c r="C148" s="1217">
        <v>47119</v>
      </c>
      <c r="D148" s="1174">
        <v>44940</v>
      </c>
    </row>
    <row r="149" spans="1:4">
      <c r="A149">
        <v>5105120001</v>
      </c>
      <c r="B149" t="s">
        <v>1634</v>
      </c>
      <c r="C149" s="1217">
        <v>2235573.5</v>
      </c>
      <c r="D149" s="1174">
        <v>2415707.25</v>
      </c>
    </row>
    <row r="150" spans="1:4">
      <c r="A150">
        <v>5105122000</v>
      </c>
      <c r="B150" t="s">
        <v>1635</v>
      </c>
      <c r="C150" s="1217">
        <v>626912.23</v>
      </c>
      <c r="D150" s="1174">
        <v>847204.92</v>
      </c>
    </row>
    <row r="151" spans="1:4">
      <c r="A151">
        <v>5105124000</v>
      </c>
      <c r="B151" t="s">
        <v>1636</v>
      </c>
      <c r="C151" s="1217">
        <v>0</v>
      </c>
      <c r="D151" s="1174">
        <v>0</v>
      </c>
    </row>
    <row r="152" spans="1:4">
      <c r="A152">
        <v>5105126999</v>
      </c>
      <c r="B152" t="s">
        <v>1637</v>
      </c>
      <c r="C152" s="1217">
        <v>0</v>
      </c>
      <c r="D152" s="1174">
        <v>110393.60000000001</v>
      </c>
    </row>
    <row r="153" spans="1:4">
      <c r="A153">
        <v>5105132000</v>
      </c>
      <c r="B153" t="s">
        <v>1638</v>
      </c>
      <c r="C153" s="1217">
        <v>25280</v>
      </c>
      <c r="D153" s="1174">
        <v>0</v>
      </c>
    </row>
    <row r="154" spans="1:4">
      <c r="A154">
        <v>5111102000</v>
      </c>
      <c r="B154" t="s">
        <v>1639</v>
      </c>
      <c r="C154" s="1217">
        <v>1491360.79</v>
      </c>
      <c r="D154" s="1174">
        <v>1364776.08</v>
      </c>
    </row>
    <row r="155" spans="1:4">
      <c r="A155">
        <v>5110101001</v>
      </c>
      <c r="B155" t="s">
        <v>1640</v>
      </c>
      <c r="C155" s="1217">
        <v>0</v>
      </c>
      <c r="D155" s="1174">
        <v>0</v>
      </c>
    </row>
    <row r="156" spans="1:4">
      <c r="A156">
        <v>5110101000</v>
      </c>
      <c r="B156" t="s">
        <v>1641</v>
      </c>
      <c r="C156" s="1217">
        <v>0</v>
      </c>
      <c r="D156" s="1174">
        <v>0</v>
      </c>
    </row>
    <row r="157" spans="1:4">
      <c r="A157">
        <v>4102101000</v>
      </c>
      <c r="B157" t="s">
        <v>1642</v>
      </c>
      <c r="C157" s="1217">
        <v>0</v>
      </c>
      <c r="D157" s="1174">
        <v>0</v>
      </c>
    </row>
    <row r="158" spans="1:4">
      <c r="A158">
        <v>1101101001</v>
      </c>
      <c r="B158" t="s">
        <v>1643</v>
      </c>
      <c r="C158" s="1217">
        <v>0</v>
      </c>
      <c r="D158" s="1174">
        <v>1209913.31</v>
      </c>
    </row>
    <row r="159" spans="1:4">
      <c r="A159">
        <v>1101202010</v>
      </c>
      <c r="B159" t="s">
        <v>1644</v>
      </c>
      <c r="C159" s="1217">
        <v>352044804.61000001</v>
      </c>
      <c r="D159" s="1174">
        <v>262775503.93000001</v>
      </c>
    </row>
    <row r="160" spans="1:4">
      <c r="A160">
        <v>1101202011</v>
      </c>
      <c r="B160" t="s">
        <v>1645</v>
      </c>
      <c r="C160" s="1217">
        <v>26078.33</v>
      </c>
      <c r="D160" s="1174">
        <v>14338774.9</v>
      </c>
    </row>
    <row r="161" spans="1:4">
      <c r="A161">
        <v>1101202012</v>
      </c>
      <c r="B161" t="s">
        <v>1646</v>
      </c>
      <c r="C161" s="1217">
        <v>-3152053.44</v>
      </c>
      <c r="D161" s="1174">
        <v>-32979256.289999999</v>
      </c>
    </row>
    <row r="162" spans="1:4">
      <c r="A162">
        <v>1101202020</v>
      </c>
      <c r="B162" t="s">
        <v>1647</v>
      </c>
      <c r="C162" s="1217">
        <v>1028723.35</v>
      </c>
      <c r="D162" s="1174">
        <v>20335290.899999999</v>
      </c>
    </row>
    <row r="163" spans="1:4">
      <c r="A163">
        <v>1101202022</v>
      </c>
      <c r="B163" t="s">
        <v>1648</v>
      </c>
      <c r="C163" s="1217">
        <v>-4000</v>
      </c>
      <c r="D163" s="1174">
        <v>-19083464</v>
      </c>
    </row>
    <row r="164" spans="1:4">
      <c r="A164">
        <v>1101202030</v>
      </c>
      <c r="B164" t="s">
        <v>1649</v>
      </c>
      <c r="C164" s="1217">
        <v>-164297179.88</v>
      </c>
      <c r="D164" s="1174">
        <v>5023601.2300000004</v>
      </c>
    </row>
    <row r="165" spans="1:4">
      <c r="A165">
        <v>1101202031</v>
      </c>
      <c r="B165" t="s">
        <v>1650</v>
      </c>
      <c r="C165" s="1217">
        <v>169018581.09</v>
      </c>
      <c r="D165" s="1174">
        <v>0</v>
      </c>
    </row>
    <row r="166" spans="1:4">
      <c r="A166">
        <v>1101202040</v>
      </c>
      <c r="B166" t="s">
        <v>1651</v>
      </c>
      <c r="C166" s="1217">
        <v>15288800.060000001</v>
      </c>
      <c r="D166" s="1174">
        <v>15288800.060000001</v>
      </c>
    </row>
    <row r="167" spans="1:4">
      <c r="A167">
        <v>1101202041</v>
      </c>
      <c r="B167" t="s">
        <v>1652</v>
      </c>
      <c r="C167" s="1217">
        <v>4027370.32</v>
      </c>
      <c r="D167" s="1174">
        <v>0</v>
      </c>
    </row>
    <row r="168" spans="1:4">
      <c r="A168">
        <v>1101202060</v>
      </c>
      <c r="B168" t="s">
        <v>1653</v>
      </c>
      <c r="C168" s="1217">
        <v>1581339.46</v>
      </c>
      <c r="D168" s="1174">
        <v>633637.36</v>
      </c>
    </row>
    <row r="169" spans="1:4">
      <c r="A169">
        <v>1101202070</v>
      </c>
      <c r="B169" t="s">
        <v>1654</v>
      </c>
      <c r="C169" s="1217">
        <v>27970212.170000002</v>
      </c>
      <c r="D169" s="1174">
        <v>27635654.760000002</v>
      </c>
    </row>
    <row r="170" spans="1:4">
      <c r="A170">
        <v>1101202080</v>
      </c>
      <c r="B170" t="s">
        <v>1655</v>
      </c>
      <c r="C170" s="1217">
        <v>359391795.06999999</v>
      </c>
      <c r="D170" s="1174">
        <v>301580424.23000002</v>
      </c>
    </row>
    <row r="171" spans="1:4">
      <c r="A171">
        <v>1101202081</v>
      </c>
      <c r="B171" t="s">
        <v>1656</v>
      </c>
      <c r="C171" s="1217">
        <v>25614.17</v>
      </c>
      <c r="D171" s="1174">
        <v>3603857.28</v>
      </c>
    </row>
    <row r="172" spans="1:4">
      <c r="A172">
        <v>1101202082</v>
      </c>
      <c r="B172" t="s">
        <v>1657</v>
      </c>
      <c r="C172" s="1217">
        <v>-17123244.289999999</v>
      </c>
      <c r="D172" s="1174">
        <v>-19893660.829999998</v>
      </c>
    </row>
    <row r="173" spans="1:4">
      <c r="A173">
        <v>1101202090</v>
      </c>
      <c r="B173" t="s">
        <v>1658</v>
      </c>
      <c r="C173" s="1217">
        <v>1000</v>
      </c>
      <c r="D173" s="1174">
        <v>1000</v>
      </c>
    </row>
    <row r="174" spans="1:4">
      <c r="A174">
        <v>1101202100</v>
      </c>
      <c r="B174" t="s">
        <v>1659</v>
      </c>
      <c r="C174" s="1217">
        <v>13447</v>
      </c>
      <c r="D174" s="1174">
        <v>13447</v>
      </c>
    </row>
    <row r="175" spans="1:4">
      <c r="A175">
        <v>1101202101</v>
      </c>
      <c r="B175" t="s">
        <v>1660</v>
      </c>
      <c r="C175" s="1217">
        <v>303719</v>
      </c>
      <c r="D175" s="1174">
        <v>73238</v>
      </c>
    </row>
    <row r="176" spans="1:4">
      <c r="A176">
        <v>1101202102</v>
      </c>
      <c r="B176" t="s">
        <v>1661</v>
      </c>
      <c r="C176" s="1217">
        <v>-237228</v>
      </c>
      <c r="D176" s="1174">
        <v>0</v>
      </c>
    </row>
    <row r="177" spans="1:4">
      <c r="A177">
        <v>1101202110</v>
      </c>
      <c r="B177" t="s">
        <v>1662</v>
      </c>
      <c r="C177" s="1217">
        <v>1000</v>
      </c>
      <c r="D177" s="1174">
        <v>1000</v>
      </c>
    </row>
    <row r="178" spans="1:4">
      <c r="A178">
        <v>1101202120</v>
      </c>
      <c r="B178" t="s">
        <v>1663</v>
      </c>
      <c r="C178" s="1217">
        <v>564872.13</v>
      </c>
      <c r="D178" s="1174">
        <v>819407.91</v>
      </c>
    </row>
    <row r="179" spans="1:4">
      <c r="A179">
        <v>1101202121</v>
      </c>
      <c r="B179" t="s">
        <v>1664</v>
      </c>
      <c r="C179" s="1217">
        <v>377582.36</v>
      </c>
      <c r="D179" s="1174">
        <v>29405.85</v>
      </c>
    </row>
    <row r="180" spans="1:4">
      <c r="A180">
        <v>1101202130</v>
      </c>
      <c r="B180" t="s">
        <v>1665</v>
      </c>
      <c r="C180" s="1217">
        <v>1000</v>
      </c>
      <c r="D180" s="1174">
        <v>22458.38</v>
      </c>
    </row>
    <row r="181" spans="1:4">
      <c r="A181">
        <v>1101202131</v>
      </c>
      <c r="B181" t="s">
        <v>1666</v>
      </c>
      <c r="C181" s="1217">
        <v>71113.98</v>
      </c>
      <c r="D181" s="1174">
        <v>1598.62</v>
      </c>
    </row>
    <row r="182" spans="1:4">
      <c r="A182">
        <v>1101202132</v>
      </c>
      <c r="B182" t="s">
        <v>1667</v>
      </c>
      <c r="C182" s="1217">
        <v>-14305</v>
      </c>
      <c r="D182" s="1174">
        <v>0</v>
      </c>
    </row>
    <row r="183" spans="1:4">
      <c r="A183">
        <v>1101202140</v>
      </c>
      <c r="B183" t="s">
        <v>1668</v>
      </c>
      <c r="C183" s="1217">
        <v>2077701.5</v>
      </c>
      <c r="D183" s="1174">
        <v>0</v>
      </c>
    </row>
    <row r="184" spans="1:4">
      <c r="A184">
        <v>1101202141</v>
      </c>
      <c r="B184" t="s">
        <v>1669</v>
      </c>
      <c r="C184" s="1217">
        <v>995561</v>
      </c>
      <c r="D184" s="1174">
        <v>506387</v>
      </c>
    </row>
    <row r="185" spans="1:4">
      <c r="A185">
        <v>1101202142</v>
      </c>
      <c r="B185" t="s">
        <v>1670</v>
      </c>
      <c r="C185" s="1217">
        <v>-542324.56000000006</v>
      </c>
      <c r="D185" s="1174">
        <v>0</v>
      </c>
    </row>
    <row r="186" spans="1:4">
      <c r="A186">
        <v>1101203000</v>
      </c>
      <c r="B186" t="s">
        <v>1671</v>
      </c>
      <c r="C186" s="1217">
        <v>96827.5</v>
      </c>
      <c r="D186" s="1174">
        <v>134885</v>
      </c>
    </row>
    <row r="187" spans="1:4">
      <c r="A187">
        <v>1101203001</v>
      </c>
      <c r="B187" t="s">
        <v>1672</v>
      </c>
      <c r="C187" s="1217">
        <v>708188.25</v>
      </c>
      <c r="D187" s="1174">
        <v>604031</v>
      </c>
    </row>
    <row r="188" spans="1:4">
      <c r="A188">
        <v>1101203010</v>
      </c>
      <c r="B188" t="s">
        <v>1673</v>
      </c>
      <c r="C188" s="1217">
        <v>35643</v>
      </c>
      <c r="D188" s="1174">
        <v>2148880.91</v>
      </c>
    </row>
    <row r="189" spans="1:4">
      <c r="A189">
        <v>1101203011</v>
      </c>
      <c r="B189" t="s">
        <v>1674</v>
      </c>
      <c r="C189" s="1217">
        <v>49822.44</v>
      </c>
      <c r="D189" s="1174">
        <v>254948.79</v>
      </c>
    </row>
    <row r="190" spans="1:4">
      <c r="A190">
        <v>1101203030</v>
      </c>
      <c r="B190" t="s">
        <v>1675</v>
      </c>
      <c r="C190" s="1217">
        <v>24631</v>
      </c>
      <c r="D190" s="1174">
        <v>1000</v>
      </c>
    </row>
    <row r="191" spans="1:4">
      <c r="A191">
        <v>1101203040</v>
      </c>
      <c r="B191" t="s">
        <v>1676</v>
      </c>
      <c r="C191" s="1217">
        <v>243915.5</v>
      </c>
      <c r="D191" s="1174">
        <v>43161.5</v>
      </c>
    </row>
    <row r="192" spans="1:4">
      <c r="A192">
        <v>1101203041</v>
      </c>
      <c r="B192" t="s">
        <v>1677</v>
      </c>
      <c r="C192" s="1217">
        <v>211403.5</v>
      </c>
      <c r="D192" s="1174">
        <v>47310.5</v>
      </c>
    </row>
    <row r="193" spans="1:4">
      <c r="A193">
        <v>1101203050</v>
      </c>
      <c r="B193" t="s">
        <v>1678</v>
      </c>
      <c r="C193" s="1217">
        <v>13626</v>
      </c>
      <c r="D193" s="1174">
        <v>50139</v>
      </c>
    </row>
    <row r="194" spans="1:4">
      <c r="A194">
        <v>1101203051</v>
      </c>
      <c r="B194" t="s">
        <v>1679</v>
      </c>
      <c r="C194" s="1217">
        <v>0.66</v>
      </c>
      <c r="D194" s="1174">
        <v>1616.66</v>
      </c>
    </row>
    <row r="195" spans="1:4">
      <c r="A195">
        <v>1101203060</v>
      </c>
      <c r="B195" t="s">
        <v>1680</v>
      </c>
      <c r="C195" s="1217">
        <v>185549</v>
      </c>
      <c r="D195" s="1174">
        <v>444797.75</v>
      </c>
    </row>
    <row r="196" spans="1:4">
      <c r="A196">
        <v>1101203061</v>
      </c>
      <c r="B196" t="s">
        <v>1681</v>
      </c>
      <c r="C196" s="1217">
        <v>314191.87</v>
      </c>
      <c r="D196" s="1174">
        <v>4278</v>
      </c>
    </row>
    <row r="197" spans="1:4">
      <c r="A197">
        <v>1101203070</v>
      </c>
      <c r="B197" t="s">
        <v>1682</v>
      </c>
      <c r="C197" s="1217">
        <v>48664</v>
      </c>
      <c r="D197" s="1174">
        <v>89585</v>
      </c>
    </row>
    <row r="198" spans="1:4">
      <c r="A198">
        <v>1101203071</v>
      </c>
      <c r="B198" t="s">
        <v>1683</v>
      </c>
      <c r="C198" s="1217">
        <v>0</v>
      </c>
      <c r="D198" s="1174">
        <v>19685</v>
      </c>
    </row>
    <row r="199" spans="1:4">
      <c r="A199">
        <v>1101203160</v>
      </c>
      <c r="B199" t="s">
        <v>1684</v>
      </c>
      <c r="C199" s="1217">
        <v>76282</v>
      </c>
      <c r="D199" s="1174">
        <v>1000</v>
      </c>
    </row>
    <row r="200" spans="1:4">
      <c r="A200">
        <v>1101203180</v>
      </c>
      <c r="B200" t="s">
        <v>1685</v>
      </c>
      <c r="C200" s="1217">
        <v>1000</v>
      </c>
      <c r="D200" s="1174">
        <v>15013</v>
      </c>
    </row>
    <row r="201" spans="1:4">
      <c r="A201">
        <v>1101203181</v>
      </c>
      <c r="B201" t="s">
        <v>1686</v>
      </c>
      <c r="C201" s="1217">
        <v>2213</v>
      </c>
      <c r="D201" s="1174">
        <v>0</v>
      </c>
    </row>
    <row r="202" spans="1:4">
      <c r="A202">
        <v>1101203190</v>
      </c>
      <c r="B202" t="s">
        <v>1687</v>
      </c>
      <c r="C202" s="1217">
        <v>5027</v>
      </c>
      <c r="D202" s="1174">
        <v>242339</v>
      </c>
    </row>
    <row r="203" spans="1:4">
      <c r="A203">
        <v>1101203191</v>
      </c>
      <c r="B203" t="s">
        <v>1688</v>
      </c>
      <c r="C203" s="1217">
        <v>446</v>
      </c>
      <c r="D203" s="1174">
        <v>0</v>
      </c>
    </row>
    <row r="204" spans="1:4">
      <c r="A204">
        <v>1101203210</v>
      </c>
      <c r="B204" t="s">
        <v>1689</v>
      </c>
      <c r="C204" s="1217">
        <v>1000</v>
      </c>
      <c r="D204" s="1174">
        <v>1000</v>
      </c>
    </row>
    <row r="205" spans="1:4">
      <c r="A205">
        <v>1101203211</v>
      </c>
      <c r="B205" t="s">
        <v>1690</v>
      </c>
      <c r="C205" s="1217">
        <v>6780</v>
      </c>
      <c r="D205" s="1174">
        <v>40233</v>
      </c>
    </row>
    <row r="206" spans="1:4">
      <c r="A206">
        <v>1101203220</v>
      </c>
      <c r="B206" t="s">
        <v>1691</v>
      </c>
      <c r="C206" s="1217">
        <v>24581</v>
      </c>
      <c r="D206" s="1174">
        <v>68646</v>
      </c>
    </row>
    <row r="207" spans="1:4">
      <c r="A207">
        <v>1101203221</v>
      </c>
      <c r="B207" t="s">
        <v>1692</v>
      </c>
      <c r="C207" s="1217">
        <v>347725.75</v>
      </c>
      <c r="D207" s="1174">
        <v>17145</v>
      </c>
    </row>
    <row r="208" spans="1:4">
      <c r="A208">
        <v>1101203230</v>
      </c>
      <c r="B208" t="s">
        <v>1693</v>
      </c>
      <c r="C208" s="1217">
        <v>78313</v>
      </c>
      <c r="D208" s="1174">
        <v>35656</v>
      </c>
    </row>
    <row r="209" spans="1:4">
      <c r="A209">
        <v>1101203231</v>
      </c>
      <c r="B209" t="s">
        <v>1694</v>
      </c>
      <c r="C209" s="1217">
        <v>72047</v>
      </c>
      <c r="D209" s="1174">
        <v>26226</v>
      </c>
    </row>
    <row r="210" spans="1:4">
      <c r="A210">
        <v>1101203240</v>
      </c>
      <c r="B210" t="s">
        <v>1695</v>
      </c>
      <c r="C210" s="1217">
        <v>403397</v>
      </c>
      <c r="D210" s="1174">
        <v>894284.75</v>
      </c>
    </row>
    <row r="211" spans="1:4">
      <c r="A211">
        <v>1101203241</v>
      </c>
      <c r="B211" t="s">
        <v>1696</v>
      </c>
      <c r="C211" s="1217">
        <v>353566</v>
      </c>
      <c r="D211" s="1174">
        <v>43945</v>
      </c>
    </row>
    <row r="212" spans="1:4">
      <c r="A212">
        <v>1101203250</v>
      </c>
      <c r="B212" t="s">
        <v>1697</v>
      </c>
      <c r="C212" s="1217">
        <v>2077155.37</v>
      </c>
      <c r="D212" s="1174">
        <v>144014.22</v>
      </c>
    </row>
    <row r="213" spans="1:4">
      <c r="A213">
        <v>1101203251</v>
      </c>
      <c r="B213" t="s">
        <v>1698</v>
      </c>
      <c r="C213" s="1217">
        <v>-493999.07</v>
      </c>
      <c r="D213" s="1174">
        <v>2500000</v>
      </c>
    </row>
    <row r="214" spans="1:4">
      <c r="A214">
        <v>1101203252</v>
      </c>
      <c r="B214" t="s">
        <v>1699</v>
      </c>
      <c r="C214" s="1217">
        <v>-3283735</v>
      </c>
      <c r="D214" s="1174">
        <v>-2759863.76</v>
      </c>
    </row>
    <row r="215" spans="1:4">
      <c r="A215">
        <v>1101204000</v>
      </c>
      <c r="B215" t="s">
        <v>1700</v>
      </c>
      <c r="C215" s="1217">
        <v>769753</v>
      </c>
      <c r="D215" s="1174">
        <v>15968290.59</v>
      </c>
    </row>
    <row r="216" spans="1:4">
      <c r="A216">
        <v>1101204001</v>
      </c>
      <c r="B216" t="s">
        <v>1701</v>
      </c>
      <c r="C216" s="1217">
        <v>512453</v>
      </c>
      <c r="D216" s="1174">
        <v>1046088</v>
      </c>
    </row>
    <row r="217" spans="1:4">
      <c r="A217">
        <v>1101204010</v>
      </c>
      <c r="B217" t="s">
        <v>1702</v>
      </c>
      <c r="C217" s="1217">
        <v>25609</v>
      </c>
      <c r="D217" s="1174">
        <v>241716.05</v>
      </c>
    </row>
    <row r="218" spans="1:4">
      <c r="A218">
        <v>1101204011</v>
      </c>
      <c r="B218" t="s">
        <v>1703</v>
      </c>
      <c r="C218" s="1217">
        <v>43798</v>
      </c>
      <c r="D218" s="1174">
        <v>33257</v>
      </c>
    </row>
    <row r="219" spans="1:4">
      <c r="A219">
        <v>1101204030</v>
      </c>
      <c r="B219" t="s">
        <v>1704</v>
      </c>
      <c r="C219" s="1217">
        <v>1000</v>
      </c>
      <c r="D219" s="1174">
        <v>1000</v>
      </c>
    </row>
    <row r="220" spans="1:4">
      <c r="A220">
        <v>1101204031</v>
      </c>
      <c r="B220" t="s">
        <v>1705</v>
      </c>
      <c r="C220" s="1217">
        <v>46599</v>
      </c>
      <c r="D220" s="1174">
        <v>10871</v>
      </c>
    </row>
    <row r="221" spans="1:4">
      <c r="A221">
        <v>1101204040</v>
      </c>
      <c r="B221" t="s">
        <v>1706</v>
      </c>
      <c r="C221" s="1217">
        <v>29533</v>
      </c>
      <c r="D221" s="1174">
        <v>59331</v>
      </c>
    </row>
    <row r="222" spans="1:4">
      <c r="A222">
        <v>1101204041</v>
      </c>
      <c r="B222" t="s">
        <v>1707</v>
      </c>
      <c r="C222" s="1217">
        <v>399</v>
      </c>
      <c r="D222" s="1174">
        <v>15874</v>
      </c>
    </row>
    <row r="223" spans="1:4">
      <c r="A223">
        <v>1101204050</v>
      </c>
      <c r="B223" t="s">
        <v>1708</v>
      </c>
      <c r="C223" s="1217">
        <v>272567.5</v>
      </c>
      <c r="D223" s="1174">
        <v>315103.75</v>
      </c>
    </row>
    <row r="224" spans="1:4">
      <c r="A224">
        <v>1101204051</v>
      </c>
      <c r="B224" t="s">
        <v>1709</v>
      </c>
      <c r="C224" s="1217">
        <v>139080</v>
      </c>
      <c r="D224" s="1174">
        <v>79596</v>
      </c>
    </row>
    <row r="225" spans="1:4">
      <c r="A225">
        <v>1101204060</v>
      </c>
      <c r="B225" t="s">
        <v>1710</v>
      </c>
      <c r="C225" s="1217">
        <v>10164</v>
      </c>
      <c r="D225" s="1174">
        <v>1000</v>
      </c>
    </row>
    <row r="226" spans="1:4">
      <c r="A226">
        <v>1101204061</v>
      </c>
      <c r="B226" t="s">
        <v>1711</v>
      </c>
      <c r="C226" s="1217">
        <v>0</v>
      </c>
      <c r="D226" s="1174">
        <v>3220</v>
      </c>
    </row>
    <row r="227" spans="1:4">
      <c r="A227">
        <v>1101204070</v>
      </c>
      <c r="B227" t="s">
        <v>1712</v>
      </c>
      <c r="C227" s="1217">
        <v>1000</v>
      </c>
      <c r="D227" s="1174">
        <v>2227</v>
      </c>
    </row>
    <row r="228" spans="1:4">
      <c r="A228">
        <v>1101204071</v>
      </c>
      <c r="B228" t="s">
        <v>1713</v>
      </c>
      <c r="C228" s="1217">
        <v>249922.49</v>
      </c>
      <c r="D228" s="1174">
        <v>29353.49</v>
      </c>
    </row>
    <row r="229" spans="1:4">
      <c r="A229">
        <v>1101204080</v>
      </c>
      <c r="B229" t="s">
        <v>1714</v>
      </c>
      <c r="C229" s="1217">
        <v>1653226.38</v>
      </c>
      <c r="D229" s="1174">
        <v>2013880.91</v>
      </c>
    </row>
    <row r="230" spans="1:4">
      <c r="A230">
        <v>1101204081</v>
      </c>
      <c r="B230" t="s">
        <v>1715</v>
      </c>
      <c r="C230" s="1217">
        <v>867304.59</v>
      </c>
      <c r="D230" s="1174">
        <v>1490775.21</v>
      </c>
    </row>
    <row r="231" spans="1:4">
      <c r="A231">
        <v>1101204082</v>
      </c>
      <c r="B231" t="s">
        <v>1716</v>
      </c>
      <c r="C231" s="1217">
        <v>-2915439.95</v>
      </c>
      <c r="D231" s="1174">
        <v>-2722728.3</v>
      </c>
    </row>
    <row r="232" spans="1:4">
      <c r="A232">
        <v>1101204150</v>
      </c>
      <c r="B232" t="s">
        <v>1717</v>
      </c>
      <c r="C232" s="1217">
        <v>4696</v>
      </c>
      <c r="D232" s="1174">
        <v>1000</v>
      </c>
    </row>
    <row r="233" spans="1:4">
      <c r="A233">
        <v>1101204160</v>
      </c>
      <c r="B233" t="s">
        <v>1718</v>
      </c>
      <c r="C233" s="1217">
        <v>211335.25</v>
      </c>
      <c r="D233" s="1174">
        <v>15713</v>
      </c>
    </row>
    <row r="234" spans="1:4">
      <c r="A234">
        <v>1101204161</v>
      </c>
      <c r="B234" t="s">
        <v>1719</v>
      </c>
      <c r="C234" s="1217">
        <v>0</v>
      </c>
      <c r="D234" s="1174">
        <v>34672</v>
      </c>
    </row>
    <row r="235" spans="1:4">
      <c r="A235">
        <v>1101204180</v>
      </c>
      <c r="B235" t="s">
        <v>1720</v>
      </c>
      <c r="C235" s="1217">
        <v>0</v>
      </c>
      <c r="D235" s="1174">
        <v>1000</v>
      </c>
    </row>
    <row r="236" spans="1:4">
      <c r="A236">
        <v>1101204181</v>
      </c>
      <c r="B236" t="s">
        <v>1721</v>
      </c>
      <c r="C236" s="1217">
        <v>20000</v>
      </c>
      <c r="D236" s="1174">
        <v>0</v>
      </c>
    </row>
    <row r="237" spans="1:4">
      <c r="A237">
        <v>1101205000</v>
      </c>
      <c r="B237" t="s">
        <v>1722</v>
      </c>
      <c r="C237" s="1217">
        <v>43236</v>
      </c>
      <c r="D237" s="1174">
        <v>603055</v>
      </c>
    </row>
    <row r="238" spans="1:4">
      <c r="A238">
        <v>1101205001</v>
      </c>
      <c r="B238" t="s">
        <v>1723</v>
      </c>
      <c r="C238" s="1217">
        <v>824319.85</v>
      </c>
      <c r="D238" s="1174">
        <v>742023.34</v>
      </c>
    </row>
    <row r="239" spans="1:4">
      <c r="A239">
        <v>1101205010</v>
      </c>
      <c r="B239" t="s">
        <v>1724</v>
      </c>
      <c r="C239" s="1217">
        <v>2280</v>
      </c>
      <c r="D239" s="1174">
        <v>996913.9</v>
      </c>
    </row>
    <row r="240" spans="1:4">
      <c r="A240">
        <v>1101205011</v>
      </c>
      <c r="B240" t="s">
        <v>1725</v>
      </c>
      <c r="C240" s="1217">
        <v>83160.5</v>
      </c>
      <c r="D240" s="1174">
        <v>15262</v>
      </c>
    </row>
    <row r="241" spans="1:4">
      <c r="A241">
        <v>1101205020</v>
      </c>
      <c r="B241" t="s">
        <v>1726</v>
      </c>
      <c r="C241" s="1217">
        <v>16148</v>
      </c>
      <c r="D241" s="1174">
        <v>39830</v>
      </c>
    </row>
    <row r="242" spans="1:4">
      <c r="A242">
        <v>1101205021</v>
      </c>
      <c r="B242" t="s">
        <v>1727</v>
      </c>
      <c r="C242" s="1217">
        <v>58142.85</v>
      </c>
      <c r="D242" s="1174">
        <v>33125.5</v>
      </c>
    </row>
    <row r="243" spans="1:4">
      <c r="A243">
        <v>1101205030</v>
      </c>
      <c r="B243" t="s">
        <v>1728</v>
      </c>
      <c r="C243" s="1217">
        <v>3328</v>
      </c>
      <c r="D243" s="1174">
        <v>5496</v>
      </c>
    </row>
    <row r="244" spans="1:4">
      <c r="A244">
        <v>1101205031</v>
      </c>
      <c r="B244" t="s">
        <v>1729</v>
      </c>
      <c r="C244" s="1217">
        <v>227427.25</v>
      </c>
      <c r="D244" s="1174">
        <v>212755.25</v>
      </c>
    </row>
    <row r="245" spans="1:4">
      <c r="A245">
        <v>1101205040</v>
      </c>
      <c r="B245" t="s">
        <v>1730</v>
      </c>
      <c r="C245" s="1217">
        <v>2838</v>
      </c>
      <c r="D245" s="1174">
        <v>188326</v>
      </c>
    </row>
    <row r="246" spans="1:4">
      <c r="A246">
        <v>1101205041</v>
      </c>
      <c r="B246" t="s">
        <v>1731</v>
      </c>
      <c r="C246" s="1217">
        <v>23100</v>
      </c>
      <c r="D246" s="1174">
        <v>1203</v>
      </c>
    </row>
    <row r="247" spans="1:4">
      <c r="A247">
        <v>1101205050</v>
      </c>
      <c r="B247" t="s">
        <v>1732</v>
      </c>
      <c r="C247" s="1217">
        <v>52428</v>
      </c>
      <c r="D247" s="1174">
        <v>547588</v>
      </c>
    </row>
    <row r="248" spans="1:4">
      <c r="A248">
        <v>1101205051</v>
      </c>
      <c r="B248" t="s">
        <v>1733</v>
      </c>
      <c r="C248" s="1217">
        <v>489931</v>
      </c>
      <c r="D248" s="1174">
        <v>0</v>
      </c>
    </row>
    <row r="249" spans="1:4">
      <c r="A249">
        <v>1101205060</v>
      </c>
      <c r="B249" t="s">
        <v>1734</v>
      </c>
      <c r="C249" s="1217">
        <v>2421</v>
      </c>
      <c r="D249" s="1174">
        <v>2749</v>
      </c>
    </row>
    <row r="250" spans="1:4">
      <c r="A250">
        <v>1101205061</v>
      </c>
      <c r="B250" t="s">
        <v>1735</v>
      </c>
      <c r="C250" s="1217">
        <v>1198</v>
      </c>
      <c r="D250" s="1174">
        <v>27316</v>
      </c>
    </row>
    <row r="251" spans="1:4">
      <c r="A251">
        <v>1101205070</v>
      </c>
      <c r="B251" t="s">
        <v>1736</v>
      </c>
      <c r="C251" s="1217">
        <v>155670</v>
      </c>
      <c r="D251" s="1174">
        <v>384091.25</v>
      </c>
    </row>
    <row r="252" spans="1:4">
      <c r="A252">
        <v>1101205071</v>
      </c>
      <c r="B252" t="s">
        <v>1737</v>
      </c>
      <c r="C252" s="1217">
        <v>809983.25</v>
      </c>
      <c r="D252" s="1174">
        <v>430176.75</v>
      </c>
    </row>
    <row r="253" spans="1:4">
      <c r="A253">
        <v>1101205080</v>
      </c>
      <c r="B253" t="s">
        <v>1738</v>
      </c>
      <c r="C253" s="1217">
        <v>4768</v>
      </c>
      <c r="D253" s="1174">
        <v>188263</v>
      </c>
    </row>
    <row r="254" spans="1:4">
      <c r="A254">
        <v>1101205081</v>
      </c>
      <c r="B254" t="s">
        <v>1739</v>
      </c>
      <c r="C254" s="1217">
        <v>399</v>
      </c>
      <c r="D254" s="1174">
        <v>5424.46</v>
      </c>
    </row>
    <row r="255" spans="1:4">
      <c r="A255">
        <v>1101205090</v>
      </c>
      <c r="B255" t="s">
        <v>1740</v>
      </c>
      <c r="C255" s="1217">
        <v>1078046.75</v>
      </c>
      <c r="D255" s="1174">
        <v>933387.58</v>
      </c>
    </row>
    <row r="256" spans="1:4">
      <c r="A256">
        <v>1101205091</v>
      </c>
      <c r="B256" t="s">
        <v>1741</v>
      </c>
      <c r="C256" s="1217">
        <v>-832000</v>
      </c>
      <c r="D256" s="1174">
        <v>830814.88</v>
      </c>
    </row>
    <row r="257" spans="1:4">
      <c r="A257">
        <v>1101205092</v>
      </c>
      <c r="B257" t="s">
        <v>1742</v>
      </c>
      <c r="C257" s="1217">
        <v>-290986.88</v>
      </c>
      <c r="D257" s="1174">
        <v>-718528</v>
      </c>
    </row>
    <row r="258" spans="1:4">
      <c r="A258">
        <v>1101206000</v>
      </c>
      <c r="B258" t="s">
        <v>1743</v>
      </c>
      <c r="C258" s="1217">
        <v>10154781.91</v>
      </c>
      <c r="D258" s="1174">
        <v>3368773.75</v>
      </c>
    </row>
    <row r="259" spans="1:4">
      <c r="A259">
        <v>1101206001</v>
      </c>
      <c r="B259" t="s">
        <v>1744</v>
      </c>
      <c r="C259" s="1217">
        <v>68838858.680000007</v>
      </c>
      <c r="D259" s="1174">
        <v>5129897.17</v>
      </c>
    </row>
    <row r="260" spans="1:4">
      <c r="A260">
        <v>1101206002</v>
      </c>
      <c r="B260" t="s">
        <v>1745</v>
      </c>
      <c r="C260" s="1217">
        <v>-70850181.920000002</v>
      </c>
      <c r="D260" s="1174">
        <v>0</v>
      </c>
    </row>
    <row r="261" spans="1:4">
      <c r="A261">
        <v>1101206010</v>
      </c>
      <c r="B261" t="s">
        <v>1746</v>
      </c>
      <c r="C261" s="1217">
        <v>273827.71999999997</v>
      </c>
      <c r="D261" s="1174">
        <v>171128.05</v>
      </c>
    </row>
    <row r="262" spans="1:4">
      <c r="A262">
        <v>1101206011</v>
      </c>
      <c r="B262" t="s">
        <v>1747</v>
      </c>
      <c r="C262" s="1217">
        <v>1260913.28</v>
      </c>
      <c r="D262" s="1174">
        <v>-67557.06</v>
      </c>
    </row>
    <row r="263" spans="1:4">
      <c r="A263">
        <v>1101206012</v>
      </c>
      <c r="B263" t="s">
        <v>1748</v>
      </c>
      <c r="C263" s="1217">
        <v>-1529866.4</v>
      </c>
      <c r="D263" s="1174">
        <v>0</v>
      </c>
    </row>
    <row r="264" spans="1:4">
      <c r="A264">
        <v>1101206020</v>
      </c>
      <c r="B264" t="s">
        <v>1749</v>
      </c>
      <c r="C264" s="1217">
        <v>1191368.53</v>
      </c>
      <c r="D264" s="1174">
        <v>1509245.11</v>
      </c>
    </row>
    <row r="265" spans="1:4">
      <c r="A265">
        <v>1101206021</v>
      </c>
      <c r="B265" t="s">
        <v>1750</v>
      </c>
      <c r="C265" s="1217">
        <v>111572.11</v>
      </c>
      <c r="D265" s="1174">
        <v>62273.5</v>
      </c>
    </row>
    <row r="266" spans="1:4">
      <c r="A266">
        <v>1101206022</v>
      </c>
      <c r="B266" t="s">
        <v>1751</v>
      </c>
      <c r="C266" s="1217">
        <v>-639252.56999999995</v>
      </c>
      <c r="D266" s="1174">
        <v>-639252.56999999995</v>
      </c>
    </row>
    <row r="267" spans="1:4">
      <c r="A267">
        <v>1101206030</v>
      </c>
      <c r="B267" t="s">
        <v>1752</v>
      </c>
      <c r="C267" s="1217">
        <v>1000</v>
      </c>
      <c r="D267" s="1174">
        <v>1000</v>
      </c>
    </row>
    <row r="268" spans="1:4">
      <c r="A268">
        <v>1101206040</v>
      </c>
      <c r="B268" t="s">
        <v>1753</v>
      </c>
      <c r="C268" s="1217">
        <v>104772</v>
      </c>
      <c r="D268" s="1174">
        <v>138510.25</v>
      </c>
    </row>
    <row r="269" spans="1:4">
      <c r="A269">
        <v>1101206041</v>
      </c>
      <c r="B269" t="s">
        <v>1754</v>
      </c>
      <c r="C269" s="1217">
        <v>-1001914.27</v>
      </c>
      <c r="D269" s="1174">
        <v>-12462.27</v>
      </c>
    </row>
    <row r="270" spans="1:4">
      <c r="A270">
        <v>1101206060</v>
      </c>
      <c r="B270" t="s">
        <v>1755</v>
      </c>
      <c r="C270" s="1217">
        <v>456040.25</v>
      </c>
      <c r="D270" s="1174">
        <v>374948.1</v>
      </c>
    </row>
    <row r="271" spans="1:4">
      <c r="A271">
        <v>1101206061</v>
      </c>
      <c r="B271" t="s">
        <v>1756</v>
      </c>
      <c r="C271" s="1217">
        <v>1909077.4</v>
      </c>
      <c r="D271" s="1174">
        <v>1883642.25</v>
      </c>
    </row>
    <row r="272" spans="1:4">
      <c r="A272">
        <v>1101206070</v>
      </c>
      <c r="B272" t="s">
        <v>1757</v>
      </c>
      <c r="C272" s="1217">
        <v>265603.55</v>
      </c>
      <c r="D272" s="1174">
        <v>946176.03</v>
      </c>
    </row>
    <row r="273" spans="1:4">
      <c r="A273">
        <v>1101206071</v>
      </c>
      <c r="B273" t="s">
        <v>1758</v>
      </c>
      <c r="C273" s="1217">
        <v>493470.05</v>
      </c>
      <c r="D273" s="1174">
        <v>300.8</v>
      </c>
    </row>
    <row r="274" spans="1:4">
      <c r="A274">
        <v>1101206080</v>
      </c>
      <c r="B274" t="s">
        <v>1759</v>
      </c>
      <c r="C274" s="1217">
        <v>49691</v>
      </c>
      <c r="D274" s="1174">
        <v>418085.25</v>
      </c>
    </row>
    <row r="275" spans="1:4">
      <c r="A275">
        <v>1101206081</v>
      </c>
      <c r="B275" t="s">
        <v>1760</v>
      </c>
      <c r="C275" s="1217">
        <v>371701.27</v>
      </c>
      <c r="D275" s="1174">
        <v>843099</v>
      </c>
    </row>
    <row r="276" spans="1:4">
      <c r="A276">
        <v>1101206090</v>
      </c>
      <c r="B276" t="s">
        <v>1761</v>
      </c>
      <c r="C276" s="1217">
        <v>38921</v>
      </c>
      <c r="D276" s="1174">
        <v>307256.75</v>
      </c>
    </row>
    <row r="277" spans="1:4">
      <c r="A277">
        <v>1101206091</v>
      </c>
      <c r="B277" t="s">
        <v>1762</v>
      </c>
      <c r="C277" s="1217">
        <v>2745</v>
      </c>
      <c r="D277" s="1174">
        <v>347119.75</v>
      </c>
    </row>
    <row r="278" spans="1:4">
      <c r="A278">
        <v>1101206100</v>
      </c>
      <c r="B278" t="s">
        <v>1763</v>
      </c>
      <c r="C278" s="1217">
        <v>34141.5</v>
      </c>
      <c r="D278" s="1174">
        <v>1000</v>
      </c>
    </row>
    <row r="279" spans="1:4">
      <c r="A279">
        <v>1101206101</v>
      </c>
      <c r="B279" t="s">
        <v>1764</v>
      </c>
      <c r="C279" s="1217">
        <v>102404.94</v>
      </c>
      <c r="D279" s="1174">
        <v>5634.91</v>
      </c>
    </row>
    <row r="280" spans="1:4">
      <c r="A280">
        <v>1101206110</v>
      </c>
      <c r="B280" t="s">
        <v>1765</v>
      </c>
      <c r="C280" s="1217">
        <v>1011757.62</v>
      </c>
      <c r="D280" s="1174">
        <v>1011757.62</v>
      </c>
    </row>
    <row r="281" spans="1:4">
      <c r="A281">
        <v>1101206111</v>
      </c>
      <c r="B281" t="s">
        <v>1766</v>
      </c>
      <c r="C281" s="1217">
        <v>7384455.3600000003</v>
      </c>
      <c r="D281" s="1174">
        <v>3000000</v>
      </c>
    </row>
    <row r="282" spans="1:4">
      <c r="A282">
        <v>1101206112</v>
      </c>
      <c r="B282" t="s">
        <v>1767</v>
      </c>
      <c r="C282" s="1217">
        <v>-7426512.8499999996</v>
      </c>
      <c r="D282" s="1174">
        <v>-2580088.06</v>
      </c>
    </row>
    <row r="283" spans="1:4">
      <c r="A283">
        <v>1101206160</v>
      </c>
      <c r="B283" t="s">
        <v>1768</v>
      </c>
      <c r="C283" s="1217">
        <v>10805.28</v>
      </c>
      <c r="D283" s="1174">
        <v>10805.28</v>
      </c>
    </row>
    <row r="284" spans="1:4">
      <c r="A284">
        <v>1101206161</v>
      </c>
      <c r="B284" t="s">
        <v>1769</v>
      </c>
      <c r="C284" s="1217">
        <v>2342</v>
      </c>
      <c r="D284" s="1174">
        <v>2342</v>
      </c>
    </row>
    <row r="285" spans="1:4">
      <c r="A285">
        <v>1101206162</v>
      </c>
      <c r="B285" t="s">
        <v>1770</v>
      </c>
      <c r="C285" s="1217">
        <v>37756.39</v>
      </c>
      <c r="D285" s="1174">
        <v>37756.39</v>
      </c>
    </row>
    <row r="286" spans="1:4">
      <c r="A286">
        <v>1101206170</v>
      </c>
      <c r="B286" t="s">
        <v>1771</v>
      </c>
      <c r="C286" s="1217">
        <v>1345</v>
      </c>
      <c r="D286" s="1174">
        <v>1000</v>
      </c>
    </row>
    <row r="287" spans="1:4">
      <c r="A287">
        <v>1101206171</v>
      </c>
      <c r="B287" t="s">
        <v>1772</v>
      </c>
      <c r="C287" s="1217">
        <v>349.6</v>
      </c>
      <c r="D287" s="1174">
        <v>2549</v>
      </c>
    </row>
    <row r="288" spans="1:4">
      <c r="A288">
        <v>1101206190</v>
      </c>
      <c r="B288" t="s">
        <v>1773</v>
      </c>
      <c r="C288" s="1217">
        <v>80979500.560000002</v>
      </c>
      <c r="D288" s="1174">
        <v>6430924.3099999996</v>
      </c>
    </row>
    <row r="289" spans="1:4">
      <c r="A289">
        <v>1101206191</v>
      </c>
      <c r="B289" t="s">
        <v>1774</v>
      </c>
      <c r="C289" s="1217">
        <v>-2743066.96</v>
      </c>
      <c r="D289" s="1174">
        <v>-2221562.86</v>
      </c>
    </row>
    <row r="290" spans="1:4">
      <c r="A290">
        <v>1101206192</v>
      </c>
      <c r="B290" t="s">
        <v>1775</v>
      </c>
      <c r="C290" s="1217">
        <v>-76044004.299999997</v>
      </c>
      <c r="D290" s="1174">
        <v>0</v>
      </c>
    </row>
    <row r="291" spans="1:4">
      <c r="A291">
        <v>1101206200</v>
      </c>
      <c r="B291" t="s">
        <v>1776</v>
      </c>
      <c r="C291" s="1217">
        <v>90886.89</v>
      </c>
      <c r="D291" s="1174">
        <v>51666.87</v>
      </c>
    </row>
    <row r="292" spans="1:4">
      <c r="A292">
        <v>1101206201</v>
      </c>
      <c r="B292" t="s">
        <v>1777</v>
      </c>
      <c r="C292" s="1217">
        <v>967156.92</v>
      </c>
      <c r="D292" s="1174">
        <v>-18450.59</v>
      </c>
    </row>
    <row r="293" spans="1:4">
      <c r="A293">
        <v>1101206202</v>
      </c>
      <c r="B293" t="s">
        <v>1778</v>
      </c>
      <c r="C293" s="1217">
        <v>-1023081.34</v>
      </c>
      <c r="D293" s="1174">
        <v>0</v>
      </c>
    </row>
    <row r="294" spans="1:4">
      <c r="A294">
        <v>1101206210</v>
      </c>
      <c r="B294" t="s">
        <v>1779</v>
      </c>
      <c r="C294" s="1217">
        <v>3871973.45</v>
      </c>
      <c r="D294" s="1174">
        <v>1247330</v>
      </c>
    </row>
    <row r="295" spans="1:4">
      <c r="A295">
        <v>1101206211</v>
      </c>
      <c r="B295" t="s">
        <v>1780</v>
      </c>
      <c r="C295" s="1217">
        <v>12618520.01</v>
      </c>
      <c r="D295" s="1174">
        <v>295009.34000000003</v>
      </c>
    </row>
    <row r="296" spans="1:4">
      <c r="A296">
        <v>1101206212</v>
      </c>
      <c r="B296" t="s">
        <v>1781</v>
      </c>
      <c r="C296" s="1217">
        <v>-15714803.449999999</v>
      </c>
      <c r="D296" s="1174">
        <v>0</v>
      </c>
    </row>
    <row r="297" spans="1:4">
      <c r="A297">
        <v>1101206220</v>
      </c>
      <c r="B297" t="s">
        <v>1782</v>
      </c>
      <c r="C297" s="1217">
        <v>29672</v>
      </c>
      <c r="D297" s="1174">
        <v>270510</v>
      </c>
    </row>
    <row r="298" spans="1:4">
      <c r="A298">
        <v>1101206221</v>
      </c>
      <c r="B298" t="s">
        <v>1783</v>
      </c>
      <c r="C298" s="1217">
        <v>37204.5</v>
      </c>
      <c r="D298" s="1174">
        <v>27965.25</v>
      </c>
    </row>
    <row r="299" spans="1:4">
      <c r="A299">
        <v>1107101000</v>
      </c>
      <c r="B299" t="s">
        <v>1784</v>
      </c>
      <c r="C299" s="1217">
        <v>137247314.58000001</v>
      </c>
      <c r="D299" s="1174">
        <v>124694678.72</v>
      </c>
    </row>
    <row r="300" spans="1:4">
      <c r="A300">
        <v>1107103000</v>
      </c>
      <c r="B300" t="s">
        <v>1785</v>
      </c>
      <c r="C300" s="1217">
        <v>-30678330.510000002</v>
      </c>
      <c r="D300" s="1174">
        <v>-30678330.510000002</v>
      </c>
    </row>
    <row r="301" spans="1:4">
      <c r="A301">
        <v>1107104000</v>
      </c>
      <c r="B301" t="s">
        <v>1786</v>
      </c>
      <c r="C301" s="1217">
        <v>21051371.25</v>
      </c>
      <c r="D301" s="1174">
        <v>14894947.390000001</v>
      </c>
    </row>
    <row r="302" spans="1:4">
      <c r="A302">
        <v>1107203000</v>
      </c>
      <c r="B302" t="s">
        <v>1787</v>
      </c>
      <c r="C302" s="1217">
        <v>1265005.6499999999</v>
      </c>
      <c r="D302" s="1174">
        <v>1265005.6499999999</v>
      </c>
    </row>
    <row r="303" spans="1:4">
      <c r="A303">
        <v>1107214000</v>
      </c>
      <c r="B303" t="s">
        <v>1788</v>
      </c>
      <c r="C303" s="1217">
        <v>51120917.68</v>
      </c>
      <c r="D303" s="1174">
        <v>21171721.940000001</v>
      </c>
    </row>
    <row r="304" spans="1:4">
      <c r="A304">
        <v>1107214001</v>
      </c>
      <c r="B304" t="s">
        <v>1789</v>
      </c>
      <c r="C304" s="1217">
        <v>767113.19</v>
      </c>
      <c r="D304" s="1174">
        <v>767113.19</v>
      </c>
    </row>
    <row r="305" spans="1:4">
      <c r="A305">
        <v>1107215000</v>
      </c>
      <c r="B305" t="s">
        <v>1251</v>
      </c>
      <c r="C305" s="1217">
        <v>2007812.9</v>
      </c>
      <c r="D305" s="1174">
        <v>2007812.9</v>
      </c>
    </row>
    <row r="306" spans="1:4">
      <c r="A306">
        <v>1109101000</v>
      </c>
      <c r="B306" t="s">
        <v>1790</v>
      </c>
      <c r="C306" s="1217">
        <v>64264.35</v>
      </c>
      <c r="D306" s="1174">
        <v>64264.35</v>
      </c>
    </row>
    <row r="307" spans="1:4">
      <c r="A307">
        <v>1109104000</v>
      </c>
      <c r="B307" t="s">
        <v>1791</v>
      </c>
      <c r="C307" s="1217">
        <v>913043.08</v>
      </c>
      <c r="D307" s="1174">
        <v>0</v>
      </c>
    </row>
    <row r="308" spans="1:4">
      <c r="A308">
        <v>1109104001</v>
      </c>
      <c r="B308" t="s">
        <v>1792</v>
      </c>
      <c r="C308" s="1217">
        <v>187461.82</v>
      </c>
      <c r="D308" s="1174">
        <v>0</v>
      </c>
    </row>
    <row r="309" spans="1:4">
      <c r="A309">
        <v>1109104002</v>
      </c>
      <c r="B309" t="s">
        <v>1793</v>
      </c>
      <c r="C309" s="1217">
        <v>1454833.77</v>
      </c>
      <c r="D309" s="1174">
        <v>37976.620000000003</v>
      </c>
    </row>
    <row r="310" spans="1:4">
      <c r="A310">
        <v>1109104003</v>
      </c>
      <c r="B310" t="s">
        <v>1794</v>
      </c>
      <c r="C310" s="1217">
        <v>10770676</v>
      </c>
      <c r="D310" s="1174">
        <v>0</v>
      </c>
    </row>
    <row r="311" spans="1:4">
      <c r="A311">
        <v>1109105000</v>
      </c>
      <c r="B311" t="s">
        <v>1795</v>
      </c>
      <c r="C311" s="1217">
        <v>104572</v>
      </c>
      <c r="D311" s="1174">
        <v>99486</v>
      </c>
    </row>
    <row r="312" spans="1:4">
      <c r="A312">
        <v>1109108001</v>
      </c>
      <c r="B312" t="s">
        <v>1796</v>
      </c>
      <c r="C312" s="1217">
        <v>427576.32000000001</v>
      </c>
      <c r="D312" s="1174">
        <v>427576.32000000001</v>
      </c>
    </row>
    <row r="313" spans="1:4">
      <c r="A313">
        <v>1109109001</v>
      </c>
      <c r="B313" t="s">
        <v>1797</v>
      </c>
      <c r="C313" s="1217">
        <v>99285178.310000002</v>
      </c>
      <c r="D313" s="1174">
        <v>99285178.310000002</v>
      </c>
    </row>
    <row r="314" spans="1:4">
      <c r="A314">
        <v>1109203000</v>
      </c>
      <c r="B314" t="s">
        <v>1798</v>
      </c>
      <c r="C314" s="1217">
        <v>478878.77</v>
      </c>
      <c r="D314" s="1174">
        <v>288864.40999999997</v>
      </c>
    </row>
    <row r="315" spans="1:4">
      <c r="A315">
        <v>1111301000</v>
      </c>
      <c r="B315" t="s">
        <v>1799</v>
      </c>
      <c r="C315" s="1217">
        <v>984624.19</v>
      </c>
      <c r="D315" s="1174">
        <v>862363.71</v>
      </c>
    </row>
    <row r="316" spans="1:4">
      <c r="A316">
        <v>1111301001</v>
      </c>
      <c r="B316" t="s">
        <v>1800</v>
      </c>
      <c r="C316" s="1217">
        <v>2996702.03</v>
      </c>
      <c r="D316" s="1174">
        <v>3340300.56</v>
      </c>
    </row>
    <row r="317" spans="1:4">
      <c r="A317">
        <v>1111301002</v>
      </c>
      <c r="B317" t="s">
        <v>1801</v>
      </c>
      <c r="C317" s="1217">
        <v>20440627.469999999</v>
      </c>
      <c r="D317" s="1174">
        <v>22829188.75</v>
      </c>
    </row>
    <row r="318" spans="1:4">
      <c r="A318">
        <v>1111301003</v>
      </c>
      <c r="B318" t="s">
        <v>1802</v>
      </c>
      <c r="C318" s="1217">
        <v>5950</v>
      </c>
      <c r="D318" s="1174">
        <v>28540</v>
      </c>
    </row>
    <row r="319" spans="1:4">
      <c r="A319">
        <v>1111301004</v>
      </c>
      <c r="B319" t="s">
        <v>1803</v>
      </c>
      <c r="C319" s="1217">
        <v>2865561.34</v>
      </c>
      <c r="D319" s="1174">
        <v>2030088.63</v>
      </c>
    </row>
    <row r="320" spans="1:4">
      <c r="A320">
        <v>1111301005</v>
      </c>
      <c r="B320" t="s">
        <v>1804</v>
      </c>
      <c r="C320" s="1217">
        <v>988563.74</v>
      </c>
      <c r="D320" s="1174">
        <v>1093718.04</v>
      </c>
    </row>
    <row r="321" spans="1:4">
      <c r="A321">
        <v>1111301007</v>
      </c>
      <c r="B321" t="s">
        <v>1805</v>
      </c>
      <c r="C321" s="1217">
        <v>39275351.189999998</v>
      </c>
      <c r="D321" s="1174">
        <v>17848508.09</v>
      </c>
    </row>
    <row r="322" spans="1:4">
      <c r="A322">
        <v>1111301008</v>
      </c>
      <c r="B322" t="s">
        <v>1806</v>
      </c>
      <c r="C322" s="1217">
        <v>51521338.189999998</v>
      </c>
      <c r="D322" s="1174">
        <v>59553250.07</v>
      </c>
    </row>
    <row r="323" spans="1:4">
      <c r="A323">
        <v>1111302001</v>
      </c>
      <c r="B323" t="s">
        <v>1807</v>
      </c>
      <c r="C323" s="1217">
        <v>-8708854</v>
      </c>
      <c r="D323" s="1174">
        <v>-8708854</v>
      </c>
    </row>
    <row r="324" spans="1:4">
      <c r="A324">
        <v>1205201001</v>
      </c>
      <c r="B324" t="s">
        <v>1808</v>
      </c>
      <c r="C324" s="1217">
        <v>1000000</v>
      </c>
      <c r="D324" s="1174">
        <v>1000000</v>
      </c>
    </row>
    <row r="325" spans="1:4">
      <c r="A325">
        <v>1205213001</v>
      </c>
      <c r="B325" t="s">
        <v>1809</v>
      </c>
      <c r="C325" s="1217">
        <v>9682582.5199999996</v>
      </c>
      <c r="D325" s="1174">
        <v>9682582.5199999996</v>
      </c>
    </row>
    <row r="326" spans="1:4">
      <c r="A326">
        <v>1206103000</v>
      </c>
      <c r="B326" t="s">
        <v>1810</v>
      </c>
      <c r="C326" s="1217">
        <v>180000000</v>
      </c>
      <c r="D326" s="1174">
        <v>180000000</v>
      </c>
    </row>
    <row r="327" spans="1:4">
      <c r="A327">
        <v>1206108001</v>
      </c>
      <c r="B327" t="s">
        <v>1811</v>
      </c>
      <c r="C327" s="1217">
        <v>1282728.96</v>
      </c>
      <c r="D327" s="1174">
        <v>1282728.96</v>
      </c>
    </row>
    <row r="328" spans="1:4">
      <c r="A328">
        <v>1212101001</v>
      </c>
      <c r="B328" t="s">
        <v>1812</v>
      </c>
      <c r="C328" s="1217">
        <v>27892023.539999999</v>
      </c>
      <c r="D328" s="1174">
        <v>27892023.539999999</v>
      </c>
    </row>
    <row r="329" spans="1:4">
      <c r="A329">
        <v>1213101000</v>
      </c>
      <c r="B329" t="s">
        <v>1813</v>
      </c>
      <c r="C329" s="1217">
        <v>107757111.05</v>
      </c>
      <c r="D329" s="1174">
        <v>83416952.069999993</v>
      </c>
    </row>
    <row r="330" spans="1:4">
      <c r="A330">
        <v>1214106000</v>
      </c>
      <c r="B330" t="s">
        <v>1814</v>
      </c>
      <c r="C330" s="1217">
        <v>675562674.38999999</v>
      </c>
      <c r="D330" s="1174">
        <v>675562674.38999999</v>
      </c>
    </row>
    <row r="331" spans="1:4">
      <c r="A331">
        <v>1214107000</v>
      </c>
      <c r="B331" t="s">
        <v>1815</v>
      </c>
      <c r="C331" s="1217">
        <v>-214419115.30000001</v>
      </c>
      <c r="D331" s="1174">
        <v>-207403932.11000001</v>
      </c>
    </row>
    <row r="332" spans="1:4">
      <c r="A332">
        <v>1214201000</v>
      </c>
      <c r="B332" t="s">
        <v>1816</v>
      </c>
      <c r="C332" s="1217">
        <v>6313739486.5600004</v>
      </c>
      <c r="D332" s="1174">
        <v>6313739486.5600004</v>
      </c>
    </row>
    <row r="333" spans="1:4">
      <c r="A333">
        <v>1214202000</v>
      </c>
      <c r="B333" t="s">
        <v>1817</v>
      </c>
      <c r="C333" s="1217">
        <v>-4732824910.0299997</v>
      </c>
      <c r="D333" s="1174">
        <v>-4640003260.4300003</v>
      </c>
    </row>
    <row r="334" spans="1:4">
      <c r="A334">
        <v>1214203000</v>
      </c>
      <c r="B334" t="s">
        <v>1818</v>
      </c>
      <c r="C334" s="1217">
        <v>110060.4</v>
      </c>
      <c r="D334" s="1174">
        <v>110060.4</v>
      </c>
    </row>
    <row r="335" spans="1:4">
      <c r="A335">
        <v>1214301000</v>
      </c>
      <c r="B335" t="s">
        <v>1819</v>
      </c>
      <c r="C335" s="1217">
        <v>103370101.95</v>
      </c>
      <c r="D335" s="1174">
        <v>103332221.95</v>
      </c>
    </row>
    <row r="336" spans="1:4">
      <c r="A336">
        <v>1214301001</v>
      </c>
      <c r="B336" t="s">
        <v>1820</v>
      </c>
      <c r="C336" s="1217">
        <v>20982321.289999999</v>
      </c>
      <c r="D336" s="1174">
        <v>20837977.390000001</v>
      </c>
    </row>
    <row r="337" spans="1:4">
      <c r="A337">
        <v>1214302000</v>
      </c>
      <c r="B337" t="s">
        <v>1821</v>
      </c>
      <c r="C337" s="1217">
        <v>-90494271.25</v>
      </c>
      <c r="D337" s="1174">
        <v>-88515488.170000002</v>
      </c>
    </row>
    <row r="338" spans="1:4">
      <c r="A338">
        <v>1214302001</v>
      </c>
      <c r="B338" t="s">
        <v>1822</v>
      </c>
      <c r="C338" s="1217">
        <v>-14326755</v>
      </c>
      <c r="D338" s="1174">
        <v>-13964619.09</v>
      </c>
    </row>
    <row r="339" spans="1:4">
      <c r="A339">
        <v>1214401000</v>
      </c>
      <c r="B339" t="s">
        <v>1823</v>
      </c>
      <c r="C339" s="1217">
        <v>1572155163.54</v>
      </c>
      <c r="D339" s="1174">
        <v>1572210949.73</v>
      </c>
    </row>
    <row r="340" spans="1:4">
      <c r="A340">
        <v>1214401001</v>
      </c>
      <c r="B340" t="s">
        <v>1824</v>
      </c>
      <c r="C340" s="1217">
        <v>472921997.61000001</v>
      </c>
      <c r="D340" s="1174">
        <v>472921997.61000001</v>
      </c>
    </row>
    <row r="341" spans="1:4">
      <c r="A341">
        <v>1214402000</v>
      </c>
      <c r="B341" t="s">
        <v>1825</v>
      </c>
      <c r="C341" s="1217">
        <v>-1053486276.76</v>
      </c>
      <c r="D341" s="1174">
        <v>-1026012665.76</v>
      </c>
    </row>
    <row r="342" spans="1:4">
      <c r="A342">
        <v>1214402001</v>
      </c>
      <c r="B342" t="s">
        <v>1826</v>
      </c>
      <c r="C342" s="1217">
        <v>-170888753.34</v>
      </c>
      <c r="D342" s="1174">
        <v>-159538432.34</v>
      </c>
    </row>
    <row r="343" spans="1:4">
      <c r="A343">
        <v>1214501000</v>
      </c>
      <c r="B343" t="s">
        <v>1827</v>
      </c>
      <c r="C343" s="1217">
        <v>76372431.5</v>
      </c>
      <c r="D343" s="1174">
        <v>76372431.5</v>
      </c>
    </row>
    <row r="344" spans="1:4">
      <c r="A344">
        <v>1214502000</v>
      </c>
      <c r="B344" t="s">
        <v>1828</v>
      </c>
      <c r="C344" s="1217">
        <v>-63903079.5</v>
      </c>
      <c r="D344" s="1174">
        <v>-62181619.5</v>
      </c>
    </row>
    <row r="345" spans="1:4">
      <c r="A345">
        <v>1214601000</v>
      </c>
      <c r="B345" t="s">
        <v>1829</v>
      </c>
      <c r="C345" s="1217">
        <v>66391299.909999996</v>
      </c>
      <c r="D345" s="1174">
        <v>66391299.909999996</v>
      </c>
    </row>
    <row r="346" spans="1:4">
      <c r="A346">
        <v>1214602000</v>
      </c>
      <c r="B346" t="s">
        <v>1830</v>
      </c>
      <c r="C346" s="1217">
        <v>-26508790.670000002</v>
      </c>
      <c r="D346" s="1174">
        <v>-24153976.670000002</v>
      </c>
    </row>
    <row r="347" spans="1:4">
      <c r="A347">
        <v>1215201000</v>
      </c>
      <c r="B347" t="s">
        <v>1831</v>
      </c>
      <c r="C347" s="1217">
        <v>2493150856.8899999</v>
      </c>
      <c r="D347" s="1174">
        <v>2491429738.6399999</v>
      </c>
    </row>
    <row r="348" spans="1:4">
      <c r="A348">
        <v>1215202000</v>
      </c>
      <c r="B348" t="s">
        <v>1832</v>
      </c>
      <c r="C348" s="1217">
        <v>-1452993102.4000001</v>
      </c>
      <c r="D348" s="1174">
        <v>-1360577867.4000001</v>
      </c>
    </row>
    <row r="349" spans="1:4">
      <c r="A349">
        <v>2101101000</v>
      </c>
      <c r="B349" t="s">
        <v>1833</v>
      </c>
      <c r="C349" s="1217">
        <v>-18617639.34</v>
      </c>
      <c r="D349" s="1174">
        <v>-18617639.34</v>
      </c>
    </row>
    <row r="350" spans="1:4">
      <c r="A350">
        <v>2101101002</v>
      </c>
      <c r="B350" t="s">
        <v>1834</v>
      </c>
      <c r="C350" s="1217">
        <v>-2238705</v>
      </c>
      <c r="D350" s="1174">
        <v>-2238705</v>
      </c>
    </row>
    <row r="351" spans="1:4">
      <c r="A351">
        <v>2103101000</v>
      </c>
      <c r="B351" t="s">
        <v>1835</v>
      </c>
      <c r="C351" s="1217">
        <v>-38749787.25</v>
      </c>
      <c r="D351" s="1174">
        <v>-29644522.789999999</v>
      </c>
    </row>
    <row r="352" spans="1:4">
      <c r="A352">
        <v>2103102000</v>
      </c>
      <c r="B352" t="s">
        <v>1836</v>
      </c>
      <c r="C352" s="1217">
        <v>0</v>
      </c>
      <c r="D352" s="1174">
        <v>-24290</v>
      </c>
    </row>
    <row r="353" spans="1:4">
      <c r="A353">
        <v>2103103000</v>
      </c>
      <c r="B353" t="s">
        <v>1837</v>
      </c>
      <c r="C353" s="1217">
        <v>-96541473.329999998</v>
      </c>
      <c r="D353" s="1174">
        <v>-111008117.88</v>
      </c>
    </row>
    <row r="354" spans="1:4">
      <c r="A354">
        <v>2103401000</v>
      </c>
      <c r="B354" t="s">
        <v>1838</v>
      </c>
      <c r="C354" s="1217">
        <v>0</v>
      </c>
      <c r="D354" s="1174">
        <v>-11149808.15</v>
      </c>
    </row>
    <row r="355" spans="1:4">
      <c r="A355">
        <v>2103501000</v>
      </c>
      <c r="B355" t="s">
        <v>1839</v>
      </c>
      <c r="C355" s="1217">
        <v>-303562.44</v>
      </c>
      <c r="D355" s="1174">
        <v>-290802.38</v>
      </c>
    </row>
    <row r="356" spans="1:4">
      <c r="A356">
        <v>2103501001</v>
      </c>
      <c r="B356" t="s">
        <v>1840</v>
      </c>
      <c r="C356" s="1217">
        <v>-14826330.32</v>
      </c>
      <c r="D356" s="1174">
        <v>-15994411.130000001</v>
      </c>
    </row>
    <row r="357" spans="1:4">
      <c r="A357">
        <v>2103701000</v>
      </c>
      <c r="B357" t="s">
        <v>1841</v>
      </c>
      <c r="C357" s="1217">
        <v>-19523</v>
      </c>
      <c r="D357" s="1174">
        <v>-18303</v>
      </c>
    </row>
    <row r="358" spans="1:4">
      <c r="A358">
        <v>2104302001</v>
      </c>
      <c r="B358" t="s">
        <v>1842</v>
      </c>
      <c r="C358" s="1217">
        <v>-71296102.209999993</v>
      </c>
      <c r="D358" s="1174">
        <v>-94199332.450000003</v>
      </c>
    </row>
    <row r="359" spans="1:4">
      <c r="A359">
        <v>2106103000</v>
      </c>
      <c r="B359" t="s">
        <v>1843</v>
      </c>
      <c r="C359" s="1217">
        <v>-3439354.35</v>
      </c>
      <c r="D359" s="1174">
        <v>0</v>
      </c>
    </row>
    <row r="360" spans="1:4">
      <c r="A360">
        <v>2106103001</v>
      </c>
      <c r="B360" t="s">
        <v>1844</v>
      </c>
      <c r="C360" s="1217">
        <v>-8335472.6299999999</v>
      </c>
      <c r="D360" s="1174">
        <v>-8335472.6299999999</v>
      </c>
    </row>
    <row r="361" spans="1:4">
      <c r="A361">
        <v>2106103002</v>
      </c>
      <c r="B361" t="s">
        <v>1845</v>
      </c>
      <c r="C361" s="1217">
        <v>-3048374.53</v>
      </c>
      <c r="D361" s="1174">
        <v>-3048374.53</v>
      </c>
    </row>
    <row r="362" spans="1:4">
      <c r="A362">
        <v>2106201001</v>
      </c>
      <c r="B362" t="s">
        <v>1846</v>
      </c>
      <c r="C362" s="1217">
        <v>-14342</v>
      </c>
      <c r="D362" s="1174">
        <v>0</v>
      </c>
    </row>
    <row r="363" spans="1:4">
      <c r="A363">
        <v>2106202000</v>
      </c>
      <c r="B363" t="s">
        <v>1847</v>
      </c>
      <c r="C363" s="1217">
        <v>-126787.5</v>
      </c>
      <c r="D363" s="1174">
        <v>-126787.5</v>
      </c>
    </row>
    <row r="364" spans="1:4">
      <c r="A364">
        <v>2106301004</v>
      </c>
      <c r="B364" t="s">
        <v>1848</v>
      </c>
      <c r="C364" s="1217">
        <v>-1363613.86</v>
      </c>
      <c r="D364" s="1174">
        <v>-1446606</v>
      </c>
    </row>
    <row r="365" spans="1:4">
      <c r="A365">
        <v>2106501000</v>
      </c>
      <c r="B365" t="s">
        <v>1849</v>
      </c>
      <c r="C365" s="1217">
        <v>-101821</v>
      </c>
      <c r="D365" s="1174">
        <v>-57411</v>
      </c>
    </row>
    <row r="366" spans="1:4">
      <c r="A366">
        <v>2106601000</v>
      </c>
      <c r="B366" t="s">
        <v>1850</v>
      </c>
      <c r="C366" s="1217">
        <v>-3240000</v>
      </c>
      <c r="D366" s="1174">
        <v>-3230000</v>
      </c>
    </row>
    <row r="367" spans="1:4">
      <c r="A367">
        <v>2106601001</v>
      </c>
      <c r="B367" t="s">
        <v>1851</v>
      </c>
      <c r="C367" s="1217">
        <v>-8930640.3300000001</v>
      </c>
      <c r="D367" s="1174">
        <v>-9473957.9100000001</v>
      </c>
    </row>
    <row r="368" spans="1:4">
      <c r="A368">
        <v>2106703000</v>
      </c>
      <c r="B368" t="s">
        <v>1852</v>
      </c>
      <c r="C368" s="1217">
        <v>0</v>
      </c>
      <c r="D368" s="1174">
        <v>-47577716.939999998</v>
      </c>
    </row>
    <row r="369" spans="1:4">
      <c r="A369">
        <v>2106703001</v>
      </c>
      <c r="B369" t="s">
        <v>1853</v>
      </c>
      <c r="C369" s="1217">
        <v>-99285178.310000002</v>
      </c>
      <c r="D369" s="1174">
        <v>-99285178.310000002</v>
      </c>
    </row>
    <row r="370" spans="1:4">
      <c r="A370">
        <v>2107101001</v>
      </c>
      <c r="B370" t="s">
        <v>1854</v>
      </c>
      <c r="C370" s="1217">
        <v>-31357034</v>
      </c>
      <c r="D370" s="1174">
        <v>-31357034</v>
      </c>
    </row>
    <row r="371" spans="1:4">
      <c r="A371">
        <v>2108101000</v>
      </c>
      <c r="B371" t="s">
        <v>1855</v>
      </c>
      <c r="C371" s="1217">
        <v>-24469.919999999998</v>
      </c>
      <c r="D371" s="1174">
        <v>-221601524.08000001</v>
      </c>
    </row>
    <row r="372" spans="1:4">
      <c r="A372">
        <v>2108600001</v>
      </c>
      <c r="B372" t="s">
        <v>1856</v>
      </c>
      <c r="C372" s="1217">
        <v>-44914640.189999998</v>
      </c>
      <c r="D372" s="1174">
        <v>-44914640.189999998</v>
      </c>
    </row>
    <row r="373" spans="1:4">
      <c r="A373">
        <v>2108701001</v>
      </c>
      <c r="B373" t="s">
        <v>1857</v>
      </c>
      <c r="C373" s="1217">
        <v>-19194172</v>
      </c>
      <c r="D373" s="1174">
        <v>-19194172</v>
      </c>
    </row>
    <row r="374" spans="1:4">
      <c r="A374">
        <v>2201101000</v>
      </c>
      <c r="B374" t="s">
        <v>1858</v>
      </c>
      <c r="C374" s="1217">
        <v>-62515838.659999996</v>
      </c>
      <c r="D374" s="1174">
        <v>-62515838.659999996</v>
      </c>
    </row>
    <row r="375" spans="1:4">
      <c r="A375">
        <v>2201101002</v>
      </c>
      <c r="B375" t="s">
        <v>1859</v>
      </c>
      <c r="C375" s="1217">
        <v>-4261530.72</v>
      </c>
      <c r="D375" s="1174">
        <v>-4261530.72</v>
      </c>
    </row>
    <row r="376" spans="1:4">
      <c r="A376">
        <v>2204201000</v>
      </c>
      <c r="B376" t="s">
        <v>1860</v>
      </c>
      <c r="C376" s="1217">
        <v>-302627143.24000001</v>
      </c>
      <c r="D376" s="1174">
        <v>-302627143.24000001</v>
      </c>
    </row>
    <row r="377" spans="1:4">
      <c r="A377">
        <v>2204203000</v>
      </c>
      <c r="B377" t="s">
        <v>1861</v>
      </c>
      <c r="C377" s="1217">
        <v>-300000000</v>
      </c>
      <c r="D377" s="1174">
        <v>-300000000</v>
      </c>
    </row>
    <row r="378" spans="1:4">
      <c r="A378">
        <v>2205401001</v>
      </c>
      <c r="B378" t="s">
        <v>1862</v>
      </c>
      <c r="C378" s="1217">
        <v>-155400000</v>
      </c>
      <c r="D378" s="1174">
        <v>-194250000</v>
      </c>
    </row>
    <row r="379" spans="1:4">
      <c r="A379">
        <v>2207101000</v>
      </c>
      <c r="B379" t="s">
        <v>1863</v>
      </c>
      <c r="C379" s="1217">
        <v>-26450209.940000001</v>
      </c>
      <c r="D379" s="1174">
        <v>-26450209.940000001</v>
      </c>
    </row>
    <row r="380" spans="1:4">
      <c r="A380">
        <v>2207101001</v>
      </c>
      <c r="B380" t="s">
        <v>1864</v>
      </c>
      <c r="C380" s="1217">
        <v>-14379000.460000001</v>
      </c>
      <c r="D380" s="1174">
        <v>-14379000.460000001</v>
      </c>
    </row>
    <row r="381" spans="1:4">
      <c r="A381">
        <v>3101101000</v>
      </c>
      <c r="B381" t="s">
        <v>1865</v>
      </c>
      <c r="C381" s="1217">
        <v>-854082000</v>
      </c>
      <c r="D381" s="1174">
        <v>-854082000</v>
      </c>
    </row>
    <row r="382" spans="1:4">
      <c r="A382">
        <v>3103101000</v>
      </c>
      <c r="B382" t="s">
        <v>1866</v>
      </c>
      <c r="C382" s="1217">
        <v>-3700746116.46</v>
      </c>
      <c r="D382" s="1174">
        <v>-2792658246.6999998</v>
      </c>
    </row>
    <row r="383" spans="1:4">
      <c r="A383">
        <v>3103105000</v>
      </c>
      <c r="B383" t="s">
        <v>1867</v>
      </c>
      <c r="C383" s="1217">
        <v>751592160</v>
      </c>
      <c r="D383" s="1174">
        <v>751592160</v>
      </c>
    </row>
    <row r="384" spans="1:4">
      <c r="A384">
        <v>4102102002</v>
      </c>
      <c r="B384" t="s">
        <v>1868</v>
      </c>
      <c r="C384" s="1217">
        <v>-89560</v>
      </c>
      <c r="D384" s="1174">
        <v>0</v>
      </c>
    </row>
    <row r="385" spans="1:4">
      <c r="A385">
        <v>4102102003</v>
      </c>
      <c r="B385" t="s">
        <v>1869</v>
      </c>
      <c r="C385" s="1217">
        <v>-99700</v>
      </c>
      <c r="D385" s="1174">
        <v>0</v>
      </c>
    </row>
    <row r="386" spans="1:4">
      <c r="A386">
        <v>4102110008</v>
      </c>
      <c r="B386" t="s">
        <v>1870</v>
      </c>
      <c r="C386" s="1217">
        <v>-90703</v>
      </c>
      <c r="D386" s="1174">
        <v>0</v>
      </c>
    </row>
    <row r="387" spans="1:4">
      <c r="A387">
        <v>5108101000</v>
      </c>
      <c r="B387" t="s">
        <v>1871</v>
      </c>
      <c r="C387" s="1217">
        <v>0</v>
      </c>
      <c r="D387" s="1174">
        <v>-110060.4</v>
      </c>
    </row>
    <row r="388" spans="1:4">
      <c r="A388">
        <v>6109101000</v>
      </c>
      <c r="B388" t="s">
        <v>1872</v>
      </c>
      <c r="C388" s="1217">
        <v>0</v>
      </c>
      <c r="D388" s="1174">
        <v>-6187294.7999999998</v>
      </c>
    </row>
    <row r="389" spans="1:4">
      <c r="A389">
        <v>7010101001</v>
      </c>
      <c r="B389" t="s">
        <v>1873</v>
      </c>
      <c r="C389" s="1217">
        <v>17217423.75</v>
      </c>
      <c r="D389" s="1174">
        <v>0</v>
      </c>
    </row>
    <row r="390" spans="1:4">
      <c r="A390">
        <v>7010101002</v>
      </c>
      <c r="B390" t="s">
        <v>1874</v>
      </c>
      <c r="C390" s="1217">
        <v>-64814</v>
      </c>
      <c r="D390" s="1174">
        <v>0</v>
      </c>
    </row>
    <row r="391" spans="1:4">
      <c r="A391">
        <v>7010101009</v>
      </c>
      <c r="B391" t="s">
        <v>1875</v>
      </c>
      <c r="C391" s="1217">
        <v>-321554.2</v>
      </c>
      <c r="D391" s="1174">
        <v>0</v>
      </c>
    </row>
    <row r="392" spans="1:4">
      <c r="A392" s="897">
        <v>7010101014</v>
      </c>
      <c r="B392" s="897" t="s">
        <v>1876</v>
      </c>
      <c r="C392" s="898">
        <v>1953386.32</v>
      </c>
      <c r="D392" s="898">
        <v>0</v>
      </c>
    </row>
    <row r="393" spans="1:4">
      <c r="A393" s="897">
        <v>7010101015</v>
      </c>
      <c r="B393" s="897" t="s">
        <v>1877</v>
      </c>
      <c r="C393" s="898">
        <v>153883993.52000001</v>
      </c>
      <c r="D393" s="898">
        <v>0</v>
      </c>
    </row>
    <row r="394" spans="1:4">
      <c r="A394" s="897">
        <v>7010101017</v>
      </c>
      <c r="B394" s="897" t="s">
        <v>1878</v>
      </c>
      <c r="C394" s="898">
        <v>-142464.48000000001</v>
      </c>
      <c r="D394" s="898">
        <v>0</v>
      </c>
    </row>
    <row r="395" spans="1:4">
      <c r="A395" s="897">
        <v>7010101028</v>
      </c>
      <c r="B395" s="897" t="s">
        <v>1879</v>
      </c>
      <c r="C395" s="898">
        <v>1296992.75</v>
      </c>
      <c r="D395" s="898">
        <v>0</v>
      </c>
    </row>
    <row r="396" spans="1:4">
      <c r="A396" s="897">
        <v>6103101000</v>
      </c>
      <c r="B396" s="897" t="s">
        <v>1880</v>
      </c>
      <c r="C396" s="898">
        <v>0</v>
      </c>
      <c r="D396" s="898">
        <v>20624316</v>
      </c>
    </row>
  </sheetData>
  <sortState ref="A3:D392">
    <sortCondition ref="A3:A392"/>
  </sortState>
  <pageMargins left="0.7" right="0.7" top="0.75" bottom="0.75" header="0.3" footer="0.3"/>
  <pageSetup scale="85" orientation="portrait" r:id="rId1"/>
</worksheet>
</file>

<file path=xl/worksheets/sheet10.xml><?xml version="1.0" encoding="utf-8"?>
<worksheet xmlns="http://schemas.openxmlformats.org/spreadsheetml/2006/main" xmlns:r="http://schemas.openxmlformats.org/officeDocument/2006/relationships">
  <sheetPr enableFormatConditionsCalculation="0">
    <tabColor rgb="FF00B050"/>
  </sheetPr>
  <dimension ref="A1:H284"/>
  <sheetViews>
    <sheetView showGridLines="0" topLeftCell="A158" zoomScale="90" zoomScaleNormal="90" zoomScaleSheetLayoutView="90" zoomScalePageLayoutView="90" workbookViewId="0">
      <selection activeCell="H173" sqref="H173"/>
    </sheetView>
  </sheetViews>
  <sheetFormatPr defaultColWidth="9.140625" defaultRowHeight="15.75"/>
  <cols>
    <col min="1" max="1" width="13.28515625" style="127" bestFit="1" customWidth="1"/>
    <col min="2" max="2" width="3.28515625" style="126" bestFit="1" customWidth="1"/>
    <col min="3" max="3" width="11.28515625" style="126" customWidth="1"/>
    <col min="4" max="4" width="42.85546875" style="126" bestFit="1" customWidth="1"/>
    <col min="5" max="5" width="25.28515625" style="1204" customWidth="1"/>
    <col min="6" max="6" width="25" style="1204" customWidth="1"/>
    <col min="7" max="7" width="17.7109375" style="126" bestFit="1" customWidth="1"/>
    <col min="8" max="8" width="15.85546875" style="126" bestFit="1" customWidth="1"/>
    <col min="9" max="16384" width="9.140625" style="126"/>
  </cols>
  <sheetData>
    <row r="1" spans="1:6" ht="16.5">
      <c r="B1" s="330"/>
      <c r="C1" s="1397" t="str">
        <f>'2SFP'!B1</f>
        <v>BHUTAN TELECOM LIMITED</v>
      </c>
      <c r="D1" s="1398"/>
      <c r="E1" s="1398"/>
      <c r="F1" s="1399"/>
    </row>
    <row r="2" spans="1:6" ht="16.5">
      <c r="B2" s="330"/>
      <c r="C2" s="1422" t="s">
        <v>1484</v>
      </c>
      <c r="D2" s="1423"/>
      <c r="E2" s="1423"/>
      <c r="F2" s="1424"/>
    </row>
    <row r="3" spans="1:6" ht="16.5">
      <c r="B3" s="330"/>
      <c r="C3" s="486"/>
      <c r="D3" s="331"/>
      <c r="E3" s="1175"/>
      <c r="F3" s="1176" t="str">
        <f>'2SFP'!E3</f>
        <v>Amount in Nu.</v>
      </c>
    </row>
    <row r="4" spans="1:6" ht="16.5">
      <c r="B4" s="332"/>
      <c r="C4" s="332"/>
      <c r="D4" s="333"/>
      <c r="E4" s="1177"/>
      <c r="F4" s="1178"/>
    </row>
    <row r="5" spans="1:6" ht="16.5">
      <c r="C5" s="331"/>
      <c r="D5" s="526"/>
      <c r="E5" s="1175"/>
      <c r="F5" s="1179"/>
    </row>
    <row r="6" spans="1:6" s="130" customFormat="1" ht="31.5">
      <c r="A6" s="129"/>
      <c r="B6" s="334"/>
      <c r="C6" s="1443" t="str">
        <f>'2SFP'!B4</f>
        <v>Particulars</v>
      </c>
      <c r="D6" s="1443"/>
      <c r="E6" s="1136" t="str">
        <f>'2SFP'!D4</f>
        <v>As at 31st March, 2019</v>
      </c>
      <c r="F6" s="1136" t="str">
        <f>'3SOCI'!E4</f>
        <v>As at 31st March, 2018</v>
      </c>
    </row>
    <row r="7" spans="1:6" s="527" customFormat="1" ht="16.5">
      <c r="A7" s="129"/>
      <c r="B7" s="334"/>
      <c r="C7" s="211" t="s">
        <v>1401</v>
      </c>
      <c r="D7" s="529" t="s">
        <v>1402</v>
      </c>
      <c r="E7" s="1180"/>
      <c r="F7" s="1015"/>
    </row>
    <row r="8" spans="1:6">
      <c r="B8" s="331"/>
      <c r="C8" s="484"/>
      <c r="D8" s="529" t="s">
        <v>1091</v>
      </c>
      <c r="E8" s="681"/>
      <c r="F8" s="681"/>
    </row>
    <row r="9" spans="1:6">
      <c r="A9" s="128">
        <v>4101102000</v>
      </c>
      <c r="B9" s="131"/>
      <c r="C9" s="131"/>
      <c r="D9" s="128" t="str">
        <f>VLOOKUP(A9,Trial!A:B,2,0)</f>
        <v>Telephone Service</v>
      </c>
      <c r="E9" s="125">
        <f>ABS(IFERROR(VLOOKUP(A9,Trial!A:C,3,0),0))</f>
        <v>19218019.43</v>
      </c>
      <c r="F9" s="125">
        <f>ABS(IFERROR(VLOOKUP(A9,Trial_Balance,4,0),0))</f>
        <v>22170028.280000001</v>
      </c>
    </row>
    <row r="10" spans="1:6">
      <c r="A10" s="128">
        <v>4101101000</v>
      </c>
      <c r="B10" s="131"/>
      <c r="C10" s="131"/>
      <c r="D10" s="128" t="str">
        <f>VLOOKUP(A10,Trial!A:B,2,0)</f>
        <v>International ISD</v>
      </c>
      <c r="E10" s="125">
        <f>ABS(IFERROR(VLOOKUP(A10,Trial!A:C,3,0),0))</f>
        <v>1837737.17</v>
      </c>
      <c r="F10" s="125">
        <f>ABS(IFERROR(VLOOKUP(A10,Trial_Balance,4,0),0))</f>
        <v>1341824.8600000001</v>
      </c>
    </row>
    <row r="11" spans="1:6">
      <c r="B11" s="331"/>
      <c r="C11" s="484"/>
      <c r="D11" s="530" t="s">
        <v>1104</v>
      </c>
      <c r="E11" s="681">
        <f>SUM(E9:E10)</f>
        <v>21055756.600000001</v>
      </c>
      <c r="F11" s="681">
        <f>SUM(F9:F10)</f>
        <v>23511853.140000001</v>
      </c>
    </row>
    <row r="12" spans="1:6">
      <c r="A12" s="128">
        <v>4101104001</v>
      </c>
      <c r="B12" s="131"/>
      <c r="C12" s="131"/>
      <c r="D12" s="128" t="str">
        <f>VLOOKUP(A12,Trial!A:B,2,0)</f>
        <v>Mobile - Prepaid Recharge Cards</v>
      </c>
      <c r="E12" s="125">
        <f>ABS(IFERROR(VLOOKUP(A12,Trial!A:C,3,0),0))</f>
        <v>339038313.55000001</v>
      </c>
      <c r="F12" s="125">
        <f t="shared" ref="F12:F23" si="0">ABS(IFERROR(VLOOKUP(A12,Trial_Balance,4,0),0))</f>
        <v>229402002.34</v>
      </c>
    </row>
    <row r="13" spans="1:6">
      <c r="A13" s="128">
        <v>4101104002</v>
      </c>
      <c r="B13" s="131"/>
      <c r="C13" s="131"/>
      <c r="D13" s="128" t="str">
        <f>VLOOKUP(A13,Trial!A:B,2,0)</f>
        <v>Mobile - Postpaid Services</v>
      </c>
      <c r="E13" s="125">
        <f>ABS(IFERROR(VLOOKUP(A13,Trial!A:C,3,0),0))</f>
        <v>38332060.640000001</v>
      </c>
      <c r="F13" s="125">
        <f t="shared" si="0"/>
        <v>41978138.469999999</v>
      </c>
    </row>
    <row r="14" spans="1:6">
      <c r="A14" s="128">
        <v>4101104003</v>
      </c>
      <c r="B14" s="131"/>
      <c r="C14" s="131"/>
      <c r="D14" s="128" t="str">
        <f>VLOOKUP(A14,Trial!A:B,2,0)</f>
        <v>Eload - Mobile</v>
      </c>
      <c r="E14" s="125">
        <f>ABS(IFERROR(VLOOKUP(A14,Trial!A:C,3,0),0))</f>
        <v>155595794.65000001</v>
      </c>
      <c r="F14" s="125">
        <f t="shared" si="0"/>
        <v>207938219.97</v>
      </c>
    </row>
    <row r="15" spans="1:6">
      <c r="A15" s="128">
        <v>4101104004</v>
      </c>
      <c r="B15" s="131"/>
      <c r="C15" s="131"/>
      <c r="D15" s="128" t="str">
        <f>VLOOKUP(A15,Trial!A:B,2,0)</f>
        <v>Income from IN and VAS</v>
      </c>
      <c r="E15" s="125">
        <f>ABS(IFERROR(VLOOKUP(A15,Trial!A:C,3,0),0))</f>
        <v>1100896.6399999999</v>
      </c>
      <c r="F15" s="125">
        <f t="shared" si="0"/>
        <v>1103909.31</v>
      </c>
    </row>
    <row r="16" spans="1:6">
      <c r="A16" s="128">
        <v>4101104007</v>
      </c>
      <c r="B16" s="131"/>
      <c r="C16" s="131"/>
      <c r="D16" s="128" t="str">
        <f>VLOOKUP(A16,Trial!A:B,2,0)</f>
        <v>Income from Online Applications</v>
      </c>
      <c r="E16" s="125">
        <f>ABS(IFERROR(VLOOKUP(A16,Trial!A:C,3,0),0))</f>
        <v>267137974.97999999</v>
      </c>
      <c r="F16" s="125">
        <f t="shared" si="0"/>
        <v>198911334.53</v>
      </c>
    </row>
    <row r="17" spans="1:6">
      <c r="A17" s="128">
        <v>4101105013</v>
      </c>
      <c r="B17" s="131"/>
      <c r="C17" s="131"/>
      <c r="D17" s="128" t="str">
        <f>VLOOKUP(A17,Trial!A:B,2,0)</f>
        <v>Income from Interconnect</v>
      </c>
      <c r="E17" s="125">
        <f>ABS(IFERROR(VLOOKUP(A17,Trial!A:C,3,0),0))</f>
        <v>21964437.789999999</v>
      </c>
      <c r="F17" s="125">
        <f t="shared" si="0"/>
        <v>23579791.609999999</v>
      </c>
    </row>
    <row r="18" spans="1:6">
      <c r="A18" s="128">
        <v>4101108001</v>
      </c>
      <c r="B18" s="131"/>
      <c r="C18" s="131"/>
      <c r="D18" s="128" t="str">
        <f>VLOOKUP(A18,Trial!A:B,2,0)</f>
        <v>Commission income from online mobile apps</v>
      </c>
      <c r="E18" s="125">
        <f>ABS(IFERROR(VLOOKUP(A18,Trial!A:C,3,0),0))</f>
        <v>164598</v>
      </c>
      <c r="F18" s="125">
        <f t="shared" si="0"/>
        <v>468398</v>
      </c>
    </row>
    <row r="19" spans="1:6">
      <c r="A19" s="128">
        <v>4101103000</v>
      </c>
      <c r="B19" s="131"/>
      <c r="C19" s="131"/>
      <c r="D19" s="128" t="str">
        <f>VLOOKUP(A19,Trial!A:B,2,0)</f>
        <v>Income from International Roaming</v>
      </c>
      <c r="E19" s="125">
        <f>ABS(IFERROR(VLOOKUP(A19,Trial!A:C,3,0),0))</f>
        <v>6436236.6100000003</v>
      </c>
      <c r="F19" s="125">
        <f t="shared" si="0"/>
        <v>4098598.6</v>
      </c>
    </row>
    <row r="20" spans="1:6">
      <c r="A20" s="128">
        <v>4101103001</v>
      </c>
      <c r="B20" s="131"/>
      <c r="C20" s="131"/>
      <c r="D20" s="128" t="str">
        <f>VLOOKUP(A20,Trial!A:B,2,0)</f>
        <v>Income from IN &amp; VAS-INTERNATIONAL</v>
      </c>
      <c r="E20" s="125">
        <f>ABS(IFERROR(VLOOKUP(A20,Trial!A:C,3,0),0))</f>
        <v>1064880.68</v>
      </c>
      <c r="F20" s="125">
        <f t="shared" si="0"/>
        <v>511960.4</v>
      </c>
    </row>
    <row r="21" spans="1:6">
      <c r="A21" s="128">
        <v>4101104000</v>
      </c>
      <c r="B21" s="131"/>
      <c r="C21" s="131"/>
      <c r="D21" s="128" t="str">
        <f>VLOOKUP(A21,Trial!A:B,2,0)</f>
        <v>Mobile -  Sim Cards</v>
      </c>
      <c r="E21" s="125">
        <f>ABS(IFERROR(VLOOKUP(A21,Trial!A:C,3,0),0))</f>
        <v>4579300</v>
      </c>
      <c r="F21" s="125">
        <f t="shared" si="0"/>
        <v>3340350</v>
      </c>
    </row>
    <row r="22" spans="1:6">
      <c r="A22" s="128">
        <v>4102110007</v>
      </c>
      <c r="B22" s="131"/>
      <c r="C22" s="131"/>
      <c r="D22" s="128" t="str">
        <f>VLOOKUP(A22,Trial!A:B,2,0)</f>
        <v>Income from MFS (Paku)</v>
      </c>
      <c r="E22" s="125">
        <f>ABS(IFERROR(VLOOKUP(A22,Trial!A:C,3,0),0))</f>
        <v>180457</v>
      </c>
      <c r="F22" s="125">
        <f t="shared" si="0"/>
        <v>0</v>
      </c>
    </row>
    <row r="23" spans="1:6">
      <c r="A23" s="128">
        <v>4102110008</v>
      </c>
      <c r="B23" s="131"/>
      <c r="C23" s="131"/>
      <c r="D23" s="128" t="s">
        <v>1476</v>
      </c>
      <c r="E23" s="125">
        <f>ABS(IFERROR(VLOOKUP(A23,Trial!A:C,3,0),0))</f>
        <v>90703</v>
      </c>
      <c r="F23" s="125">
        <f t="shared" si="0"/>
        <v>0</v>
      </c>
    </row>
    <row r="24" spans="1:6">
      <c r="A24" s="128"/>
      <c r="B24" s="335"/>
      <c r="C24" s="525"/>
      <c r="D24" s="531" t="s">
        <v>1105</v>
      </c>
      <c r="E24" s="1134">
        <f>SUM(E12:E23)</f>
        <v>835685653.53999996</v>
      </c>
      <c r="F24" s="1134">
        <f>SUM(F12:F23)</f>
        <v>711332703.23000002</v>
      </c>
    </row>
    <row r="25" spans="1:6">
      <c r="A25" s="128">
        <v>4101105000</v>
      </c>
      <c r="B25" s="131"/>
      <c r="C25" s="131"/>
      <c r="D25" s="128" t="str">
        <f>VLOOKUP(A25,Trial!A:B,2,0)</f>
        <v>Broadband - Postpaid</v>
      </c>
      <c r="E25" s="125">
        <f>ABS(IFERROR(VLOOKUP(A25,Trial!A:C,3,0),0))</f>
        <v>4549371.87</v>
      </c>
      <c r="F25" s="125">
        <f t="shared" ref="F25:F35" si="1">ABS(IFERROR(VLOOKUP(A25,Trial_Balance,4,0),0))</f>
        <v>13582363.84</v>
      </c>
    </row>
    <row r="26" spans="1:6">
      <c r="A26" s="128">
        <v>4101105001</v>
      </c>
      <c r="B26" s="131"/>
      <c r="C26" s="131"/>
      <c r="D26" s="128" t="str">
        <f>VLOOKUP(A26,Trial!A:B,2,0)</f>
        <v>Broadband - Prepaid</v>
      </c>
      <c r="E26" s="125">
        <f>ABS(IFERROR(VLOOKUP(A26,Trial!A:C,3,0),0))</f>
        <v>14448684.640000001</v>
      </c>
      <c r="F26" s="125">
        <f t="shared" si="1"/>
        <v>12124999.550000001</v>
      </c>
    </row>
    <row r="27" spans="1:6">
      <c r="A27" s="128">
        <v>4101105002</v>
      </c>
      <c r="B27" s="131"/>
      <c r="C27" s="131"/>
      <c r="D27" s="128" t="str">
        <f>VLOOKUP(A27,Trial!A:B,2,0)</f>
        <v>Internet Leaseline</v>
      </c>
      <c r="E27" s="125">
        <f>ABS(IFERROR(VLOOKUP(A27,Trial!A:C,3,0),0))</f>
        <v>67572737.310000002</v>
      </c>
      <c r="F27" s="125">
        <f t="shared" si="1"/>
        <v>73082052.640000001</v>
      </c>
    </row>
    <row r="28" spans="1:6">
      <c r="A28" s="128">
        <v>4101105003</v>
      </c>
      <c r="B28" s="131"/>
      <c r="C28" s="131"/>
      <c r="D28" s="128" t="str">
        <f>VLOOKUP(A28,Trial!A:B,2,0)</f>
        <v>Income from Domain Name Registration</v>
      </c>
      <c r="E28" s="125">
        <f>ABS(IFERROR(VLOOKUP(A28,Trial!A:C,3,0),0))</f>
        <v>613408.44999999995</v>
      </c>
      <c r="F28" s="125">
        <f t="shared" si="1"/>
        <v>392222.6</v>
      </c>
    </row>
    <row r="29" spans="1:6">
      <c r="A29" s="128">
        <v>4101105004</v>
      </c>
      <c r="B29" s="131"/>
      <c r="C29" s="131"/>
      <c r="D29" s="128" t="str">
        <f>VLOOKUP(A29,Trial!A:B,2,0)</f>
        <v>Income from IPLC - National</v>
      </c>
      <c r="E29" s="125">
        <f>ABS(IFERROR(VLOOKUP(A29,Trial!A:C,3,0),0))</f>
        <v>0</v>
      </c>
      <c r="F29" s="125">
        <f t="shared" si="1"/>
        <v>262544</v>
      </c>
    </row>
    <row r="30" spans="1:6">
      <c r="A30" s="128">
        <v>4101105006</v>
      </c>
      <c r="B30" s="131"/>
      <c r="C30" s="131"/>
      <c r="D30" s="128" t="str">
        <f>VLOOKUP(A30,Trial!A:B,2,0)</f>
        <v>DHI Intra Company Revenue</v>
      </c>
      <c r="E30" s="125">
        <f>ABS(IFERROR(VLOOKUP(A30,Trial!A:C,3,0),0))</f>
        <v>0</v>
      </c>
      <c r="F30" s="125">
        <f t="shared" si="1"/>
        <v>0</v>
      </c>
    </row>
    <row r="31" spans="1:6">
      <c r="A31" s="128">
        <v>4101106000</v>
      </c>
      <c r="B31" s="131"/>
      <c r="C31" s="131"/>
      <c r="D31" s="128" t="str">
        <f>VLOOKUP(A31,Trial!A:B,2,0)</f>
        <v>Income from IPLC - International</v>
      </c>
      <c r="E31" s="125">
        <f>ABS(IFERROR(VLOOKUP(A31,Trial!A:C,3,0),0))</f>
        <v>0</v>
      </c>
      <c r="F31" s="125">
        <f t="shared" si="1"/>
        <v>880041.89</v>
      </c>
    </row>
    <row r="32" spans="1:6">
      <c r="A32" s="128">
        <v>4101106001</v>
      </c>
      <c r="B32" s="131"/>
      <c r="C32" s="131"/>
      <c r="D32" s="128" t="str">
        <f>VLOOKUP(A32,Trial!A:B,2,0)</f>
        <v>Income from Domain Name - International</v>
      </c>
      <c r="E32" s="125">
        <f>ABS(IFERROR(VLOOKUP(A32,Trial!A:C,3,0),0))</f>
        <v>193344.36</v>
      </c>
      <c r="F32" s="125">
        <f t="shared" si="1"/>
        <v>190184.04</v>
      </c>
    </row>
    <row r="33" spans="1:6">
      <c r="A33" s="128">
        <v>4101106002</v>
      </c>
      <c r="B33" s="131"/>
      <c r="C33" s="131"/>
      <c r="D33" s="128" t="str">
        <f>VLOOKUP(A33,Trial!A:B,2,0)</f>
        <v>Income from Leaseline - International</v>
      </c>
      <c r="E33" s="125">
        <f>ABS(IFERROR(VLOOKUP(A33,Trial!A:C,3,0),0))</f>
        <v>0</v>
      </c>
      <c r="F33" s="125">
        <f t="shared" si="1"/>
        <v>85010.1</v>
      </c>
    </row>
    <row r="34" spans="1:6">
      <c r="A34" s="128">
        <v>4101105008</v>
      </c>
      <c r="B34" s="131"/>
      <c r="C34" s="131"/>
      <c r="D34" s="128" t="str">
        <f>VLOOKUP(A34,Trial!A:B,2,0)</f>
        <v>Broadband - Recharge Card</v>
      </c>
      <c r="E34" s="125">
        <f>ABS(IFERROR(VLOOKUP(A34,Trial!A:C,3,0),0))</f>
        <v>1188425.3</v>
      </c>
      <c r="F34" s="125">
        <f t="shared" si="1"/>
        <v>2236688.5499999998</v>
      </c>
    </row>
    <row r="35" spans="1:6">
      <c r="A35" s="128">
        <v>4101105009</v>
      </c>
      <c r="B35" s="131"/>
      <c r="C35" s="131"/>
      <c r="D35" s="128" t="str">
        <f>VLOOKUP(A35,Trial!A:B,2,0)</f>
        <v>Eload - Broadband</v>
      </c>
      <c r="E35" s="125">
        <f>ABS(IFERROR(VLOOKUP(A35,Trial!A:C,3,0),0))</f>
        <v>95</v>
      </c>
      <c r="F35" s="125">
        <f t="shared" si="1"/>
        <v>4693</v>
      </c>
    </row>
    <row r="36" spans="1:6">
      <c r="A36" s="128"/>
      <c r="B36" s="335"/>
      <c r="C36" s="525"/>
      <c r="D36" s="531" t="s">
        <v>1106</v>
      </c>
      <c r="E36" s="1134">
        <f>SUM(E25:E35)</f>
        <v>88566066.930000007</v>
      </c>
      <c r="F36" s="1134">
        <f>SUM(F25:F35)</f>
        <v>102840800.20999999</v>
      </c>
    </row>
    <row r="37" spans="1:6">
      <c r="A37" s="128">
        <v>4101105011</v>
      </c>
      <c r="B37" s="131"/>
      <c r="C37" s="131"/>
      <c r="D37" s="128" t="str">
        <f>VLOOKUP(A37,Trial!A:B,2,0)</f>
        <v>Contact Center Revenue</v>
      </c>
      <c r="E37" s="125">
        <f>ABS(IFERROR(VLOOKUP(A37,Trial!A:C,3,0),0))</f>
        <v>1618742.34</v>
      </c>
      <c r="F37" s="125">
        <f>ABS(IFERROR(VLOOKUP(A37,Trial_Balance,4,0),0))</f>
        <v>2054305.69</v>
      </c>
    </row>
    <row r="38" spans="1:6">
      <c r="A38" s="1042">
        <v>4101105012</v>
      </c>
      <c r="B38" s="131"/>
      <c r="C38" s="131"/>
      <c r="D38" s="128" t="str">
        <f>VLOOKUP(A38,Trial!A:B,2,0)</f>
        <v>Income from Cloud Service</v>
      </c>
      <c r="E38" s="125">
        <f>ABS(IFERROR(VLOOKUP(A38,Trial!A:C,3,0),0))</f>
        <v>0</v>
      </c>
      <c r="F38" s="125">
        <f>ABS(IFERROR(VLOOKUP(A38,Trial_Balance,4,0),0))</f>
        <v>0</v>
      </c>
    </row>
    <row r="39" spans="1:6">
      <c r="A39" s="128">
        <v>4101105014</v>
      </c>
      <c r="B39" s="131"/>
      <c r="C39" s="131"/>
      <c r="D39" s="128" t="str">
        <f>VLOOKUP(A39,Trial!A:B,2,0)</f>
        <v>Income from Data Center</v>
      </c>
      <c r="E39" s="125">
        <f>ABS(IFERROR(VLOOKUP(A39,Trial!A:C,3,0),0))</f>
        <v>2332711.16</v>
      </c>
      <c r="F39" s="125">
        <f>ABS(IFERROR(VLOOKUP(A39,Trial_Balance,4,0),0))</f>
        <v>4907003.74</v>
      </c>
    </row>
    <row r="40" spans="1:6">
      <c r="A40" s="128">
        <v>4101105015</v>
      </c>
      <c r="B40" s="131"/>
      <c r="C40" s="131"/>
      <c r="D40" s="128" t="str">
        <f>VLOOKUP(A40,Trial!A:B,2,0)</f>
        <v>Income from ERP Service</v>
      </c>
      <c r="E40" s="125">
        <f>ABS(IFERROR(VLOOKUP(A40,Trial!A:C,3,0),0))</f>
        <v>582942</v>
      </c>
      <c r="F40" s="125">
        <f>ABS(IFERROR(VLOOKUP(A40,Trial_Balance,4,0),0))</f>
        <v>0</v>
      </c>
    </row>
    <row r="41" spans="1:6">
      <c r="A41" s="128">
        <v>4102105000</v>
      </c>
      <c r="B41" s="131"/>
      <c r="C41" s="131"/>
      <c r="D41" s="128" t="str">
        <f>VLOOKUP(A41,Trial!A:B,2,0)</f>
        <v>Income from Thuraya Services</v>
      </c>
      <c r="E41" s="125">
        <f>ABS(IFERROR(VLOOKUP(A41,Trial!A:C,3,0),0))</f>
        <v>232211.52</v>
      </c>
      <c r="F41" s="125">
        <f>ABS(IFERROR(VLOOKUP(A41,Trial_Balance,4,0),0))</f>
        <v>252784.5</v>
      </c>
    </row>
    <row r="42" spans="1:6">
      <c r="A42" s="128"/>
      <c r="B42" s="335"/>
      <c r="C42" s="525"/>
      <c r="D42" s="531" t="s">
        <v>1107</v>
      </c>
      <c r="E42" s="1134">
        <f>SUM(E37:E41)</f>
        <v>4766607.0199999996</v>
      </c>
      <c r="F42" s="1134">
        <f>SUM(F37:F41)</f>
        <v>7214093.9299999997</v>
      </c>
    </row>
    <row r="43" spans="1:6">
      <c r="A43" s="128"/>
      <c r="B43" s="335"/>
      <c r="C43" s="525"/>
      <c r="D43" s="532"/>
      <c r="E43" s="1181">
        <f>SUM(E42,E36,E24,E11)</f>
        <v>950074084.09000003</v>
      </c>
      <c r="F43" s="1181">
        <f>SUM(F42,F36,F24,F11)</f>
        <v>844899450.50999999</v>
      </c>
    </row>
    <row r="44" spans="1:6">
      <c r="A44" s="128"/>
      <c r="B44" s="131"/>
      <c r="C44" s="131"/>
      <c r="D44" s="128"/>
      <c r="E44" s="134">
        <f>+E43</f>
        <v>950074084.09000003</v>
      </c>
      <c r="F44" s="134">
        <f>+F43</f>
        <v>844899450.50999999</v>
      </c>
    </row>
    <row r="45" spans="1:6">
      <c r="A45" s="128"/>
      <c r="B45" s="335"/>
      <c r="C45" s="525"/>
      <c r="D45" s="533" t="s">
        <v>1092</v>
      </c>
      <c r="E45" s="1134"/>
      <c r="F45" s="1134"/>
    </row>
    <row r="46" spans="1:6">
      <c r="A46" s="128">
        <v>4101102001</v>
      </c>
      <c r="B46" s="131"/>
      <c r="C46" s="131"/>
      <c r="D46" s="128" t="str">
        <f>VLOOKUP(A46,Trial!A:B,2,0)</f>
        <v>Miscellaneous Income - Fixed Line</v>
      </c>
      <c r="E46" s="125">
        <f>ABS(IFERROR(VLOOKUP(A46,Trial!A:C,3,0),0))</f>
        <v>290798</v>
      </c>
      <c r="F46" s="125">
        <f t="shared" ref="F46:F51" si="2">ABS(IFERROR(VLOOKUP(A46,Trial_Balance,4,0),0))</f>
        <v>489783.5</v>
      </c>
    </row>
    <row r="47" spans="1:6">
      <c r="A47" s="128">
        <v>4101104005</v>
      </c>
      <c r="B47" s="131"/>
      <c r="C47" s="131"/>
      <c r="D47" s="128" t="str">
        <f>VLOOKUP(A47,Trial!A:B,2,0)</f>
        <v>Miscellaneous Income - Mobile</v>
      </c>
      <c r="E47" s="125">
        <f>ABS(IFERROR(VLOOKUP(A47,Trial!A:C,3,0),0))</f>
        <v>19408.37</v>
      </c>
      <c r="F47" s="125">
        <f t="shared" si="2"/>
        <v>209327.61</v>
      </c>
    </row>
    <row r="48" spans="1:6">
      <c r="A48" s="128">
        <v>4101104006</v>
      </c>
      <c r="B48" s="131"/>
      <c r="C48" s="131"/>
      <c r="D48" s="128" t="str">
        <f>VLOOKUP(A48,Trial!A:B,2,0)</f>
        <v>Sale of Mobile Data Card</v>
      </c>
      <c r="E48" s="125">
        <f>ABS(IFERROR(VLOOKUP(A48,Trial!A:C,3,0),0))</f>
        <v>469725</v>
      </c>
      <c r="F48" s="125">
        <f t="shared" si="2"/>
        <v>310525</v>
      </c>
    </row>
    <row r="49" spans="1:6">
      <c r="A49" s="128">
        <v>4101105007</v>
      </c>
      <c r="B49" s="131"/>
      <c r="C49" s="131"/>
      <c r="D49" s="128" t="str">
        <f>VLOOKUP(A49,Trial!A:B,2,0)</f>
        <v>Sale of Internet Modem</v>
      </c>
      <c r="E49" s="125">
        <f>ABS(IFERROR(VLOOKUP(A49,Trial!A:C,3,0),0))</f>
        <v>345785</v>
      </c>
      <c r="F49" s="125">
        <f t="shared" si="2"/>
        <v>390670</v>
      </c>
    </row>
    <row r="50" spans="1:6">
      <c r="A50" s="128">
        <v>4101105005</v>
      </c>
      <c r="B50" s="131"/>
      <c r="C50" s="131"/>
      <c r="D50" s="128" t="str">
        <f>VLOOKUP(A50,Trial!A:B,2,0)</f>
        <v>Miscellaneous Income - Druknet</v>
      </c>
      <c r="E50" s="125">
        <f>ABS(IFERROR(VLOOKUP(A50,Trial!A:C,3,0),0))</f>
        <v>382567.41</v>
      </c>
      <c r="F50" s="125">
        <f t="shared" si="2"/>
        <v>559411.65</v>
      </c>
    </row>
    <row r="51" spans="1:6">
      <c r="A51" s="128">
        <v>4102105002</v>
      </c>
      <c r="B51" s="131"/>
      <c r="C51" s="131"/>
      <c r="D51" s="128" t="str">
        <f>VLOOKUP(A51,Trial!A:B,2,0)</f>
        <v>Income from sale of CPE and Equipments</v>
      </c>
      <c r="E51" s="125">
        <f>ABS(IFERROR(VLOOKUP(A51,Trial!A:C,3,0),0))</f>
        <v>767923.8</v>
      </c>
      <c r="F51" s="125">
        <f t="shared" si="2"/>
        <v>0</v>
      </c>
    </row>
    <row r="52" spans="1:6">
      <c r="A52" s="128"/>
      <c r="B52" s="335"/>
      <c r="C52" s="525"/>
      <c r="D52" s="531" t="s">
        <v>1108</v>
      </c>
      <c r="E52" s="1134">
        <f>SUM(E46:E51)</f>
        <v>2276207.58</v>
      </c>
      <c r="F52" s="1134">
        <f>SUM(F46:F51)</f>
        <v>1959717.7599999998</v>
      </c>
    </row>
    <row r="53" spans="1:6">
      <c r="A53" s="128">
        <v>4102103003</v>
      </c>
      <c r="B53" s="131"/>
      <c r="C53" s="131"/>
      <c r="D53" s="128" t="str">
        <f>VLOOKUP(A53,Trial!A:B,2,0)</f>
        <v>Income from One Stop Shop (BT Shop)</v>
      </c>
      <c r="E53" s="125">
        <f>ABS(IFERROR(VLOOKUP(A53,Trial!A:C,3,0),0))</f>
        <v>13698</v>
      </c>
      <c r="F53" s="125">
        <f>ABS(IFERROR(VLOOKUP(A53,Trial_Balance,4,0),0))</f>
        <v>10629</v>
      </c>
    </row>
    <row r="54" spans="1:6">
      <c r="A54" s="128">
        <v>4102103002</v>
      </c>
      <c r="B54" s="131"/>
      <c r="C54" s="131"/>
      <c r="D54" s="128" t="str">
        <f>VLOOKUP(A54,Trial!A:B,2,0)</f>
        <v>Income from BSecure</v>
      </c>
      <c r="E54" s="125">
        <f>ABS(IFERROR(VLOOKUP(A54,Trial!A:C,3,0),0))</f>
        <v>12550</v>
      </c>
      <c r="F54" s="125">
        <f>ABS(IFERROR(VLOOKUP(A54,Trial_Balance,4,0),0))</f>
        <v>1397916</v>
      </c>
    </row>
    <row r="55" spans="1:6" ht="16.5">
      <c r="A55" s="128"/>
      <c r="B55" s="336"/>
      <c r="C55" s="528"/>
      <c r="D55" s="531" t="s">
        <v>1109</v>
      </c>
      <c r="E55" s="1134">
        <f>SUM(E53:E54)</f>
        <v>26248</v>
      </c>
      <c r="F55" s="1134">
        <f>SUM(F53:F54)</f>
        <v>1408545</v>
      </c>
    </row>
    <row r="56" spans="1:6" ht="16.5">
      <c r="A56" s="128"/>
      <c r="B56" s="336"/>
      <c r="C56" s="528"/>
      <c r="D56" s="531"/>
      <c r="E56" s="1139">
        <f>SUBTOTAL(9,E55,E52)</f>
        <v>2302455.58</v>
      </c>
      <c r="F56" s="1139">
        <f>SUBTOTAL(9,F55,F52)</f>
        <v>3368262.76</v>
      </c>
    </row>
    <row r="57" spans="1:6" ht="16.5">
      <c r="B57" s="330"/>
      <c r="C57" s="536"/>
      <c r="D57" s="537" t="s">
        <v>114</v>
      </c>
      <c r="E57" s="1181">
        <f>+E43+E56</f>
        <v>952376539.67000008</v>
      </c>
      <c r="F57" s="1181">
        <f>+F43+F56</f>
        <v>848267713.26999998</v>
      </c>
    </row>
    <row r="58" spans="1:6" ht="16.5">
      <c r="B58" s="330"/>
      <c r="C58" s="486"/>
      <c r="D58" s="337"/>
      <c r="E58" s="1182"/>
      <c r="F58" s="1135"/>
    </row>
    <row r="59" spans="1:6" ht="16.5">
      <c r="B59" s="330"/>
      <c r="C59" s="538"/>
      <c r="D59" s="540" t="s">
        <v>1211</v>
      </c>
      <c r="E59" s="1085"/>
      <c r="F59" s="1139"/>
    </row>
    <row r="60" spans="1:6" ht="16.5">
      <c r="B60" s="330"/>
      <c r="C60" s="486"/>
      <c r="D60" s="218" t="s">
        <v>1212</v>
      </c>
      <c r="E60" s="1086">
        <f>+E57-E61</f>
        <v>907193026.67000008</v>
      </c>
      <c r="F60" s="1135">
        <f>+F57-F61</f>
        <v>848267713.26999998</v>
      </c>
    </row>
    <row r="61" spans="1:6" ht="16.5">
      <c r="B61" s="330"/>
      <c r="C61" s="536"/>
      <c r="D61" s="541" t="s">
        <v>1213</v>
      </c>
      <c r="E61" s="1183">
        <v>45183513</v>
      </c>
      <c r="F61" s="1184">
        <v>0</v>
      </c>
    </row>
    <row r="62" spans="1:6" ht="16.5">
      <c r="B62" s="330"/>
      <c r="C62" s="486"/>
      <c r="D62" s="337"/>
      <c r="E62" s="1182"/>
      <c r="F62" s="1135"/>
    </row>
    <row r="63" spans="1:6" ht="31.5">
      <c r="B63" s="330"/>
      <c r="C63" s="1443" t="str">
        <f>+C6</f>
        <v>Particulars</v>
      </c>
      <c r="D63" s="1443"/>
      <c r="E63" s="1136" t="str">
        <f>+E6</f>
        <v>As at 31st March, 2019</v>
      </c>
      <c r="F63" s="1137" t="str">
        <f>+F6</f>
        <v>As at 31st March, 2018</v>
      </c>
    </row>
    <row r="64" spans="1:6" s="4" customFormat="1">
      <c r="A64" s="127"/>
      <c r="B64" s="126"/>
      <c r="C64" s="211" t="s">
        <v>1403</v>
      </c>
      <c r="D64" s="529" t="s">
        <v>1404</v>
      </c>
      <c r="E64" s="881"/>
      <c r="F64" s="2"/>
    </row>
    <row r="65" spans="1:6" ht="16.5">
      <c r="A65" s="128">
        <v>4102106000</v>
      </c>
      <c r="B65" s="336"/>
      <c r="C65" s="528"/>
      <c r="D65" s="542" t="str">
        <f>VLOOKUP(A65,Trial!A:B,2,0)</f>
        <v>Fines</v>
      </c>
      <c r="E65" s="1078">
        <f>ABS(IFERROR(VLOOKUP(A65,Trial!A:C,3,0),0))</f>
        <v>1098311.6299999999</v>
      </c>
      <c r="F65" s="1134">
        <f t="shared" ref="F65:F71" si="3">ABS(IFERROR(VLOOKUP(A65,Trial_Balance,4,0),0))</f>
        <v>254594.26</v>
      </c>
    </row>
    <row r="66" spans="1:6" ht="16.5">
      <c r="A66" s="128">
        <v>4102108000</v>
      </c>
      <c r="B66" s="336"/>
      <c r="C66" s="528"/>
      <c r="D66" s="542" t="str">
        <f>VLOOKUP(A66,Trial!A:B,2,0)</f>
        <v>Income from Depository Works</v>
      </c>
      <c r="E66" s="1078">
        <f>ABS(IFERROR(VLOOKUP(A66,Trial!A:C,3,0),0))</f>
        <v>0</v>
      </c>
      <c r="F66" s="1134">
        <f t="shared" si="3"/>
        <v>0</v>
      </c>
    </row>
    <row r="67" spans="1:6" ht="16.5">
      <c r="A67" s="128">
        <v>4102108001</v>
      </c>
      <c r="B67" s="336"/>
      <c r="C67" s="528"/>
      <c r="D67" s="542" t="str">
        <f>VLOOKUP(A67,Trial!A:B,2,0)</f>
        <v>Net Income from Depository Works</v>
      </c>
      <c r="E67" s="1078">
        <f>ABS(IFERROR(VLOOKUP(A67,Trial!A:C,3,0),0))</f>
        <v>0</v>
      </c>
      <c r="F67" s="1134">
        <f t="shared" si="3"/>
        <v>0</v>
      </c>
    </row>
    <row r="68" spans="1:6">
      <c r="A68" s="128">
        <v>4102110006</v>
      </c>
      <c r="B68" s="131"/>
      <c r="C68" s="131"/>
      <c r="D68" s="128" t="str">
        <f>VLOOKUP(A68,Trial!A:B,2,0)</f>
        <v>Rounding Difference - Gain</v>
      </c>
      <c r="E68" s="125">
        <f>ABS(IFERROR(VLOOKUP(A68,Trial!A:C,3,0),0))</f>
        <v>3.61</v>
      </c>
      <c r="F68" s="125">
        <f>ABS(IFERROR(VLOOKUP(A68,Trial_Balance,4,0),0))</f>
        <v>1.08</v>
      </c>
    </row>
    <row r="69" spans="1:6">
      <c r="A69" s="128">
        <v>5105126007</v>
      </c>
      <c r="B69" s="131"/>
      <c r="C69" s="131"/>
      <c r="D69" s="128" t="str">
        <f>VLOOKUP(A69,Trial!A:B,2,0)</f>
        <v>Rounding Difference - Loss</v>
      </c>
      <c r="E69" s="125">
        <f>-ABS(IFERROR(VLOOKUP(A69,Trial!A:C,3,0),0))</f>
        <v>-0.17</v>
      </c>
      <c r="F69" s="125">
        <f>-ABS(IFERROR(VLOOKUP(A69,Trial_Balance,4,0),0))</f>
        <v>-1.67</v>
      </c>
    </row>
    <row r="70" spans="1:6" ht="16.5">
      <c r="A70" s="128">
        <v>4104102000</v>
      </c>
      <c r="B70" s="336"/>
      <c r="C70" s="528"/>
      <c r="D70" s="542" t="str">
        <f>VLOOKUP(A70,Trial!A:B,2,0)</f>
        <v>Interest from Fixed Deposits</v>
      </c>
      <c r="E70" s="1078">
        <f>ABS(IFERROR(VLOOKUP(A70,Trial!A:C,3,0),0))</f>
        <v>334557.40999999997</v>
      </c>
      <c r="F70" s="1134">
        <f t="shared" si="3"/>
        <v>246451.79</v>
      </c>
    </row>
    <row r="71" spans="1:6" ht="16.5">
      <c r="A71" s="128">
        <v>4102110000</v>
      </c>
      <c r="B71" s="336"/>
      <c r="C71" s="528"/>
      <c r="D71" s="542" t="str">
        <f>VLOOKUP(A71,Trial!A:B,2,0)</f>
        <v>Income from Sale of Yellow Page</v>
      </c>
      <c r="E71" s="1078">
        <f>ABS(IFERROR(VLOOKUP(A71,Trial!A:C,3,0),0))</f>
        <v>0</v>
      </c>
      <c r="F71" s="1134">
        <f t="shared" si="3"/>
        <v>0</v>
      </c>
    </row>
    <row r="72" spans="1:6">
      <c r="A72" s="128">
        <v>5111102000</v>
      </c>
      <c r="D72" s="128" t="str">
        <f>VLOOKUP(A72,Trial!A:B,2,0)</f>
        <v>Loss on Forex Fluctuation</v>
      </c>
      <c r="E72" s="1078"/>
      <c r="F72" s="125"/>
    </row>
    <row r="73" spans="1:6" s="127" customFormat="1">
      <c r="A73" s="128">
        <v>4103501000</v>
      </c>
      <c r="B73" s="128"/>
      <c r="C73" s="128"/>
      <c r="D73" s="128" t="str">
        <f>VLOOKUP(A73,Trial!A:B,2,0)</f>
        <v>Gain on Forex Fluctuation</v>
      </c>
      <c r="E73" s="1078"/>
      <c r="F73" s="125"/>
    </row>
    <row r="74" spans="1:6" ht="16.5">
      <c r="A74" s="128"/>
      <c r="B74" s="336"/>
      <c r="C74" s="528"/>
      <c r="D74" s="539" t="str">
        <f>D73</f>
        <v>Gain on Forex Fluctuation</v>
      </c>
      <c r="E74" s="1111">
        <f>SUM(E72:E73)</f>
        <v>0</v>
      </c>
      <c r="F74" s="681">
        <f>SUM(F72:F73)</f>
        <v>0</v>
      </c>
    </row>
    <row r="75" spans="1:6" ht="16.5">
      <c r="A75" s="128"/>
      <c r="B75" s="336"/>
      <c r="C75" s="528"/>
      <c r="D75" s="539" t="s">
        <v>613</v>
      </c>
      <c r="E75" s="1043">
        <f>+SUM(E76:E85)</f>
        <v>1113545.44</v>
      </c>
      <c r="F75" s="681">
        <f>+SUM(F76:F85)</f>
        <v>10154831.42</v>
      </c>
    </row>
    <row r="76" spans="1:6">
      <c r="A76" s="128">
        <v>4102109000</v>
      </c>
      <c r="D76" s="128" t="str">
        <f>VLOOKUP(A76,Trial!A:B,2,0)</f>
        <v>Income from Sale of Tender Documents</v>
      </c>
      <c r="E76" s="125">
        <f>ABS(IFERROR(VLOOKUP(A76,Trial!A:C,3,0),0))</f>
        <v>0</v>
      </c>
      <c r="F76" s="125">
        <f t="shared" ref="F76:F85" si="4">ABS(IFERROR(VLOOKUP(A76,Trial_Balance,4,0),0))</f>
        <v>0</v>
      </c>
    </row>
    <row r="77" spans="1:6">
      <c r="A77" s="128">
        <v>4102110005</v>
      </c>
      <c r="D77" s="128" t="str">
        <f>VLOOKUP(A77,Trial!A:B,2,0)</f>
        <v>Discount Received</v>
      </c>
      <c r="E77" s="125">
        <f>ABS(IFERROR(VLOOKUP(A77,Trial!A:C,3,0),0))</f>
        <v>0</v>
      </c>
      <c r="F77" s="125">
        <f t="shared" si="4"/>
        <v>0</v>
      </c>
    </row>
    <row r="78" spans="1:6" s="127" customFormat="1">
      <c r="A78" s="128">
        <v>4102102000</v>
      </c>
      <c r="B78" s="126"/>
      <c r="C78" s="126"/>
      <c r="D78" s="128" t="str">
        <f>VLOOKUP(A78,Trial!A:B,2,0)</f>
        <v>Income from House Rent</v>
      </c>
      <c r="E78" s="125">
        <f>ABS(IFERROR(VLOOKUP(A78,Trial!A:C,3,0),0))</f>
        <v>697015</v>
      </c>
      <c r="F78" s="125">
        <f t="shared" si="4"/>
        <v>1194542.82</v>
      </c>
    </row>
    <row r="79" spans="1:6" s="127" customFormat="1">
      <c r="A79" s="128">
        <v>4102102001</v>
      </c>
      <c r="B79" s="126"/>
      <c r="C79" s="126"/>
      <c r="D79" s="128" t="str">
        <f>VLOOKUP(A79,Trial!A:B,2,0)</f>
        <v>Income from Rent-Others</v>
      </c>
      <c r="E79" s="125">
        <f>ABS(IFERROR(VLOOKUP(A79,Trial!A:C,3,0),0))</f>
        <v>49800</v>
      </c>
      <c r="F79" s="125">
        <f t="shared" si="4"/>
        <v>0</v>
      </c>
    </row>
    <row r="80" spans="1:6" s="127" customFormat="1">
      <c r="A80" s="128">
        <v>4102102002</v>
      </c>
      <c r="B80" s="126"/>
      <c r="C80" s="126"/>
      <c r="D80" s="128" t="s">
        <v>1474</v>
      </c>
      <c r="E80" s="125">
        <f>ABS(IFERROR(VLOOKUP(A80,Trial!A:C,3,0),0))</f>
        <v>89560</v>
      </c>
      <c r="F80" s="125"/>
    </row>
    <row r="81" spans="1:6" s="127" customFormat="1">
      <c r="A81" s="128">
        <v>4102102003</v>
      </c>
      <c r="B81" s="126"/>
      <c r="C81" s="126"/>
      <c r="D81" s="128" t="s">
        <v>1475</v>
      </c>
      <c r="E81" s="125">
        <f>ABS(IFERROR(VLOOKUP(A81,Trial!A:C,3,0),0))</f>
        <v>99700</v>
      </c>
      <c r="F81" s="125"/>
    </row>
    <row r="82" spans="1:6" s="127" customFormat="1">
      <c r="A82" s="128">
        <v>4102103000</v>
      </c>
      <c r="B82" s="126"/>
      <c r="C82" s="126"/>
      <c r="D82" s="128" t="s">
        <v>602</v>
      </c>
      <c r="E82" s="125">
        <f>ABS(IFERROR(VLOOKUP(A82,Trial!A:C,3,0),0))</f>
        <v>59504</v>
      </c>
      <c r="F82" s="125">
        <f t="shared" si="4"/>
        <v>3640</v>
      </c>
    </row>
    <row r="83" spans="1:6">
      <c r="A83" s="128">
        <v>4102103001</v>
      </c>
      <c r="D83" s="128" t="str">
        <f>VLOOKUP(A83,Trial!A:B,2,0)</f>
        <v>Income from BT Guide</v>
      </c>
      <c r="E83" s="125">
        <f>ABS(IFERROR(VLOOKUP(A83,Trial!A:C,3,0),0))</f>
        <v>0</v>
      </c>
      <c r="F83" s="125">
        <f t="shared" si="4"/>
        <v>0</v>
      </c>
    </row>
    <row r="84" spans="1:6">
      <c r="A84" s="128"/>
      <c r="B84" s="2"/>
      <c r="C84" s="2"/>
      <c r="D84" s="454" t="str">
        <f>D68</f>
        <v>Rounding Difference - Gain</v>
      </c>
      <c r="E84" s="123">
        <f>SUM(E68:E69)</f>
        <v>3.44</v>
      </c>
      <c r="F84" s="123">
        <f>SUM(F68:F69)</f>
        <v>-0.58999999999999986</v>
      </c>
    </row>
    <row r="85" spans="1:6">
      <c r="A85" s="128">
        <v>4102119999</v>
      </c>
      <c r="D85" s="128" t="str">
        <f>VLOOKUP(A85,Trial!A:B,2,0)</f>
        <v>Miscellaneous Income</v>
      </c>
      <c r="E85" s="125">
        <f>ABS(IFERROR(VLOOKUP(A85,Trial!A:C,3,0),0))</f>
        <v>117963</v>
      </c>
      <c r="F85" s="125">
        <f t="shared" si="4"/>
        <v>8956649.1899999995</v>
      </c>
    </row>
    <row r="86" spans="1:6" ht="16.5">
      <c r="A86" s="128"/>
      <c r="B86" s="336"/>
      <c r="C86" s="544"/>
      <c r="D86" s="535"/>
      <c r="E86" s="1079">
        <f>+E65+E66+E70+E75+E74</f>
        <v>2546414.4799999995</v>
      </c>
      <c r="F86" s="1109">
        <f>+F65+F66+F70+F75+F74</f>
        <v>10655877.470000001</v>
      </c>
    </row>
    <row r="87" spans="1:6" ht="16.5">
      <c r="A87" s="128"/>
      <c r="B87" s="336"/>
      <c r="C87" s="528"/>
      <c r="D87" s="337" t="s">
        <v>114</v>
      </c>
      <c r="E87" s="1119"/>
      <c r="F87" s="1108"/>
    </row>
    <row r="88" spans="1:6" ht="31.5">
      <c r="A88" s="128"/>
      <c r="B88" s="336"/>
      <c r="C88" s="1443" t="str">
        <f>+C63</f>
        <v>Particulars</v>
      </c>
      <c r="D88" s="1443"/>
      <c r="E88" s="1136" t="str">
        <f>+E63</f>
        <v>As at 31st March, 2019</v>
      </c>
      <c r="F88" s="1137" t="str">
        <f>+F63</f>
        <v>As at 31st March, 2018</v>
      </c>
    </row>
    <row r="89" spans="1:6" s="4" customFormat="1">
      <c r="A89" s="128"/>
      <c r="B89" s="131"/>
      <c r="C89" s="211" t="s">
        <v>1405</v>
      </c>
      <c r="D89" s="529" t="s">
        <v>1408</v>
      </c>
      <c r="E89" s="877"/>
      <c r="F89" s="123"/>
    </row>
    <row r="90" spans="1:6">
      <c r="A90" s="128">
        <v>5105120008</v>
      </c>
      <c r="B90" s="131"/>
      <c r="C90" s="131"/>
      <c r="D90" s="128" t="str">
        <f>VLOOKUP(A90,Trial!A:B,2,0)</f>
        <v>Expense on Thuraya Services</v>
      </c>
      <c r="E90" s="125">
        <f>ABS(IFERROR(VLOOKUP(A90,Trial!A:C,3,0),0))</f>
        <v>313984.86</v>
      </c>
      <c r="F90" s="125">
        <f t="shared" ref="F90:F97" si="5">ABS(IFERROR(VLOOKUP(A90,Trial_Balance,4,0),0))</f>
        <v>184280.34</v>
      </c>
    </row>
    <row r="91" spans="1:6">
      <c r="A91" s="128">
        <v>5105120007</v>
      </c>
      <c r="B91" s="131"/>
      <c r="C91" s="131"/>
      <c r="D91" s="128" t="str">
        <f>VLOOKUP(A91,Trial!A:B,2,0)</f>
        <v>GTS Settlement</v>
      </c>
      <c r="E91" s="125">
        <f>ABS(IFERROR(VLOOKUP(A91,Trial!A:C,3,0),0))</f>
        <v>0</v>
      </c>
      <c r="F91" s="125">
        <f t="shared" si="5"/>
        <v>0</v>
      </c>
    </row>
    <row r="92" spans="1:6">
      <c r="A92" s="128">
        <v>5105120006</v>
      </c>
      <c r="B92" s="131"/>
      <c r="C92" s="131"/>
      <c r="D92" s="128" t="str">
        <f>VLOOKUP(A92,Trial!A:B,2,0)</f>
        <v>International Roaming</v>
      </c>
      <c r="E92" s="125">
        <f>ABS(IFERROR(VLOOKUP(A92,Trial!A:C,3,0),0))</f>
        <v>2165609.0099999998</v>
      </c>
      <c r="F92" s="125">
        <f t="shared" si="5"/>
        <v>2960039.15</v>
      </c>
    </row>
    <row r="93" spans="1:6">
      <c r="A93" s="128">
        <v>5105120004</v>
      </c>
      <c r="B93" s="131"/>
      <c r="C93" s="131"/>
      <c r="D93" s="128" t="str">
        <f>VLOOKUP(A93,Trial!A:B,2,0)</f>
        <v>International Traffic Settlement, Voice</v>
      </c>
      <c r="E93" s="125">
        <f>ABS(IFERROR(VLOOKUP(A93,Trial!A:C,3,0),0))</f>
        <v>1140072.6200000001</v>
      </c>
      <c r="F93" s="125">
        <f t="shared" si="5"/>
        <v>1439387.92</v>
      </c>
    </row>
    <row r="94" spans="1:6">
      <c r="A94" s="128">
        <v>5105120005</v>
      </c>
      <c r="B94" s="131"/>
      <c r="C94" s="131"/>
      <c r="D94" s="128" t="str">
        <f>VLOOKUP(A94,Trial!A:B,2,0)</f>
        <v>Internet Port Charges, IP Transit</v>
      </c>
      <c r="E94" s="125">
        <f>ABS(IFERROR(VLOOKUP(A94,Trial!A:C,3,0),0))</f>
        <v>1604369.04</v>
      </c>
      <c r="F94" s="125">
        <f t="shared" si="5"/>
        <v>1706618.51</v>
      </c>
    </row>
    <row r="95" spans="1:6">
      <c r="A95" s="128">
        <v>5105120002</v>
      </c>
      <c r="D95" s="128" t="s">
        <v>687</v>
      </c>
      <c r="E95" s="125">
        <f>ABS(IFERROR(VLOOKUP(A95,Trial!A:C,3,0),0))</f>
        <v>0</v>
      </c>
      <c r="F95" s="125">
        <f t="shared" si="5"/>
        <v>677909.02</v>
      </c>
    </row>
    <row r="96" spans="1:6">
      <c r="A96" s="128">
        <v>5105120003</v>
      </c>
      <c r="B96" s="131"/>
      <c r="C96" s="131"/>
      <c r="D96" s="128" t="str">
        <f>VLOOKUP(A96,Trial!A:B,2,0)</f>
        <v>Service fee for IPLC</v>
      </c>
      <c r="E96" s="125">
        <f>ABS(IFERROR(VLOOKUP(A96,Trial!A:C,3,0),0))</f>
        <v>17413803.48</v>
      </c>
      <c r="F96" s="125">
        <f t="shared" si="5"/>
        <v>40353786.960000001</v>
      </c>
    </row>
    <row r="97" spans="1:6">
      <c r="A97" s="128">
        <v>5105119005</v>
      </c>
      <c r="B97" s="131"/>
      <c r="C97" s="131"/>
      <c r="D97" s="128" t="str">
        <f>VLOOKUP(A97,Trial!A:B,2,0)</f>
        <v>Expense on Interconnect Settlement</v>
      </c>
      <c r="E97" s="125">
        <f>ABS(IFERROR(VLOOKUP(A97,Trial!A:C,3,0),0))</f>
        <v>20058663.370000001</v>
      </c>
      <c r="F97" s="125">
        <f t="shared" si="5"/>
        <v>19541049.25</v>
      </c>
    </row>
    <row r="98" spans="1:6" ht="16.5">
      <c r="A98" s="128"/>
      <c r="B98" s="336"/>
      <c r="C98" s="528"/>
      <c r="D98" s="542" t="s">
        <v>1437</v>
      </c>
      <c r="E98" s="1078">
        <f>SUM(E90:E97)</f>
        <v>42696502.379999995</v>
      </c>
      <c r="F98" s="1134">
        <f>SUM(F90:F97)</f>
        <v>66863071.149999999</v>
      </c>
    </row>
    <row r="99" spans="1:6">
      <c r="A99" s="128">
        <v>5103101003</v>
      </c>
      <c r="B99" s="131"/>
      <c r="C99" s="131"/>
      <c r="D99" s="128" t="str">
        <f>VLOOKUP(A99,Trial!A:B,2,0)</f>
        <v>R&amp;M Power - AMC</v>
      </c>
      <c r="E99" s="125">
        <f>ABS(IFERROR(VLOOKUP(A99,Trial!A:C,3,0),0))</f>
        <v>0</v>
      </c>
      <c r="F99" s="125">
        <f t="shared" ref="F99:F104" si="6">ABS(IFERROR(VLOOKUP(A99,Trial_Balance,4,0),0))</f>
        <v>0</v>
      </c>
    </row>
    <row r="100" spans="1:6">
      <c r="A100" s="128">
        <v>5103101000</v>
      </c>
      <c r="B100" s="131"/>
      <c r="C100" s="131"/>
      <c r="D100" s="128" t="str">
        <f>VLOOKUP(A100,Trial!A:B,2,0)</f>
        <v>R&amp;M Power - Service</v>
      </c>
      <c r="E100" s="125">
        <f>ABS(IFERROR(VLOOKUP(A100,Trial!A:C,3,0),0))</f>
        <v>30795.360000000001</v>
      </c>
      <c r="F100" s="125">
        <f t="shared" si="6"/>
        <v>99271</v>
      </c>
    </row>
    <row r="101" spans="1:6">
      <c r="A101" s="128">
        <v>5103101004</v>
      </c>
      <c r="B101" s="131"/>
      <c r="C101" s="131"/>
      <c r="D101" s="128" t="str">
        <f>VLOOKUP(A101,Trial!A:B,2,0)</f>
        <v>R&amp;M Generator Set - AMC</v>
      </c>
      <c r="E101" s="125">
        <f>ABS(IFERROR(VLOOKUP(A101,Trial!A:C,3,0),0))</f>
        <v>0</v>
      </c>
      <c r="F101" s="125">
        <f t="shared" si="6"/>
        <v>0</v>
      </c>
    </row>
    <row r="102" spans="1:6">
      <c r="A102" s="128">
        <v>5103101002</v>
      </c>
      <c r="B102" s="131"/>
      <c r="C102" s="131"/>
      <c r="D102" s="128" t="str">
        <f>VLOOKUP(A102,Trial!A:B,2,0)</f>
        <v>R&amp;M Generator Set - Service</v>
      </c>
      <c r="E102" s="125">
        <f>ABS(IFERROR(VLOOKUP(A102,Trial!A:C,3,0),0))</f>
        <v>0</v>
      </c>
      <c r="F102" s="125">
        <f t="shared" si="6"/>
        <v>19500</v>
      </c>
    </row>
    <row r="103" spans="1:6">
      <c r="A103" s="128">
        <v>5103101001</v>
      </c>
      <c r="D103" s="128" t="s">
        <v>640</v>
      </c>
      <c r="E103" s="125">
        <f>ABS(IFERROR(VLOOKUP(A103,Trial!A:C,3,0),0))</f>
        <v>899969.02</v>
      </c>
      <c r="F103" s="125">
        <f t="shared" si="6"/>
        <v>962014.14</v>
      </c>
    </row>
    <row r="104" spans="1:6">
      <c r="A104" s="128">
        <v>5105121000</v>
      </c>
      <c r="B104" s="131"/>
      <c r="C104" s="131"/>
      <c r="D104" s="128" t="str">
        <f>VLOOKUP(A104,Trial!A:B,2,0)</f>
        <v>Electricity</v>
      </c>
      <c r="E104" s="125">
        <f>ABS(IFERROR(VLOOKUP(A104,Trial!A:C,3,0),0))</f>
        <v>8120156.0300000003</v>
      </c>
      <c r="F104" s="125">
        <f t="shared" si="6"/>
        <v>8432197.3300000001</v>
      </c>
    </row>
    <row r="105" spans="1:6" ht="16.5">
      <c r="A105" s="128"/>
      <c r="B105" s="336"/>
      <c r="C105" s="528"/>
      <c r="D105" s="542" t="s">
        <v>1111</v>
      </c>
      <c r="E105" s="1078">
        <f>SUM(E99:E104)</f>
        <v>9050920.4100000001</v>
      </c>
      <c r="F105" s="1134">
        <f>SUM(F99:F104)</f>
        <v>9512982.4700000007</v>
      </c>
    </row>
    <row r="106" spans="1:6">
      <c r="A106" s="128">
        <v>5103103006</v>
      </c>
      <c r="B106" s="131"/>
      <c r="C106" s="131"/>
      <c r="D106" s="128" t="str">
        <f>VLOOKUP(A106,Trial!A:B,2,0)</f>
        <v>R&amp;M Cables and Accessories - AMC</v>
      </c>
      <c r="E106" s="125">
        <f>ABS(IFERROR(VLOOKUP(A106,Trial!A:C,3,0),0))</f>
        <v>0</v>
      </c>
      <c r="F106" s="125">
        <f t="shared" ref="F106:F113" si="7">ABS(IFERROR(VLOOKUP(A106,Trial_Balance,4,0),0))</f>
        <v>0</v>
      </c>
    </row>
    <row r="107" spans="1:6">
      <c r="A107" s="128">
        <v>5103103004</v>
      </c>
      <c r="B107" s="131"/>
      <c r="C107" s="131"/>
      <c r="D107" s="128" t="str">
        <f>VLOOKUP(A107,Trial!A:B,2,0)</f>
        <v>R&amp;M Cables and Accessories - Services</v>
      </c>
      <c r="E107" s="125">
        <f>ABS(IFERROR(VLOOKUP(A107,Trial!A:C,3,0),0))</f>
        <v>31235</v>
      </c>
      <c r="F107" s="125">
        <f t="shared" si="7"/>
        <v>50655</v>
      </c>
    </row>
    <row r="108" spans="1:6">
      <c r="A108" s="128">
        <v>5103102001</v>
      </c>
      <c r="B108" s="131"/>
      <c r="C108" s="131"/>
      <c r="D108" s="128" t="str">
        <f>VLOOKUP(A108,Trial!A:B,2,0)</f>
        <v>R&amp;M Plant and Machinery - AMC</v>
      </c>
      <c r="E108" s="125">
        <f>ABS(IFERROR(VLOOKUP(A108,Trial!A:C,3,0),0))</f>
        <v>8505863.8200000003</v>
      </c>
      <c r="F108" s="125">
        <f t="shared" si="7"/>
        <v>2741667</v>
      </c>
    </row>
    <row r="109" spans="1:6">
      <c r="A109" s="128">
        <v>5103102000</v>
      </c>
      <c r="B109" s="131"/>
      <c r="C109" s="131"/>
      <c r="D109" s="128" t="str">
        <f>VLOOKUP(A109,Trial!A:B,2,0)</f>
        <v>R&amp;M Plant and Machinery - Service</v>
      </c>
      <c r="E109" s="125">
        <f>ABS(IFERROR(VLOOKUP(A109,Trial!A:C,3,0),0))</f>
        <v>338848.44</v>
      </c>
      <c r="F109" s="125">
        <f t="shared" si="7"/>
        <v>207400</v>
      </c>
    </row>
    <row r="110" spans="1:6">
      <c r="A110" s="128">
        <v>5103103007</v>
      </c>
      <c r="B110" s="131"/>
      <c r="C110" s="131"/>
      <c r="D110" s="128" t="str">
        <f>VLOOKUP(A110,Trial!A:B,2,0)</f>
        <v>R&amp;M Software Application - AMC</v>
      </c>
      <c r="E110" s="125">
        <f>ABS(IFERROR(VLOOKUP(A110,Trial!A:C,3,0),0))</f>
        <v>0</v>
      </c>
      <c r="F110" s="125">
        <f t="shared" si="7"/>
        <v>5772237.7599999998</v>
      </c>
    </row>
    <row r="111" spans="1:6">
      <c r="A111" s="128">
        <v>5103103005</v>
      </c>
      <c r="B111" s="131"/>
      <c r="C111" s="131"/>
      <c r="D111" s="128" t="str">
        <f>VLOOKUP(A111,Trial!A:B,2,0)</f>
        <v>R&amp;M Software Application - Services</v>
      </c>
      <c r="E111" s="125">
        <f>ABS(IFERROR(VLOOKUP(A111,Trial!A:C,3,0),0))</f>
        <v>0</v>
      </c>
      <c r="F111" s="125">
        <f t="shared" si="7"/>
        <v>0</v>
      </c>
    </row>
    <row r="112" spans="1:6">
      <c r="A112" s="128">
        <v>5102105000</v>
      </c>
      <c r="B112" s="131"/>
      <c r="C112" s="131"/>
      <c r="D112" s="128" t="str">
        <f>VLOOKUP(A112,Trial!A:B,2,0)</f>
        <v>Consumables</v>
      </c>
      <c r="E112" s="125">
        <f>ABS(IFERROR(VLOOKUP(A112,Trial!A:C,3,0),0))</f>
        <v>1194012.48</v>
      </c>
      <c r="F112" s="125">
        <f t="shared" si="7"/>
        <v>370314.11</v>
      </c>
    </row>
    <row r="113" spans="1:6">
      <c r="A113" s="128">
        <v>5102103000</v>
      </c>
      <c r="B113" s="131"/>
      <c r="C113" s="131"/>
      <c r="D113" s="128" t="str">
        <f>VLOOKUP(A113,Trial!A:B,2,0)</f>
        <v>Consumption of Equipment Spares</v>
      </c>
      <c r="E113" s="125">
        <f>ABS(IFERROR(VLOOKUP(A113,Trial!A:C,3,0),0))</f>
        <v>8410041.7899999991</v>
      </c>
      <c r="F113" s="125">
        <f t="shared" si="7"/>
        <v>6918357.3499999996</v>
      </c>
    </row>
    <row r="114" spans="1:6" ht="16.5">
      <c r="A114" s="128"/>
      <c r="B114" s="336"/>
      <c r="C114" s="528"/>
      <c r="D114" s="547" t="s">
        <v>1110</v>
      </c>
      <c r="E114" s="1078">
        <f>SUM(E106:E113)</f>
        <v>18480001.530000001</v>
      </c>
      <c r="F114" s="1134">
        <f>SUM(F106:F113)</f>
        <v>16060631.219999999</v>
      </c>
    </row>
    <row r="115" spans="1:6">
      <c r="A115" s="128">
        <v>5105107001</v>
      </c>
      <c r="B115" s="131"/>
      <c r="C115" s="131"/>
      <c r="D115" s="128" t="str">
        <f>VLOOKUP(A115,Trial!A:B,2,0)</f>
        <v>Fees and Subscriptions - International</v>
      </c>
      <c r="E115" s="125">
        <f>ABS(IFERROR(VLOOKUP(A115,Trial!A:C,3,0),0))</f>
        <v>129839.36</v>
      </c>
      <c r="F115" s="125">
        <f>ABS(IFERROR(VLOOKUP(A115,Trial_Balance,4,0),0))</f>
        <v>458953.56</v>
      </c>
    </row>
    <row r="116" spans="1:6">
      <c r="A116" s="128">
        <v>5105107000</v>
      </c>
      <c r="B116" s="128"/>
      <c r="C116" s="128"/>
      <c r="D116" s="128" t="str">
        <f>VLOOKUP(A116,Trial!A:B,2,0)</f>
        <v>Fees and Subscriptions - National</v>
      </c>
      <c r="E116" s="125">
        <f>ABS(IFERROR(VLOOKUP(A116,Trial!A:C,3,0),0))</f>
        <v>410646</v>
      </c>
      <c r="F116" s="125">
        <f>ABS(IFERROR(VLOOKUP(A116,Trial_Balance,4,0),0))</f>
        <v>652270</v>
      </c>
    </row>
    <row r="117" spans="1:6" s="127" customFormat="1">
      <c r="A117" s="128">
        <v>5105114000</v>
      </c>
      <c r="B117" s="131"/>
      <c r="C117" s="131"/>
      <c r="D117" s="128" t="str">
        <f>VLOOKUP(A117,Trial!A:B,2,0)</f>
        <v>Rent</v>
      </c>
      <c r="E117" s="125">
        <f>ABS(IFERROR(VLOOKUP(A117,Trial!A:C,3,0),0))</f>
        <v>1333407.58</v>
      </c>
      <c r="F117" s="125">
        <f>ABS(IFERROR(VLOOKUP(A117,Trial_Balance,4,0),0))</f>
        <v>1612773.55</v>
      </c>
    </row>
    <row r="118" spans="1:6" s="127" customFormat="1" ht="16.5">
      <c r="A118" s="128"/>
      <c r="B118" s="336"/>
      <c r="C118" s="528"/>
      <c r="D118" s="542" t="s">
        <v>1093</v>
      </c>
      <c r="E118" s="1078">
        <f>SUM(E115:E117)</f>
        <v>1873892.94</v>
      </c>
      <c r="F118" s="1134">
        <f>SUM(F115:F117)</f>
        <v>2723997.1100000003</v>
      </c>
    </row>
    <row r="119" spans="1:6" s="127" customFormat="1">
      <c r="A119" s="128"/>
      <c r="B119" s="269"/>
      <c r="C119" s="545"/>
      <c r="D119" s="548"/>
      <c r="E119" s="1185">
        <f>SUM(E118,E114,E105,E98)</f>
        <v>72101317.25999999</v>
      </c>
      <c r="F119" s="1181">
        <f>SUM(F118,F114,F105,F98)</f>
        <v>95160681.949999988</v>
      </c>
    </row>
    <row r="120" spans="1:6" ht="16.5">
      <c r="A120" s="128"/>
      <c r="B120" s="336"/>
      <c r="C120" s="528"/>
      <c r="D120" s="269"/>
      <c r="E120" s="1138"/>
      <c r="F120" s="1134"/>
    </row>
    <row r="121" spans="1:6" ht="31.5">
      <c r="A121" s="128"/>
      <c r="B121" s="336"/>
      <c r="C121" s="1443" t="str">
        <f>+C88</f>
        <v>Particulars</v>
      </c>
      <c r="D121" s="1443"/>
      <c r="E121" s="1136" t="str">
        <f>+E88</f>
        <v>As at 31st March, 2019</v>
      </c>
      <c r="F121" s="1136" t="str">
        <f>+F88</f>
        <v>As at 31st March, 2018</v>
      </c>
    </row>
    <row r="122" spans="1:6" s="4" customFormat="1" ht="16.5">
      <c r="A122" s="128"/>
      <c r="B122" s="336"/>
      <c r="C122" s="211" t="s">
        <v>1406</v>
      </c>
      <c r="D122" s="556" t="s">
        <v>1407</v>
      </c>
      <c r="E122" s="1186"/>
      <c r="F122" s="1180"/>
    </row>
    <row r="123" spans="1:6" ht="16.5">
      <c r="A123" s="128"/>
      <c r="B123" s="336"/>
      <c r="C123" s="528"/>
      <c r="D123" s="542" t="s">
        <v>1099</v>
      </c>
      <c r="E123" s="1187">
        <f>+SUM(E124:E125)</f>
        <v>7988860.7699999996</v>
      </c>
      <c r="F123" s="1187">
        <f>+SUM(F124:F125)</f>
        <v>7061516.7000000002</v>
      </c>
    </row>
    <row r="124" spans="1:6">
      <c r="A124" s="128">
        <v>5102108000</v>
      </c>
      <c r="B124" s="131"/>
      <c r="C124" s="131"/>
      <c r="D124" s="128" t="str">
        <f>VLOOKUP(A124,Trial!A:B,2,0)</f>
        <v>Consumption of Trading Goods</v>
      </c>
      <c r="E124" s="125">
        <f>ABS(IFERROR(VLOOKUP(A124,Trial!A:C,3,0),0))</f>
        <v>1303270.18</v>
      </c>
      <c r="F124" s="125">
        <f>ABS(IFERROR(VLOOKUP(A124,Trial_Balance,4,0),0))</f>
        <v>293738.17</v>
      </c>
    </row>
    <row r="125" spans="1:6">
      <c r="A125" s="128">
        <v>5102109000</v>
      </c>
      <c r="B125" s="131"/>
      <c r="C125" s="131"/>
      <c r="D125" s="128" t="str">
        <f>VLOOKUP(A125,Trial!A:B,2,0)</f>
        <v>COGS of Trading Goods</v>
      </c>
      <c r="E125" s="125">
        <f>ABS(IFERROR(VLOOKUP(A125,Trial!A:C,3,0),0))</f>
        <v>6685590.5899999999</v>
      </c>
      <c r="F125" s="125">
        <f>ABS(IFERROR(VLOOKUP(A125,Trial_Balance,4,0),0))</f>
        <v>6767778.5300000003</v>
      </c>
    </row>
    <row r="126" spans="1:6" ht="16.5">
      <c r="B126" s="336"/>
      <c r="C126" s="544"/>
      <c r="D126" s="549" t="s">
        <v>114</v>
      </c>
      <c r="E126" s="1109">
        <f>SUM(E124:E125)</f>
        <v>7988860.7699999996</v>
      </c>
      <c r="F126" s="1109">
        <f>SUM(F124:F125)</f>
        <v>7061516.7000000002</v>
      </c>
    </row>
    <row r="127" spans="1:6" ht="31.5">
      <c r="A127" s="128"/>
      <c r="B127" s="131"/>
      <c r="C127" s="1443" t="str">
        <f>+C121</f>
        <v>Particulars</v>
      </c>
      <c r="D127" s="1443"/>
      <c r="E127" s="1137" t="str">
        <f>+E121</f>
        <v>As at 31st March, 2019</v>
      </c>
      <c r="F127" s="1136" t="str">
        <f>+F121</f>
        <v>As at 31st March, 2018</v>
      </c>
    </row>
    <row r="128" spans="1:6" s="4" customFormat="1">
      <c r="A128" s="128"/>
      <c r="B128" s="131"/>
      <c r="C128" s="211" t="s">
        <v>1410</v>
      </c>
      <c r="D128" s="216" t="s">
        <v>1409</v>
      </c>
      <c r="E128" s="1015"/>
      <c r="F128" s="1186"/>
    </row>
    <row r="129" spans="1:6">
      <c r="A129" s="128">
        <v>5104101000</v>
      </c>
      <c r="B129" s="131"/>
      <c r="C129" s="131"/>
      <c r="D129" s="128" t="str">
        <f>VLOOKUP(A129,Trial!A:B,2,0)</f>
        <v>Basic Pay</v>
      </c>
      <c r="E129" s="125">
        <f>ABS(IFERROR(VLOOKUP(A129,Trial!A:C,3,0),0))</f>
        <v>36562216.439999998</v>
      </c>
      <c r="F129" s="125">
        <f t="shared" ref="F129:F134" si="8">ABS(IFERROR(VLOOKUP(A129,Trial_Balance,4,0),0))</f>
        <v>35914643.350000001</v>
      </c>
    </row>
    <row r="130" spans="1:6">
      <c r="A130" s="128">
        <v>5104101001</v>
      </c>
      <c r="B130" s="131"/>
      <c r="C130" s="131"/>
      <c r="D130" s="128" t="s">
        <v>625</v>
      </c>
      <c r="E130" s="125">
        <f>ABS(IFERROR(VLOOKUP(A130,Trial!A:C,3,0),0))</f>
        <v>0</v>
      </c>
      <c r="F130" s="125">
        <f t="shared" si="8"/>
        <v>3000</v>
      </c>
    </row>
    <row r="131" spans="1:6">
      <c r="A131" s="128">
        <v>5104102000</v>
      </c>
      <c r="B131" s="131"/>
      <c r="C131" s="131"/>
      <c r="D131" s="128" t="str">
        <f>VLOOKUP(A131,Trial!A:B,2,0)</f>
        <v>Allowances</v>
      </c>
      <c r="E131" s="125">
        <f>ABS(IFERROR(VLOOKUP(A131,Trial!A:C,3,0),0))</f>
        <v>10183897.82</v>
      </c>
      <c r="F131" s="125">
        <f t="shared" si="8"/>
        <v>10183323.109999999</v>
      </c>
    </row>
    <row r="132" spans="1:6">
      <c r="A132" s="128">
        <v>5104103000</v>
      </c>
      <c r="B132" s="131"/>
      <c r="C132" s="131"/>
      <c r="D132" s="128" t="str">
        <f>VLOOKUP(A132,Trial!A:B,2,0)</f>
        <v>Leave Travel Concession</v>
      </c>
      <c r="E132" s="125">
        <f>ABS(IFERROR(VLOOKUP(A132,Trial!A:C,3,0),0))</f>
        <v>0</v>
      </c>
      <c r="F132" s="125">
        <f t="shared" si="8"/>
        <v>0</v>
      </c>
    </row>
    <row r="133" spans="1:6">
      <c r="A133" s="128">
        <v>5104203000</v>
      </c>
      <c r="B133" s="131"/>
      <c r="C133" s="131"/>
      <c r="D133" s="128" t="str">
        <f>VLOOKUP(A133,Trial!A:B,2,0)</f>
        <v>Leave Encashment</v>
      </c>
      <c r="E133" s="125">
        <f>ABS(IFERROR(VLOOKUP(A133,Trial!A:C,3,0),0))</f>
        <v>5225159</v>
      </c>
      <c r="F133" s="125">
        <f t="shared" si="8"/>
        <v>4703825</v>
      </c>
    </row>
    <row r="134" spans="1:6">
      <c r="A134" s="128">
        <v>5104104000</v>
      </c>
      <c r="B134" s="131"/>
      <c r="C134" s="131"/>
      <c r="D134" s="128" t="str">
        <f>VLOOKUP(A134,Trial!A:B,2,0)</f>
        <v>Bonus</v>
      </c>
      <c r="E134" s="125">
        <f>ABS(IFERROR(VLOOKUP(A134,Trial!A:C,3,0),0))</f>
        <v>0</v>
      </c>
      <c r="F134" s="125">
        <f t="shared" si="8"/>
        <v>19915344.280000001</v>
      </c>
    </row>
    <row r="135" spans="1:6" ht="16.5">
      <c r="A135" s="128"/>
      <c r="B135" s="336"/>
      <c r="C135" s="528"/>
      <c r="D135" s="542" t="s">
        <v>1112</v>
      </c>
      <c r="E135" s="1138">
        <f>SUM(E129:E134)</f>
        <v>51971273.259999998</v>
      </c>
      <c r="F135" s="1078">
        <f>SUM(F129:F134)</f>
        <v>70720135.74000001</v>
      </c>
    </row>
    <row r="136" spans="1:6" ht="16.5">
      <c r="A136" s="128">
        <v>5104204000</v>
      </c>
      <c r="B136" s="336"/>
      <c r="C136" s="528"/>
      <c r="D136" s="542" t="str">
        <f>VLOOKUP(A136,Trial!A:B,2,0)</f>
        <v>Provident Fund Contribution</v>
      </c>
      <c r="E136" s="1138">
        <f>ABS(IFERROR(VLOOKUP(A136,Trial!A:C,3,0),0))</f>
        <v>3999673</v>
      </c>
      <c r="F136" s="1078">
        <f t="shared" ref="F136:F141" si="9">ABS(IFERROR(VLOOKUP(A136,Trial_Balance,4,0),0))</f>
        <v>4006560</v>
      </c>
    </row>
    <row r="137" spans="1:6" ht="16.5">
      <c r="A137" s="128">
        <v>5104205000</v>
      </c>
      <c r="B137" s="336"/>
      <c r="C137" s="528"/>
      <c r="D137" s="542" t="s">
        <v>1387</v>
      </c>
      <c r="E137" s="1138">
        <f>ABS(IFERROR(VLOOKUP(A137,Trial!A:C,3,0),0))</f>
        <v>0</v>
      </c>
      <c r="F137" s="1078">
        <f t="shared" si="9"/>
        <v>0</v>
      </c>
    </row>
    <row r="138" spans="1:6">
      <c r="A138" s="128">
        <v>5104105000</v>
      </c>
      <c r="B138" s="131"/>
      <c r="C138" s="131"/>
      <c r="D138" s="128" t="str">
        <f>VLOOKUP(A138,Trial!A:B,2,0)</f>
        <v>Medical Expenses</v>
      </c>
      <c r="E138" s="125">
        <f>ABS(IFERROR(VLOOKUP(A138,Trial!A:C,3,0),0))</f>
        <v>0</v>
      </c>
      <c r="F138" s="125">
        <f t="shared" si="9"/>
        <v>18684</v>
      </c>
    </row>
    <row r="139" spans="1:6">
      <c r="A139" s="128">
        <v>5104106000</v>
      </c>
      <c r="B139" s="131"/>
      <c r="C139" s="131"/>
      <c r="D139" s="128" t="str">
        <f>VLOOKUP(A139,Trial!A:B,2,0)</f>
        <v>Uniform and Livery Expenses</v>
      </c>
      <c r="E139" s="125">
        <f>ABS(IFERROR(VLOOKUP(A139,Trial!A:C,3,0),0))</f>
        <v>38590</v>
      </c>
      <c r="F139" s="125">
        <f t="shared" si="9"/>
        <v>209512.33</v>
      </c>
    </row>
    <row r="140" spans="1:6">
      <c r="A140" s="128">
        <v>5104106001</v>
      </c>
      <c r="B140" s="131"/>
      <c r="C140" s="131"/>
      <c r="D140" s="128" t="str">
        <f>VLOOKUP(A140,Trial!A:B,2,0)</f>
        <v>Staff Welfare Expenses</v>
      </c>
      <c r="E140" s="125">
        <f>ABS(IFERROR(VLOOKUP(A140,Trial!A:C,3,0),0))</f>
        <v>29890</v>
      </c>
      <c r="F140" s="125">
        <f t="shared" si="9"/>
        <v>0</v>
      </c>
    </row>
    <row r="141" spans="1:6">
      <c r="A141" s="128">
        <v>5104202000</v>
      </c>
      <c r="B141" s="131"/>
      <c r="C141" s="131"/>
      <c r="D141" s="128" t="str">
        <f>VLOOKUP(A141,Trial!A:B,2,0)</f>
        <v>Pilgrimage Expenses</v>
      </c>
      <c r="E141" s="125">
        <f>ABS(IFERROR(VLOOKUP(A141,Trial!A:C,3,0),0))</f>
        <v>125939.8</v>
      </c>
      <c r="F141" s="125">
        <f t="shared" si="9"/>
        <v>0</v>
      </c>
    </row>
    <row r="142" spans="1:6" ht="16.5">
      <c r="A142" s="128"/>
      <c r="B142" s="336"/>
      <c r="C142" s="528"/>
      <c r="D142" s="542" t="s">
        <v>1113</v>
      </c>
      <c r="E142" s="1138">
        <f>SUM(E138:E141)</f>
        <v>194419.8</v>
      </c>
      <c r="F142" s="1078">
        <f>SUM(F138:F141)</f>
        <v>228196.33</v>
      </c>
    </row>
    <row r="143" spans="1:6">
      <c r="A143" s="128">
        <v>5104108000</v>
      </c>
      <c r="B143" s="131"/>
      <c r="C143" s="131"/>
      <c r="D143" s="128" t="str">
        <f>VLOOKUP(A143,Trial!A:B,2,0)</f>
        <v>Training - In Country</v>
      </c>
      <c r="E143" s="125">
        <f>ABS(IFERROR(VLOOKUP(A143,Trial!A:C,3,0),0))</f>
        <v>553473</v>
      </c>
      <c r="F143" s="125">
        <f>ABS(IFERROR(VLOOKUP(A143,Trial_Balance,4,0),0))</f>
        <v>2000126</v>
      </c>
    </row>
    <row r="144" spans="1:6">
      <c r="A144" s="128">
        <v>5104108001</v>
      </c>
      <c r="B144" s="131"/>
      <c r="C144" s="131"/>
      <c r="D144" s="128" t="str">
        <f>VLOOKUP(A144,Trial!A:B,2,0)</f>
        <v>Training - Ex Country</v>
      </c>
      <c r="E144" s="125">
        <f>ABS(IFERROR(VLOOKUP(A144,Trial!A:C,3,0),0))</f>
        <v>15000</v>
      </c>
      <c r="F144" s="125">
        <f>ABS(IFERROR(VLOOKUP(A144,Trial_Balance,4,0),0))</f>
        <v>484831.4</v>
      </c>
    </row>
    <row r="145" spans="1:6">
      <c r="A145" s="128">
        <v>5104108002</v>
      </c>
      <c r="B145" s="131"/>
      <c r="C145" s="131"/>
      <c r="D145" s="128" t="str">
        <f>VLOOKUP(A145,Trial!A:B,2,0)</f>
        <v>Meeting and Seminar</v>
      </c>
      <c r="E145" s="125">
        <f>ABS(IFERROR(VLOOKUP(A145,Trial!A:C,3,0),0))</f>
        <v>631122</v>
      </c>
      <c r="F145" s="125">
        <f>ABS(IFERROR(VLOOKUP(A145,Trial_Balance,4,0),0))</f>
        <v>1406665.2</v>
      </c>
    </row>
    <row r="146" spans="1:6">
      <c r="A146" s="128">
        <v>5104108006</v>
      </c>
      <c r="B146" s="131"/>
      <c r="C146" s="131"/>
      <c r="D146" s="128" t="str">
        <f>VLOOKUP(A146,Trial!A:B,2,0)</f>
        <v>BT Day &amp; Development Program Expense</v>
      </c>
      <c r="E146" s="125">
        <f>ABS(IFERROR(VLOOKUP(A146,Trial!A:C,3,0),0))</f>
        <v>0</v>
      </c>
      <c r="F146" s="125">
        <f>ABS(IFERROR(VLOOKUP(A146,Trial_Balance,4,0),0))</f>
        <v>1080</v>
      </c>
    </row>
    <row r="147" spans="1:6">
      <c r="A147" s="128">
        <v>5104108005</v>
      </c>
      <c r="B147" s="131"/>
      <c r="C147" s="131"/>
      <c r="D147" s="128" t="str">
        <f>VLOOKUP(A147,Trial!A:B,2,0)</f>
        <v>Transfer Grant Expenses</v>
      </c>
      <c r="E147" s="125">
        <f>ABS(IFERROR(VLOOKUP(A147,Trial!A:C,3,0),0))</f>
        <v>1147013.26</v>
      </c>
      <c r="F147" s="125">
        <f>ABS(IFERROR(VLOOKUP(A147,Trial_Balance,4,0),0))</f>
        <v>1363527.22</v>
      </c>
    </row>
    <row r="148" spans="1:6" ht="16.5">
      <c r="B148" s="330"/>
      <c r="C148" s="486"/>
      <c r="D148" s="542" t="s">
        <v>1388</v>
      </c>
      <c r="E148" s="1138">
        <f>SUM(E143:E147)</f>
        <v>2346608.2599999998</v>
      </c>
      <c r="F148" s="1078">
        <f>SUM(F143:F147)</f>
        <v>5256229.8199999994</v>
      </c>
    </row>
    <row r="149" spans="1:6" ht="16.5">
      <c r="A149" s="128"/>
      <c r="B149" s="336"/>
      <c r="C149" s="544"/>
      <c r="D149" s="550"/>
      <c r="E149" s="1185">
        <f>SUM(E148+E142+E137+E136+E135)</f>
        <v>58511974.32</v>
      </c>
      <c r="F149" s="1188">
        <f>SUM(F148+F142+F137+F136+F135)</f>
        <v>80211121.890000015</v>
      </c>
    </row>
    <row r="150" spans="1:6" ht="16.5">
      <c r="A150" s="128"/>
      <c r="B150" s="336"/>
      <c r="C150" s="528"/>
      <c r="D150" s="269" t="s">
        <v>1389</v>
      </c>
      <c r="E150" s="1182"/>
      <c r="F150" s="1135"/>
    </row>
    <row r="151" spans="1:6" ht="16.5">
      <c r="A151" s="128"/>
      <c r="B151" s="336"/>
      <c r="C151" s="544"/>
      <c r="D151" s="340"/>
      <c r="E151" s="1189"/>
      <c r="F151" s="1190"/>
    </row>
    <row r="152" spans="1:6" ht="31.5">
      <c r="A152" s="128"/>
      <c r="B152" s="336"/>
      <c r="C152" s="1443" t="str">
        <f>+C127</f>
        <v>Particulars</v>
      </c>
      <c r="D152" s="1443"/>
      <c r="E152" s="1136" t="str">
        <f>+E127</f>
        <v>As at 31st March, 2019</v>
      </c>
      <c r="F152" s="1137" t="str">
        <f>+F127</f>
        <v>As at 31st March, 2018</v>
      </c>
    </row>
    <row r="153" spans="1:6" s="4" customFormat="1" ht="16.5">
      <c r="A153" s="128"/>
      <c r="B153" s="336"/>
      <c r="C153" s="211" t="s">
        <v>1412</v>
      </c>
      <c r="D153" s="540" t="s">
        <v>1411</v>
      </c>
      <c r="E153" s="1186"/>
      <c r="F153" s="1180"/>
    </row>
    <row r="154" spans="1:6" s="127" customFormat="1">
      <c r="A154" s="128">
        <v>5105101000</v>
      </c>
      <c r="B154" s="269"/>
      <c r="C154" s="252"/>
      <c r="D154" s="542" t="s">
        <v>652</v>
      </c>
      <c r="E154" s="1078">
        <f>ABS(IFERROR(VLOOKUP(A154,Trial!A:C,3,0),0))</f>
        <v>98715</v>
      </c>
      <c r="F154" s="1134">
        <f>ABS(IFERROR(VLOOKUP(A154,Trial_Balance,4,0),0))</f>
        <v>91671</v>
      </c>
    </row>
    <row r="155" spans="1:6">
      <c r="A155" s="128">
        <v>5105101001</v>
      </c>
      <c r="B155" s="131"/>
      <c r="C155" s="131"/>
      <c r="D155" s="128" t="str">
        <f>VLOOKUP(A155,Trial!A:B,2,0)</f>
        <v>Discount Allowed</v>
      </c>
      <c r="E155" s="125">
        <f>ABS(IFERROR(VLOOKUP(A155,Trial!A:C,3,0),0))</f>
        <v>9000</v>
      </c>
      <c r="F155" s="125">
        <f>ABS(IFERROR(VLOOKUP(A155,Trial_Balance,4,0),0))</f>
        <v>492294.1</v>
      </c>
    </row>
    <row r="156" spans="1:6" ht="16.5">
      <c r="A156" s="128">
        <v>5105109000</v>
      </c>
      <c r="B156" s="336"/>
      <c r="C156" s="528"/>
      <c r="D156" s="542" t="str">
        <f>VLOOKUP(A156,Trial!A:B,2,0)</f>
        <v>Advertisement</v>
      </c>
      <c r="E156" s="1078">
        <f>ABS(IFERROR(VLOOKUP(A156,Trial!A:C,3,0),0))</f>
        <v>656615.5</v>
      </c>
      <c r="F156" s="1134">
        <f>ABS(IFERROR(VLOOKUP(A156,Trial_Balance,4,0),0))</f>
        <v>118820</v>
      </c>
    </row>
    <row r="157" spans="1:6" ht="16.5">
      <c r="A157" s="128">
        <v>5105120000</v>
      </c>
      <c r="B157" s="336"/>
      <c r="C157" s="528"/>
      <c r="D157" s="542" t="str">
        <f>VLOOKUP(A157,Trial!A:B,2,0)</f>
        <v>Commission</v>
      </c>
      <c r="E157" s="1078">
        <f>ABS(IFERROR(VLOOKUP(A157,Trial!A:C,3,0),0))</f>
        <v>42843702.840000004</v>
      </c>
      <c r="F157" s="1134">
        <f>ABS(IFERROR(VLOOKUP(A157,Trial_Balance,4,0),0))</f>
        <v>38689199.390000001</v>
      </c>
    </row>
    <row r="158" spans="1:6" s="127" customFormat="1">
      <c r="A158" s="128">
        <v>5105104001</v>
      </c>
      <c r="B158" s="128"/>
      <c r="C158" s="128"/>
      <c r="D158" s="128" t="str">
        <f>VLOOKUP(A158,Trial!A:B,2,0)</f>
        <v>Brand &amp; Management Fees</v>
      </c>
      <c r="E158" s="125">
        <f>ABS(IFERROR(VLOOKUP(A158,Trial!A:C,3,0),0))</f>
        <v>0</v>
      </c>
      <c r="F158" s="125">
        <f>ABS(IFERROR(VLOOKUP(A158,Trial_Balance,4,0),0))</f>
        <v>0</v>
      </c>
    </row>
    <row r="159" spans="1:6" ht="16.5">
      <c r="A159" s="128"/>
      <c r="B159" s="336"/>
      <c r="C159" s="528"/>
      <c r="D159" s="542" t="s">
        <v>1093</v>
      </c>
      <c r="E159" s="1078">
        <f>E158</f>
        <v>0</v>
      </c>
      <c r="F159" s="1134">
        <f>F158</f>
        <v>0</v>
      </c>
    </row>
    <row r="160" spans="1:6">
      <c r="A160" s="128"/>
      <c r="B160" s="3"/>
      <c r="C160" s="553"/>
      <c r="D160" s="552"/>
      <c r="E160" s="1191">
        <f>SUM(E159+E155+E157+E156+E154)</f>
        <v>43608033.340000004</v>
      </c>
      <c r="F160" s="1192">
        <f>SUM(F159+F157+F156+F154+F155)</f>
        <v>39391984.490000002</v>
      </c>
    </row>
    <row r="161" spans="1:6">
      <c r="A161" s="128"/>
      <c r="B161" s="3"/>
      <c r="C161" s="551"/>
      <c r="D161" s="122"/>
      <c r="E161" s="512"/>
      <c r="F161" s="838"/>
    </row>
    <row r="162" spans="1:6" ht="31.5">
      <c r="B162" s="132"/>
      <c r="C162" s="1443" t="str">
        <f>+C152</f>
        <v>Particulars</v>
      </c>
      <c r="D162" s="1443"/>
      <c r="E162" s="1137" t="str">
        <f>+E152</f>
        <v>As at 31st March, 2019</v>
      </c>
      <c r="F162" s="1136" t="str">
        <f>+F152</f>
        <v>As at 31st March, 2018</v>
      </c>
    </row>
    <row r="163" spans="1:6" s="4" customFormat="1">
      <c r="A163" s="127"/>
      <c r="B163" s="132"/>
      <c r="C163" s="211" t="s">
        <v>1414</v>
      </c>
      <c r="D163" s="878" t="s">
        <v>1413</v>
      </c>
      <c r="E163" s="1180"/>
      <c r="F163" s="1180"/>
    </row>
    <row r="164" spans="1:6">
      <c r="A164" s="128">
        <v>5107101000</v>
      </c>
      <c r="B164" s="131"/>
      <c r="C164" s="131"/>
      <c r="D164" s="128" t="str">
        <f>VLOOKUP(A164,Trial!A:B,2,0)</f>
        <v>Depreciation - Building</v>
      </c>
      <c r="E164" s="125">
        <f>ABS(IFERROR(VLOOKUP(A164,Trial!A:C,3,0),0))</f>
        <v>7015183.1900000004</v>
      </c>
      <c r="F164" s="125">
        <f t="shared" ref="F164:F173" si="10">ABS(IFERROR(VLOOKUP(A164,Trial_Balance,4,0),0))</f>
        <v>6300625</v>
      </c>
    </row>
    <row r="165" spans="1:6">
      <c r="A165" s="128">
        <v>5107102000</v>
      </c>
      <c r="B165" s="131"/>
      <c r="C165" s="131"/>
      <c r="D165" s="128" t="str">
        <f>VLOOKUP(A165,Trial!A:B,2,0)</f>
        <v>Depreciation - Tele Equipment</v>
      </c>
      <c r="E165" s="125">
        <f>ABS(IFERROR(VLOOKUP(A165,Trial!A:C,3,0),0))</f>
        <v>92821649.599999994</v>
      </c>
      <c r="F165" s="125">
        <f t="shared" si="10"/>
        <v>88983670</v>
      </c>
    </row>
    <row r="166" spans="1:6">
      <c r="A166" s="128">
        <v>5108101000</v>
      </c>
      <c r="B166" s="131"/>
      <c r="C166" s="131"/>
      <c r="D166" s="128" t="s">
        <v>177</v>
      </c>
      <c r="E166" s="125">
        <f>-ABS(IFERROR(VLOOKUP(A166,Trial!A:C,3,0),0))</f>
        <v>0</v>
      </c>
      <c r="F166" s="125"/>
    </row>
    <row r="167" spans="1:6">
      <c r="A167" s="128">
        <v>5107103000</v>
      </c>
      <c r="B167" s="131"/>
      <c r="C167" s="131"/>
      <c r="D167" s="128" t="str">
        <f>VLOOKUP(A167,Trial!A:B,2,0)</f>
        <v>Depreciation - Office Equipment</v>
      </c>
      <c r="E167" s="125">
        <f>ABS(IFERROR(VLOOKUP(A167,Trial!A:C,3,0),0))</f>
        <v>1978783.08</v>
      </c>
      <c r="F167" s="125">
        <f t="shared" si="10"/>
        <v>2172885.84</v>
      </c>
    </row>
    <row r="168" spans="1:6">
      <c r="A168" s="128">
        <v>5107103001</v>
      </c>
      <c r="B168" s="131"/>
      <c r="C168" s="131"/>
      <c r="D168" s="128" t="str">
        <f>VLOOKUP(A168,Trial!A:B,2,0)</f>
        <v>Depreciation - Furniture and Fixtures</v>
      </c>
      <c r="E168" s="125">
        <f>ABS(IFERROR(VLOOKUP(A168,Trial!A:C,3,0),0))</f>
        <v>362135.91</v>
      </c>
      <c r="F168" s="125">
        <f t="shared" si="10"/>
        <v>373956</v>
      </c>
    </row>
    <row r="169" spans="1:6">
      <c r="A169" s="128">
        <v>5107104000</v>
      </c>
      <c r="B169" s="131"/>
      <c r="C169" s="131"/>
      <c r="D169" s="128" t="str">
        <f>VLOOKUP(A169,Trial!A:B,2,0)</f>
        <v>Depreciation - Power System</v>
      </c>
      <c r="E169" s="125">
        <f>ABS(IFERROR(VLOOKUP(A169,Trial!A:C,3,0),0))</f>
        <v>27473611</v>
      </c>
      <c r="F169" s="125">
        <f t="shared" si="10"/>
        <v>28344469</v>
      </c>
    </row>
    <row r="170" spans="1:6">
      <c r="A170" s="128">
        <v>5107104001</v>
      </c>
      <c r="B170" s="131"/>
      <c r="C170" s="131"/>
      <c r="D170" s="128" t="str">
        <f>VLOOKUP(A170,Trial!A:B,2,0)</f>
        <v>Depreciation - Cable and Accessories</v>
      </c>
      <c r="E170" s="125">
        <f>ABS(IFERROR(VLOOKUP(A170,Trial!A:C,3,0),0))</f>
        <v>11350321</v>
      </c>
      <c r="F170" s="125">
        <f t="shared" si="10"/>
        <v>10214794</v>
      </c>
    </row>
    <row r="171" spans="1:6">
      <c r="A171" s="128">
        <v>5107105000</v>
      </c>
      <c r="B171" s="131"/>
      <c r="C171" s="131"/>
      <c r="D171" s="128" t="str">
        <f>VLOOKUP(A171,Trial!A:B,2,0)</f>
        <v>Depreciation - Vehicle</v>
      </c>
      <c r="E171" s="125">
        <f>ABS(IFERROR(VLOOKUP(A171,Trial!A:C,3,0),0))</f>
        <v>1721460</v>
      </c>
      <c r="F171" s="125">
        <f t="shared" si="10"/>
        <v>1844989.13</v>
      </c>
    </row>
    <row r="172" spans="1:6">
      <c r="A172" s="128">
        <v>5107106000</v>
      </c>
      <c r="B172" s="131"/>
      <c r="C172" s="131"/>
      <c r="D172" s="128" t="str">
        <f>VLOOKUP(A172,Trial!A:B,2,0)</f>
        <v>Depreciation - Tools and Spare Parts</v>
      </c>
      <c r="E172" s="125">
        <f>ABS(IFERROR(VLOOKUP(A172,Trial!A:C,3,0),0))</f>
        <v>2354814</v>
      </c>
      <c r="F172" s="125">
        <f t="shared" si="10"/>
        <v>1887482</v>
      </c>
    </row>
    <row r="173" spans="1:6">
      <c r="A173" s="127">
        <v>5107107000</v>
      </c>
      <c r="D173" s="128" t="str">
        <f>VLOOKUP(A173,Trial!A:B,2,0)</f>
        <v>Depreciation - Leasehold Building</v>
      </c>
      <c r="E173" s="125">
        <f>ABS(IFERROR(VLOOKUP(A173,Trial!A:C,3,0),0))</f>
        <v>0</v>
      </c>
      <c r="F173" s="125">
        <f t="shared" si="10"/>
        <v>0</v>
      </c>
    </row>
    <row r="174" spans="1:6">
      <c r="A174" s="127">
        <v>5107108000</v>
      </c>
      <c r="B174" s="132"/>
      <c r="C174" s="132"/>
      <c r="D174" s="128" t="str">
        <f>VLOOKUP(A174,Trial!A:B,2,0)</f>
        <v>Depreciation - Capital Grants</v>
      </c>
      <c r="E174" s="125">
        <f>-ABS(IFERROR(VLOOKUP(A174,Trial!A:C,3,0),0))-E177</f>
        <v>0</v>
      </c>
      <c r="F174" s="125">
        <f>-ABS(IFERROR(VLOOKUP(A174,Trial_Balance,4,0),0))-F177</f>
        <v>0</v>
      </c>
    </row>
    <row r="175" spans="1:6">
      <c r="B175" s="341"/>
      <c r="C175" s="554"/>
      <c r="D175" s="542" t="s">
        <v>1390</v>
      </c>
      <c r="E175" s="1078">
        <f>SUM(E164:E174)</f>
        <v>145077957.77999997</v>
      </c>
      <c r="F175" s="1134">
        <f>SUM(F164:F174)</f>
        <v>140122870.97</v>
      </c>
    </row>
    <row r="176" spans="1:6">
      <c r="A176" s="128">
        <v>5107202000</v>
      </c>
      <c r="B176" s="132"/>
      <c r="C176" s="132"/>
      <c r="D176" s="128" t="str">
        <f>VLOOKUP(A176,Trial!A:B,2,0)</f>
        <v>Amortization of Software</v>
      </c>
      <c r="E176" s="125">
        <f>ABS(IFERROR(VLOOKUP(A176,Trial!A:C,3,0),0))</f>
        <v>92415235</v>
      </c>
      <c r="F176" s="125">
        <f>ABS(IFERROR(VLOOKUP(A176,Trial_Balance,4,0),0))</f>
        <v>73895945.700000003</v>
      </c>
    </row>
    <row r="177" spans="1:7">
      <c r="A177" s="128">
        <v>5107108000</v>
      </c>
      <c r="D177" s="128" t="s">
        <v>176</v>
      </c>
      <c r="E177" s="125">
        <v>0</v>
      </c>
      <c r="F177" s="125">
        <v>0</v>
      </c>
    </row>
    <row r="178" spans="1:7" ht="16.5">
      <c r="A178" s="128"/>
      <c r="B178" s="330"/>
      <c r="C178" s="486"/>
      <c r="D178" s="542" t="s">
        <v>1391</v>
      </c>
      <c r="E178" s="1134">
        <f>SUM(E176:E177)</f>
        <v>92415235</v>
      </c>
      <c r="F178" s="1134">
        <f>SUM(F176:F177)</f>
        <v>73895945.700000003</v>
      </c>
    </row>
    <row r="179" spans="1:7" ht="16.5">
      <c r="B179" s="336"/>
      <c r="C179" s="544"/>
      <c r="D179" s="549" t="s">
        <v>114</v>
      </c>
      <c r="E179" s="1079">
        <f>E178+E175</f>
        <v>237493192.77999997</v>
      </c>
      <c r="F179" s="1109">
        <f>F178+F175</f>
        <v>214018816.67000002</v>
      </c>
      <c r="G179" s="1205"/>
    </row>
    <row r="180" spans="1:7">
      <c r="A180" s="128"/>
      <c r="B180" s="131"/>
      <c r="C180" s="131"/>
      <c r="D180" s="128"/>
      <c r="E180" s="219"/>
      <c r="F180" s="219"/>
    </row>
    <row r="181" spans="1:7">
      <c r="A181" s="128"/>
      <c r="B181" s="3"/>
      <c r="C181" s="551"/>
      <c r="D181" s="122" t="s">
        <v>1392</v>
      </c>
      <c r="E181" s="512"/>
      <c r="F181" s="838"/>
    </row>
    <row r="182" spans="1:7">
      <c r="A182" s="128"/>
      <c r="B182" s="3"/>
      <c r="C182" s="551"/>
      <c r="D182" s="122"/>
      <c r="E182" s="512"/>
      <c r="F182" s="838"/>
    </row>
    <row r="183" spans="1:7" ht="31.5">
      <c r="A183" s="128"/>
      <c r="B183" s="336"/>
      <c r="C183" s="1443" t="str">
        <f>+C162</f>
        <v>Particulars</v>
      </c>
      <c r="D183" s="1443"/>
      <c r="E183" s="1136" t="str">
        <f>+E162</f>
        <v>As at 31st March, 2019</v>
      </c>
      <c r="F183" s="1137" t="str">
        <f>+F162</f>
        <v>As at 31st March, 2018</v>
      </c>
    </row>
    <row r="184" spans="1:7" s="4" customFormat="1" ht="16.5">
      <c r="A184" s="128"/>
      <c r="B184" s="336"/>
      <c r="C184" s="211" t="s">
        <v>1416</v>
      </c>
      <c r="D184" s="216" t="s">
        <v>1415</v>
      </c>
      <c r="E184" s="1193"/>
      <c r="F184" s="1180"/>
    </row>
    <row r="185" spans="1:7" ht="16.5">
      <c r="A185" s="128">
        <v>5106101000</v>
      </c>
      <c r="B185" s="336"/>
      <c r="C185" s="528"/>
      <c r="D185" s="542" t="s">
        <v>1393</v>
      </c>
      <c r="E185" s="1078">
        <f>ABS(IFERROR(VLOOKUP(A185,Trial!A:C,3,0),0))</f>
        <v>1517653.52</v>
      </c>
      <c r="F185" s="1134">
        <f>ABS(IFERROR(VLOOKUP(A185,Trial_Balance,4,0),0))</f>
        <v>878424.66</v>
      </c>
    </row>
    <row r="186" spans="1:7" ht="16.5">
      <c r="A186" s="128">
        <v>5106102000</v>
      </c>
      <c r="B186" s="336"/>
      <c r="C186" s="528"/>
      <c r="D186" s="542" t="str">
        <f>VLOOKUP(A186,Trial!A:B,2,0)</f>
        <v>Bank Charges</v>
      </c>
      <c r="E186" s="1078">
        <f>ABS(IFERROR(VLOOKUP(A186,Trial!A:C,3,0),0))</f>
        <v>333261.7</v>
      </c>
      <c r="F186" s="1134">
        <f>ABS(IFERROR(VLOOKUP(A186,Trial_Balance,4,0),0))</f>
        <v>201120.03</v>
      </c>
    </row>
    <row r="187" spans="1:7">
      <c r="A187" s="128">
        <v>5106101001</v>
      </c>
      <c r="B187" s="269"/>
      <c r="C187" s="252"/>
      <c r="D187" s="539" t="s">
        <v>1133</v>
      </c>
      <c r="E187" s="1078">
        <f>ABS(IFERROR(VLOOKUP(A187,Trial!A:C,3,0),0))</f>
        <v>0</v>
      </c>
      <c r="F187" s="1134">
        <f>ABS(IFERROR(VLOOKUP(A187,Trial_Balance,4,0),0))</f>
        <v>0</v>
      </c>
    </row>
    <row r="188" spans="1:7" ht="16.5">
      <c r="A188" s="128"/>
      <c r="B188" s="336"/>
      <c r="C188" s="544"/>
      <c r="D188" s="549"/>
      <c r="E188" s="1079">
        <f>+SUM(E185:E186)+E187</f>
        <v>1850915.22</v>
      </c>
      <c r="F188" s="1109">
        <f>+SUM(F185:F186)+F187</f>
        <v>1079544.69</v>
      </c>
    </row>
    <row r="189" spans="1:7" ht="16.5">
      <c r="A189" s="128"/>
      <c r="B189" s="336"/>
      <c r="C189" s="528"/>
      <c r="D189" s="218" t="s">
        <v>1394</v>
      </c>
      <c r="E189" s="1119"/>
      <c r="F189" s="1108"/>
    </row>
    <row r="190" spans="1:7">
      <c r="A190" s="128"/>
      <c r="B190" s="131"/>
      <c r="C190" s="131"/>
      <c r="D190" s="128"/>
      <c r="E190" s="219"/>
      <c r="F190" s="219"/>
    </row>
    <row r="191" spans="1:7" ht="16.5">
      <c r="A191" s="128"/>
      <c r="B191" s="336"/>
      <c r="C191" s="528"/>
      <c r="D191" s="269"/>
      <c r="E191" s="1119"/>
      <c r="F191" s="1108"/>
    </row>
    <row r="192" spans="1:7" ht="31.5">
      <c r="A192" s="128"/>
      <c r="B192" s="336"/>
      <c r="C192" s="1443" t="str">
        <f>+C183</f>
        <v>Particulars</v>
      </c>
      <c r="D192" s="1443"/>
      <c r="E192" s="1136" t="str">
        <f>+E183</f>
        <v>As at 31st March, 2019</v>
      </c>
      <c r="F192" s="1137" t="str">
        <f>+F183</f>
        <v>As at 31st March, 2018</v>
      </c>
    </row>
    <row r="193" spans="1:6" ht="16.5">
      <c r="A193" s="128"/>
      <c r="B193" s="336"/>
      <c r="C193" s="211" t="s">
        <v>1418</v>
      </c>
      <c r="D193" s="216" t="s">
        <v>1417</v>
      </c>
      <c r="E193" s="1194"/>
      <c r="F193" s="1195"/>
    </row>
    <row r="194" spans="1:6" ht="16.5">
      <c r="A194" s="128">
        <v>5105114001</v>
      </c>
      <c r="B194" s="336"/>
      <c r="C194" s="528"/>
      <c r="D194" s="542" t="str">
        <f>VLOOKUP(A194,Trial!A:B,2,0)</f>
        <v>Fines &amp; Penalty</v>
      </c>
      <c r="E194" s="1078">
        <f>ABS(IFERROR(VLOOKUP(A194,Trial!A:C,3,0),0))</f>
        <v>0</v>
      </c>
      <c r="F194" s="1134">
        <f t="shared" ref="F194:F202" si="11">ABS(IFERROR(VLOOKUP(A194,Trial_Balance,4,0),0))</f>
        <v>0</v>
      </c>
    </row>
    <row r="195" spans="1:6" s="127" customFormat="1">
      <c r="A195" s="128">
        <v>5105117000</v>
      </c>
      <c r="B195" s="269"/>
      <c r="C195" s="252"/>
      <c r="D195" s="542" t="str">
        <f>VLOOKUP(A195,Trial!A:B,2,0)</f>
        <v>Rates and Taxes</v>
      </c>
      <c r="E195" s="1078">
        <f>ABS(IFERROR(VLOOKUP(A195,Trial!A:C,3,0),0))</f>
        <v>2500</v>
      </c>
      <c r="F195" s="1134">
        <f t="shared" si="11"/>
        <v>12231.6</v>
      </c>
    </row>
    <row r="196" spans="1:6" ht="16.5">
      <c r="A196" s="128">
        <v>5105126003</v>
      </c>
      <c r="B196" s="336"/>
      <c r="C196" s="528"/>
      <c r="D196" s="542" t="s">
        <v>1395</v>
      </c>
      <c r="E196" s="1078">
        <f>ABS(IFERROR(VLOOKUP(A196,Trial!A:C,3,0),0))</f>
        <v>0</v>
      </c>
      <c r="F196" s="1134">
        <f t="shared" si="11"/>
        <v>0</v>
      </c>
    </row>
    <row r="197" spans="1:6" s="127" customFormat="1">
      <c r="A197" s="128">
        <v>5103103008</v>
      </c>
      <c r="B197" s="269"/>
      <c r="C197" s="252"/>
      <c r="D197" s="542" t="s">
        <v>1438</v>
      </c>
      <c r="E197" s="1078">
        <f>ABS(IFERROR(VLOOKUP(A197,Trial!A:C,3,0),0))</f>
        <v>0</v>
      </c>
      <c r="F197" s="1134">
        <f t="shared" si="11"/>
        <v>198413.68</v>
      </c>
    </row>
    <row r="198" spans="1:6" ht="16.5">
      <c r="A198" s="128">
        <v>5105113000</v>
      </c>
      <c r="B198" s="336"/>
      <c r="C198" s="528"/>
      <c r="D198" s="542" t="str">
        <f>VLOOKUP(A198,Trial!A:B,2,0)</f>
        <v>Communication (Fax, Mail, Post)</v>
      </c>
      <c r="E198" s="1078">
        <f>ABS(IFERROR(VLOOKUP(A198,Trial!A:C,3,0),0))</f>
        <v>85087.5</v>
      </c>
      <c r="F198" s="1134">
        <f t="shared" si="11"/>
        <v>106026</v>
      </c>
    </row>
    <row r="199" spans="1:6" s="127" customFormat="1">
      <c r="A199" s="128">
        <v>5105123000</v>
      </c>
      <c r="B199" s="269"/>
      <c r="C199" s="252"/>
      <c r="D199" s="542" t="str">
        <f>VLOOKUP(A199,Trial!A:B,2,0)</f>
        <v>Carriage Outward &amp; Inward</v>
      </c>
      <c r="E199" s="1078">
        <f>ABS(IFERROR(VLOOKUP(A199,Trial!A:C,3,0),0))</f>
        <v>111770</v>
      </c>
      <c r="F199" s="1134">
        <f t="shared" si="11"/>
        <v>141123</v>
      </c>
    </row>
    <row r="200" spans="1:6" ht="16.5">
      <c r="A200" s="128">
        <v>5103104000</v>
      </c>
      <c r="B200" s="336"/>
      <c r="C200" s="528"/>
      <c r="D200" s="542" t="str">
        <f>VLOOKUP(A200,Trial!A:B,2,0)</f>
        <v>Vehicle Running Expense - POL</v>
      </c>
      <c r="E200" s="1078">
        <f>ABS(IFERROR(VLOOKUP(A200,Trial!A:C,3,0),0))</f>
        <v>2186016.2000000002</v>
      </c>
      <c r="F200" s="1134">
        <f t="shared" si="11"/>
        <v>1526381.89</v>
      </c>
    </row>
    <row r="201" spans="1:6" s="127" customFormat="1">
      <c r="A201" s="127">
        <v>5105130000</v>
      </c>
      <c r="D201" s="128" t="str">
        <f>VLOOKUP(A201,Trial!A:B,2,0)</f>
        <v>Audit Fees</v>
      </c>
      <c r="E201" s="125">
        <f>ABS(IFERROR(VLOOKUP(A201,Trial!A:C,3,0),0))</f>
        <v>0</v>
      </c>
      <c r="F201" s="125">
        <f t="shared" si="11"/>
        <v>0</v>
      </c>
    </row>
    <row r="202" spans="1:6">
      <c r="A202" s="128">
        <v>5105130001</v>
      </c>
      <c r="B202" s="131"/>
      <c r="C202" s="131"/>
      <c r="D202" s="128" t="str">
        <f>VLOOKUP(A202,Trial!A:B,2,0)</f>
        <v>Audit Expenses</v>
      </c>
      <c r="E202" s="125">
        <f>ABS(IFERROR(VLOOKUP(A202,Trial!A:C,3,0),0))</f>
        <v>474948.5</v>
      </c>
      <c r="F202" s="125">
        <f t="shared" si="11"/>
        <v>410722.5</v>
      </c>
    </row>
    <row r="203" spans="1:6" ht="16.5">
      <c r="A203" s="128"/>
      <c r="B203" s="336"/>
      <c r="C203" s="528"/>
      <c r="D203" s="542" t="s">
        <v>1121</v>
      </c>
      <c r="E203" s="1078">
        <f>SUM(E201:E202)</f>
        <v>474948.5</v>
      </c>
      <c r="F203" s="1134">
        <f>SUM(F201:F202)</f>
        <v>410722.5</v>
      </c>
    </row>
    <row r="204" spans="1:6">
      <c r="A204" s="128">
        <v>5105108000</v>
      </c>
      <c r="B204" s="131"/>
      <c r="C204" s="131"/>
      <c r="D204" s="128" t="str">
        <f>VLOOKUP(A204,Trial!A:B,2,0)</f>
        <v>Printing and Stationary</v>
      </c>
      <c r="E204" s="125">
        <f>ABS(IFERROR(VLOOKUP(A204,Trial!A:C,3,0),0))</f>
        <v>6830</v>
      </c>
      <c r="F204" s="125">
        <f>ABS(IFERROR(VLOOKUP(A204,Trial_Balance,4,0),0))</f>
        <v>0</v>
      </c>
    </row>
    <row r="205" spans="1:6">
      <c r="A205" s="128">
        <v>5102106000</v>
      </c>
      <c r="B205" s="131"/>
      <c r="C205" s="131"/>
      <c r="D205" s="128" t="str">
        <f>VLOOKUP(A205,Trial!A:B,2,0)</f>
        <v>Consumption of Printing and Stationaries</v>
      </c>
      <c r="E205" s="125">
        <f>ABS(IFERROR(VLOOKUP(A205,Trial!A:C,3,0),0))</f>
        <v>185693.3</v>
      </c>
      <c r="F205" s="125">
        <f>ABS(IFERROR(VLOOKUP(A205,Trial_Balance,4,0),0))</f>
        <v>199952.3</v>
      </c>
    </row>
    <row r="206" spans="1:6" ht="16.5">
      <c r="A206" s="128"/>
      <c r="B206" s="336"/>
      <c r="C206" s="528"/>
      <c r="D206" s="542" t="s">
        <v>1120</v>
      </c>
      <c r="E206" s="1078">
        <f>SUM(E204:E205)</f>
        <v>192523.3</v>
      </c>
      <c r="F206" s="1134">
        <f>SUM(F204:F205)</f>
        <v>199952.3</v>
      </c>
    </row>
    <row r="207" spans="1:6">
      <c r="A207" s="128">
        <v>5105119003</v>
      </c>
      <c r="B207" s="131"/>
      <c r="C207" s="131"/>
      <c r="D207" s="128" t="str">
        <f>VLOOKUP(A207,Trial!A:B,2,0)</f>
        <v>Insurance on Telecom Equipment</v>
      </c>
      <c r="E207" s="125">
        <f>ABS(IFERROR(VLOOKUP(A207,Trial!A:C,3,0),0))</f>
        <v>0</v>
      </c>
      <c r="F207" s="125">
        <f>ABS(IFERROR(VLOOKUP(A207,Trial_Balance,4,0),0))</f>
        <v>0</v>
      </c>
    </row>
    <row r="208" spans="1:6">
      <c r="A208" s="128">
        <v>5105119000</v>
      </c>
      <c r="D208" s="128" t="s">
        <v>668</v>
      </c>
      <c r="E208" s="125">
        <f>ABS(IFERROR(VLOOKUP(A208,Trial!A:C,3,0),0))</f>
        <v>25195</v>
      </c>
      <c r="F208" s="125">
        <f>ABS(IFERROR(VLOOKUP(A208,Trial_Balance,4,0),0))</f>
        <v>20415</v>
      </c>
    </row>
    <row r="209" spans="1:6" ht="16.5">
      <c r="A209" s="128"/>
      <c r="B209" s="330"/>
      <c r="C209" s="486"/>
      <c r="D209" s="542" t="s">
        <v>1119</v>
      </c>
      <c r="E209" s="1078">
        <f>SUM(E207:E208)</f>
        <v>25195</v>
      </c>
      <c r="F209" s="1134">
        <f>SUM(F207:F208)</f>
        <v>20415</v>
      </c>
    </row>
    <row r="210" spans="1:6">
      <c r="A210" s="128">
        <v>5105126005</v>
      </c>
      <c r="B210" s="131"/>
      <c r="C210" s="131"/>
      <c r="D210" s="128" t="str">
        <f>VLOOKUP(A210,Trial!A:B,2,0)</f>
        <v>Loss/Scrapping/Retirement of Asset</v>
      </c>
      <c r="E210" s="125">
        <f>ABS(IFERROR(VLOOKUP(A210,Trial!A:C,3,0),0))</f>
        <v>0</v>
      </c>
      <c r="F210" s="125">
        <f>ABS(IFERROR(VLOOKUP(A210,Trial_Balance,4,0),0))</f>
        <v>0</v>
      </c>
    </row>
    <row r="211" spans="1:6" s="127" customFormat="1">
      <c r="A211" s="128">
        <v>5105126006</v>
      </c>
      <c r="B211" s="128"/>
      <c r="C211" s="128"/>
      <c r="D211" s="128" t="str">
        <f>VLOOKUP(A211,Trial!A:B,2,0)</f>
        <v>Loss on Sale of Fixed Asset</v>
      </c>
      <c r="E211" s="125">
        <f>ABS(IFERROR(VLOOKUP(A211,Trial!A:C,3,0),0))</f>
        <v>0</v>
      </c>
      <c r="F211" s="125">
        <f>ABS(IFERROR(VLOOKUP(A211,Trial_Balance,4,0),0))</f>
        <v>171935.91</v>
      </c>
    </row>
    <row r="212" spans="1:6">
      <c r="A212" s="128">
        <v>4102105001</v>
      </c>
      <c r="B212" s="131"/>
      <c r="C212" s="131"/>
      <c r="D212" s="128" t="str">
        <f>VLOOKUP(A212,Trial!A:B,2,0)</f>
        <v>Gain on Sale of Fixed Assets</v>
      </c>
      <c r="E212" s="125">
        <f>-ABS(IFERROR(VLOOKUP(A212,Trial!A:C,3,0),0))</f>
        <v>0</v>
      </c>
      <c r="F212" s="125">
        <f>-ABS(IFERROR(VLOOKUP(A212,Trial_Balance,4,0),0))</f>
        <v>-1227863.3999999999</v>
      </c>
    </row>
    <row r="213" spans="1:6" ht="16.5">
      <c r="A213" s="128"/>
      <c r="B213" s="336"/>
      <c r="C213" s="528"/>
      <c r="D213" s="542" t="s">
        <v>1117</v>
      </c>
      <c r="E213" s="1078">
        <f>SUM(E210:E212)</f>
        <v>0</v>
      </c>
      <c r="F213" s="1134">
        <f>SUM(F210:F212)</f>
        <v>-1055927.49</v>
      </c>
    </row>
    <row r="214" spans="1:6" s="127" customFormat="1">
      <c r="A214" s="128">
        <v>5105104000</v>
      </c>
      <c r="B214" s="128"/>
      <c r="C214" s="128"/>
      <c r="D214" s="128" t="str">
        <f>VLOOKUP(A214,Trial!A:B,2,0)</f>
        <v>Directors Fees</v>
      </c>
      <c r="E214" s="125">
        <f>ABS(IFERROR(VLOOKUP(A214,Trial!A:C,3,0),0))</f>
        <v>142000</v>
      </c>
      <c r="F214" s="125">
        <f>ABS(IFERROR(VLOOKUP(A214,Trial_Balance,4,0),0))</f>
        <v>258000</v>
      </c>
    </row>
    <row r="215" spans="1:6">
      <c r="A215" s="128">
        <v>5105128000</v>
      </c>
      <c r="B215" s="131"/>
      <c r="C215" s="131"/>
      <c r="D215" s="128" t="str">
        <f>VLOOKUP(A215,Trial!A:B,2,0)</f>
        <v>Professional Charges</v>
      </c>
      <c r="E215" s="125">
        <f>ABS(IFERROR(VLOOKUP(A215,Trial!A:C,3,0),0))</f>
        <v>0</v>
      </c>
      <c r="F215" s="125">
        <f>ABS(IFERROR(VLOOKUP(A215,Trial_Balance,4,0),0))</f>
        <v>78799</v>
      </c>
    </row>
    <row r="216" spans="1:6" ht="16.5">
      <c r="A216" s="128"/>
      <c r="B216" s="336"/>
      <c r="C216" s="528"/>
      <c r="D216" s="542" t="s">
        <v>1116</v>
      </c>
      <c r="E216" s="1078">
        <f>SUM(E214:E215)</f>
        <v>142000</v>
      </c>
      <c r="F216" s="1134">
        <f>SUM(F214:F215)</f>
        <v>336799</v>
      </c>
    </row>
    <row r="217" spans="1:6">
      <c r="A217" s="128">
        <v>5105125000</v>
      </c>
      <c r="B217" s="131"/>
      <c r="C217" s="131"/>
      <c r="D217" s="128" t="str">
        <f>VLOOKUP(A217,Trial!A:B,2,0)</f>
        <v>Corporate Social Responsibility</v>
      </c>
      <c r="E217" s="125">
        <f>ABS(IFERROR(VLOOKUP(A217,Trial!A:C,3,0),0))</f>
        <v>55000</v>
      </c>
      <c r="F217" s="125">
        <f>ABS(IFERROR(VLOOKUP(A217,Trial_Balance,4,0),0))</f>
        <v>60000</v>
      </c>
    </row>
    <row r="218" spans="1:6">
      <c r="A218" s="128">
        <v>5105125001</v>
      </c>
      <c r="B218" s="131"/>
      <c r="C218" s="131"/>
      <c r="D218" s="128" t="str">
        <f>VLOOKUP(A218,Trial!A:B,2,0)</f>
        <v>Donation</v>
      </c>
      <c r="E218" s="125">
        <f>ABS(IFERROR(VLOOKUP(A218,Trial!A:C,3,0),0))</f>
        <v>80000</v>
      </c>
      <c r="F218" s="125">
        <f>ABS(IFERROR(VLOOKUP(A218,Trial_Balance,4,0),0))</f>
        <v>0</v>
      </c>
    </row>
    <row r="219" spans="1:6" ht="16.5">
      <c r="A219" s="128"/>
      <c r="B219" s="336"/>
      <c r="C219" s="528"/>
      <c r="D219" s="542" t="s">
        <v>1115</v>
      </c>
      <c r="E219" s="1078">
        <f>SUM(E217:E218)</f>
        <v>135000</v>
      </c>
      <c r="F219" s="1134">
        <f>SUM(F217:F218)</f>
        <v>60000</v>
      </c>
    </row>
    <row r="220" spans="1:6" s="127" customFormat="1">
      <c r="A220" s="128">
        <v>5105116000</v>
      </c>
      <c r="B220" s="128"/>
      <c r="C220" s="128"/>
      <c r="D220" s="128" t="str">
        <f>VLOOKUP(A220,Trial!A:B,2,0)</f>
        <v>Travel - Local</v>
      </c>
      <c r="E220" s="125">
        <f>ABS(IFERROR(VLOOKUP(A220,Trial!A:C,3,0),0))</f>
        <v>2441800</v>
      </c>
      <c r="F220" s="125">
        <f>ABS(IFERROR(VLOOKUP(A220,Trial_Balance,4,0),0))</f>
        <v>1929746</v>
      </c>
    </row>
    <row r="221" spans="1:6" s="127" customFormat="1">
      <c r="A221" s="128">
        <v>5105116001</v>
      </c>
      <c r="B221" s="128"/>
      <c r="C221" s="128"/>
      <c r="D221" s="128" t="str">
        <f>VLOOKUP(A221,Trial!A:B,2,0)</f>
        <v>Travel - Maintenance &amp; Project</v>
      </c>
      <c r="E221" s="125">
        <f>ABS(IFERROR(VLOOKUP(A221,Trial!A:C,3,0),0))</f>
        <v>303750</v>
      </c>
      <c r="F221" s="125">
        <f>ABS(IFERROR(VLOOKUP(A221,Trial_Balance,4,0),0))</f>
        <v>481416</v>
      </c>
    </row>
    <row r="222" spans="1:6" s="127" customFormat="1">
      <c r="A222" s="128"/>
      <c r="B222" s="269"/>
      <c r="C222" s="252"/>
      <c r="D222" s="542" t="s">
        <v>1214</v>
      </c>
      <c r="E222" s="1078">
        <f>+E223+E224</f>
        <v>2745550</v>
      </c>
      <c r="F222" s="1134">
        <f>+F223+F224</f>
        <v>2566182</v>
      </c>
    </row>
    <row r="223" spans="1:6" s="127" customFormat="1">
      <c r="A223" s="128"/>
      <c r="B223" s="128"/>
      <c r="C223" s="128"/>
      <c r="D223" s="128" t="s">
        <v>1114</v>
      </c>
      <c r="E223" s="125">
        <f>SUM(E220:E221)</f>
        <v>2745550</v>
      </c>
      <c r="F223" s="125">
        <f>SUM(F220:F221)</f>
        <v>2411162</v>
      </c>
    </row>
    <row r="224" spans="1:6">
      <c r="A224" s="128">
        <v>5105115000</v>
      </c>
      <c r="B224" s="128"/>
      <c r="C224" s="128"/>
      <c r="D224" s="128" t="str">
        <f>VLOOKUP(A224,Trial!A:B,2,0)</f>
        <v>Travel - Foreign</v>
      </c>
      <c r="E224" s="125">
        <f>ABS(IFERROR(VLOOKUP(A224,Trial!A:C,3,0),0))</f>
        <v>0</v>
      </c>
      <c r="F224" s="125">
        <f>ABS(IFERROR(VLOOKUP(A224,Trial_Balance,4,0),0))</f>
        <v>155020</v>
      </c>
    </row>
    <row r="225" spans="1:6" s="127" customFormat="1">
      <c r="A225" s="128">
        <v>5105126002</v>
      </c>
      <c r="B225" s="128"/>
      <c r="C225" s="128"/>
      <c r="D225" s="128" t="str">
        <f>VLOOKUP(A225,Trial!A:B,2,0)</f>
        <v>Physical Verification of Inventory - Loss</v>
      </c>
      <c r="E225" s="125">
        <f>ABS(IFERROR(VLOOKUP(A225,Trial!A:C,3,0),0))</f>
        <v>66701.399999999994</v>
      </c>
      <c r="F225" s="125">
        <f>ABS(IFERROR(VLOOKUP(A225,Trial_Balance,4,0),0))</f>
        <v>558832.77</v>
      </c>
    </row>
    <row r="226" spans="1:6">
      <c r="A226" s="128">
        <v>4102110003</v>
      </c>
      <c r="B226" s="131"/>
      <c r="C226" s="131"/>
      <c r="D226" s="128" t="str">
        <f>VLOOKUP(A226,Trial!A:B,2,0)</f>
        <v>Physical Verification on Inventory - Gain</v>
      </c>
      <c r="E226" s="125">
        <f>-ABS(IFERROR(VLOOKUP(A226,Trial!A:C,3,0),0))</f>
        <v>-2295.48</v>
      </c>
      <c r="F226" s="125">
        <f>-ABS(IFERROR(VLOOKUP(A226,Trial_Balance,4,0),0))</f>
        <v>-87701.29</v>
      </c>
    </row>
    <row r="227" spans="1:6" s="127" customFormat="1">
      <c r="A227" s="128">
        <v>5105126000</v>
      </c>
      <c r="B227" s="128"/>
      <c r="C227" s="128"/>
      <c r="D227" s="128" t="str">
        <f>VLOOKUP(A227,Trial!A:B,2,0)</f>
        <v>Price Difference of Material - Loss</v>
      </c>
      <c r="E227" s="125">
        <f>ABS(IFERROR(VLOOKUP(A227,Trial!A:C,3,0),0))</f>
        <v>0</v>
      </c>
      <c r="F227" s="125">
        <f>ABS(IFERROR(VLOOKUP(A227,Trial_Balance,4,0),0))</f>
        <v>0</v>
      </c>
    </row>
    <row r="228" spans="1:6">
      <c r="A228" s="128">
        <v>5105126001</v>
      </c>
      <c r="B228" s="131"/>
      <c r="C228" s="131"/>
      <c r="D228" s="128" t="str">
        <f>VLOOKUP(A228,Trial!A:B,2,0)</f>
        <v>Revaluation of Material - Loss</v>
      </c>
      <c r="E228" s="125">
        <f>ABS(IFERROR(VLOOKUP(A228,Trial!A:C,3,0),0))</f>
        <v>0</v>
      </c>
      <c r="F228" s="125">
        <f>ABS(IFERROR(VLOOKUP(A228,Trial_Balance,4,0),0))</f>
        <v>256351.56</v>
      </c>
    </row>
    <row r="229" spans="1:6">
      <c r="A229" s="128">
        <v>5105126004</v>
      </c>
      <c r="B229" s="131"/>
      <c r="C229" s="131"/>
      <c r="D229" s="128" t="str">
        <f>VLOOKUP(A229,Trial!A:B,2,0)</f>
        <v>Loss/Scrapping/Retirement of Inventory</v>
      </c>
      <c r="E229" s="125">
        <f>ABS(IFERROR(VLOOKUP(A229,Trial!A:C,3,0),0))</f>
        <v>0</v>
      </c>
      <c r="F229" s="125">
        <f>ABS(IFERROR(VLOOKUP(A229,Trial_Balance,4,0),0))</f>
        <v>0</v>
      </c>
    </row>
    <row r="230" spans="1:6">
      <c r="A230" s="128">
        <v>4102110001</v>
      </c>
      <c r="B230" s="131"/>
      <c r="C230" s="131"/>
      <c r="D230" s="128" t="str">
        <f>VLOOKUP(A230,Trial!A:B,2,0)</f>
        <v>Price Difference of Material - Gain</v>
      </c>
      <c r="E230" s="125">
        <f>ABS(IFERROR(VLOOKUP(A230,Trial!A:C,3,0),0))</f>
        <v>0</v>
      </c>
      <c r="F230" s="125">
        <f>ABS(IFERROR(VLOOKUP(A230,Trial_Balance,4,0),0))</f>
        <v>0</v>
      </c>
    </row>
    <row r="231" spans="1:6">
      <c r="A231" s="128">
        <v>4102110002</v>
      </c>
      <c r="B231" s="131"/>
      <c r="C231" s="131"/>
      <c r="D231" s="128" t="str">
        <f>VLOOKUP(A231,Trial!A:B,2,0)</f>
        <v>Revaluation of Material - Gain</v>
      </c>
      <c r="E231" s="125">
        <f>-ABS(IFERROR(VLOOKUP(A231,Trial!A:C,3,0),0))</f>
        <v>0</v>
      </c>
      <c r="F231" s="125">
        <f>-ABS(IFERROR(VLOOKUP(A231,Trial_Balance,4,0),0))</f>
        <v>-215653.88</v>
      </c>
    </row>
    <row r="232" spans="1:6" ht="16.5">
      <c r="A232" s="128"/>
      <c r="B232" s="336"/>
      <c r="C232" s="528"/>
      <c r="D232" s="542" t="s">
        <v>1118</v>
      </c>
      <c r="E232" s="1078">
        <f>SUM(E225:E231)</f>
        <v>64405.919999999991</v>
      </c>
      <c r="F232" s="1134">
        <f>SUM(F225:F231)</f>
        <v>511829.16000000003</v>
      </c>
    </row>
    <row r="233" spans="1:6" ht="16.5">
      <c r="A233" s="128">
        <v>5103103000</v>
      </c>
      <c r="B233" s="336"/>
      <c r="C233" s="528"/>
      <c r="D233" s="542" t="str">
        <f>VLOOKUP(A233,Trial!A:B,2,0)</f>
        <v>R&amp;M Building - Service</v>
      </c>
      <c r="E233" s="1078">
        <f>ABS(IFERROR(VLOOKUP(A233,Trial!A:C,3,0),0))</f>
        <v>930951.63</v>
      </c>
      <c r="F233" s="1134">
        <f t="shared" ref="F233:F240" si="12">ABS(IFERROR(VLOOKUP(A233,Trial_Balance,4,0),0))</f>
        <v>398811.71</v>
      </c>
    </row>
    <row r="234" spans="1:6">
      <c r="A234" s="128">
        <v>5102104000</v>
      </c>
      <c r="B234" s="131"/>
      <c r="C234" s="131"/>
      <c r="D234" s="128" t="str">
        <f>VLOOKUP(A234,Trial!A:B,2,0)</f>
        <v>Consumption of General Item</v>
      </c>
      <c r="E234" s="125">
        <f>ABS(IFERROR(VLOOKUP(A234,Trial!A:C,3,0),0))</f>
        <v>0</v>
      </c>
      <c r="F234" s="125">
        <f t="shared" si="12"/>
        <v>147390.5</v>
      </c>
    </row>
    <row r="235" spans="1:6">
      <c r="A235" s="128">
        <v>5103103001</v>
      </c>
      <c r="B235" s="131"/>
      <c r="C235" s="131"/>
      <c r="D235" s="128" t="str">
        <f>VLOOKUP(A235,Trial!A:B,2,0)</f>
        <v>R&amp;M Office Equipment - Service</v>
      </c>
      <c r="E235" s="125">
        <f>ABS(IFERROR(VLOOKUP(A235,Trial!A:C,3,0),0))</f>
        <v>62027</v>
      </c>
      <c r="F235" s="125">
        <f t="shared" si="12"/>
        <v>40260</v>
      </c>
    </row>
    <row r="236" spans="1:6">
      <c r="A236" s="128">
        <v>5103103002</v>
      </c>
      <c r="B236" s="131"/>
      <c r="C236" s="131"/>
      <c r="D236" s="128" t="str">
        <f>VLOOKUP(A236,Trial!A:B,2,0)</f>
        <v>R&amp;M Furniture &amp; Fixture - Service</v>
      </c>
      <c r="E236" s="125">
        <f>ABS(IFERROR(VLOOKUP(A236,Trial!A:C,3,0),0))</f>
        <v>0</v>
      </c>
      <c r="F236" s="125">
        <f t="shared" si="12"/>
        <v>0</v>
      </c>
    </row>
    <row r="237" spans="1:6">
      <c r="A237" s="128">
        <v>5102102000</v>
      </c>
      <c r="D237" s="131" t="s">
        <v>617</v>
      </c>
      <c r="E237" s="125">
        <f>ABS(IFERROR(VLOOKUP(A237,Trial!A:C,3,0),0))</f>
        <v>476883.53</v>
      </c>
      <c r="F237" s="125">
        <f t="shared" si="12"/>
        <v>273652.37</v>
      </c>
    </row>
    <row r="238" spans="1:6">
      <c r="A238" s="128">
        <v>5103103003</v>
      </c>
      <c r="B238" s="131"/>
      <c r="C238" s="131"/>
      <c r="D238" s="128" t="str">
        <f>VLOOKUP(A238,Trial!A:B,2,0)</f>
        <v>R&amp;M Office Equipment - AMC</v>
      </c>
      <c r="E238" s="125">
        <f>ABS(IFERROR(VLOOKUP(A238,Trial!A:C,3,0),0))</f>
        <v>30000</v>
      </c>
      <c r="F238" s="125">
        <f t="shared" si="12"/>
        <v>249890</v>
      </c>
    </row>
    <row r="239" spans="1:6">
      <c r="A239" s="128">
        <v>5103104001</v>
      </c>
      <c r="B239" s="131"/>
      <c r="C239" s="131"/>
      <c r="D239" s="128" t="str">
        <f>VLOOKUP(A239,Trial!A:B,2,0)</f>
        <v>R&amp;M Vehicles - Services</v>
      </c>
      <c r="E239" s="125">
        <v>1354155.16</v>
      </c>
      <c r="F239" s="125">
        <f t="shared" si="12"/>
        <v>1299621</v>
      </c>
    </row>
    <row r="240" spans="1:6">
      <c r="A240" s="127">
        <v>5102101000</v>
      </c>
      <c r="D240" s="127" t="s">
        <v>616</v>
      </c>
      <c r="E240" s="125">
        <f>ABS(IFERROR(VLOOKUP(A240,Trial!A:C,3,0),0))</f>
        <v>229199.16</v>
      </c>
      <c r="F240" s="125">
        <f t="shared" si="12"/>
        <v>442536.47</v>
      </c>
    </row>
    <row r="241" spans="1:8" ht="16.5">
      <c r="B241" s="330"/>
      <c r="C241" s="486"/>
      <c r="D241" s="539" t="s">
        <v>1439</v>
      </c>
      <c r="E241" s="1078">
        <f>SUM(E234:E240)</f>
        <v>2152264.85</v>
      </c>
      <c r="F241" s="1134">
        <f>SUM(F234:F240)</f>
        <v>2453350.34</v>
      </c>
      <c r="G241" s="1370"/>
      <c r="H241" s="1205"/>
    </row>
    <row r="242" spans="1:8" ht="16.5">
      <c r="A242" s="127">
        <v>5105126009</v>
      </c>
      <c r="B242" s="330"/>
      <c r="C242" s="486"/>
      <c r="D242" s="539" t="s">
        <v>1124</v>
      </c>
      <c r="E242" s="123">
        <f>ABS(IFERROR(VLOOKUP(A242,Trial!A:C,3,0),0))</f>
        <v>0</v>
      </c>
      <c r="F242" s="123">
        <f t="shared" ref="F242:F253" si="13">ABS(IFERROR(VLOOKUP(A242,Trial_Balance,4,0),0))</f>
        <v>0</v>
      </c>
    </row>
    <row r="243" spans="1:8">
      <c r="A243" s="128">
        <v>5105124000</v>
      </c>
      <c r="B243" s="131"/>
      <c r="C243" s="131"/>
      <c r="D243" s="128" t="str">
        <f>VLOOKUP(A243,Trial!A:B,2,0)</f>
        <v>Books, Magazines and Newspapers</v>
      </c>
      <c r="E243" s="125">
        <f>ABS(IFERROR(VLOOKUP(A243,Trial!A:C,3,0),0))</f>
        <v>0</v>
      </c>
      <c r="F243" s="125">
        <f t="shared" si="13"/>
        <v>0</v>
      </c>
    </row>
    <row r="244" spans="1:8" s="127" customFormat="1">
      <c r="A244" s="128">
        <v>5105117003</v>
      </c>
      <c r="B244" s="128"/>
      <c r="C244" s="128"/>
      <c r="D244" s="128" t="str">
        <f>VLOOKUP(A244,Trial!A:B,2,0)</f>
        <v>Rebate Expense</v>
      </c>
      <c r="E244" s="125">
        <f>ABS(IFERROR(VLOOKUP(A244,Trial!A:C,3,0),0))</f>
        <v>0</v>
      </c>
      <c r="F244" s="125">
        <f t="shared" si="13"/>
        <v>0</v>
      </c>
    </row>
    <row r="245" spans="1:8">
      <c r="A245" s="128">
        <v>5105113001</v>
      </c>
      <c r="B245" s="131"/>
      <c r="C245" s="131"/>
      <c r="D245" s="128" t="str">
        <f>VLOOKUP(A245,Trial!A:B,2,0)</f>
        <v>Office Maintenance</v>
      </c>
      <c r="E245" s="125">
        <f>ABS(IFERROR(VLOOKUP(A245,Trial!A:C,3,0),0))</f>
        <v>147220.89000000001</v>
      </c>
      <c r="F245" s="125">
        <f t="shared" si="13"/>
        <v>79479.92</v>
      </c>
    </row>
    <row r="246" spans="1:8">
      <c r="A246" s="128">
        <v>5105113002</v>
      </c>
      <c r="B246" s="131"/>
      <c r="C246" s="131"/>
      <c r="D246" s="128" t="str">
        <f>VLOOKUP(A246,Trial!A:B,2,0)</f>
        <v>Water and Sewerage</v>
      </c>
      <c r="E246" s="125">
        <f>ABS(IFERROR(VLOOKUP(A246,Trial!A:C,3,0),0))</f>
        <v>54257</v>
      </c>
      <c r="F246" s="125">
        <f t="shared" si="13"/>
        <v>24738</v>
      </c>
    </row>
    <row r="247" spans="1:8" s="127" customFormat="1">
      <c r="A247" s="128">
        <v>5105117001</v>
      </c>
      <c r="B247" s="128"/>
      <c r="C247" s="128"/>
      <c r="D247" s="128" t="str">
        <f>VLOOKUP(A247,Trial!A:B,2,0)</f>
        <v>Custom Clearing Charges</v>
      </c>
      <c r="E247" s="125">
        <f>ABS(IFERROR(VLOOKUP(A247,Trial!A:C,3,0),0))</f>
        <v>2260</v>
      </c>
      <c r="F247" s="125">
        <f t="shared" si="13"/>
        <v>0</v>
      </c>
    </row>
    <row r="248" spans="1:8">
      <c r="A248" s="128">
        <v>5105118000</v>
      </c>
      <c r="B248" s="131"/>
      <c r="C248" s="131"/>
      <c r="D248" s="128" t="str">
        <f>VLOOKUP(A248,Trial!A:B,2,0)</f>
        <v>Registration and Filing Fees/Survey</v>
      </c>
      <c r="E248" s="125">
        <f>ABS(IFERROR(VLOOKUP(A248,Trial!A:C,3,0),0))</f>
        <v>47119</v>
      </c>
      <c r="F248" s="125">
        <f t="shared" si="13"/>
        <v>44940</v>
      </c>
    </row>
    <row r="249" spans="1:8">
      <c r="A249" s="128">
        <v>5105122000</v>
      </c>
      <c r="B249" s="131"/>
      <c r="C249" s="131"/>
      <c r="D249" s="128" t="str">
        <f>VLOOKUP(A249,Trial!A:B,2,0)</f>
        <v>Entertainment</v>
      </c>
      <c r="E249" s="125">
        <f>ABS(IFERROR(VLOOKUP(A249,Trial!A:C,3,0),0))</f>
        <v>626912.23</v>
      </c>
      <c r="F249" s="125">
        <f t="shared" si="13"/>
        <v>847204.92</v>
      </c>
    </row>
    <row r="250" spans="1:8" s="127" customFormat="1">
      <c r="A250" s="128">
        <v>5105132000</v>
      </c>
      <c r="B250" s="128"/>
      <c r="C250" s="128"/>
      <c r="D250" s="128" t="str">
        <f>VLOOKUP(A250,Trial!A:B,2,0)</f>
        <v>Hospitality</v>
      </c>
      <c r="E250" s="125">
        <f>ABS(IFERROR(VLOOKUP(A250,Trial!A:C,3,0),0))</f>
        <v>25280</v>
      </c>
      <c r="F250" s="125">
        <f t="shared" si="13"/>
        <v>0</v>
      </c>
    </row>
    <row r="251" spans="1:8">
      <c r="A251" s="128">
        <v>5105123002</v>
      </c>
      <c r="B251" s="131"/>
      <c r="C251" s="131"/>
      <c r="D251" s="128" t="str">
        <f>VLOOKUP(A251,Trial!A:B,2,0)</f>
        <v>Hire Charges</v>
      </c>
      <c r="E251" s="125">
        <f>ABS(IFERROR(VLOOKUP(A251,Trial!A:C,3,0),0))</f>
        <v>0</v>
      </c>
      <c r="F251" s="125">
        <f t="shared" si="13"/>
        <v>0</v>
      </c>
    </row>
    <row r="252" spans="1:8">
      <c r="A252" s="128">
        <v>5105126999</v>
      </c>
      <c r="B252" s="131"/>
      <c r="C252" s="131"/>
      <c r="D252" s="128" t="str">
        <f>VLOOKUP(A252,Trial!A:B,2,0)</f>
        <v>Misc. Expenses</v>
      </c>
      <c r="E252" s="125">
        <f>ABS(IFERROR(VLOOKUP(A252,Trial!A:C,3,0),0))</f>
        <v>0</v>
      </c>
      <c r="F252" s="125">
        <f>ABS(IFERROR(VLOOKUP(A252,Trial_Balance,4,0),0))</f>
        <v>110393.60000000001</v>
      </c>
    </row>
    <row r="253" spans="1:8" s="127" customFormat="1">
      <c r="A253" s="128">
        <v>5105120001</v>
      </c>
      <c r="B253" s="128"/>
      <c r="C253" s="128"/>
      <c r="D253" s="128" t="str">
        <f>VLOOKUP(A253,Trial!A:B,2,0)</f>
        <v>Revenue Sharing - National</v>
      </c>
      <c r="E253" s="125">
        <f>ABS(IFERROR(VLOOKUP(A253,Trial!A:C,3,0),0))</f>
        <v>2235573.5</v>
      </c>
      <c r="F253" s="125">
        <f t="shared" si="13"/>
        <v>2415707.25</v>
      </c>
    </row>
    <row r="254" spans="1:8">
      <c r="A254" s="128">
        <v>4102110006</v>
      </c>
      <c r="B254" s="131"/>
      <c r="C254" s="131"/>
      <c r="D254" s="128" t="str">
        <f>VLOOKUP(A254,Trial!A:B,2,0)</f>
        <v>Rounding Difference - Gain</v>
      </c>
      <c r="E254" s="125"/>
      <c r="F254" s="125"/>
    </row>
    <row r="255" spans="1:8">
      <c r="A255" s="128">
        <v>5105126007</v>
      </c>
      <c r="B255" s="131"/>
      <c r="C255" s="131"/>
      <c r="D255" s="128" t="str">
        <f>VLOOKUP(A255,Trial!A:B,2,0)</f>
        <v>Rounding Difference - Loss</v>
      </c>
      <c r="E255" s="125"/>
      <c r="F255" s="125"/>
    </row>
    <row r="256" spans="1:8">
      <c r="A256" s="128">
        <v>5111102000</v>
      </c>
      <c r="D256" s="128" t="str">
        <f>VLOOKUP(A256,Trial!A:B,2,0)</f>
        <v>Loss on Forex Fluctuation</v>
      </c>
      <c r="E256" s="125">
        <f>ABS(IFERROR(VLOOKUP(A256,Trial!A:C,3,0),0))</f>
        <v>1491360.79</v>
      </c>
      <c r="F256" s="125">
        <f>ABS(IFERROR(VLOOKUP(A256,Trial_Balance,4,0),0))</f>
        <v>1364776.08</v>
      </c>
    </row>
    <row r="257" spans="1:7" s="127" customFormat="1">
      <c r="A257" s="128">
        <v>4103501000</v>
      </c>
      <c r="B257" s="128"/>
      <c r="C257" s="128"/>
      <c r="D257" s="128" t="str">
        <f>VLOOKUP(A257,Trial!A:B,2,0)</f>
        <v>Gain on Forex Fluctuation</v>
      </c>
      <c r="E257" s="125">
        <f>-ABS(IFERROR(VLOOKUP(A257,Trial!A:C,3,0),0))</f>
        <v>-332148.43</v>
      </c>
      <c r="F257" s="125">
        <f>-ABS(IFERROR(VLOOKUP(A257,Trial_Balance,4,0),0))</f>
        <v>-1627401.15</v>
      </c>
    </row>
    <row r="258" spans="1:7">
      <c r="A258" s="128"/>
      <c r="B258" s="122"/>
      <c r="C258" s="122"/>
      <c r="D258" s="122" t="s">
        <v>692</v>
      </c>
      <c r="E258" s="123">
        <f>SUM(E256:E257)</f>
        <v>1159212.3600000001</v>
      </c>
      <c r="F258" s="123">
        <f>SUM(F256:F257)</f>
        <v>-262625.06999999983</v>
      </c>
    </row>
    <row r="259" spans="1:7" ht="16.5">
      <c r="A259" s="128"/>
      <c r="B259" s="336"/>
      <c r="C259" s="528"/>
      <c r="D259" s="542" t="s">
        <v>1098</v>
      </c>
      <c r="E259" s="1078">
        <f>SUM(E243:E257)</f>
        <v>4297834.9800000004</v>
      </c>
      <c r="F259" s="1134">
        <f>SUM(F243:F257)</f>
        <v>3259838.6200000006</v>
      </c>
    </row>
    <row r="260" spans="1:7" ht="16.5">
      <c r="B260" s="336"/>
      <c r="C260" s="544"/>
      <c r="D260" s="549" t="s">
        <v>114</v>
      </c>
      <c r="E260" s="1079">
        <f>SUM((E259+E241+E233+E232+E222+E219+E216+E213+E209+E206+E203+SUM(E194:E200)))+E242</f>
        <v>13546047.879999999</v>
      </c>
      <c r="F260" s="1109">
        <f>SUM((F259+F241+F233+F232+F222+F219+F216+F213+F209+F206+F203+SUM(F194:F200)))+F242</f>
        <v>11146149.310000002</v>
      </c>
      <c r="G260" s="1205">
        <f>F260-'[1]10N_22-33'!$E$280</f>
        <v>-106931888.01000002</v>
      </c>
    </row>
    <row r="261" spans="1:7" ht="16.5">
      <c r="A261" s="128"/>
      <c r="B261" s="336"/>
      <c r="C261" s="528"/>
      <c r="D261" s="330"/>
      <c r="E261" s="1196"/>
      <c r="F261" s="1196"/>
    </row>
    <row r="263" spans="1:7">
      <c r="A263" s="128"/>
      <c r="C263" s="839"/>
      <c r="D263" s="840"/>
      <c r="E263" s="1197"/>
      <c r="F263" s="1198"/>
    </row>
    <row r="264" spans="1:7" ht="31.5">
      <c r="A264" s="128"/>
      <c r="B264" s="336"/>
      <c r="C264" s="1443" t="str">
        <f>+C192</f>
        <v>Particulars</v>
      </c>
      <c r="D264" s="1443"/>
      <c r="E264" s="1136" t="str">
        <f>+E192</f>
        <v>As at 31st March, 2019</v>
      </c>
      <c r="F264" s="1136" t="str">
        <f>+F192</f>
        <v>As at 31st March, 2018</v>
      </c>
    </row>
    <row r="265" spans="1:7" s="4" customFormat="1" ht="16.5">
      <c r="A265" s="128"/>
      <c r="B265" s="336"/>
      <c r="C265" s="211" t="s">
        <v>1421</v>
      </c>
      <c r="D265" s="878" t="s">
        <v>1440</v>
      </c>
      <c r="E265" s="1180"/>
      <c r="F265" s="1186"/>
    </row>
    <row r="266" spans="1:7" ht="16.5">
      <c r="A266" s="128">
        <v>4102101000</v>
      </c>
      <c r="B266" s="336"/>
      <c r="C266" s="528"/>
      <c r="D266" s="542" t="s">
        <v>157</v>
      </c>
      <c r="E266" s="1078">
        <f>-ABS(IFERROR(VLOOKUP(A266,Trial!A:C,3,0),0))</f>
        <v>0</v>
      </c>
      <c r="F266" s="1078">
        <f>ABS(IFERROR(VLOOKUP(A266,Trial_Balance,4,0),0))</f>
        <v>0</v>
      </c>
    </row>
    <row r="267" spans="1:7" ht="16.5">
      <c r="A267" s="128">
        <v>5110201000</v>
      </c>
      <c r="B267" s="336"/>
      <c r="C267" s="528"/>
      <c r="D267" s="542" t="str">
        <f>VLOOKUP(A267,Trial!A:B,2,0)</f>
        <v>Deferred Tax Expense</v>
      </c>
      <c r="E267" s="1078">
        <f>ABS(IFERROR(VLOOKUP(A267,Trial!A:C,3,0),0))</f>
        <v>0</v>
      </c>
      <c r="F267" s="1078">
        <f>ABS(IFERROR(VLOOKUP(A267,Trial_Balance,4,0),0))</f>
        <v>0</v>
      </c>
    </row>
    <row r="268" spans="1:7" ht="16.5">
      <c r="A268" s="128">
        <v>5110101000</v>
      </c>
      <c r="B268" s="336"/>
      <c r="C268" s="528"/>
      <c r="D268" s="542" t="str">
        <f>VLOOKUP(A268,Trial!A:B,2,0)</f>
        <v>Corporate Income Tax Paid</v>
      </c>
      <c r="E268" s="1078">
        <f>ABS(IFERROR(VLOOKUP(A268,Trial!A:C,3,0),0))</f>
        <v>0</v>
      </c>
      <c r="F268" s="1078">
        <f>ABS(IFERROR(VLOOKUP(A268,Trial_Balance,4,0),0))</f>
        <v>0</v>
      </c>
    </row>
    <row r="269" spans="1:7" ht="16.5">
      <c r="A269" s="128">
        <v>5110101001</v>
      </c>
      <c r="B269" s="336"/>
      <c r="C269" s="528"/>
      <c r="D269" s="542" t="s">
        <v>1215</v>
      </c>
      <c r="E269" s="1078">
        <f>ABS(IFERROR(VLOOKUP(A269,Trial!A:C,3,0),0))</f>
        <v>0</v>
      </c>
      <c r="F269" s="1078">
        <f>ABS(IFERROR(VLOOKUP(A269,Trial_Balance,4,0),0))</f>
        <v>0</v>
      </c>
    </row>
    <row r="270" spans="1:7" ht="16.5">
      <c r="A270" s="128"/>
      <c r="B270" s="336"/>
      <c r="C270" s="544"/>
      <c r="D270" s="550" t="s">
        <v>114</v>
      </c>
      <c r="E270" s="1199">
        <f>SUM(E266:E269)</f>
        <v>0</v>
      </c>
      <c r="F270" s="1198">
        <f>+F269+F268-F266</f>
        <v>0</v>
      </c>
    </row>
    <row r="271" spans="1:7" ht="16.5">
      <c r="A271" s="128"/>
      <c r="B271" s="336"/>
      <c r="C271" s="544"/>
      <c r="D271" s="340" t="s">
        <v>1399</v>
      </c>
      <c r="E271" s="1200"/>
      <c r="F271" s="1201"/>
    </row>
    <row r="272" spans="1:7" s="4" customFormat="1">
      <c r="A272" s="122">
        <v>6103101000</v>
      </c>
      <c r="B272" s="3"/>
      <c r="C272" s="3"/>
      <c r="D272" s="122" t="str">
        <f>VLOOKUP(A272,Trial!A:B,2,0)</f>
        <v>Actuarial G/L  Post Employment Benefit Obligations</v>
      </c>
      <c r="E272" s="123">
        <f>ABS(IFERROR(VLOOKUP(A272,Trial!A:C,3,0),0))</f>
        <v>0</v>
      </c>
      <c r="F272" s="123">
        <f>ABS(IFERROR(VLOOKUP(A272,Trial_Balance,4,0),0))</f>
        <v>20624316</v>
      </c>
    </row>
    <row r="273" spans="1:6">
      <c r="A273" s="124">
        <v>6109101000</v>
      </c>
      <c r="B273" s="3"/>
      <c r="C273" s="3"/>
      <c r="D273" s="122" t="s">
        <v>1030</v>
      </c>
      <c r="E273" s="123">
        <f>-ABS(IFERROR(VLOOKUP(A273,Trial!A:C,3,0),0))</f>
        <v>0</v>
      </c>
      <c r="F273" s="123">
        <f>ABS(IFERROR(VLOOKUP(A273,Trial_Balance,4,0),0))</f>
        <v>6187294.7999999998</v>
      </c>
    </row>
    <row r="274" spans="1:6">
      <c r="A274" s="124"/>
      <c r="B274" s="3"/>
      <c r="C274" s="3"/>
      <c r="D274" s="122"/>
      <c r="E274" s="123"/>
      <c r="F274" s="123"/>
    </row>
    <row r="275" spans="1:6" ht="31.5">
      <c r="B275" s="336"/>
      <c r="C275" s="1443" t="str">
        <f>+C264</f>
        <v>Particulars</v>
      </c>
      <c r="D275" s="1443"/>
      <c r="E275" s="1136" t="str">
        <f>+E264</f>
        <v>As at 31st March, 2019</v>
      </c>
      <c r="F275" s="1136" t="str">
        <f>+F264</f>
        <v>As at 31st March, 2018</v>
      </c>
    </row>
    <row r="276" spans="1:6" s="4" customFormat="1" ht="16.5">
      <c r="A276" s="127"/>
      <c r="B276" s="336"/>
      <c r="C276" s="211" t="s">
        <v>1420</v>
      </c>
      <c r="D276" s="529" t="s">
        <v>1419</v>
      </c>
      <c r="E276" s="1202"/>
      <c r="F276" s="1180"/>
    </row>
    <row r="277" spans="1:6" ht="16.5">
      <c r="B277" s="336"/>
      <c r="C277" s="528"/>
      <c r="D277" s="542" t="s">
        <v>479</v>
      </c>
      <c r="E277" s="1085">
        <f>'3SOCI'!D30</f>
        <v>361669066.93300009</v>
      </c>
      <c r="F277" s="1135">
        <f>'3SOCI'!E30</f>
        <v>285853477.45284778</v>
      </c>
    </row>
    <row r="278" spans="1:6" ht="16.5">
      <c r="B278" s="336"/>
      <c r="C278" s="528"/>
      <c r="D278" s="542" t="s">
        <v>480</v>
      </c>
      <c r="E278" s="1078">
        <v>854082</v>
      </c>
      <c r="F278" s="1134">
        <v>854082</v>
      </c>
    </row>
    <row r="279" spans="1:6" ht="16.5">
      <c r="B279" s="336"/>
      <c r="C279" s="528"/>
      <c r="D279" s="542" t="s">
        <v>481</v>
      </c>
      <c r="E279" s="1078">
        <v>1000</v>
      </c>
      <c r="F279" s="1134">
        <v>1000</v>
      </c>
    </row>
    <row r="280" spans="1:6" ht="16.5">
      <c r="B280" s="336"/>
      <c r="C280" s="528"/>
      <c r="D280" s="542" t="s">
        <v>482</v>
      </c>
      <c r="E280" s="1188">
        <f>(E277/E278)</f>
        <v>423.45941833805193</v>
      </c>
      <c r="F280" s="1188">
        <f>+F277/F278</f>
        <v>334.69090491644567</v>
      </c>
    </row>
    <row r="281" spans="1:6" ht="16.5">
      <c r="B281" s="336"/>
      <c r="C281" s="528"/>
      <c r="D281" s="542" t="s">
        <v>114</v>
      </c>
      <c r="E281" s="1078"/>
      <c r="F281" s="1134"/>
    </row>
    <row r="282" spans="1:6" ht="16.5">
      <c r="A282" s="126"/>
      <c r="B282" s="336"/>
      <c r="C282" s="528"/>
      <c r="D282" s="542" t="s">
        <v>1085</v>
      </c>
      <c r="E282" s="1078">
        <v>661</v>
      </c>
      <c r="F282" s="1134"/>
    </row>
    <row r="283" spans="1:6" ht="16.5">
      <c r="A283" s="126"/>
      <c r="B283" s="336"/>
      <c r="C283" s="528"/>
      <c r="D283" s="542" t="s">
        <v>195</v>
      </c>
      <c r="E283" s="1078">
        <f>E277/1000000</f>
        <v>361.66906693300007</v>
      </c>
      <c r="F283" s="1134"/>
    </row>
    <row r="284" spans="1:6" ht="16.5">
      <c r="A284" s="126"/>
      <c r="B284" s="336"/>
      <c r="C284" s="544"/>
      <c r="D284" s="548" t="s">
        <v>196</v>
      </c>
      <c r="E284" s="680">
        <f>(E283/E282)</f>
        <v>0.5471544129092285</v>
      </c>
      <c r="F284" s="1203"/>
    </row>
  </sheetData>
  <autoFilter ref="A4:F284"/>
  <sortState ref="D4:F116">
    <sortCondition ref="D70:D90"/>
  </sortState>
  <mergeCells count="13">
    <mergeCell ref="C264:D264"/>
    <mergeCell ref="C275:D275"/>
    <mergeCell ref="C1:F1"/>
    <mergeCell ref="C2:F2"/>
    <mergeCell ref="C127:D127"/>
    <mergeCell ref="C152:D152"/>
    <mergeCell ref="C162:D162"/>
    <mergeCell ref="C183:D183"/>
    <mergeCell ref="C192:D192"/>
    <mergeCell ref="C63:D63"/>
    <mergeCell ref="C88:D88"/>
    <mergeCell ref="C121:D121"/>
    <mergeCell ref="C6:D6"/>
  </mergeCells>
  <conditionalFormatting sqref="A245 A204 A214">
    <cfRule type="duplicateValues" dxfId="8" priority="34"/>
  </conditionalFormatting>
  <conditionalFormatting sqref="A72:A75">
    <cfRule type="duplicateValues" dxfId="7" priority="7"/>
  </conditionalFormatting>
  <conditionalFormatting sqref="A226 A232">
    <cfRule type="duplicateValues" dxfId="6" priority="5"/>
  </conditionalFormatting>
  <conditionalFormatting sqref="A113">
    <cfRule type="duplicateValues" dxfId="5" priority="1"/>
  </conditionalFormatting>
  <conditionalFormatting sqref="A113">
    <cfRule type="duplicateValues" dxfId="4" priority="2"/>
  </conditionalFormatting>
  <conditionalFormatting sqref="A254:A255">
    <cfRule type="duplicateValues" dxfId="3" priority="167"/>
  </conditionalFormatting>
  <conditionalFormatting sqref="A272 A246:A253 A266:A269 A9:A10 A12:A63 A65:A71 A227:A231 A233:A239 A243:A244 A215:A225 A256:A261 A205:A213 A114:A203 A76:A112">
    <cfRule type="duplicateValues" dxfId="2" priority="187"/>
  </conditionalFormatting>
  <conditionalFormatting sqref="A263:A265">
    <cfRule type="duplicateValues" dxfId="1" priority="239"/>
  </conditionalFormatting>
  <conditionalFormatting sqref="A263:A272 A256:A261 A227:A231 A9:A10 A12:A63 A65:A71 A233:A253 A114:A225 A76:A112">
    <cfRule type="duplicateValues" dxfId="0" priority="254"/>
  </conditionalFormatting>
  <printOptions horizontalCentered="1"/>
  <pageMargins left="0" right="0" top="0.55118110236220474" bottom="0.19685039370078741" header="3.937007874015748E-2" footer="3.937007874015748E-2"/>
  <pageSetup paperSize="9" scale="80" orientation="portrait" r:id="rId1"/>
  <headerFooter scaleWithDoc="0" alignWithMargins="0"/>
  <rowBreaks count="1" manualBreakCount="1">
    <brk id="260" max="5" man="1"/>
  </rowBreaks>
  <ignoredErrors>
    <ignoredError sqref="E11 F25:F42 E99:E104 F98:F118 F142 E207:E218 F203:F211 E42:E43 E36 E45:F52 F214:F221 F233:F240 E115:E117 E106:E113 E220:E221 E223:F231 F11:F22" formula="1"/>
  </ignoredErrors>
  <drawing r:id="rId2"/>
</worksheet>
</file>

<file path=xl/worksheets/sheet11.xml><?xml version="1.0" encoding="utf-8"?>
<worksheet xmlns="http://schemas.openxmlformats.org/spreadsheetml/2006/main" xmlns:r="http://schemas.openxmlformats.org/officeDocument/2006/relationships">
  <sheetPr enableFormatConditionsCalculation="0">
    <tabColor rgb="FF00B050"/>
  </sheetPr>
  <dimension ref="A1:J73"/>
  <sheetViews>
    <sheetView showGridLines="0" topLeftCell="B1" zoomScale="80" zoomScaleNormal="80" zoomScaleSheetLayoutView="80" zoomScalePageLayoutView="80" workbookViewId="0">
      <selection activeCell="B44" sqref="B44"/>
    </sheetView>
  </sheetViews>
  <sheetFormatPr defaultColWidth="8.85546875" defaultRowHeight="15.75"/>
  <cols>
    <col min="1" max="1" width="0.42578125" style="1" hidden="1" customWidth="1"/>
    <col min="2" max="2" width="120.7109375" style="1" bestFit="1" customWidth="1"/>
    <col min="3" max="3" width="9.42578125" style="167" bestFit="1" customWidth="1"/>
    <col min="4" max="4" width="18.42578125" style="167" bestFit="1" customWidth="1"/>
    <col min="5" max="5" width="17.85546875" style="167" bestFit="1" customWidth="1"/>
    <col min="6" max="6" width="18.7109375" style="1" bestFit="1" customWidth="1"/>
    <col min="7" max="7" width="10.140625" style="1" bestFit="1" customWidth="1"/>
    <col min="8" max="9" width="28.42578125" style="1" customWidth="1"/>
    <col min="10" max="10" width="20.140625" style="1" bestFit="1" customWidth="1"/>
    <col min="11" max="16384" width="8.85546875" style="1"/>
  </cols>
  <sheetData>
    <row r="1" spans="1:10">
      <c r="A1" s="857"/>
      <c r="B1" s="1483" t="str">
        <f>'2SFP'!B1</f>
        <v>BHUTAN TELECOM LIMITED</v>
      </c>
      <c r="C1" s="1484"/>
      <c r="D1" s="1484"/>
      <c r="E1" s="1485"/>
    </row>
    <row r="2" spans="1:10">
      <c r="A2" s="858"/>
      <c r="B2" s="1486" t="str">
        <f>'7N_3-12'!B2:D2</f>
        <v>Notes forming part of the Financial Statements for the year ended 31st March, 2019</v>
      </c>
      <c r="C2" s="1487"/>
      <c r="D2" s="1487"/>
      <c r="E2" s="1488"/>
    </row>
    <row r="3" spans="1:10" s="925" customFormat="1">
      <c r="A3" s="921"/>
      <c r="B3" s="922"/>
      <c r="C3" s="169"/>
      <c r="D3" s="923"/>
      <c r="E3" s="924"/>
    </row>
    <row r="4" spans="1:10" s="925" customFormat="1">
      <c r="A4" s="921"/>
      <c r="B4" s="926" t="s">
        <v>1400</v>
      </c>
      <c r="C4" s="927"/>
      <c r="D4" s="928"/>
      <c r="E4" s="929"/>
    </row>
    <row r="5" spans="1:10" s="925" customFormat="1">
      <c r="A5" s="921"/>
      <c r="B5" s="930"/>
      <c r="C5" s="927"/>
      <c r="D5" s="928"/>
      <c r="E5" s="929"/>
    </row>
    <row r="6" spans="1:10" s="925" customFormat="1">
      <c r="A6" s="921"/>
      <c r="B6" s="930"/>
      <c r="C6" s="927"/>
      <c r="D6" s="928"/>
      <c r="E6" s="929"/>
    </row>
    <row r="7" spans="1:10" s="925" customFormat="1">
      <c r="A7" s="921"/>
      <c r="B7" s="931" t="s">
        <v>1441</v>
      </c>
      <c r="C7" s="927"/>
      <c r="D7" s="928"/>
      <c r="E7" s="929"/>
    </row>
    <row r="8" spans="1:10" s="925" customFormat="1" ht="31.5">
      <c r="A8" s="921"/>
      <c r="B8" s="1489" t="s">
        <v>21</v>
      </c>
      <c r="C8" s="1489"/>
      <c r="D8" s="932" t="s">
        <v>1396</v>
      </c>
      <c r="E8" s="933" t="s">
        <v>1397</v>
      </c>
    </row>
    <row r="9" spans="1:10" s="925" customFormat="1">
      <c r="A9" s="921"/>
      <c r="B9" s="934" t="s">
        <v>1216</v>
      </c>
      <c r="C9" s="935"/>
      <c r="D9" s="936"/>
      <c r="E9" s="937"/>
    </row>
    <row r="10" spans="1:10" s="925" customFormat="1">
      <c r="A10" s="921"/>
      <c r="B10" s="938"/>
      <c r="C10" s="939"/>
      <c r="D10" s="940"/>
      <c r="E10" s="937"/>
    </row>
    <row r="11" spans="1:10" s="925" customFormat="1">
      <c r="A11" s="921"/>
      <c r="B11" s="934" t="s">
        <v>1217</v>
      </c>
      <c r="C11" s="939"/>
      <c r="D11" s="941"/>
      <c r="E11" s="942"/>
    </row>
    <row r="12" spans="1:10" s="925" customFormat="1">
      <c r="A12" s="921"/>
      <c r="B12" s="938" t="s">
        <v>1442</v>
      </c>
      <c r="C12" s="939"/>
      <c r="D12" s="943">
        <f>+'10N_22-33'!E268</f>
        <v>0</v>
      </c>
      <c r="E12" s="944">
        <f>+'10N_22-33'!F268</f>
        <v>0</v>
      </c>
      <c r="J12" s="925">
        <v>2503187080.9192119</v>
      </c>
    </row>
    <row r="13" spans="1:10" s="925" customFormat="1">
      <c r="A13" s="921"/>
      <c r="B13" s="938" t="s">
        <v>1218</v>
      </c>
      <c r="C13" s="939"/>
      <c r="D13" s="945">
        <f>+'10N_22-33'!E269</f>
        <v>0</v>
      </c>
      <c r="E13" s="929">
        <f>+'10N_22-33'!F269</f>
        <v>0</v>
      </c>
      <c r="J13" s="925">
        <v>54272254.060000002</v>
      </c>
    </row>
    <row r="14" spans="1:10" s="925" customFormat="1">
      <c r="A14" s="921"/>
      <c r="B14" s="931"/>
      <c r="C14" s="939"/>
      <c r="D14" s="946">
        <f>SUM(D12:D13)</f>
        <v>0</v>
      </c>
      <c r="E14" s="947">
        <f>SUM(E12:E13)</f>
        <v>0</v>
      </c>
      <c r="J14" s="925">
        <v>2557459334.9792118</v>
      </c>
    </row>
    <row r="15" spans="1:10" s="925" customFormat="1">
      <c r="A15" s="921"/>
      <c r="B15" s="934" t="s">
        <v>1219</v>
      </c>
      <c r="C15" s="939"/>
      <c r="D15" s="948"/>
      <c r="E15" s="942"/>
    </row>
    <row r="16" spans="1:10" s="925" customFormat="1">
      <c r="A16" s="921"/>
      <c r="B16" s="938" t="s">
        <v>1220</v>
      </c>
      <c r="C16" s="939"/>
      <c r="D16" s="945">
        <f>+'10N_22-33'!E266</f>
        <v>0</v>
      </c>
      <c r="E16" s="944">
        <f>-'10N_22-33'!F266</f>
        <v>0</v>
      </c>
      <c r="J16" s="925">
        <v>0</v>
      </c>
    </row>
    <row r="17" spans="1:10" s="925" customFormat="1">
      <c r="A17" s="921"/>
      <c r="B17" s="931"/>
      <c r="C17" s="939"/>
      <c r="D17" s="949">
        <f>SUM(D16)</f>
        <v>0</v>
      </c>
      <c r="E17" s="947">
        <f>SUM(E16)</f>
        <v>0</v>
      </c>
      <c r="J17" s="925">
        <v>0</v>
      </c>
    </row>
    <row r="18" spans="1:10" s="925" customFormat="1">
      <c r="A18" s="921"/>
      <c r="B18" s="930"/>
      <c r="C18" s="939"/>
      <c r="D18" s="948"/>
      <c r="E18" s="942"/>
    </row>
    <row r="19" spans="1:10" s="952" customFormat="1">
      <c r="A19" s="921"/>
      <c r="B19" s="931"/>
      <c r="C19" s="950"/>
      <c r="D19" s="951"/>
      <c r="E19" s="929"/>
    </row>
    <row r="20" spans="1:10" s="952" customFormat="1">
      <c r="A20" s="921"/>
      <c r="B20" s="931"/>
      <c r="C20" s="950"/>
      <c r="D20" s="951"/>
      <c r="E20" s="929"/>
    </row>
    <row r="21" spans="1:10" s="952" customFormat="1">
      <c r="A21" s="921"/>
      <c r="B21" s="931"/>
      <c r="C21" s="950"/>
      <c r="D21" s="946"/>
      <c r="E21" s="953"/>
    </row>
    <row r="22" spans="1:10" s="952" customFormat="1">
      <c r="A22" s="921"/>
      <c r="B22" s="931"/>
      <c r="C22" s="950"/>
      <c r="D22" s="954"/>
      <c r="E22" s="955"/>
    </row>
    <row r="23" spans="1:10" s="952" customFormat="1">
      <c r="A23" s="921"/>
      <c r="B23" s="934" t="s">
        <v>1221</v>
      </c>
      <c r="C23" s="950"/>
      <c r="D23" s="956">
        <f>+D14+D17+D21</f>
        <v>0</v>
      </c>
      <c r="E23" s="953">
        <f>+E14+E17+E21</f>
        <v>0</v>
      </c>
      <c r="J23" s="952">
        <v>2557459334.9792118</v>
      </c>
    </row>
    <row r="24" spans="1:10" s="952" customFormat="1">
      <c r="A24" s="921"/>
      <c r="B24" s="931"/>
      <c r="C24" s="950"/>
      <c r="D24" s="957"/>
      <c r="E24" s="929"/>
    </row>
    <row r="25" spans="1:10" s="952" customFormat="1">
      <c r="A25" s="921"/>
      <c r="B25" s="934" t="s">
        <v>1222</v>
      </c>
      <c r="C25" s="950"/>
      <c r="D25" s="957"/>
      <c r="E25" s="929"/>
    </row>
    <row r="26" spans="1:10" s="952" customFormat="1">
      <c r="A26" s="921"/>
      <c r="B26" s="1480" t="s">
        <v>1223</v>
      </c>
      <c r="C26" s="1481"/>
      <c r="D26" s="958">
        <f>+'3SOCI'!D34</f>
        <v>0</v>
      </c>
      <c r="E26" s="959">
        <f>+'3SOCI'!E34</f>
        <v>-6187294.7999999998</v>
      </c>
      <c r="J26" s="952">
        <v>0</v>
      </c>
    </row>
    <row r="27" spans="1:10" s="952" customFormat="1">
      <c r="A27" s="921"/>
      <c r="B27" s="960" t="s">
        <v>1224</v>
      </c>
      <c r="C27" s="961"/>
      <c r="D27" s="956">
        <f>SUM(D26)</f>
        <v>0</v>
      </c>
      <c r="E27" s="962">
        <f>SUM(E26)</f>
        <v>-6187294.7999999998</v>
      </c>
      <c r="J27" s="952">
        <v>0</v>
      </c>
    </row>
    <row r="28" spans="1:10" s="952" customFormat="1">
      <c r="A28" s="921"/>
      <c r="B28" s="931"/>
      <c r="C28" s="963"/>
      <c r="D28" s="964"/>
      <c r="E28" s="929"/>
    </row>
    <row r="29" spans="1:10" s="952" customFormat="1">
      <c r="A29" s="921"/>
      <c r="B29" s="938" t="s">
        <v>1230</v>
      </c>
      <c r="C29" s="963"/>
      <c r="D29" s="964"/>
      <c r="E29" s="929"/>
    </row>
    <row r="30" spans="1:10" s="952" customFormat="1">
      <c r="A30" s="921"/>
      <c r="B30" s="931"/>
      <c r="C30" s="963"/>
      <c r="D30" s="964"/>
      <c r="E30" s="929"/>
    </row>
    <row r="31" spans="1:10" s="952" customFormat="1">
      <c r="A31" s="921"/>
      <c r="B31" s="965" t="s">
        <v>1225</v>
      </c>
      <c r="C31" s="966" t="s">
        <v>1226</v>
      </c>
      <c r="D31" s="967">
        <f>+'3SOCI'!D23</f>
        <v>519822612.5800001</v>
      </c>
      <c r="E31" s="968">
        <f>+'3SOCI'!E23</f>
        <v>410853775.03999996</v>
      </c>
      <c r="J31" s="952">
        <v>7322166325.2800064</v>
      </c>
    </row>
    <row r="32" spans="1:10" s="952" customFormat="1">
      <c r="A32" s="921"/>
      <c r="B32" s="969" t="s">
        <v>1231</v>
      </c>
      <c r="C32" s="970">
        <f>+D32/D31</f>
        <v>0.3</v>
      </c>
      <c r="D32" s="951">
        <f>+D31*30%</f>
        <v>155946783.77400002</v>
      </c>
      <c r="E32" s="971">
        <f>+E31*30%</f>
        <v>123256132.51199998</v>
      </c>
      <c r="J32" s="952">
        <v>2534055321.8529043</v>
      </c>
    </row>
    <row r="33" spans="1:10" s="952" customFormat="1">
      <c r="A33" s="921"/>
      <c r="B33" s="969" t="s">
        <v>1227</v>
      </c>
      <c r="C33" s="970">
        <f>+D33/D31</f>
        <v>-0.3</v>
      </c>
      <c r="D33" s="951">
        <f>+D35-D32-D34</f>
        <v>-155946783.77400002</v>
      </c>
      <c r="E33" s="929">
        <f>+E35-E32-E34</f>
        <v>-123256132.51199998</v>
      </c>
      <c r="J33" s="952">
        <v>-30868240.933692515</v>
      </c>
    </row>
    <row r="34" spans="1:10" s="952" customFormat="1">
      <c r="A34" s="921"/>
      <c r="B34" s="969" t="s">
        <v>1228</v>
      </c>
      <c r="C34" s="970">
        <f>+D34/D31</f>
        <v>0</v>
      </c>
      <c r="D34" s="945">
        <f>+D13</f>
        <v>0</v>
      </c>
      <c r="E34" s="929">
        <f>+E13</f>
        <v>0</v>
      </c>
      <c r="J34" s="952">
        <v>54272254.060000002</v>
      </c>
    </row>
    <row r="35" spans="1:10" s="952" customFormat="1">
      <c r="A35" s="972"/>
      <c r="B35" s="973" t="s">
        <v>1229</v>
      </c>
      <c r="C35" s="974">
        <f>+D35/D31</f>
        <v>0</v>
      </c>
      <c r="D35" s="956">
        <f>+D23</f>
        <v>0</v>
      </c>
      <c r="E35" s="953">
        <f>+E23</f>
        <v>0</v>
      </c>
      <c r="J35" s="952">
        <v>2557459334.9792118</v>
      </c>
    </row>
    <row r="36" spans="1:10" s="952" customFormat="1">
      <c r="A36" s="975"/>
      <c r="C36" s="963"/>
      <c r="D36" s="964"/>
      <c r="E36" s="976"/>
    </row>
    <row r="37" spans="1:10" s="952" customFormat="1">
      <c r="A37" s="975"/>
      <c r="C37" s="963"/>
      <c r="D37" s="964"/>
      <c r="E37" s="976"/>
    </row>
    <row r="39" spans="1:10">
      <c r="B39" s="977"/>
      <c r="C39" s="978"/>
      <c r="D39" s="979"/>
      <c r="E39" s="979"/>
      <c r="F39" s="980"/>
      <c r="G39" s="981"/>
    </row>
    <row r="40" spans="1:10">
      <c r="B40" s="952"/>
      <c r="C40" s="978"/>
      <c r="D40" s="979"/>
      <c r="E40" s="979"/>
      <c r="F40" s="981"/>
      <c r="G40" s="981"/>
    </row>
    <row r="41" spans="1:10">
      <c r="B41" s="952"/>
      <c r="C41" s="978"/>
      <c r="D41" s="982"/>
      <c r="E41" s="173"/>
      <c r="F41" s="981"/>
      <c r="G41" s="981"/>
    </row>
    <row r="42" spans="1:10">
      <c r="B42" s="952"/>
      <c r="C42" s="978"/>
      <c r="D42" s="983"/>
      <c r="E42" s="173"/>
      <c r="F42" s="981"/>
      <c r="G42" s="981"/>
    </row>
    <row r="43" spans="1:10">
      <c r="B43" s="952"/>
      <c r="C43" s="978"/>
      <c r="D43" s="983"/>
      <c r="E43" s="173"/>
      <c r="F43" s="981"/>
      <c r="G43" s="981"/>
    </row>
    <row r="44" spans="1:10">
      <c r="B44" s="977"/>
      <c r="C44" s="984"/>
      <c r="D44" s="985"/>
      <c r="E44" s="986"/>
      <c r="F44" s="987"/>
      <c r="G44" s="981"/>
    </row>
    <row r="45" spans="1:10">
      <c r="B45" s="952"/>
      <c r="C45" s="978"/>
      <c r="D45" s="986"/>
      <c r="E45" s="988"/>
      <c r="F45" s="981"/>
      <c r="G45" s="981"/>
    </row>
    <row r="46" spans="1:10">
      <c r="B46" s="527"/>
      <c r="C46" s="978"/>
      <c r="D46" s="989"/>
      <c r="E46" s="173"/>
      <c r="F46" s="981"/>
      <c r="G46" s="981"/>
    </row>
    <row r="47" spans="1:10">
      <c r="B47" s="1482"/>
      <c r="C47" s="978"/>
      <c r="D47" s="990"/>
      <c r="E47" s="978"/>
      <c r="F47" s="991"/>
      <c r="G47" s="981"/>
    </row>
    <row r="48" spans="1:10">
      <c r="B48" s="1482"/>
      <c r="C48" s="978"/>
      <c r="D48" s="992"/>
      <c r="E48" s="978"/>
      <c r="F48" s="991"/>
      <c r="G48" s="981"/>
    </row>
    <row r="49" spans="2:7">
      <c r="B49" s="1482"/>
      <c r="C49" s="978"/>
      <c r="D49" s="993"/>
      <c r="E49" s="978"/>
      <c r="F49" s="980"/>
      <c r="G49" s="981"/>
    </row>
    <row r="50" spans="2:7">
      <c r="B50" s="527"/>
      <c r="C50" s="978"/>
      <c r="D50" s="994"/>
      <c r="E50" s="978"/>
      <c r="F50" s="981"/>
      <c r="G50" s="981"/>
    </row>
    <row r="51" spans="2:7">
      <c r="B51" s="995"/>
      <c r="C51" s="978"/>
      <c r="D51" s="994"/>
      <c r="E51" s="978"/>
      <c r="F51" s="981"/>
      <c r="G51" s="981"/>
    </row>
    <row r="52" spans="2:7">
      <c r="B52" s="995"/>
      <c r="C52" s="978"/>
      <c r="D52" s="994"/>
      <c r="E52" s="978"/>
      <c r="F52" s="981"/>
      <c r="G52" s="981"/>
    </row>
    <row r="53" spans="2:7">
      <c r="B53" s="995"/>
      <c r="C53" s="978"/>
      <c r="D53" s="994"/>
      <c r="E53" s="978"/>
      <c r="F53" s="981"/>
      <c r="G53" s="981"/>
    </row>
    <row r="54" spans="2:7">
      <c r="B54" s="995"/>
      <c r="C54" s="978"/>
      <c r="D54" s="994"/>
      <c r="E54" s="978"/>
      <c r="F54" s="981"/>
      <c r="G54" s="981"/>
    </row>
    <row r="55" spans="2:7">
      <c r="B55" s="995"/>
      <c r="C55" s="978"/>
      <c r="D55" s="994"/>
      <c r="E55" s="978"/>
      <c r="F55" s="981"/>
      <c r="G55" s="981"/>
    </row>
    <row r="56" spans="2:7">
      <c r="B56" s="995"/>
      <c r="C56" s="978"/>
      <c r="D56" s="994"/>
      <c r="E56" s="978"/>
      <c r="F56" s="981"/>
      <c r="G56" s="981"/>
    </row>
    <row r="57" spans="2:7">
      <c r="B57" s="995"/>
      <c r="C57" s="978"/>
      <c r="D57" s="994"/>
      <c r="E57" s="978"/>
      <c r="F57" s="981"/>
      <c r="G57" s="981"/>
    </row>
    <row r="58" spans="2:7">
      <c r="B58" s="995"/>
      <c r="C58" s="978"/>
      <c r="D58" s="994"/>
      <c r="E58" s="978"/>
      <c r="F58" s="981"/>
      <c r="G58" s="981"/>
    </row>
    <row r="59" spans="2:7">
      <c r="B59" s="996"/>
      <c r="C59" s="978"/>
      <c r="D59" s="997"/>
      <c r="E59" s="978"/>
      <c r="F59" s="987"/>
      <c r="G59" s="981"/>
    </row>
    <row r="60" spans="2:7">
      <c r="B60" s="996"/>
      <c r="C60" s="978"/>
      <c r="D60" s="997"/>
      <c r="E60" s="978"/>
      <c r="F60" s="987"/>
      <c r="G60" s="981"/>
    </row>
    <row r="61" spans="2:7">
      <c r="B61" s="996"/>
      <c r="C61" s="978"/>
      <c r="D61" s="997"/>
      <c r="E61" s="978"/>
      <c r="F61" s="987"/>
      <c r="G61" s="981"/>
    </row>
    <row r="62" spans="2:7">
      <c r="B62" s="996"/>
      <c r="C62" s="978"/>
      <c r="D62" s="997"/>
      <c r="E62" s="978"/>
      <c r="F62" s="987"/>
      <c r="G62" s="981"/>
    </row>
    <row r="63" spans="2:7">
      <c r="B63" s="977"/>
      <c r="C63" s="978"/>
      <c r="D63" s="993" t="s">
        <v>1237</v>
      </c>
      <c r="E63" s="978"/>
      <c r="F63" s="980" t="s">
        <v>1237</v>
      </c>
      <c r="G63" s="980" t="s">
        <v>1237</v>
      </c>
    </row>
    <row r="64" spans="2:7" ht="16.5" thickBot="1">
      <c r="B64" s="998" t="s">
        <v>1238</v>
      </c>
      <c r="C64" s="999"/>
      <c r="D64" s="1000" t="e">
        <f>#REF!</f>
        <v>#REF!</v>
      </c>
      <c r="E64" s="999"/>
      <c r="F64" s="1001" t="e">
        <f>#REF!</f>
        <v>#REF!</v>
      </c>
      <c r="G64" s="1001" t="e">
        <f>F64</f>
        <v>#REF!</v>
      </c>
    </row>
    <row r="65" spans="2:7" ht="16.5" thickBot="1">
      <c r="B65" s="1002"/>
      <c r="C65" s="1003"/>
      <c r="D65" s="1004" t="s">
        <v>1239</v>
      </c>
      <c r="E65" s="1003"/>
      <c r="F65" s="1005" t="s">
        <v>1239</v>
      </c>
      <c r="G65" s="1001" t="s">
        <v>1240</v>
      </c>
    </row>
    <row r="66" spans="2:7">
      <c r="B66" s="996" t="s">
        <v>1241</v>
      </c>
      <c r="C66" s="978"/>
      <c r="D66" s="1006">
        <f>+F72</f>
        <v>205501911</v>
      </c>
      <c r="E66" s="978"/>
      <c r="F66" s="981">
        <v>166802860</v>
      </c>
      <c r="G66" s="1007" t="e">
        <f t="shared" ref="G66:G69" si="0">ROUND(F66/$D$3,2)</f>
        <v>#DIV/0!</v>
      </c>
    </row>
    <row r="67" spans="2:7">
      <c r="B67" s="1008" t="s">
        <v>1242</v>
      </c>
      <c r="C67" s="978"/>
      <c r="D67" s="1006">
        <v>0</v>
      </c>
      <c r="E67" s="978"/>
      <c r="F67" s="981">
        <v>0</v>
      </c>
      <c r="G67" s="1007" t="e">
        <f t="shared" si="0"/>
        <v>#DIV/0!</v>
      </c>
    </row>
    <row r="68" spans="2:7">
      <c r="B68" s="1008" t="s">
        <v>1243</v>
      </c>
      <c r="C68" s="978"/>
      <c r="D68" s="1006">
        <f>+'[2]Trial Conso IND AS 31.03.18'!D1682-'[2]Trial Conso IND AS 31.03.18'!C1682</f>
        <v>-245575</v>
      </c>
      <c r="E68" s="978"/>
      <c r="F68" s="981">
        <v>38699044</v>
      </c>
      <c r="G68" s="1007" t="e">
        <f t="shared" si="0"/>
        <v>#DIV/0!</v>
      </c>
    </row>
    <row r="69" spans="2:7">
      <c r="B69" s="1008" t="s">
        <v>1244</v>
      </c>
      <c r="C69" s="978"/>
      <c r="D69" s="1006">
        <f>+'[2]Trial Conso IND AS 31.03.18'!D1683-'[2]Trial Conso IND AS 31.03.18'!C1683</f>
        <v>-25357.360000000004</v>
      </c>
      <c r="E69" s="978"/>
      <c r="F69" s="981">
        <f>'[2]Trial Conso IND AS 31.03.18'!L1683</f>
        <v>7</v>
      </c>
      <c r="G69" s="1007" t="e">
        <f t="shared" si="0"/>
        <v>#DIV/0!</v>
      </c>
    </row>
    <row r="70" spans="2:7">
      <c r="B70" s="995" t="s">
        <v>1245</v>
      </c>
      <c r="C70" s="978"/>
      <c r="D70" s="1006"/>
      <c r="E70" s="978"/>
      <c r="F70" s="981"/>
      <c r="G70" s="1007" t="e">
        <f t="shared" ref="G70:G71" si="1">F70/$D$3</f>
        <v>#DIV/0!</v>
      </c>
    </row>
    <row r="71" spans="2:7">
      <c r="B71" s="995" t="s">
        <v>1246</v>
      </c>
      <c r="C71" s="978"/>
      <c r="D71" s="1006"/>
      <c r="E71" s="978"/>
      <c r="F71" s="981"/>
      <c r="G71" s="1007" t="e">
        <f t="shared" si="1"/>
        <v>#DIV/0!</v>
      </c>
    </row>
    <row r="72" spans="2:7" ht="16.5" thickBot="1">
      <c r="B72" s="996" t="s">
        <v>1247</v>
      </c>
      <c r="C72" s="978"/>
      <c r="D72" s="1009">
        <f>SUM(D66:D71)</f>
        <v>205230978.63999999</v>
      </c>
      <c r="E72" s="978"/>
      <c r="F72" s="1010">
        <f>SUM(F66:F71)</f>
        <v>205501911</v>
      </c>
      <c r="G72" s="1010" t="e">
        <f>SUM(G66:G71)</f>
        <v>#DIV/0!</v>
      </c>
    </row>
    <row r="73" spans="2:7">
      <c r="B73" s="995"/>
      <c r="C73" s="978"/>
      <c r="D73" s="1011">
        <f>D32-D72</f>
        <v>-49284194.865999967</v>
      </c>
      <c r="E73" s="978"/>
      <c r="F73" s="981">
        <f>F32-F72</f>
        <v>-205501911</v>
      </c>
      <c r="G73" s="981"/>
    </row>
  </sheetData>
  <mergeCells count="5">
    <mergeCell ref="B26:C26"/>
    <mergeCell ref="B47:B49"/>
    <mergeCell ref="B1:E1"/>
    <mergeCell ref="B2:E2"/>
    <mergeCell ref="B8:C8"/>
  </mergeCells>
  <pageMargins left="0.70866141732283472" right="0.31496062992125984" top="0.74803149606299213" bottom="0.74803149606299213" header="0.31496062992125984" footer="0.31496062992125984"/>
  <pageSetup scale="65" orientation="portrait" r:id="rId1"/>
  <colBreaks count="1" manualBreakCount="1">
    <brk id="5" max="1048575" man="1"/>
  </colBreaks>
</worksheet>
</file>

<file path=xl/worksheets/sheet12.xml><?xml version="1.0" encoding="utf-8"?>
<worksheet xmlns="http://schemas.openxmlformats.org/spreadsheetml/2006/main" xmlns:r="http://schemas.openxmlformats.org/officeDocument/2006/relationships">
  <sheetPr enableFormatConditionsCalculation="0">
    <tabColor rgb="FF00B050"/>
  </sheetPr>
  <dimension ref="A1:N83"/>
  <sheetViews>
    <sheetView showGridLines="0" zoomScaleSheetLayoutView="80" workbookViewId="0">
      <selection sqref="A1:G1"/>
    </sheetView>
  </sheetViews>
  <sheetFormatPr defaultColWidth="9.140625" defaultRowHeight="15.75"/>
  <cols>
    <col min="1" max="1" width="34.42578125" style="124" customWidth="1"/>
    <col min="2" max="2" width="19.42578125" style="124" bestFit="1" customWidth="1"/>
    <col min="3" max="3" width="19.42578125" style="124" customWidth="1"/>
    <col min="4" max="4" width="21.140625" style="124" customWidth="1"/>
    <col min="5" max="5" width="21.42578125" style="124" customWidth="1"/>
    <col min="6" max="6" width="18.7109375" style="124" bestFit="1" customWidth="1"/>
    <col min="7" max="7" width="19.28515625" style="124" bestFit="1" customWidth="1"/>
    <col min="8" max="8" width="6.28515625" style="124" customWidth="1"/>
    <col min="9" max="9" width="7.42578125" style="124" customWidth="1"/>
    <col min="10" max="10" width="17.42578125" style="124" bestFit="1" customWidth="1"/>
    <col min="11" max="11" width="15.7109375" style="124" bestFit="1" customWidth="1"/>
    <col min="12" max="12" width="19.85546875" style="124" bestFit="1" customWidth="1"/>
    <col min="13" max="13" width="17.7109375" style="124" customWidth="1"/>
    <col min="14" max="14" width="87.7109375" style="54" bestFit="1" customWidth="1"/>
    <col min="15" max="15" width="16.42578125" style="54" bestFit="1" customWidth="1"/>
    <col min="16" max="16" width="14.42578125" style="54" bestFit="1" customWidth="1"/>
    <col min="17" max="17" width="14.85546875" style="54" bestFit="1" customWidth="1"/>
    <col min="18" max="18" width="14.42578125" style="54" bestFit="1" customWidth="1"/>
    <col min="19" max="21" width="9.140625" style="54"/>
    <col min="22" max="22" width="14.42578125" style="54" bestFit="1" customWidth="1"/>
    <col min="23" max="16384" width="9.140625" style="54"/>
  </cols>
  <sheetData>
    <row r="1" spans="1:12">
      <c r="A1" s="1490" t="s">
        <v>0</v>
      </c>
      <c r="B1" s="1491"/>
      <c r="C1" s="1491"/>
      <c r="D1" s="1491"/>
      <c r="E1" s="1491"/>
      <c r="F1" s="1491"/>
      <c r="G1" s="1492"/>
      <c r="H1" s="724"/>
      <c r="I1" s="724"/>
      <c r="J1" s="415"/>
    </row>
    <row r="2" spans="1:12">
      <c r="A2" s="142"/>
      <c r="B2" s="626" t="s">
        <v>1048</v>
      </c>
      <c r="C2" s="627"/>
      <c r="D2" s="627"/>
      <c r="E2" s="627"/>
      <c r="F2" s="627"/>
      <c r="G2" s="852"/>
      <c r="H2" s="342"/>
      <c r="I2" s="342"/>
      <c r="J2" s="725"/>
    </row>
    <row r="3" spans="1:12">
      <c r="A3" s="142"/>
      <c r="B3" s="626"/>
      <c r="C3" s="627"/>
      <c r="D3" s="627"/>
      <c r="E3" s="627"/>
      <c r="F3" s="627"/>
      <c r="G3" s="852"/>
      <c r="H3" s="342"/>
      <c r="I3" s="342"/>
      <c r="J3" s="725"/>
    </row>
    <row r="4" spans="1:12">
      <c r="A4" s="726" t="s">
        <v>483</v>
      </c>
      <c r="B4" s="628"/>
      <c r="C4" s="628"/>
      <c r="D4" s="628"/>
      <c r="E4" s="629"/>
      <c r="F4" s="342"/>
      <c r="G4" s="725"/>
      <c r="H4" s="342"/>
      <c r="I4" s="342"/>
      <c r="J4" s="725"/>
    </row>
    <row r="5" spans="1:12">
      <c r="A5" s="726"/>
      <c r="B5" s="628"/>
      <c r="C5" s="628"/>
      <c r="D5" s="628"/>
      <c r="E5" s="629"/>
      <c r="F5" s="342"/>
      <c r="G5" s="725"/>
      <c r="H5" s="342"/>
      <c r="I5" s="342"/>
      <c r="J5" s="725"/>
    </row>
    <row r="6" spans="1:12" ht="16.5" thickBot="1">
      <c r="A6" s="853" t="s">
        <v>347</v>
      </c>
      <c r="B6" s="854"/>
      <c r="C6" s="854"/>
      <c r="D6" s="854"/>
      <c r="E6" s="854"/>
      <c r="F6" s="854"/>
      <c r="G6" s="855"/>
      <c r="H6" s="630"/>
      <c r="I6" s="630"/>
      <c r="J6" s="728"/>
      <c r="K6" s="169"/>
      <c r="L6" s="170"/>
    </row>
    <row r="7" spans="1:12">
      <c r="A7" s="1503" t="s">
        <v>21</v>
      </c>
      <c r="B7" s="1497" t="s">
        <v>554</v>
      </c>
      <c r="C7" s="1498"/>
      <c r="D7" s="1498"/>
      <c r="E7" s="1497" t="s">
        <v>346</v>
      </c>
      <c r="F7" s="1498"/>
      <c r="G7" s="1505"/>
      <c r="H7" s="1506" t="s">
        <v>324</v>
      </c>
      <c r="I7" s="1507"/>
      <c r="J7" s="1507"/>
    </row>
    <row r="8" spans="1:12" ht="15.75" customHeight="1" thickBot="1">
      <c r="A8" s="1504"/>
      <c r="B8" s="559" t="s">
        <v>325</v>
      </c>
      <c r="C8" s="560" t="s">
        <v>326</v>
      </c>
      <c r="D8" s="560" t="s">
        <v>327</v>
      </c>
      <c r="E8" s="559" t="s">
        <v>325</v>
      </c>
      <c r="F8" s="560" t="s">
        <v>326</v>
      </c>
      <c r="G8" s="561" t="s">
        <v>327</v>
      </c>
      <c r="H8" s="343" t="s">
        <v>325</v>
      </c>
      <c r="I8" s="343" t="s">
        <v>326</v>
      </c>
      <c r="J8" s="344" t="s">
        <v>327</v>
      </c>
    </row>
    <row r="9" spans="1:12">
      <c r="A9" s="729" t="s">
        <v>1398</v>
      </c>
      <c r="B9" s="347"/>
      <c r="C9" s="346"/>
      <c r="D9" s="346"/>
      <c r="E9" s="345"/>
      <c r="F9" s="347"/>
      <c r="G9" s="348"/>
      <c r="H9" s="347"/>
      <c r="I9" s="347"/>
      <c r="J9" s="348"/>
    </row>
    <row r="10" spans="1:12">
      <c r="A10" s="730" t="s">
        <v>1256</v>
      </c>
      <c r="B10" s="346">
        <v>0</v>
      </c>
      <c r="C10" s="346">
        <v>0</v>
      </c>
      <c r="D10" s="349">
        <v>0</v>
      </c>
      <c r="E10" s="562">
        <v>0</v>
      </c>
      <c r="F10" s="349">
        <v>0</v>
      </c>
      <c r="G10" s="350">
        <f>+'7N_3-12'!D11</f>
        <v>0</v>
      </c>
      <c r="H10" s="347"/>
      <c r="I10" s="347"/>
      <c r="J10" s="348"/>
    </row>
    <row r="11" spans="1:12">
      <c r="A11" s="730" t="s">
        <v>1253</v>
      </c>
      <c r="B11" s="346">
        <v>0</v>
      </c>
      <c r="C11" s="346">
        <v>0</v>
      </c>
      <c r="D11" s="359">
        <f>'7N_3-12'!C15</f>
        <v>180000000</v>
      </c>
      <c r="E11" s="562">
        <v>0</v>
      </c>
      <c r="F11" s="349">
        <v>0</v>
      </c>
      <c r="G11" s="350">
        <f>'7N_3-12'!D15</f>
        <v>180000000</v>
      </c>
      <c r="H11" s="347"/>
      <c r="I11" s="347"/>
      <c r="J11" s="348">
        <v>0</v>
      </c>
    </row>
    <row r="12" spans="1:12">
      <c r="A12" s="730" t="s">
        <v>150</v>
      </c>
      <c r="B12" s="346">
        <v>0</v>
      </c>
      <c r="C12" s="346">
        <v>0</v>
      </c>
      <c r="D12" s="350">
        <f>+'7N_3-12'!C16</f>
        <v>1000000</v>
      </c>
      <c r="E12" s="349">
        <v>0</v>
      </c>
      <c r="F12" s="349">
        <v>0</v>
      </c>
      <c r="G12" s="350">
        <v>0</v>
      </c>
      <c r="H12" s="345"/>
      <c r="I12" s="347"/>
      <c r="J12" s="348"/>
    </row>
    <row r="13" spans="1:12">
      <c r="A13" s="730" t="s">
        <v>1146</v>
      </c>
      <c r="B13" s="346">
        <v>0</v>
      </c>
      <c r="C13" s="346">
        <v>0</v>
      </c>
      <c r="D13" s="350">
        <f>'7N_3-12'!C17</f>
        <v>9682582.5199999996</v>
      </c>
      <c r="E13" s="349">
        <v>0</v>
      </c>
      <c r="F13" s="349">
        <v>0</v>
      </c>
      <c r="G13" s="350">
        <f>'7N_3-12'!D17</f>
        <v>9682582.5199999996</v>
      </c>
      <c r="H13" s="345"/>
      <c r="I13" s="347"/>
      <c r="J13" s="348"/>
    </row>
    <row r="14" spans="1:12">
      <c r="A14" s="730" t="s">
        <v>1249</v>
      </c>
      <c r="B14" s="346">
        <v>0</v>
      </c>
      <c r="C14" s="346">
        <v>0</v>
      </c>
      <c r="D14" s="350">
        <f>'7N_3-12'!C75</f>
        <v>127620355.32000001</v>
      </c>
      <c r="E14" s="349">
        <v>0</v>
      </c>
      <c r="F14" s="349">
        <v>0</v>
      </c>
      <c r="G14" s="350">
        <f>'7N_3-12'!D75</f>
        <v>108911295.60000001</v>
      </c>
      <c r="H14" s="345"/>
      <c r="I14" s="347"/>
      <c r="J14" s="348">
        <v>53207355.950000003</v>
      </c>
    </row>
    <row r="15" spans="1:12">
      <c r="A15" s="730" t="s">
        <v>1250</v>
      </c>
      <c r="B15" s="346">
        <v>0</v>
      </c>
      <c r="C15" s="346">
        <v>0</v>
      </c>
      <c r="D15" s="350">
        <f>'7N_3-12'!C85</f>
        <v>771475012.73999989</v>
      </c>
      <c r="E15" s="349">
        <v>0</v>
      </c>
      <c r="F15" s="349">
        <v>0</v>
      </c>
      <c r="G15" s="350">
        <f>'7N_3-12'!D85</f>
        <v>633519823.84999979</v>
      </c>
      <c r="H15" s="345"/>
      <c r="I15" s="347"/>
      <c r="J15" s="348">
        <v>522619424.35000002</v>
      </c>
    </row>
    <row r="16" spans="1:12">
      <c r="A16" s="730" t="s">
        <v>489</v>
      </c>
      <c r="B16" s="346">
        <v>0</v>
      </c>
      <c r="C16" s="346">
        <v>0</v>
      </c>
      <c r="D16" s="350">
        <f>'7N_3-12'!C91</f>
        <v>1265005.6499999999</v>
      </c>
      <c r="E16" s="349">
        <v>0</v>
      </c>
      <c r="F16" s="349">
        <v>0</v>
      </c>
      <c r="G16" s="350">
        <f>'7N_3-12'!D91</f>
        <v>1265005.6499999999</v>
      </c>
      <c r="H16" s="345"/>
      <c r="I16" s="347"/>
      <c r="J16" s="348">
        <v>739651</v>
      </c>
    </row>
    <row r="17" spans="1:14">
      <c r="A17" s="730" t="s">
        <v>1251</v>
      </c>
      <c r="B17" s="346">
        <v>0</v>
      </c>
      <c r="C17" s="346">
        <v>0</v>
      </c>
      <c r="D17" s="350">
        <f>'7N_3-12'!C93</f>
        <v>2007812.9</v>
      </c>
      <c r="E17" s="349">
        <v>0</v>
      </c>
      <c r="F17" s="349">
        <v>0</v>
      </c>
      <c r="G17" s="350">
        <f>'7N_3-12'!D93</f>
        <v>2007812.9</v>
      </c>
      <c r="H17" s="345"/>
      <c r="I17" s="347"/>
      <c r="J17" s="348">
        <v>0</v>
      </c>
    </row>
    <row r="18" spans="1:14">
      <c r="A18" s="730" t="s">
        <v>1252</v>
      </c>
      <c r="B18" s="346">
        <v>0</v>
      </c>
      <c r="C18" s="346">
        <v>0</v>
      </c>
      <c r="D18" s="350">
        <f>'7N_3-12'!C92</f>
        <v>64264.35</v>
      </c>
      <c r="E18" s="349">
        <v>0</v>
      </c>
      <c r="F18" s="349">
        <v>0</v>
      </c>
      <c r="G18" s="350">
        <f>'7N_3-12'!D92</f>
        <v>64264.35</v>
      </c>
      <c r="H18" s="345"/>
      <c r="I18" s="347"/>
      <c r="J18" s="348">
        <v>2212782.17</v>
      </c>
    </row>
    <row r="19" spans="1:14">
      <c r="A19" s="731" t="s">
        <v>329</v>
      </c>
      <c r="B19" s="352">
        <f t="shared" ref="B19:J19" si="0">SUM(B11:B18)</f>
        <v>0</v>
      </c>
      <c r="C19" s="352">
        <f t="shared" si="0"/>
        <v>0</v>
      </c>
      <c r="D19" s="353">
        <f t="shared" si="0"/>
        <v>1093115033.48</v>
      </c>
      <c r="E19" s="354">
        <f t="shared" si="0"/>
        <v>0</v>
      </c>
      <c r="F19" s="354">
        <f t="shared" si="0"/>
        <v>0</v>
      </c>
      <c r="G19" s="353">
        <f>SUM(G10:G18)</f>
        <v>935450784.86999977</v>
      </c>
      <c r="H19" s="351">
        <f t="shared" si="0"/>
        <v>0</v>
      </c>
      <c r="I19" s="352">
        <f t="shared" si="0"/>
        <v>0</v>
      </c>
      <c r="J19" s="355">
        <f t="shared" si="0"/>
        <v>578779213.47000003</v>
      </c>
      <c r="K19" s="143"/>
      <c r="L19" s="171"/>
    </row>
    <row r="20" spans="1:14">
      <c r="A20" s="732" t="s">
        <v>330</v>
      </c>
      <c r="B20" s="347"/>
      <c r="C20" s="356"/>
      <c r="D20" s="357"/>
      <c r="E20" s="358"/>
      <c r="F20" s="359"/>
      <c r="G20" s="350"/>
      <c r="H20" s="345"/>
      <c r="I20" s="347"/>
      <c r="J20" s="348"/>
      <c r="L20" s="195"/>
    </row>
    <row r="21" spans="1:14">
      <c r="A21" s="733" t="s">
        <v>1255</v>
      </c>
      <c r="B21" s="346">
        <v>0</v>
      </c>
      <c r="C21" s="346">
        <v>0</v>
      </c>
      <c r="D21" s="350">
        <f>+'9N_14-21'!C26</f>
        <v>373923245.44999999</v>
      </c>
      <c r="E21" s="349">
        <v>0</v>
      </c>
      <c r="F21" s="349">
        <v>0</v>
      </c>
      <c r="G21" s="350">
        <f>+'9N_14-21'!D26</f>
        <v>396826475.69</v>
      </c>
      <c r="H21" s="345"/>
      <c r="I21" s="347"/>
      <c r="J21" s="348">
        <v>94636502</v>
      </c>
      <c r="K21" s="143"/>
      <c r="L21" s="196"/>
    </row>
    <row r="22" spans="1:14">
      <c r="A22" s="733" t="s">
        <v>485</v>
      </c>
      <c r="B22" s="346">
        <v>0</v>
      </c>
      <c r="C22" s="346">
        <v>0</v>
      </c>
      <c r="D22" s="350">
        <f>'9N_14-21'!C29</f>
        <v>300000000</v>
      </c>
      <c r="E22" s="349">
        <v>0</v>
      </c>
      <c r="F22" s="349">
        <v>0</v>
      </c>
      <c r="G22" s="350">
        <f>'9N_14-21'!D29</f>
        <v>300000000</v>
      </c>
      <c r="H22" s="345"/>
      <c r="I22" s="347"/>
      <c r="J22" s="348">
        <v>300000000</v>
      </c>
      <c r="K22" s="143"/>
      <c r="L22" s="196"/>
    </row>
    <row r="23" spans="1:14">
      <c r="A23" s="733" t="s">
        <v>1254</v>
      </c>
      <c r="B23" s="346">
        <v>0</v>
      </c>
      <c r="C23" s="346">
        <v>0</v>
      </c>
      <c r="D23" s="350">
        <f>+'9N_14-21'!C42</f>
        <v>155400000</v>
      </c>
      <c r="E23" s="349">
        <v>0</v>
      </c>
      <c r="F23" s="349">
        <v>0</v>
      </c>
      <c r="G23" s="350">
        <f>+'9N_14-21'!D42</f>
        <v>194250000</v>
      </c>
      <c r="H23" s="345"/>
      <c r="I23" s="347"/>
      <c r="J23" s="348"/>
      <c r="K23" s="143"/>
      <c r="L23" s="196"/>
    </row>
    <row r="24" spans="1:14">
      <c r="A24" s="733" t="s">
        <v>486</v>
      </c>
      <c r="B24" s="346">
        <v>0</v>
      </c>
      <c r="C24" s="346">
        <v>0</v>
      </c>
      <c r="D24" s="350">
        <f>SUM('9N_14-21'!C74:C76)</f>
        <v>135291260.57999998</v>
      </c>
      <c r="E24" s="349">
        <v>0</v>
      </c>
      <c r="F24" s="349">
        <v>0</v>
      </c>
      <c r="G24" s="350">
        <f>SUM('9N_14-21'!D74:D76)</f>
        <v>140676930.66999999</v>
      </c>
      <c r="H24" s="345"/>
      <c r="I24" s="347"/>
      <c r="J24" s="348">
        <v>73503206.629999995</v>
      </c>
      <c r="K24" s="143"/>
      <c r="L24" s="196"/>
    </row>
    <row r="25" spans="1:14">
      <c r="A25" s="733" t="s">
        <v>234</v>
      </c>
      <c r="B25" s="346">
        <v>0</v>
      </c>
      <c r="C25" s="346">
        <v>0</v>
      </c>
      <c r="D25" s="350">
        <f>+'9N_14-21'!C77</f>
        <v>19340482.5</v>
      </c>
      <c r="E25" s="349">
        <v>0</v>
      </c>
      <c r="F25" s="349">
        <v>0</v>
      </c>
      <c r="G25" s="350">
        <f>+'9N_14-21'!D77</f>
        <v>30489070.649999999</v>
      </c>
      <c r="H25" s="345"/>
      <c r="I25" s="347"/>
      <c r="J25" s="348">
        <v>4509246.58</v>
      </c>
      <c r="K25" s="143"/>
      <c r="L25" s="196"/>
    </row>
    <row r="26" spans="1:14">
      <c r="A26" s="730" t="s">
        <v>1204</v>
      </c>
      <c r="B26" s="346">
        <v>0</v>
      </c>
      <c r="C26" s="346">
        <v>0</v>
      </c>
      <c r="D26" s="350">
        <f>'9N_14-21'!C93</f>
        <v>101821</v>
      </c>
      <c r="E26" s="349">
        <v>0</v>
      </c>
      <c r="F26" s="349">
        <v>0</v>
      </c>
      <c r="G26" s="350">
        <f>'9N_14-21'!D93</f>
        <v>57411</v>
      </c>
      <c r="H26" s="345"/>
      <c r="I26" s="347"/>
      <c r="J26" s="348">
        <v>0</v>
      </c>
      <c r="K26" s="143"/>
      <c r="L26" s="196"/>
    </row>
    <row r="27" spans="1:14">
      <c r="A27" s="733" t="s">
        <v>1128</v>
      </c>
      <c r="B27" s="346">
        <v>0</v>
      </c>
      <c r="C27" s="346">
        <v>0</v>
      </c>
      <c r="D27" s="350">
        <f>+'9N_14-21'!C94</f>
        <v>44914640.189999998</v>
      </c>
      <c r="E27" s="349">
        <v>0</v>
      </c>
      <c r="F27" s="349">
        <v>0</v>
      </c>
      <c r="G27" s="350">
        <f>+'9N_14-21'!D94</f>
        <v>44914640.189999998</v>
      </c>
      <c r="H27" s="345"/>
      <c r="I27" s="347"/>
      <c r="J27" s="348">
        <v>20054.86</v>
      </c>
      <c r="K27" s="143"/>
      <c r="L27" s="196"/>
    </row>
    <row r="28" spans="1:14">
      <c r="A28" s="733" t="s">
        <v>1257</v>
      </c>
      <c r="B28" s="346">
        <v>0</v>
      </c>
      <c r="C28" s="346">
        <v>0</v>
      </c>
      <c r="D28" s="350">
        <f>SUM('9N_14-21'!C91:C92)</f>
        <v>12170640.33</v>
      </c>
      <c r="E28" s="349">
        <v>0</v>
      </c>
      <c r="F28" s="349">
        <v>0</v>
      </c>
      <c r="G28" s="350">
        <f>SUM('9N_14-21'!D91:D92)</f>
        <v>12703957.91</v>
      </c>
      <c r="H28" s="345"/>
      <c r="I28" s="347"/>
      <c r="J28" s="348">
        <v>7808954.9299999997</v>
      </c>
      <c r="K28" s="143"/>
      <c r="L28" s="196"/>
    </row>
    <row r="29" spans="1:14">
      <c r="A29" s="841" t="s">
        <v>332</v>
      </c>
      <c r="B29" s="842">
        <v>0</v>
      </c>
      <c r="C29" s="843">
        <v>0</v>
      </c>
      <c r="D29" s="354">
        <f t="shared" ref="D29:J29" si="1">SUM(D21:D28)</f>
        <v>1041142090.0500001</v>
      </c>
      <c r="E29" s="844">
        <v>0</v>
      </c>
      <c r="F29" s="845">
        <v>0</v>
      </c>
      <c r="G29" s="353">
        <f t="shared" si="1"/>
        <v>1119918486.1100001</v>
      </c>
      <c r="H29" s="352">
        <f t="shared" si="1"/>
        <v>0</v>
      </c>
      <c r="I29" s="352">
        <f t="shared" si="1"/>
        <v>0</v>
      </c>
      <c r="J29" s="355">
        <f t="shared" si="1"/>
        <v>480477965</v>
      </c>
      <c r="K29" s="143"/>
      <c r="L29" s="171"/>
      <c r="M29" s="172"/>
      <c r="N29" s="55"/>
    </row>
    <row r="30" spans="1:14">
      <c r="A30" s="861"/>
      <c r="B30" s="862"/>
      <c r="C30" s="862"/>
      <c r="D30" s="862"/>
      <c r="E30" s="862"/>
      <c r="F30" s="862"/>
      <c r="G30" s="863"/>
      <c r="H30" s="862"/>
      <c r="I30" s="862"/>
      <c r="J30" s="863"/>
      <c r="K30" s="173"/>
      <c r="L30" s="173"/>
    </row>
    <row r="31" spans="1:14">
      <c r="A31" s="727" t="s">
        <v>333</v>
      </c>
      <c r="B31" s="631"/>
      <c r="C31" s="631"/>
      <c r="D31" s="631"/>
      <c r="E31" s="631"/>
      <c r="F31" s="631"/>
      <c r="G31" s="735"/>
      <c r="H31" s="631"/>
      <c r="I31" s="631"/>
      <c r="J31" s="734"/>
      <c r="K31" s="173"/>
      <c r="L31" s="173"/>
    </row>
    <row r="32" spans="1:14" ht="63" customHeight="1">
      <c r="A32" s="1493" t="s">
        <v>334</v>
      </c>
      <c r="B32" s="1494"/>
      <c r="C32" s="1494"/>
      <c r="D32" s="1494"/>
      <c r="E32" s="1494"/>
      <c r="F32" s="1494"/>
      <c r="G32" s="1495"/>
      <c r="H32" s="875"/>
      <c r="I32" s="875"/>
      <c r="J32" s="876"/>
      <c r="K32" s="174"/>
      <c r="L32" s="174"/>
      <c r="M32" s="174"/>
    </row>
    <row r="33" spans="1:13" ht="15.75" customHeight="1">
      <c r="A33" s="1493" t="s">
        <v>1277</v>
      </c>
      <c r="B33" s="1494"/>
      <c r="C33" s="1494"/>
      <c r="D33" s="1494"/>
      <c r="E33" s="1494"/>
      <c r="F33" s="875"/>
      <c r="G33" s="876"/>
      <c r="H33" s="875"/>
      <c r="I33" s="875"/>
      <c r="J33" s="876"/>
      <c r="K33" s="174"/>
      <c r="L33" s="174"/>
      <c r="M33" s="174"/>
    </row>
    <row r="34" spans="1:13" ht="48.75" customHeight="1">
      <c r="A34" s="1493" t="s">
        <v>1278</v>
      </c>
      <c r="B34" s="1494"/>
      <c r="C34" s="1494"/>
      <c r="D34" s="1494"/>
      <c r="E34" s="1494"/>
      <c r="F34" s="1494"/>
      <c r="G34" s="1495"/>
      <c r="H34" s="875"/>
      <c r="I34" s="875"/>
      <c r="J34" s="876"/>
      <c r="K34" s="174"/>
      <c r="L34" s="174"/>
      <c r="M34" s="174"/>
    </row>
    <row r="35" spans="1:13" ht="15.75" customHeight="1">
      <c r="A35" s="1493" t="s">
        <v>1279</v>
      </c>
      <c r="B35" s="1494"/>
      <c r="C35" s="1494"/>
      <c r="D35" s="1494"/>
      <c r="E35" s="1494"/>
      <c r="F35" s="1494"/>
      <c r="G35" s="876"/>
      <c r="H35" s="875"/>
      <c r="I35" s="875"/>
      <c r="J35" s="876"/>
      <c r="K35" s="174"/>
      <c r="L35" s="174"/>
      <c r="M35" s="174"/>
    </row>
    <row r="36" spans="1:13" ht="15.75" customHeight="1">
      <c r="A36" s="1494" t="s">
        <v>335</v>
      </c>
      <c r="B36" s="1494"/>
      <c r="C36" s="1494"/>
      <c r="D36" s="1494"/>
      <c r="E36" s="1494"/>
      <c r="F36" s="1494"/>
      <c r="G36" s="876"/>
      <c r="H36" s="875"/>
      <c r="I36" s="875"/>
      <c r="J36" s="875"/>
      <c r="K36" s="174"/>
      <c r="L36" s="174"/>
      <c r="M36" s="174"/>
    </row>
    <row r="37" spans="1:13" ht="12.75" customHeight="1">
      <c r="A37" s="1494"/>
      <c r="B37" s="1494"/>
      <c r="C37" s="1494"/>
      <c r="D37" s="1494"/>
      <c r="E37" s="1494"/>
      <c r="F37" s="1494"/>
      <c r="G37" s="876"/>
      <c r="H37" s="875"/>
      <c r="I37" s="875"/>
      <c r="J37" s="875"/>
      <c r="K37" s="174"/>
      <c r="L37" s="174"/>
      <c r="M37" s="174"/>
    </row>
    <row r="38" spans="1:13">
      <c r="A38" s="727" t="s">
        <v>336</v>
      </c>
      <c r="B38" s="631"/>
      <c r="C38" s="631"/>
      <c r="D38" s="631"/>
      <c r="E38" s="631"/>
      <c r="F38" s="631"/>
      <c r="G38" s="735"/>
      <c r="H38" s="631"/>
      <c r="I38" s="631"/>
      <c r="J38" s="735"/>
      <c r="K38" s="173"/>
      <c r="L38" s="173"/>
    </row>
    <row r="39" spans="1:13">
      <c r="A39" s="736" t="s">
        <v>337</v>
      </c>
      <c r="B39" s="632"/>
      <c r="C39" s="632"/>
      <c r="D39" s="632"/>
      <c r="E39" s="632"/>
      <c r="F39" s="632"/>
      <c r="G39" s="737"/>
      <c r="H39" s="632"/>
      <c r="I39" s="632"/>
      <c r="J39" s="737"/>
      <c r="K39" s="175"/>
      <c r="L39" s="175"/>
      <c r="M39" s="175"/>
    </row>
    <row r="40" spans="1:13">
      <c r="A40" s="738" t="s">
        <v>338</v>
      </c>
      <c r="B40" s="739"/>
      <c r="C40" s="739"/>
      <c r="D40" s="739"/>
      <c r="E40" s="739"/>
      <c r="F40" s="739"/>
      <c r="G40" s="740"/>
      <c r="H40" s="739"/>
      <c r="I40" s="739"/>
      <c r="J40" s="740"/>
      <c r="K40" s="176"/>
      <c r="L40" s="176"/>
      <c r="M40" s="176"/>
    </row>
    <row r="41" spans="1:13">
      <c r="A41" s="741"/>
      <c r="B41" s="742"/>
      <c r="C41" s="742"/>
      <c r="D41" s="742"/>
      <c r="E41" s="742"/>
      <c r="F41" s="742"/>
      <c r="G41" s="743"/>
      <c r="H41" s="360"/>
      <c r="I41" s="360"/>
      <c r="J41" s="360"/>
      <c r="K41" s="176"/>
      <c r="L41" s="176"/>
      <c r="M41" s="176"/>
    </row>
    <row r="42" spans="1:13">
      <c r="A42" s="744" t="s">
        <v>339</v>
      </c>
      <c r="B42" s="633"/>
      <c r="C42" s="633"/>
      <c r="D42" s="633"/>
      <c r="E42" s="360"/>
      <c r="F42" s="360"/>
      <c r="G42" s="745"/>
      <c r="H42" s="360"/>
      <c r="I42" s="360"/>
      <c r="J42" s="360"/>
      <c r="K42" s="176"/>
      <c r="L42" s="176"/>
      <c r="M42" s="176"/>
    </row>
    <row r="43" spans="1:13" ht="13.35" customHeight="1">
      <c r="A43" s="1511" t="s">
        <v>21</v>
      </c>
      <c r="B43" s="1499" t="s">
        <v>555</v>
      </c>
      <c r="C43" s="1500"/>
      <c r="D43" s="1499" t="s">
        <v>348</v>
      </c>
      <c r="E43" s="1500"/>
      <c r="F43" s="1501" t="s">
        <v>340</v>
      </c>
      <c r="G43" s="1502"/>
      <c r="H43" s="342"/>
      <c r="I43" s="342"/>
      <c r="J43" s="342"/>
    </row>
    <row r="44" spans="1:13" ht="13.35" customHeight="1">
      <c r="A44" s="1512"/>
      <c r="B44" s="563" t="s">
        <v>341</v>
      </c>
      <c r="C44" s="564" t="s">
        <v>342</v>
      </c>
      <c r="D44" s="563" t="s">
        <v>341</v>
      </c>
      <c r="E44" s="563" t="s">
        <v>342</v>
      </c>
      <c r="F44" s="361" t="s">
        <v>341</v>
      </c>
      <c r="G44" s="746" t="s">
        <v>342</v>
      </c>
      <c r="H44" s="342"/>
      <c r="I44" s="342"/>
      <c r="J44" s="342"/>
    </row>
    <row r="45" spans="1:13" ht="13.35" customHeight="1">
      <c r="A45" s="565" t="s">
        <v>328</v>
      </c>
      <c r="B45" s="362"/>
      <c r="C45" s="363"/>
      <c r="D45" s="364"/>
      <c r="E45" s="364"/>
      <c r="F45" s="365"/>
      <c r="G45" s="747"/>
      <c r="H45" s="342"/>
      <c r="I45" s="342"/>
      <c r="J45" s="342"/>
    </row>
    <row r="46" spans="1:13" ht="13.35" customHeight="1">
      <c r="A46" s="366" t="str">
        <f>+A10</f>
        <v>Investment in associates</v>
      </c>
      <c r="B46" s="367">
        <f>+D10</f>
        <v>0</v>
      </c>
      <c r="C46" s="368">
        <f>+B46</f>
        <v>0</v>
      </c>
      <c r="D46" s="369">
        <f>+G10</f>
        <v>0</v>
      </c>
      <c r="E46" s="369">
        <f>+D46</f>
        <v>0</v>
      </c>
      <c r="F46" s="365"/>
      <c r="G46" s="747"/>
      <c r="H46" s="342"/>
      <c r="I46" s="342"/>
      <c r="J46" s="342"/>
    </row>
    <row r="47" spans="1:13" ht="13.35" customHeight="1">
      <c r="A47" s="366" t="str">
        <f>+A11</f>
        <v>Investment for redemption of bond</v>
      </c>
      <c r="B47" s="367">
        <f>'7N_3-12'!C15</f>
        <v>180000000</v>
      </c>
      <c r="C47" s="368">
        <f>B47</f>
        <v>180000000</v>
      </c>
      <c r="D47" s="369">
        <f>'7N_3-12'!D15</f>
        <v>180000000</v>
      </c>
      <c r="E47" s="369">
        <f>D47</f>
        <v>180000000</v>
      </c>
      <c r="F47" s="365">
        <v>0</v>
      </c>
      <c r="G47" s="747">
        <v>0</v>
      </c>
      <c r="H47" s="342"/>
      <c r="I47" s="342"/>
      <c r="J47" s="342"/>
    </row>
    <row r="48" spans="1:13">
      <c r="A48" s="366" t="str">
        <f>+A13</f>
        <v>Accrued income on investments</v>
      </c>
      <c r="B48" s="367">
        <f>'7N_3-12'!C17</f>
        <v>9682582.5199999996</v>
      </c>
      <c r="C48" s="368">
        <f>B48</f>
        <v>9682582.5199999996</v>
      </c>
      <c r="D48" s="367">
        <f>'7N_3-12'!D17</f>
        <v>9682582.5199999996</v>
      </c>
      <c r="E48" s="369">
        <f>D48</f>
        <v>9682582.5199999996</v>
      </c>
      <c r="F48" s="365"/>
      <c r="G48" s="747"/>
      <c r="H48" s="342"/>
      <c r="I48" s="342"/>
      <c r="J48" s="342"/>
    </row>
    <row r="49" spans="1:12">
      <c r="A49" s="366" t="s">
        <v>1302</v>
      </c>
      <c r="B49" s="367">
        <f>+D14</f>
        <v>127620355.32000001</v>
      </c>
      <c r="C49" s="368">
        <f t="shared" ref="C49:C54" si="2">+B49</f>
        <v>127620355.32000001</v>
      </c>
      <c r="D49" s="367">
        <f>+G14</f>
        <v>108911295.60000001</v>
      </c>
      <c r="E49" s="369">
        <f t="shared" ref="E49:E54" si="3">+D49</f>
        <v>108911295.60000001</v>
      </c>
      <c r="F49" s="365"/>
      <c r="G49" s="747"/>
      <c r="H49" s="342"/>
      <c r="I49" s="342"/>
      <c r="J49" s="342"/>
    </row>
    <row r="50" spans="1:12">
      <c r="A50" s="366" t="str">
        <f>+A12</f>
        <v>Other Receivables - Non Current</v>
      </c>
      <c r="B50" s="367">
        <f>+D12</f>
        <v>1000000</v>
      </c>
      <c r="C50" s="368">
        <f t="shared" si="2"/>
        <v>1000000</v>
      </c>
      <c r="D50" s="367">
        <f>+G12</f>
        <v>0</v>
      </c>
      <c r="E50" s="369">
        <f t="shared" si="3"/>
        <v>0</v>
      </c>
      <c r="F50" s="365"/>
      <c r="G50" s="747"/>
      <c r="H50" s="342"/>
      <c r="I50" s="342"/>
      <c r="J50" s="342"/>
    </row>
    <row r="51" spans="1:12">
      <c r="A51" s="366" t="str">
        <f>+A17</f>
        <v xml:space="preserve"> Income accrued but not Due</v>
      </c>
      <c r="B51" s="367">
        <f>+D17</f>
        <v>2007812.9</v>
      </c>
      <c r="C51" s="368">
        <f t="shared" si="2"/>
        <v>2007812.9</v>
      </c>
      <c r="D51" s="367">
        <f>+G17</f>
        <v>2007812.9</v>
      </c>
      <c r="E51" s="369">
        <f t="shared" si="3"/>
        <v>2007812.9</v>
      </c>
      <c r="F51" s="365"/>
      <c r="G51" s="747"/>
      <c r="H51" s="342"/>
      <c r="I51" s="342"/>
      <c r="J51" s="342"/>
    </row>
    <row r="52" spans="1:12">
      <c r="A52" s="366" t="str">
        <f>+A16</f>
        <v xml:space="preserve"> Security deposits</v>
      </c>
      <c r="B52" s="367">
        <f>+D16</f>
        <v>1265005.6499999999</v>
      </c>
      <c r="C52" s="368">
        <f t="shared" si="2"/>
        <v>1265005.6499999999</v>
      </c>
      <c r="D52" s="367">
        <f>+G16</f>
        <v>1265005.6499999999</v>
      </c>
      <c r="E52" s="369">
        <f t="shared" si="3"/>
        <v>1265005.6499999999</v>
      </c>
      <c r="F52" s="365"/>
      <c r="G52" s="747"/>
      <c r="H52" s="342"/>
      <c r="I52" s="342"/>
      <c r="J52" s="342"/>
    </row>
    <row r="53" spans="1:12">
      <c r="A53" s="366" t="str">
        <f>+A15</f>
        <v xml:space="preserve"> Cash and cash equivalent</v>
      </c>
      <c r="B53" s="367">
        <f>+D15</f>
        <v>771475012.73999989</v>
      </c>
      <c r="C53" s="368">
        <f t="shared" si="2"/>
        <v>771475012.73999989</v>
      </c>
      <c r="D53" s="367">
        <f>+G15</f>
        <v>633519823.84999979</v>
      </c>
      <c r="E53" s="369">
        <f t="shared" si="3"/>
        <v>633519823.84999979</v>
      </c>
      <c r="F53" s="365"/>
      <c r="G53" s="747"/>
      <c r="H53" s="342"/>
      <c r="I53" s="342"/>
      <c r="J53" s="342"/>
    </row>
    <row r="54" spans="1:12">
      <c r="A54" s="366" t="str">
        <f>+A18</f>
        <v xml:space="preserve"> Other Receivables</v>
      </c>
      <c r="B54" s="367">
        <f>+D18</f>
        <v>64264.35</v>
      </c>
      <c r="C54" s="368">
        <f t="shared" si="2"/>
        <v>64264.35</v>
      </c>
      <c r="D54" s="367">
        <f>+G18</f>
        <v>64264.35</v>
      </c>
      <c r="E54" s="369">
        <f t="shared" si="3"/>
        <v>64264.35</v>
      </c>
      <c r="F54" s="365"/>
      <c r="G54" s="747"/>
      <c r="H54" s="342"/>
      <c r="I54" s="342"/>
      <c r="J54" s="342"/>
    </row>
    <row r="55" spans="1:12">
      <c r="A55" s="566" t="s">
        <v>329</v>
      </c>
      <c r="B55" s="370">
        <f>SUM(B46:B54)</f>
        <v>1093115033.4799998</v>
      </c>
      <c r="C55" s="370">
        <f t="shared" ref="C55:E55" si="4">SUM(C46:C54)</f>
        <v>1093115033.4799998</v>
      </c>
      <c r="D55" s="370">
        <f t="shared" si="4"/>
        <v>935450784.86999977</v>
      </c>
      <c r="E55" s="370">
        <f t="shared" si="4"/>
        <v>935450784.86999977</v>
      </c>
      <c r="F55" s="371">
        <f>SUM(F46:F48)</f>
        <v>0</v>
      </c>
      <c r="G55" s="748">
        <f>SUM(G46:G48)</f>
        <v>0</v>
      </c>
      <c r="H55" s="342"/>
      <c r="I55" s="342"/>
      <c r="J55" s="372"/>
    </row>
    <row r="56" spans="1:12">
      <c r="A56" s="373"/>
      <c r="B56" s="374"/>
      <c r="C56" s="375"/>
      <c r="D56" s="376"/>
      <c r="E56" s="376"/>
      <c r="F56" s="377"/>
      <c r="G56" s="749"/>
      <c r="H56" s="342"/>
      <c r="I56" s="342"/>
      <c r="J56" s="342"/>
    </row>
    <row r="57" spans="1:12">
      <c r="A57" s="567" t="s">
        <v>343</v>
      </c>
      <c r="B57" s="378"/>
      <c r="C57" s="379"/>
      <c r="D57" s="367"/>
      <c r="E57" s="367"/>
      <c r="F57" s="365"/>
      <c r="G57" s="747"/>
      <c r="H57" s="342"/>
      <c r="I57" s="342"/>
      <c r="J57" s="342"/>
    </row>
    <row r="58" spans="1:12">
      <c r="A58" s="366" t="str">
        <f>+A21</f>
        <v>Term loan - BOB</v>
      </c>
      <c r="B58" s="380">
        <f t="shared" ref="B58:B65" si="5">+D21</f>
        <v>373923245.44999999</v>
      </c>
      <c r="C58" s="380">
        <f>+B58</f>
        <v>373923245.44999999</v>
      </c>
      <c r="D58" s="369">
        <f t="shared" ref="D58:D65" si="6">+G21</f>
        <v>396826475.69</v>
      </c>
      <c r="E58" s="369">
        <f>+D58</f>
        <v>396826475.69</v>
      </c>
      <c r="F58" s="365">
        <v>300000000</v>
      </c>
      <c r="G58" s="747">
        <v>300000000</v>
      </c>
      <c r="H58" s="342"/>
      <c r="I58" s="342"/>
      <c r="J58" s="372"/>
      <c r="K58" s="177"/>
      <c r="L58" s="177"/>
    </row>
    <row r="59" spans="1:12">
      <c r="A59" s="366" t="str">
        <f t="shared" ref="A59:A65" si="7">+A22</f>
        <v>Corporate bond</v>
      </c>
      <c r="B59" s="380">
        <f t="shared" si="5"/>
        <v>300000000</v>
      </c>
      <c r="C59" s="380">
        <f t="shared" ref="C59:C65" si="8">+B59</f>
        <v>300000000</v>
      </c>
      <c r="D59" s="369">
        <f t="shared" si="6"/>
        <v>300000000</v>
      </c>
      <c r="E59" s="369">
        <f t="shared" ref="E59:E65" si="9">+D59</f>
        <v>300000000</v>
      </c>
      <c r="F59" s="365"/>
      <c r="G59" s="747"/>
      <c r="H59" s="342"/>
      <c r="I59" s="342"/>
      <c r="J59" s="372"/>
      <c r="K59" s="177"/>
      <c r="L59" s="177"/>
    </row>
    <row r="60" spans="1:12">
      <c r="A60" s="366" t="str">
        <f t="shared" si="7"/>
        <v>License fee payable</v>
      </c>
      <c r="B60" s="380">
        <f t="shared" si="5"/>
        <v>155400000</v>
      </c>
      <c r="C60" s="380">
        <f t="shared" si="8"/>
        <v>155400000</v>
      </c>
      <c r="D60" s="369">
        <f t="shared" si="6"/>
        <v>194250000</v>
      </c>
      <c r="E60" s="369">
        <f t="shared" si="9"/>
        <v>194250000</v>
      </c>
      <c r="F60" s="365"/>
      <c r="G60" s="747"/>
      <c r="H60" s="342"/>
      <c r="I60" s="342"/>
      <c r="J60" s="372"/>
      <c r="K60" s="177"/>
      <c r="L60" s="177"/>
    </row>
    <row r="61" spans="1:12">
      <c r="A61" s="366" t="str">
        <f t="shared" si="7"/>
        <v>Trade payables</v>
      </c>
      <c r="B61" s="380">
        <f t="shared" si="5"/>
        <v>135291260.57999998</v>
      </c>
      <c r="C61" s="380">
        <f t="shared" si="8"/>
        <v>135291260.57999998</v>
      </c>
      <c r="D61" s="369">
        <f t="shared" si="6"/>
        <v>140676930.66999999</v>
      </c>
      <c r="E61" s="369">
        <f t="shared" si="9"/>
        <v>140676930.66999999</v>
      </c>
      <c r="F61" s="365"/>
      <c r="G61" s="747"/>
      <c r="H61" s="342"/>
      <c r="I61" s="342"/>
      <c r="J61" s="372"/>
      <c r="K61" s="177"/>
      <c r="L61" s="177"/>
    </row>
    <row r="62" spans="1:12">
      <c r="A62" s="366" t="str">
        <f t="shared" si="7"/>
        <v>Other payables</v>
      </c>
      <c r="B62" s="380">
        <f t="shared" si="5"/>
        <v>19340482.5</v>
      </c>
      <c r="C62" s="380">
        <f t="shared" si="8"/>
        <v>19340482.5</v>
      </c>
      <c r="D62" s="369">
        <f t="shared" si="6"/>
        <v>30489070.649999999</v>
      </c>
      <c r="E62" s="369">
        <f t="shared" si="9"/>
        <v>30489070.649999999</v>
      </c>
      <c r="F62" s="365"/>
      <c r="G62" s="747"/>
      <c r="H62" s="342"/>
      <c r="I62" s="342"/>
      <c r="J62" s="372"/>
      <c r="K62" s="177"/>
      <c r="L62" s="177"/>
    </row>
    <row r="63" spans="1:12">
      <c r="A63" s="366" t="str">
        <f t="shared" si="7"/>
        <v>Payable to employees</v>
      </c>
      <c r="B63" s="380">
        <f t="shared" si="5"/>
        <v>101821</v>
      </c>
      <c r="C63" s="380">
        <f t="shared" si="8"/>
        <v>101821</v>
      </c>
      <c r="D63" s="369">
        <f t="shared" si="6"/>
        <v>57411</v>
      </c>
      <c r="E63" s="369">
        <f t="shared" si="9"/>
        <v>57411</v>
      </c>
      <c r="F63" s="365"/>
      <c r="G63" s="747"/>
      <c r="H63" s="342"/>
      <c r="I63" s="342"/>
      <c r="J63" s="372"/>
      <c r="K63" s="177"/>
      <c r="L63" s="177"/>
    </row>
    <row r="64" spans="1:12">
      <c r="A64" s="366" t="str">
        <f t="shared" si="7"/>
        <v>Provision for Bonus</v>
      </c>
      <c r="B64" s="380">
        <f t="shared" si="5"/>
        <v>44914640.189999998</v>
      </c>
      <c r="C64" s="380">
        <f t="shared" si="8"/>
        <v>44914640.189999998</v>
      </c>
      <c r="D64" s="369">
        <f t="shared" si="6"/>
        <v>44914640.189999998</v>
      </c>
      <c r="E64" s="369">
        <f t="shared" si="9"/>
        <v>44914640.189999998</v>
      </c>
      <c r="F64" s="365"/>
      <c r="G64" s="747"/>
      <c r="H64" s="342"/>
      <c r="I64" s="342"/>
      <c r="J64" s="372"/>
      <c r="K64" s="177"/>
      <c r="L64" s="177"/>
    </row>
    <row r="65" spans="1:13">
      <c r="A65" s="366" t="str">
        <f t="shared" si="7"/>
        <v>Security deposits</v>
      </c>
      <c r="B65" s="380">
        <f t="shared" si="5"/>
        <v>12170640.33</v>
      </c>
      <c r="C65" s="380">
        <f t="shared" si="8"/>
        <v>12170640.33</v>
      </c>
      <c r="D65" s="369">
        <f t="shared" si="6"/>
        <v>12703957.91</v>
      </c>
      <c r="E65" s="369">
        <f t="shared" si="9"/>
        <v>12703957.91</v>
      </c>
      <c r="F65" s="365"/>
      <c r="G65" s="747"/>
      <c r="H65" s="342"/>
      <c r="I65" s="342"/>
      <c r="J65" s="372"/>
      <c r="K65" s="177"/>
      <c r="L65" s="177"/>
    </row>
    <row r="66" spans="1:13">
      <c r="A66" s="566" t="s">
        <v>332</v>
      </c>
      <c r="B66" s="381">
        <f t="shared" ref="B66:G66" si="10">SUM(B57:B65)</f>
        <v>1041142090.0500001</v>
      </c>
      <c r="C66" s="381">
        <f t="shared" si="10"/>
        <v>1041142090.0500001</v>
      </c>
      <c r="D66" s="381">
        <f t="shared" si="10"/>
        <v>1119918486.1100001</v>
      </c>
      <c r="E66" s="381">
        <f t="shared" si="10"/>
        <v>1119918486.1100001</v>
      </c>
      <c r="F66" s="371">
        <f t="shared" si="10"/>
        <v>300000000</v>
      </c>
      <c r="G66" s="748">
        <f t="shared" si="10"/>
        <v>300000000</v>
      </c>
      <c r="H66" s="342"/>
      <c r="I66" s="342"/>
      <c r="J66" s="342"/>
    </row>
    <row r="67" spans="1:13">
      <c r="A67" s="750"/>
      <c r="B67" s="360"/>
      <c r="C67" s="360"/>
      <c r="D67" s="360"/>
      <c r="E67" s="360"/>
      <c r="F67" s="360"/>
      <c r="G67" s="745"/>
      <c r="H67" s="360"/>
      <c r="I67" s="360"/>
      <c r="J67" s="360"/>
      <c r="K67" s="176"/>
      <c r="L67" s="176"/>
      <c r="M67" s="176"/>
    </row>
    <row r="68" spans="1:13" ht="33" customHeight="1">
      <c r="A68" s="1508" t="s">
        <v>1443</v>
      </c>
      <c r="B68" s="1509"/>
      <c r="C68" s="1509"/>
      <c r="D68" s="1509"/>
      <c r="E68" s="1509"/>
      <c r="F68" s="1509"/>
      <c r="G68" s="1510"/>
      <c r="H68" s="382"/>
      <c r="I68" s="382"/>
      <c r="J68" s="382"/>
      <c r="K68" s="178"/>
      <c r="L68" s="178"/>
      <c r="M68" s="178"/>
    </row>
    <row r="69" spans="1:13" ht="31.5" customHeight="1">
      <c r="A69" s="1513" t="s">
        <v>1444</v>
      </c>
      <c r="B69" s="1514"/>
      <c r="C69" s="1514"/>
      <c r="D69" s="1514"/>
      <c r="E69" s="1514"/>
      <c r="F69" s="1514"/>
      <c r="G69" s="1515"/>
      <c r="H69" s="382"/>
      <c r="I69" s="382"/>
      <c r="J69" s="382"/>
      <c r="K69" s="178"/>
      <c r="L69" s="178"/>
      <c r="M69" s="178"/>
    </row>
    <row r="70" spans="1:13">
      <c r="A70" s="744" t="s">
        <v>344</v>
      </c>
      <c r="B70" s="633"/>
      <c r="C70" s="633"/>
      <c r="D70" s="633"/>
      <c r="E70" s="383"/>
      <c r="F70" s="383"/>
      <c r="G70" s="751"/>
      <c r="H70" s="383"/>
      <c r="I70" s="383"/>
      <c r="J70" s="383"/>
      <c r="K70" s="179"/>
      <c r="L70" s="179"/>
      <c r="M70" s="180"/>
    </row>
    <row r="71" spans="1:13" ht="48" customHeight="1">
      <c r="A71" s="1516" t="s">
        <v>345</v>
      </c>
      <c r="B71" s="1517"/>
      <c r="C71" s="1517"/>
      <c r="D71" s="1517"/>
      <c r="E71" s="1517"/>
      <c r="F71" s="1517"/>
      <c r="G71" s="1518"/>
      <c r="H71" s="382"/>
      <c r="I71" s="382"/>
      <c r="J71" s="382"/>
      <c r="K71" s="178"/>
      <c r="L71" s="178"/>
      <c r="M71" s="178"/>
    </row>
    <row r="72" spans="1:13">
      <c r="A72" s="178"/>
      <c r="B72" s="178"/>
      <c r="C72" s="178"/>
      <c r="D72" s="178"/>
      <c r="E72" s="178"/>
      <c r="F72" s="178"/>
      <c r="G72" s="178"/>
      <c r="H72" s="178"/>
      <c r="I72" s="178"/>
      <c r="J72" s="178"/>
      <c r="K72" s="178"/>
      <c r="L72" s="178"/>
      <c r="M72" s="178"/>
    </row>
    <row r="73" spans="1:13">
      <c r="A73" s="178"/>
      <c r="B73" s="178"/>
      <c r="C73" s="178"/>
      <c r="D73" s="178"/>
      <c r="E73" s="178"/>
      <c r="F73" s="178"/>
      <c r="G73" s="178"/>
      <c r="H73" s="178"/>
      <c r="I73" s="178"/>
      <c r="J73" s="178"/>
      <c r="K73" s="178"/>
      <c r="L73" s="178"/>
      <c r="M73" s="178"/>
    </row>
    <row r="74" spans="1:13" ht="13.35" customHeight="1">
      <c r="A74" s="1496"/>
      <c r="B74" s="1496"/>
      <c r="C74" s="1496"/>
      <c r="D74" s="1496"/>
      <c r="E74" s="1496"/>
      <c r="F74" s="1496"/>
      <c r="G74" s="1496"/>
      <c r="H74" s="1496"/>
      <c r="I74" s="1496"/>
      <c r="J74" s="1496"/>
      <c r="K74" s="1496"/>
      <c r="L74" s="1496"/>
      <c r="M74" s="1496"/>
    </row>
    <row r="75" spans="1:13">
      <c r="A75" s="168"/>
      <c r="B75" s="168"/>
      <c r="C75" s="168"/>
      <c r="D75" s="168"/>
      <c r="E75" s="173"/>
      <c r="F75" s="173"/>
      <c r="G75" s="173"/>
      <c r="H75" s="173"/>
      <c r="I75" s="173"/>
      <c r="J75" s="173"/>
      <c r="K75" s="173"/>
      <c r="L75" s="173"/>
    </row>
    <row r="76" spans="1:13">
      <c r="A76" s="168"/>
      <c r="B76" s="168"/>
      <c r="C76" s="168"/>
      <c r="D76" s="168"/>
      <c r="E76" s="173"/>
      <c r="F76" s="173"/>
      <c r="G76" s="173"/>
      <c r="H76" s="173"/>
      <c r="I76" s="173"/>
      <c r="J76" s="173"/>
      <c r="K76" s="173"/>
      <c r="L76" s="173"/>
    </row>
    <row r="77" spans="1:13" ht="16.5" customHeight="1">
      <c r="A77" s="174"/>
      <c r="B77" s="174"/>
      <c r="C77" s="174"/>
      <c r="D77" s="174"/>
      <c r="E77" s="174"/>
      <c r="F77" s="174"/>
      <c r="G77" s="174"/>
      <c r="H77" s="174"/>
      <c r="I77" s="174"/>
      <c r="J77" s="174"/>
      <c r="K77" s="174"/>
      <c r="L77" s="174"/>
      <c r="M77" s="174"/>
    </row>
    <row r="78" spans="1:13">
      <c r="A78" s="181"/>
      <c r="B78" s="181"/>
      <c r="C78" s="181"/>
      <c r="D78" s="181"/>
      <c r="E78" s="182"/>
      <c r="F78" s="182"/>
      <c r="G78" s="182"/>
      <c r="H78" s="182"/>
      <c r="I78" s="182"/>
      <c r="J78" s="182"/>
      <c r="K78" s="182"/>
      <c r="L78" s="182"/>
      <c r="M78" s="182"/>
    </row>
    <row r="79" spans="1:13">
      <c r="A79" s="168"/>
      <c r="B79" s="168"/>
      <c r="C79" s="168"/>
      <c r="D79" s="168"/>
      <c r="E79" s="173"/>
      <c r="F79" s="173"/>
      <c r="G79" s="173"/>
      <c r="H79" s="173"/>
      <c r="I79" s="173"/>
      <c r="J79" s="173"/>
      <c r="K79" s="173"/>
      <c r="L79" s="173"/>
    </row>
    <row r="80" spans="1:13">
      <c r="A80" s="182"/>
      <c r="B80" s="182"/>
      <c r="C80" s="182"/>
      <c r="D80" s="182"/>
      <c r="E80" s="173"/>
      <c r="F80" s="173"/>
      <c r="G80" s="173"/>
      <c r="H80" s="173"/>
      <c r="I80" s="173"/>
      <c r="J80" s="173"/>
      <c r="K80" s="173"/>
      <c r="L80" s="173"/>
    </row>
    <row r="81" spans="1:13">
      <c r="A81" s="168"/>
      <c r="B81" s="168"/>
      <c r="C81" s="168"/>
      <c r="D81" s="168"/>
      <c r="E81" s="173"/>
      <c r="F81" s="173"/>
      <c r="G81" s="173"/>
      <c r="H81" s="173"/>
      <c r="I81" s="173"/>
      <c r="J81" s="173"/>
      <c r="K81" s="173"/>
      <c r="L81" s="173"/>
    </row>
    <row r="82" spans="1:13">
      <c r="A82" s="181"/>
      <c r="B82" s="181"/>
      <c r="C82" s="181"/>
      <c r="D82" s="181"/>
      <c r="E82" s="182"/>
      <c r="F82" s="182"/>
      <c r="G82" s="182"/>
      <c r="H82" s="182"/>
      <c r="I82" s="182"/>
      <c r="J82" s="182"/>
      <c r="K82" s="182"/>
      <c r="L82" s="182"/>
      <c r="M82" s="182"/>
    </row>
    <row r="83" spans="1:13">
      <c r="A83" s="183"/>
      <c r="B83" s="183"/>
      <c r="C83" s="183"/>
      <c r="D83" s="183"/>
      <c r="E83" s="183"/>
      <c r="F83" s="183"/>
      <c r="G83" s="183"/>
      <c r="H83" s="183"/>
      <c r="I83" s="183"/>
      <c r="J83" s="183"/>
      <c r="K83" s="183"/>
      <c r="L83" s="183"/>
      <c r="M83" s="183"/>
    </row>
  </sheetData>
  <mergeCells count="19">
    <mergeCell ref="A74:M74"/>
    <mergeCell ref="B7:D7"/>
    <mergeCell ref="B43:C43"/>
    <mergeCell ref="D43:E43"/>
    <mergeCell ref="F43:G43"/>
    <mergeCell ref="A7:A8"/>
    <mergeCell ref="E7:G7"/>
    <mergeCell ref="H7:J7"/>
    <mergeCell ref="A68:G68"/>
    <mergeCell ref="A43:A44"/>
    <mergeCell ref="A69:G69"/>
    <mergeCell ref="A71:G71"/>
    <mergeCell ref="A37:F37"/>
    <mergeCell ref="A1:G1"/>
    <mergeCell ref="A32:G32"/>
    <mergeCell ref="A34:G34"/>
    <mergeCell ref="A35:F35"/>
    <mergeCell ref="A36:F36"/>
    <mergeCell ref="A33:E33"/>
  </mergeCells>
  <pageMargins left="0.94488188976377963" right="0.27559055118110237" top="0.43307086614173229" bottom="0.15748031496062992" header="3.937007874015748E-2" footer="0.15748031496062992"/>
  <pageSetup paperSize="9" scale="78" fitToWidth="0" fitToHeight="0" orientation="landscape" r:id="rId1"/>
  <rowBreaks count="1" manualBreakCount="1">
    <brk id="40" max="6" man="1"/>
  </rowBreaks>
</worksheet>
</file>

<file path=xl/worksheets/sheet13.xml><?xml version="1.0" encoding="utf-8"?>
<worksheet xmlns="http://schemas.openxmlformats.org/spreadsheetml/2006/main" xmlns:r="http://schemas.openxmlformats.org/officeDocument/2006/relationships">
  <sheetPr enableFormatConditionsCalculation="0">
    <tabColor rgb="FF00B050"/>
  </sheetPr>
  <dimension ref="A1:P118"/>
  <sheetViews>
    <sheetView showGridLines="0" showWhiteSpace="0" topLeftCell="A30" zoomScale="90" zoomScaleNormal="90" zoomScaleSheetLayoutView="90" zoomScalePageLayoutView="90" workbookViewId="0">
      <selection activeCell="A30" sqref="A30"/>
    </sheetView>
  </sheetViews>
  <sheetFormatPr defaultColWidth="9.140625" defaultRowHeight="15.75"/>
  <cols>
    <col min="1" max="1" width="33.42578125" style="587" customWidth="1"/>
    <col min="2" max="2" width="13.42578125" style="587" customWidth="1"/>
    <col min="3" max="3" width="20.42578125" style="587" customWidth="1"/>
    <col min="4" max="4" width="20.28515625" style="587" bestFit="1" customWidth="1"/>
    <col min="5" max="5" width="27.140625" style="587" customWidth="1"/>
    <col min="6" max="6" width="12" style="222" customWidth="1"/>
    <col min="7" max="7" width="18.140625" style="222" hidden="1" customWidth="1"/>
    <col min="8" max="8" width="9.140625" style="222" hidden="1" customWidth="1"/>
    <col min="9" max="9" width="17.28515625" style="222" hidden="1" customWidth="1"/>
    <col min="10" max="10" width="15.7109375" style="222" customWidth="1"/>
    <col min="11" max="11" width="9.140625" style="222" customWidth="1"/>
    <col min="12" max="12" width="16.28515625" style="222" hidden="1" customWidth="1"/>
    <col min="13" max="13" width="16.85546875" style="804" hidden="1" customWidth="1"/>
    <col min="14" max="14" width="15.7109375" style="222" hidden="1" customWidth="1"/>
    <col min="15" max="16" width="16.85546875" style="222" hidden="1" customWidth="1"/>
    <col min="17" max="16384" width="9.140625" style="222"/>
  </cols>
  <sheetData>
    <row r="1" spans="1:10">
      <c r="A1" s="1490" t="s">
        <v>0</v>
      </c>
      <c r="B1" s="1491"/>
      <c r="C1" s="1491"/>
      <c r="D1" s="1491"/>
      <c r="E1" s="1491"/>
      <c r="F1" s="803"/>
      <c r="G1" s="803"/>
      <c r="H1" s="803"/>
      <c r="I1" s="803"/>
      <c r="J1" s="771"/>
    </row>
    <row r="2" spans="1:10">
      <c r="A2" s="1400" t="s">
        <v>1048</v>
      </c>
      <c r="B2" s="1401"/>
      <c r="C2" s="1401"/>
      <c r="D2" s="1401"/>
      <c r="E2" s="1401"/>
      <c r="J2" s="772"/>
    </row>
    <row r="3" spans="1:10">
      <c r="A3" s="752"/>
      <c r="B3" s="626"/>
      <c r="C3" s="634"/>
      <c r="D3" s="634"/>
      <c r="E3" s="634"/>
      <c r="J3" s="772"/>
    </row>
    <row r="4" spans="1:10" ht="16.5">
      <c r="A4" s="753" t="s">
        <v>484</v>
      </c>
      <c r="B4" s="408"/>
      <c r="C4" s="408"/>
      <c r="D4" s="408"/>
      <c r="E4" s="408"/>
      <c r="F4" s="805"/>
      <c r="G4" s="805"/>
      <c r="H4" s="805"/>
      <c r="I4" s="805"/>
      <c r="J4" s="772"/>
    </row>
    <row r="5" spans="1:10">
      <c r="A5" s="431" t="s">
        <v>350</v>
      </c>
      <c r="B5" s="635"/>
      <c r="C5" s="635"/>
      <c r="D5" s="635"/>
      <c r="E5" s="635"/>
      <c r="F5" s="625"/>
      <c r="G5" s="625"/>
      <c r="H5" s="625"/>
      <c r="I5" s="625"/>
      <c r="J5" s="772"/>
    </row>
    <row r="6" spans="1:10" ht="27.75" customHeight="1">
      <c r="A6" s="1529" t="s">
        <v>351</v>
      </c>
      <c r="B6" s="1530"/>
      <c r="C6" s="1530"/>
      <c r="D6" s="1530"/>
      <c r="E6" s="1530"/>
      <c r="F6" s="625"/>
      <c r="G6" s="625"/>
      <c r="H6" s="625"/>
      <c r="I6" s="625"/>
      <c r="J6" s="772"/>
    </row>
    <row r="7" spans="1:10">
      <c r="A7" s="431"/>
      <c r="B7" s="636"/>
      <c r="C7" s="636"/>
      <c r="D7" s="636"/>
      <c r="E7" s="636"/>
      <c r="F7" s="806"/>
      <c r="G7" s="806"/>
      <c r="H7" s="806"/>
      <c r="I7" s="806"/>
      <c r="J7" s="772"/>
    </row>
    <row r="8" spans="1:10">
      <c r="A8" s="568" t="s">
        <v>352</v>
      </c>
      <c r="B8" s="1543" t="s">
        <v>353</v>
      </c>
      <c r="C8" s="1543"/>
      <c r="D8" s="569" t="s">
        <v>354</v>
      </c>
      <c r="E8" s="569" t="s">
        <v>355</v>
      </c>
      <c r="F8" s="807"/>
      <c r="G8" s="807"/>
      <c r="H8" s="807"/>
      <c r="I8" s="807"/>
      <c r="J8" s="772"/>
    </row>
    <row r="9" spans="1:10" ht="45">
      <c r="A9" s="384" t="s">
        <v>356</v>
      </c>
      <c r="B9" s="1544" t="s">
        <v>357</v>
      </c>
      <c r="C9" s="1544"/>
      <c r="D9" s="384" t="s">
        <v>358</v>
      </c>
      <c r="E9" s="384" t="s">
        <v>359</v>
      </c>
      <c r="F9" s="807"/>
      <c r="G9" s="807"/>
      <c r="H9" s="807"/>
      <c r="I9" s="807"/>
      <c r="J9" s="772"/>
    </row>
    <row r="10" spans="1:10" ht="45">
      <c r="A10" s="385" t="s">
        <v>360</v>
      </c>
      <c r="B10" s="1544" t="s">
        <v>361</v>
      </c>
      <c r="C10" s="1544"/>
      <c r="D10" s="385" t="s">
        <v>362</v>
      </c>
      <c r="E10" s="384" t="s">
        <v>363</v>
      </c>
      <c r="F10" s="807"/>
      <c r="G10" s="807"/>
      <c r="H10" s="807"/>
      <c r="I10" s="807"/>
      <c r="J10" s="772"/>
    </row>
    <row r="11" spans="1:10" ht="45">
      <c r="A11" s="385" t="s">
        <v>364</v>
      </c>
      <c r="B11" s="1544" t="s">
        <v>365</v>
      </c>
      <c r="C11" s="1544"/>
      <c r="D11" s="385" t="s">
        <v>366</v>
      </c>
      <c r="E11" s="385" t="s">
        <v>367</v>
      </c>
      <c r="F11" s="807"/>
      <c r="G11" s="807"/>
      <c r="H11" s="807"/>
      <c r="I11" s="807"/>
      <c r="J11" s="772"/>
    </row>
    <row r="12" spans="1:10" ht="45">
      <c r="A12" s="385" t="s">
        <v>368</v>
      </c>
      <c r="B12" s="1544" t="s">
        <v>369</v>
      </c>
      <c r="C12" s="1544"/>
      <c r="D12" s="385" t="s">
        <v>370</v>
      </c>
      <c r="E12" s="385" t="s">
        <v>371</v>
      </c>
      <c r="F12" s="807"/>
      <c r="G12" s="807"/>
      <c r="H12" s="807"/>
      <c r="I12" s="807"/>
      <c r="J12" s="772"/>
    </row>
    <row r="13" spans="1:10">
      <c r="A13" s="754"/>
      <c r="B13" s="432"/>
      <c r="C13" s="432"/>
      <c r="D13" s="432"/>
      <c r="E13" s="432"/>
      <c r="F13" s="220"/>
      <c r="G13" s="220"/>
      <c r="H13" s="220"/>
      <c r="I13" s="220"/>
      <c r="J13" s="772"/>
    </row>
    <row r="14" spans="1:10" ht="16.5">
      <c r="A14" s="753" t="s">
        <v>372</v>
      </c>
      <c r="B14" s="408"/>
      <c r="C14" s="408"/>
      <c r="D14" s="408"/>
      <c r="E14" s="408"/>
      <c r="F14" s="805"/>
      <c r="G14" s="805"/>
      <c r="H14" s="805"/>
      <c r="I14" s="805"/>
      <c r="J14" s="772"/>
    </row>
    <row r="15" spans="1:10" ht="96.75" customHeight="1">
      <c r="A15" s="1533" t="s">
        <v>1059</v>
      </c>
      <c r="B15" s="1534"/>
      <c r="C15" s="1534"/>
      <c r="D15" s="1534"/>
      <c r="E15" s="1534"/>
      <c r="F15" s="808"/>
      <c r="G15" s="807"/>
      <c r="H15" s="807"/>
      <c r="I15" s="807"/>
      <c r="J15" s="772"/>
    </row>
    <row r="16" spans="1:10">
      <c r="A16" s="755"/>
      <c r="B16" s="637"/>
      <c r="C16" s="637"/>
      <c r="D16" s="637"/>
      <c r="E16" s="637"/>
      <c r="F16" s="808"/>
      <c r="G16" s="807"/>
      <c r="H16" s="807"/>
      <c r="I16" s="807"/>
      <c r="J16" s="772"/>
    </row>
    <row r="17" spans="1:10">
      <c r="A17" s="431" t="s">
        <v>373</v>
      </c>
      <c r="B17" s="635"/>
      <c r="C17" s="635"/>
      <c r="D17" s="635"/>
      <c r="E17" s="635"/>
      <c r="F17" s="625"/>
      <c r="G17" s="625"/>
      <c r="H17" s="625"/>
      <c r="I17" s="625"/>
      <c r="J17" s="772"/>
    </row>
    <row r="18" spans="1:10" ht="57.75" customHeight="1">
      <c r="A18" s="1529" t="s">
        <v>1445</v>
      </c>
      <c r="B18" s="1530"/>
      <c r="C18" s="1530"/>
      <c r="D18" s="1530"/>
      <c r="E18" s="1530"/>
      <c r="F18" s="625"/>
      <c r="G18" s="625"/>
      <c r="H18" s="625"/>
      <c r="I18" s="625"/>
      <c r="J18" s="772"/>
    </row>
    <row r="19" spans="1:10" ht="248.25" customHeight="1">
      <c r="A19" s="1525" t="s">
        <v>1446</v>
      </c>
      <c r="B19" s="1526"/>
      <c r="C19" s="1526"/>
      <c r="D19" s="1526"/>
      <c r="E19" s="1526"/>
      <c r="F19" s="808"/>
      <c r="G19" s="807"/>
      <c r="H19" s="807"/>
      <c r="I19" s="807"/>
      <c r="J19" s="772"/>
    </row>
    <row r="20" spans="1:10" ht="16.5">
      <c r="A20" s="753" t="s">
        <v>374</v>
      </c>
      <c r="B20" s="408"/>
      <c r="C20" s="408"/>
      <c r="D20" s="408"/>
      <c r="E20" s="408"/>
      <c r="F20" s="805"/>
      <c r="G20" s="805"/>
      <c r="H20" s="805"/>
      <c r="I20" s="805"/>
      <c r="J20" s="772"/>
    </row>
    <row r="21" spans="1:10" ht="186.75" customHeight="1">
      <c r="A21" s="1525" t="s">
        <v>1447</v>
      </c>
      <c r="B21" s="1526"/>
      <c r="C21" s="1526"/>
      <c r="D21" s="1526"/>
      <c r="E21" s="1526"/>
      <c r="F21" s="808"/>
      <c r="G21" s="808"/>
      <c r="H21" s="807"/>
      <c r="I21" s="807"/>
      <c r="J21" s="772"/>
    </row>
    <row r="22" spans="1:10">
      <c r="A22" s="756" t="s">
        <v>1281</v>
      </c>
      <c r="B22" s="638"/>
      <c r="C22" s="638"/>
      <c r="D22" s="638"/>
      <c r="E22" s="638"/>
      <c r="F22" s="808"/>
      <c r="G22" s="808"/>
      <c r="H22" s="807"/>
      <c r="I22" s="807"/>
      <c r="J22" s="772"/>
    </row>
    <row r="23" spans="1:10" ht="16.5">
      <c r="A23" s="570"/>
      <c r="B23" s="1545" t="s">
        <v>1282</v>
      </c>
      <c r="C23" s="1545"/>
      <c r="D23" s="1545" t="s">
        <v>1283</v>
      </c>
      <c r="E23" s="1545"/>
      <c r="F23" s="570" t="s">
        <v>1284</v>
      </c>
      <c r="G23" s="809"/>
      <c r="H23" s="810"/>
      <c r="I23" s="810"/>
      <c r="J23" s="1539" t="s">
        <v>1</v>
      </c>
    </row>
    <row r="24" spans="1:10" ht="49.5">
      <c r="A24" s="571" t="s">
        <v>21</v>
      </c>
      <c r="B24" s="572" t="s">
        <v>1285</v>
      </c>
      <c r="C24" s="572" t="s">
        <v>1286</v>
      </c>
      <c r="D24" s="572" t="s">
        <v>1287</v>
      </c>
      <c r="E24" s="572" t="s">
        <v>1288</v>
      </c>
      <c r="F24" s="572" t="s">
        <v>1289</v>
      </c>
      <c r="G24" s="809"/>
      <c r="H24" s="810"/>
      <c r="I24" s="810"/>
      <c r="J24" s="1540"/>
    </row>
    <row r="25" spans="1:10" ht="16.5">
      <c r="A25" s="573" t="s">
        <v>1290</v>
      </c>
      <c r="B25" s="458">
        <v>5</v>
      </c>
      <c r="C25" s="458">
        <v>20</v>
      </c>
      <c r="D25" s="458">
        <v>30</v>
      </c>
      <c r="E25" s="458">
        <v>60</v>
      </c>
      <c r="F25" s="458">
        <v>100</v>
      </c>
      <c r="G25" s="809"/>
      <c r="H25" s="810"/>
      <c r="I25" s="810"/>
      <c r="J25" s="458"/>
    </row>
    <row r="26" spans="1:10" ht="16.5">
      <c r="A26" s="457" t="s">
        <v>1291</v>
      </c>
      <c r="B26" s="457">
        <v>76623190.459999993</v>
      </c>
      <c r="C26" s="457">
        <v>6111514.5899999999</v>
      </c>
      <c r="D26" s="457">
        <v>3809446.4</v>
      </c>
      <c r="E26" s="457">
        <f>25508186.93-18491.4</f>
        <v>25489695.530000001</v>
      </c>
      <c r="F26" s="457">
        <v>5696165.1100000003</v>
      </c>
      <c r="G26" s="809"/>
      <c r="H26" s="810"/>
      <c r="I26" s="810"/>
      <c r="J26" s="457">
        <v>117730012.09</v>
      </c>
    </row>
    <row r="27" spans="1:10" ht="16.5">
      <c r="A27" s="457" t="s">
        <v>1292</v>
      </c>
      <c r="B27" s="457">
        <v>8434898.1600000001</v>
      </c>
      <c r="C27" s="457">
        <v>0</v>
      </c>
      <c r="D27" s="457">
        <v>2534.6</v>
      </c>
      <c r="E27" s="457">
        <v>0</v>
      </c>
      <c r="F27" s="457">
        <v>0</v>
      </c>
      <c r="G27" s="809"/>
      <c r="H27" s="810"/>
      <c r="I27" s="810"/>
      <c r="J27" s="457">
        <v>8437432.7599999998</v>
      </c>
    </row>
    <row r="28" spans="1:10" ht="16.5">
      <c r="A28" s="457" t="s">
        <v>1293</v>
      </c>
      <c r="B28" s="457">
        <v>8647255.9399999976</v>
      </c>
      <c r="C28" s="457">
        <v>2758245.09</v>
      </c>
      <c r="D28" s="457">
        <v>1562543.96</v>
      </c>
      <c r="E28" s="457">
        <v>1122459.9200000002</v>
      </c>
      <c r="F28" s="457">
        <v>791051.68</v>
      </c>
      <c r="G28" s="809"/>
      <c r="H28" s="810"/>
      <c r="I28" s="810"/>
      <c r="J28" s="457">
        <v>14881556.589999998</v>
      </c>
    </row>
    <row r="29" spans="1:10" ht="16.5">
      <c r="A29" s="457" t="s">
        <v>1294</v>
      </c>
      <c r="B29" s="457">
        <v>211362.65000000002</v>
      </c>
      <c r="C29" s="457">
        <v>29869.66</v>
      </c>
      <c r="D29" s="457">
        <v>128826.16</v>
      </c>
      <c r="E29" s="457">
        <v>22012.67</v>
      </c>
      <c r="F29" s="457">
        <v>83846.28</v>
      </c>
      <c r="G29" s="809"/>
      <c r="H29" s="810"/>
      <c r="I29" s="810"/>
      <c r="J29" s="457">
        <v>475917.42000000004</v>
      </c>
    </row>
    <row r="30" spans="1:10" ht="16.5">
      <c r="A30" s="457"/>
      <c r="B30" s="457"/>
      <c r="C30" s="457"/>
      <c r="D30" s="457"/>
      <c r="E30" s="457"/>
      <c r="F30" s="457"/>
      <c r="G30" s="809"/>
      <c r="H30" s="810"/>
      <c r="I30" s="810"/>
      <c r="J30" s="457">
        <v>0</v>
      </c>
    </row>
    <row r="31" spans="1:10" ht="16.5">
      <c r="A31" s="573" t="s">
        <v>1</v>
      </c>
      <c r="B31" s="456">
        <f>SUM(B26:B30)</f>
        <v>93916707.209999993</v>
      </c>
      <c r="C31" s="456">
        <f t="shared" ref="C31:F31" si="0">SUM(C26:C30)</f>
        <v>8899629.3399999999</v>
      </c>
      <c r="D31" s="456">
        <f t="shared" si="0"/>
        <v>5503351.1200000001</v>
      </c>
      <c r="E31" s="456">
        <f t="shared" si="0"/>
        <v>26634168.120000005</v>
      </c>
      <c r="F31" s="456">
        <f t="shared" si="0"/>
        <v>6571063.0700000003</v>
      </c>
      <c r="G31" s="809"/>
      <c r="H31" s="810"/>
      <c r="I31" s="810"/>
      <c r="J31" s="456">
        <v>141524918.85999998</v>
      </c>
    </row>
    <row r="32" spans="1:10" ht="16.5">
      <c r="A32" s="573" t="s">
        <v>1295</v>
      </c>
      <c r="B32" s="456">
        <f>B31*B25/100</f>
        <v>4695835.3604999995</v>
      </c>
      <c r="C32" s="456">
        <f t="shared" ref="C32:F32" si="1">C31*C25/100</f>
        <v>1779925.868</v>
      </c>
      <c r="D32" s="456">
        <f t="shared" si="1"/>
        <v>1651005.3359999999</v>
      </c>
      <c r="E32" s="456">
        <f t="shared" si="1"/>
        <v>15980500.872000003</v>
      </c>
      <c r="F32" s="456">
        <f t="shared" si="1"/>
        <v>6571063.0700000003</v>
      </c>
      <c r="G32" s="809"/>
      <c r="H32" s="810"/>
      <c r="I32" s="810"/>
      <c r="J32" s="456">
        <v>30678330.506500002</v>
      </c>
    </row>
    <row r="33" spans="1:16" ht="16.5">
      <c r="A33" s="573" t="s">
        <v>1296</v>
      </c>
      <c r="B33" s="456"/>
      <c r="C33" s="456"/>
      <c r="D33" s="456"/>
      <c r="E33" s="456"/>
      <c r="F33" s="456"/>
      <c r="G33" s="809"/>
      <c r="H33" s="810"/>
      <c r="I33" s="810"/>
      <c r="J33" s="456">
        <v>5348471.62</v>
      </c>
    </row>
    <row r="34" spans="1:16" ht="16.5">
      <c r="A34" s="573"/>
      <c r="B34" s="456"/>
      <c r="C34" s="456"/>
      <c r="D34" s="456"/>
      <c r="E34" s="456"/>
      <c r="F34" s="456"/>
      <c r="G34" s="809"/>
      <c r="H34" s="810"/>
      <c r="I34" s="810"/>
      <c r="J34" s="456">
        <v>24253015.120000001</v>
      </c>
    </row>
    <row r="35" spans="1:16" ht="16.5">
      <c r="A35" s="573" t="s">
        <v>1297</v>
      </c>
      <c r="B35" s="457"/>
      <c r="C35" s="457"/>
      <c r="D35" s="457"/>
      <c r="E35" s="457"/>
      <c r="F35" s="457"/>
      <c r="G35" s="809"/>
      <c r="H35" s="810"/>
      <c r="I35" s="810"/>
      <c r="J35" s="457">
        <v>6425315.386500001</v>
      </c>
    </row>
    <row r="36" spans="1:16">
      <c r="A36" s="757"/>
      <c r="B36" s="639"/>
      <c r="C36" s="639"/>
      <c r="D36" s="639"/>
      <c r="E36" s="639"/>
      <c r="F36" s="808"/>
      <c r="G36" s="808"/>
      <c r="H36" s="807"/>
      <c r="I36" s="807"/>
      <c r="J36" s="772"/>
    </row>
    <row r="37" spans="1:16">
      <c r="A37" s="431" t="s">
        <v>375</v>
      </c>
      <c r="B37" s="635"/>
      <c r="C37" s="635"/>
      <c r="D37" s="635"/>
      <c r="E37" s="635"/>
      <c r="F37" s="674"/>
      <c r="G37" s="674"/>
      <c r="H37" s="674"/>
      <c r="I37" s="674"/>
      <c r="J37" s="772"/>
    </row>
    <row r="38" spans="1:16" ht="31.5" customHeight="1">
      <c r="A38" s="1529" t="s">
        <v>1060</v>
      </c>
      <c r="B38" s="1530"/>
      <c r="C38" s="1530"/>
      <c r="D38" s="1530"/>
      <c r="E38" s="1530"/>
      <c r="F38" s="625"/>
      <c r="G38" s="625"/>
      <c r="H38" s="625"/>
      <c r="I38" s="625"/>
      <c r="J38" s="772"/>
    </row>
    <row r="39" spans="1:16">
      <c r="A39" s="431" t="s">
        <v>376</v>
      </c>
      <c r="B39" s="635"/>
      <c r="C39" s="635"/>
      <c r="D39" s="635"/>
      <c r="E39" s="635"/>
      <c r="F39" s="625"/>
      <c r="G39" s="625"/>
      <c r="H39" s="625"/>
      <c r="I39" s="625"/>
      <c r="J39" s="772"/>
    </row>
    <row r="40" spans="1:16" ht="32.25" customHeight="1">
      <c r="A40" s="1527" t="s">
        <v>377</v>
      </c>
      <c r="B40" s="1528"/>
      <c r="C40" s="1528"/>
      <c r="D40" s="1528"/>
      <c r="E40" s="1528"/>
      <c r="F40" s="834"/>
      <c r="G40" s="834"/>
      <c r="H40" s="834"/>
      <c r="I40" s="834"/>
      <c r="J40" s="831"/>
      <c r="N40" s="221" t="s">
        <v>1068</v>
      </c>
      <c r="O40" s="221" t="s">
        <v>1</v>
      </c>
      <c r="P40" s="222" t="s">
        <v>1071</v>
      </c>
    </row>
    <row r="41" spans="1:16" ht="9" customHeight="1">
      <c r="A41" s="835"/>
      <c r="B41" s="836"/>
      <c r="C41" s="836"/>
      <c r="D41" s="836"/>
      <c r="E41" s="836"/>
      <c r="F41" s="837"/>
      <c r="G41" s="837"/>
      <c r="H41" s="837"/>
      <c r="I41" s="837"/>
      <c r="J41" s="771"/>
      <c r="N41" s="221"/>
      <c r="O41" s="221"/>
    </row>
    <row r="42" spans="1:16" ht="16.5">
      <c r="A42" s="753" t="s">
        <v>378</v>
      </c>
      <c r="B42" s="432"/>
      <c r="C42" s="432"/>
      <c r="D42" s="432"/>
      <c r="E42" s="432"/>
      <c r="F42" s="220"/>
      <c r="G42" s="220"/>
      <c r="H42" s="220"/>
      <c r="I42" s="625"/>
      <c r="J42" s="772"/>
      <c r="L42" s="459" t="s">
        <v>1061</v>
      </c>
      <c r="M42" s="811">
        <v>300000000</v>
      </c>
    </row>
    <row r="43" spans="1:16" ht="31.5">
      <c r="A43" s="574" t="s">
        <v>21</v>
      </c>
      <c r="B43" s="1537" t="s">
        <v>379</v>
      </c>
      <c r="C43" s="1538"/>
      <c r="D43" s="298" t="s">
        <v>380</v>
      </c>
      <c r="E43" s="299" t="s">
        <v>1</v>
      </c>
      <c r="H43" s="812"/>
      <c r="I43" s="625"/>
      <c r="J43" s="772"/>
      <c r="L43" s="459" t="s">
        <v>1062</v>
      </c>
      <c r="M43" s="811">
        <v>7.4999999999999997E-2</v>
      </c>
    </row>
    <row r="44" spans="1:16" ht="16.5" hidden="1">
      <c r="A44" s="386"/>
      <c r="B44" s="342"/>
      <c r="C44" s="387"/>
      <c r="D44" s="387"/>
      <c r="E44" s="388"/>
      <c r="H44" s="812"/>
      <c r="I44" s="625"/>
      <c r="J44" s="772"/>
      <c r="L44" s="459"/>
      <c r="M44" s="811"/>
    </row>
    <row r="45" spans="1:16" ht="16.5">
      <c r="A45" s="576" t="s">
        <v>556</v>
      </c>
      <c r="B45" s="342"/>
      <c r="C45" s="387"/>
      <c r="D45" s="387"/>
      <c r="E45" s="388"/>
      <c r="H45" s="812"/>
      <c r="I45" s="625"/>
      <c r="J45" s="772"/>
      <c r="L45" s="459" t="s">
        <v>1063</v>
      </c>
      <c r="M45" s="811">
        <f>M42*M43</f>
        <v>22500000</v>
      </c>
    </row>
    <row r="46" spans="1:16" ht="16.5">
      <c r="A46" s="389" t="s">
        <v>381</v>
      </c>
      <c r="B46" s="342"/>
      <c r="C46" s="390"/>
      <c r="D46" s="390"/>
      <c r="E46" s="391"/>
      <c r="H46" s="807"/>
      <c r="I46" s="807"/>
      <c r="J46" s="772"/>
      <c r="L46" s="459" t="s">
        <v>1064</v>
      </c>
      <c r="M46" s="811">
        <f>M45*5</f>
        <v>112500000</v>
      </c>
    </row>
    <row r="47" spans="1:16" ht="16.5">
      <c r="A47" s="286" t="s">
        <v>485</v>
      </c>
      <c r="B47" s="342"/>
      <c r="C47" s="392">
        <v>0</v>
      </c>
      <c r="D47" s="392">
        <f>+'9N_14-21'!C29</f>
        <v>300000000</v>
      </c>
      <c r="E47" s="393">
        <f t="shared" ref="E47:E54" si="2">SUM(C47:D47)</f>
        <v>300000000</v>
      </c>
      <c r="G47" s="813">
        <f>D47-C47</f>
        <v>300000000</v>
      </c>
      <c r="H47" s="814"/>
      <c r="I47" s="814"/>
      <c r="J47" s="772"/>
      <c r="L47" s="459" t="s">
        <v>1065</v>
      </c>
      <c r="M47" s="811">
        <f>M46+M42</f>
        <v>412500000</v>
      </c>
    </row>
    <row r="48" spans="1:16">
      <c r="A48" s="286" t="s">
        <v>416</v>
      </c>
      <c r="B48" s="342"/>
      <c r="C48" s="392">
        <f>+'9N_14-21'!C27</f>
        <v>71296102.209999993</v>
      </c>
      <c r="D48" s="392">
        <f>+'9N_14-21'!C28</f>
        <v>302627143.24000001</v>
      </c>
      <c r="E48" s="393">
        <f t="shared" si="2"/>
        <v>373923245.44999999</v>
      </c>
      <c r="H48" s="814"/>
      <c r="I48" s="814">
        <v>300000000</v>
      </c>
      <c r="J48" s="772"/>
      <c r="L48" s="222" t="s">
        <v>1066</v>
      </c>
      <c r="M48" s="804">
        <f>M45/4</f>
        <v>5625000</v>
      </c>
      <c r="N48" s="813">
        <f>M48</f>
        <v>5625000</v>
      </c>
      <c r="O48" s="813">
        <f>M47-N48</f>
        <v>406875000</v>
      </c>
      <c r="P48" s="813">
        <f>O48-N48</f>
        <v>401250000</v>
      </c>
    </row>
    <row r="49" spans="1:16">
      <c r="A49" s="286" t="s">
        <v>486</v>
      </c>
      <c r="B49" s="342"/>
      <c r="C49" s="392">
        <f>'10FV_34'!D24</f>
        <v>135291260.57999998</v>
      </c>
      <c r="D49" s="392">
        <v>0</v>
      </c>
      <c r="E49" s="393">
        <f t="shared" si="2"/>
        <v>135291260.57999998</v>
      </c>
      <c r="H49" s="814"/>
      <c r="I49" s="815">
        <v>7.5</v>
      </c>
      <c r="J49" s="772"/>
      <c r="L49" s="222" t="s">
        <v>1067</v>
      </c>
      <c r="M49" s="804">
        <f>M45</f>
        <v>22500000</v>
      </c>
      <c r="N49" s="813">
        <f>M49</f>
        <v>22500000</v>
      </c>
      <c r="O49" s="813">
        <f>O48-N49</f>
        <v>384375000</v>
      </c>
      <c r="P49" s="813">
        <f>O49-N49</f>
        <v>361875000</v>
      </c>
    </row>
    <row r="50" spans="1:16">
      <c r="A50" s="286" t="s">
        <v>234</v>
      </c>
      <c r="B50" s="342"/>
      <c r="C50" s="392">
        <f>'10FV_34'!D25</f>
        <v>19340482.5</v>
      </c>
      <c r="D50" s="392">
        <v>0</v>
      </c>
      <c r="E50" s="393">
        <f t="shared" si="2"/>
        <v>19340482.5</v>
      </c>
      <c r="H50" s="814"/>
      <c r="I50" s="814">
        <f>I48*I49</f>
        <v>2250000000</v>
      </c>
      <c r="J50" s="772"/>
      <c r="L50" s="222" t="s">
        <v>1070</v>
      </c>
      <c r="M50" s="804">
        <f>M49</f>
        <v>22500000</v>
      </c>
      <c r="N50" s="813">
        <f>M50</f>
        <v>22500000</v>
      </c>
      <c r="O50" s="813">
        <f>O49-N50</f>
        <v>361875000</v>
      </c>
      <c r="P50" s="813">
        <f>O50-N50</f>
        <v>339375000</v>
      </c>
    </row>
    <row r="51" spans="1:16">
      <c r="A51" s="286" t="s">
        <v>1204</v>
      </c>
      <c r="B51" s="342"/>
      <c r="C51" s="392">
        <f>'10FV_34'!D26</f>
        <v>101821</v>
      </c>
      <c r="D51" s="392">
        <v>0</v>
      </c>
      <c r="E51" s="393">
        <f t="shared" si="2"/>
        <v>101821</v>
      </c>
      <c r="H51" s="814"/>
      <c r="I51" s="814">
        <f>I50*5</f>
        <v>11250000000</v>
      </c>
      <c r="J51" s="772"/>
      <c r="L51" s="222" t="s">
        <v>1069</v>
      </c>
      <c r="M51" s="804">
        <f>M50</f>
        <v>22500000</v>
      </c>
      <c r="N51" s="813">
        <f>M51</f>
        <v>22500000</v>
      </c>
      <c r="O51" s="813">
        <f>O50-N51</f>
        <v>339375000</v>
      </c>
      <c r="P51" s="813">
        <f>O51-N51</f>
        <v>316875000</v>
      </c>
    </row>
    <row r="52" spans="1:16">
      <c r="A52" s="286" t="s">
        <v>1128</v>
      </c>
      <c r="B52" s="342"/>
      <c r="C52" s="392">
        <f>'10FV_34'!D27</f>
        <v>44914640.189999998</v>
      </c>
      <c r="D52" s="392">
        <v>0</v>
      </c>
      <c r="E52" s="393">
        <f t="shared" si="2"/>
        <v>44914640.189999998</v>
      </c>
      <c r="H52" s="814"/>
      <c r="I52" s="814"/>
      <c r="J52" s="772"/>
      <c r="L52" s="222" t="s">
        <v>1072</v>
      </c>
      <c r="M52" s="804">
        <f>M51</f>
        <v>22500000</v>
      </c>
      <c r="N52" s="813">
        <f>M52</f>
        <v>22500000</v>
      </c>
      <c r="O52" s="813">
        <f>O51-N52</f>
        <v>316875000</v>
      </c>
      <c r="P52" s="813">
        <f>O52-N52</f>
        <v>294375000</v>
      </c>
    </row>
    <row r="53" spans="1:16">
      <c r="A53" s="286" t="s">
        <v>489</v>
      </c>
      <c r="B53" s="342"/>
      <c r="C53" s="392">
        <f>'10FV_34'!D28</f>
        <v>12170640.33</v>
      </c>
      <c r="D53" s="392">
        <v>0</v>
      </c>
      <c r="E53" s="393">
        <f t="shared" si="2"/>
        <v>12170640.33</v>
      </c>
      <c r="H53" s="814"/>
      <c r="I53" s="814"/>
      <c r="J53" s="772"/>
    </row>
    <row r="54" spans="1:16">
      <c r="A54" s="286" t="s">
        <v>1254</v>
      </c>
      <c r="B54" s="342"/>
      <c r="C54" s="392">
        <v>38850000</v>
      </c>
      <c r="D54" s="392">
        <v>155400000</v>
      </c>
      <c r="E54" s="393">
        <f t="shared" si="2"/>
        <v>194250000</v>
      </c>
      <c r="H54" s="814"/>
      <c r="I54" s="814"/>
      <c r="J54" s="772"/>
    </row>
    <row r="55" spans="1:16">
      <c r="A55" s="286"/>
      <c r="B55" s="342"/>
      <c r="C55" s="392"/>
      <c r="D55" s="392"/>
      <c r="E55" s="393"/>
      <c r="H55" s="814"/>
      <c r="I55" s="814"/>
      <c r="J55" s="772"/>
    </row>
    <row r="56" spans="1:16">
      <c r="A56" s="575" t="s">
        <v>382</v>
      </c>
      <c r="B56" s="395"/>
      <c r="C56" s="396">
        <f>SUM(C47:C55)</f>
        <v>321964946.80999994</v>
      </c>
      <c r="D56" s="396">
        <f t="shared" ref="D56:E56" si="3">SUM(D47:D55)</f>
        <v>758027143.24000001</v>
      </c>
      <c r="E56" s="396">
        <f t="shared" si="3"/>
        <v>1079992090.0500002</v>
      </c>
      <c r="G56" s="462"/>
      <c r="H56" s="816"/>
      <c r="I56" s="816"/>
      <c r="J56" s="772"/>
    </row>
    <row r="57" spans="1:16" ht="0.75" customHeight="1">
      <c r="A57" s="397"/>
      <c r="B57" s="342"/>
      <c r="C57" s="398"/>
      <c r="D57" s="398"/>
      <c r="E57" s="398"/>
      <c r="G57" s="817"/>
      <c r="H57" s="816"/>
      <c r="I57" s="816"/>
      <c r="J57" s="772"/>
    </row>
    <row r="58" spans="1:16">
      <c r="A58" s="576" t="s">
        <v>400</v>
      </c>
      <c r="B58" s="342"/>
      <c r="C58" s="387"/>
      <c r="D58" s="387"/>
      <c r="E58" s="388"/>
      <c r="H58" s="812"/>
      <c r="I58" s="625"/>
      <c r="J58" s="772"/>
    </row>
    <row r="59" spans="1:16">
      <c r="A59" s="577" t="s">
        <v>381</v>
      </c>
      <c r="B59" s="342"/>
      <c r="C59" s="390"/>
      <c r="D59" s="390"/>
      <c r="E59" s="391"/>
      <c r="H59" s="807"/>
      <c r="I59" s="807"/>
      <c r="J59" s="772"/>
    </row>
    <row r="60" spans="1:16">
      <c r="A60" s="286" t="s">
        <v>485</v>
      </c>
      <c r="B60" s="342"/>
      <c r="C60" s="392">
        <v>0</v>
      </c>
      <c r="D60" s="392">
        <f>+D47</f>
        <v>300000000</v>
      </c>
      <c r="E60" s="393">
        <f t="shared" ref="E60:E67" si="4">SUM(C60:D60)</f>
        <v>300000000</v>
      </c>
      <c r="H60" s="814"/>
      <c r="I60" s="814"/>
      <c r="J60" s="772"/>
    </row>
    <row r="61" spans="1:16">
      <c r="A61" s="286" t="s">
        <v>416</v>
      </c>
      <c r="B61" s="342"/>
      <c r="C61" s="392">
        <v>79636472.989999995</v>
      </c>
      <c r="D61" s="392">
        <v>348615398.00999999</v>
      </c>
      <c r="E61" s="393">
        <f t="shared" si="4"/>
        <v>428251871</v>
      </c>
      <c r="H61" s="814"/>
      <c r="I61" s="814"/>
      <c r="J61" s="772"/>
    </row>
    <row r="62" spans="1:16">
      <c r="A62" s="286" t="s">
        <v>486</v>
      </c>
      <c r="B62" s="342"/>
      <c r="C62" s="392">
        <v>71318096.5</v>
      </c>
      <c r="D62" s="392">
        <v>0</v>
      </c>
      <c r="E62" s="393">
        <f t="shared" si="4"/>
        <v>71318096.5</v>
      </c>
      <c r="H62" s="814"/>
      <c r="I62" s="814"/>
      <c r="J62" s="772"/>
    </row>
    <row r="63" spans="1:16">
      <c r="A63" s="286" t="s">
        <v>234</v>
      </c>
      <c r="B63" s="342"/>
      <c r="C63" s="392">
        <f>+'9N_14-21'!D77</f>
        <v>30489070.649999999</v>
      </c>
      <c r="D63" s="392">
        <v>0</v>
      </c>
      <c r="E63" s="393">
        <f t="shared" si="4"/>
        <v>30489070.649999999</v>
      </c>
      <c r="H63" s="814"/>
      <c r="I63" s="814"/>
      <c r="J63" s="772"/>
    </row>
    <row r="64" spans="1:16">
      <c r="A64" s="286" t="str">
        <f>+A51</f>
        <v>Payable to employees</v>
      </c>
      <c r="B64" s="342"/>
      <c r="C64" s="392">
        <f>+'9N_14-21'!D93</f>
        <v>57411</v>
      </c>
      <c r="D64" s="392">
        <v>0</v>
      </c>
      <c r="E64" s="393">
        <f t="shared" si="4"/>
        <v>57411</v>
      </c>
      <c r="H64" s="814"/>
      <c r="I64" s="814"/>
      <c r="J64" s="772"/>
    </row>
    <row r="65" spans="1:10">
      <c r="A65" s="286" t="str">
        <f>+A53</f>
        <v xml:space="preserve"> Security deposits</v>
      </c>
      <c r="B65" s="342"/>
      <c r="C65" s="392">
        <f>+'9N_14-21'!D91+'9N_14-21'!D92</f>
        <v>12703957.91</v>
      </c>
      <c r="D65" s="392">
        <v>0</v>
      </c>
      <c r="E65" s="393">
        <f t="shared" si="4"/>
        <v>12703957.91</v>
      </c>
      <c r="H65" s="814"/>
      <c r="I65" s="814"/>
      <c r="J65" s="772"/>
    </row>
    <row r="66" spans="1:10">
      <c r="A66" s="286" t="str">
        <f>+A52</f>
        <v>Provision for Bonus</v>
      </c>
      <c r="B66" s="342"/>
      <c r="C66" s="392">
        <f>+'9N_14-21'!D94</f>
        <v>44914640.189999998</v>
      </c>
      <c r="D66" s="392">
        <v>0</v>
      </c>
      <c r="E66" s="393">
        <f t="shared" si="4"/>
        <v>44914640.189999998</v>
      </c>
      <c r="H66" s="814"/>
      <c r="I66" s="814"/>
      <c r="J66" s="772"/>
    </row>
    <row r="67" spans="1:10">
      <c r="A67" s="286" t="str">
        <f>+A54</f>
        <v>License fee payable</v>
      </c>
      <c r="B67" s="342"/>
      <c r="C67" s="392">
        <f>+C54</f>
        <v>38850000</v>
      </c>
      <c r="D67" s="392">
        <f>+'9N_14-21'!D42-C67</f>
        <v>155400000</v>
      </c>
      <c r="E67" s="393">
        <f t="shared" si="4"/>
        <v>194250000</v>
      </c>
      <c r="H67" s="814"/>
      <c r="I67" s="814"/>
      <c r="J67" s="772"/>
    </row>
    <row r="68" spans="1:10">
      <c r="A68" s="575" t="s">
        <v>382</v>
      </c>
      <c r="B68" s="395"/>
      <c r="C68" s="396">
        <f>SUM(C60:C67)</f>
        <v>277969649.24000001</v>
      </c>
      <c r="D68" s="396">
        <f>SUM(D60:D67)</f>
        <v>804015398.00999999</v>
      </c>
      <c r="E68" s="396">
        <f>SUM(E60:E67)</f>
        <v>1081985047.25</v>
      </c>
      <c r="G68" s="462"/>
      <c r="H68" s="816"/>
      <c r="I68" s="816"/>
      <c r="J68" s="772"/>
    </row>
    <row r="69" spans="1:10" ht="16.5" hidden="1">
      <c r="A69" s="397"/>
      <c r="B69" s="342"/>
      <c r="C69" s="399"/>
      <c r="D69" s="399"/>
      <c r="E69" s="399"/>
      <c r="G69" s="817"/>
      <c r="H69" s="816"/>
      <c r="I69" s="816"/>
      <c r="J69" s="772"/>
    </row>
    <row r="70" spans="1:10" ht="16.5" hidden="1">
      <c r="A70" s="386" t="s">
        <v>340</v>
      </c>
      <c r="B70" s="342"/>
      <c r="C70" s="400"/>
      <c r="D70" s="401"/>
      <c r="E70" s="401"/>
      <c r="G70" s="818"/>
      <c r="H70" s="819"/>
      <c r="I70" s="820"/>
      <c r="J70" s="772"/>
    </row>
    <row r="71" spans="1:10" ht="16.5" hidden="1">
      <c r="A71" s="402" t="s">
        <v>381</v>
      </c>
      <c r="B71" s="342"/>
      <c r="C71" s="403"/>
      <c r="D71" s="403"/>
      <c r="E71" s="403"/>
      <c r="G71" s="821"/>
      <c r="H71" s="814"/>
      <c r="I71" s="814"/>
      <c r="J71" s="772"/>
    </row>
    <row r="72" spans="1:10" hidden="1">
      <c r="A72" s="286" t="s">
        <v>331</v>
      </c>
      <c r="B72" s="342"/>
      <c r="C72" s="403">
        <v>134590512.71000001</v>
      </c>
      <c r="D72" s="404">
        <v>0</v>
      </c>
      <c r="E72" s="405">
        <f t="shared" ref="E72:E78" si="5">SUM(C72:D72)</f>
        <v>134590512.71000001</v>
      </c>
      <c r="H72" s="814"/>
      <c r="I72" s="814"/>
      <c r="J72" s="772"/>
    </row>
    <row r="73" spans="1:10" hidden="1">
      <c r="A73" s="286" t="s">
        <v>485</v>
      </c>
      <c r="B73" s="342"/>
      <c r="C73" s="403">
        <v>22500000</v>
      </c>
      <c r="D73" s="404">
        <v>384375000</v>
      </c>
      <c r="E73" s="405">
        <f t="shared" si="5"/>
        <v>406875000</v>
      </c>
      <c r="H73" s="814"/>
      <c r="I73" s="814"/>
      <c r="J73" s="772"/>
    </row>
    <row r="74" spans="1:10" hidden="1">
      <c r="A74" s="286" t="s">
        <v>486</v>
      </c>
      <c r="B74" s="342"/>
      <c r="C74" s="403">
        <v>73503206.629999995</v>
      </c>
      <c r="D74" s="404">
        <v>0</v>
      </c>
      <c r="E74" s="405">
        <f t="shared" si="5"/>
        <v>73503206.629999995</v>
      </c>
      <c r="H74" s="814"/>
      <c r="I74" s="814"/>
      <c r="J74" s="772"/>
    </row>
    <row r="75" spans="1:10" hidden="1">
      <c r="A75" s="286" t="s">
        <v>349</v>
      </c>
      <c r="B75" s="342"/>
      <c r="C75" s="406">
        <v>94636502</v>
      </c>
      <c r="D75" s="404">
        <v>0</v>
      </c>
      <c r="E75" s="405">
        <f t="shared" si="5"/>
        <v>94636502</v>
      </c>
      <c r="H75" s="814"/>
      <c r="I75" s="814"/>
      <c r="J75" s="772"/>
    </row>
    <row r="76" spans="1:10" hidden="1">
      <c r="A76" s="286" t="s">
        <v>487</v>
      </c>
      <c r="B76" s="342"/>
      <c r="C76" s="403">
        <v>4509246.58</v>
      </c>
      <c r="D76" s="404">
        <v>0</v>
      </c>
      <c r="E76" s="405">
        <f t="shared" si="5"/>
        <v>4509246.58</v>
      </c>
      <c r="H76" s="814"/>
      <c r="I76" s="814"/>
      <c r="J76" s="772"/>
    </row>
    <row r="77" spans="1:10" hidden="1">
      <c r="A77" s="286" t="s">
        <v>488</v>
      </c>
      <c r="B77" s="342"/>
      <c r="C77" s="404">
        <v>20054.86</v>
      </c>
      <c r="D77" s="404">
        <v>0</v>
      </c>
      <c r="E77" s="405">
        <f t="shared" si="5"/>
        <v>20054.86</v>
      </c>
      <c r="H77" s="814"/>
      <c r="I77" s="814"/>
      <c r="J77" s="772"/>
    </row>
    <row r="78" spans="1:10" hidden="1">
      <c r="A78" s="286" t="s">
        <v>489</v>
      </c>
      <c r="B78" s="342"/>
      <c r="C78" s="404">
        <v>7808954.9299999997</v>
      </c>
      <c r="D78" s="404">
        <v>0</v>
      </c>
      <c r="E78" s="405">
        <f t="shared" si="5"/>
        <v>7808954.9299999997</v>
      </c>
      <c r="H78" s="814"/>
      <c r="I78" s="816"/>
      <c r="J78" s="772"/>
    </row>
    <row r="79" spans="1:10" hidden="1">
      <c r="A79" s="394" t="s">
        <v>382</v>
      </c>
      <c r="B79" s="395"/>
      <c r="C79" s="407">
        <f>SUM(C72:C78)</f>
        <v>337568477.71000004</v>
      </c>
      <c r="D79" s="407">
        <f>SUM(D72:D78)</f>
        <v>384375000</v>
      </c>
      <c r="E79" s="407">
        <f>SUM(E72:E78)</f>
        <v>721943477.71000004</v>
      </c>
      <c r="G79" s="462"/>
      <c r="H79" s="814"/>
      <c r="I79" s="814"/>
      <c r="J79" s="772"/>
    </row>
    <row r="80" spans="1:10" ht="16.5">
      <c r="A80" s="758"/>
      <c r="B80" s="409"/>
      <c r="C80" s="409"/>
      <c r="D80" s="410"/>
      <c r="E80" s="410"/>
      <c r="F80" s="822"/>
      <c r="H80" s="807"/>
      <c r="I80" s="807"/>
      <c r="J80" s="772"/>
    </row>
    <row r="81" spans="1:10">
      <c r="A81" s="753" t="s">
        <v>383</v>
      </c>
      <c r="B81" s="557"/>
      <c r="C81" s="557"/>
      <c r="D81" s="557"/>
      <c r="E81" s="557"/>
      <c r="F81" s="220"/>
      <c r="H81" s="220"/>
      <c r="I81" s="220"/>
      <c r="J81" s="772"/>
    </row>
    <row r="82" spans="1:10">
      <c r="A82" s="558"/>
      <c r="B82" s="557"/>
      <c r="C82" s="557"/>
      <c r="D82" s="557"/>
      <c r="E82" s="557"/>
      <c r="F82" s="220"/>
      <c r="H82" s="220"/>
      <c r="I82" s="220"/>
      <c r="J82" s="772"/>
    </row>
    <row r="83" spans="1:10">
      <c r="A83" s="753" t="s">
        <v>384</v>
      </c>
      <c r="B83" s="557"/>
      <c r="C83" s="557"/>
      <c r="D83" s="557"/>
      <c r="E83" s="557"/>
      <c r="F83" s="220"/>
      <c r="G83" s="220"/>
      <c r="H83" s="220"/>
      <c r="I83" s="220"/>
      <c r="J83" s="772"/>
    </row>
    <row r="84" spans="1:10" ht="36.75" customHeight="1">
      <c r="A84" s="1529" t="s">
        <v>385</v>
      </c>
      <c r="B84" s="1530"/>
      <c r="C84" s="1530"/>
      <c r="D84" s="1530"/>
      <c r="E84" s="1530"/>
      <c r="F84" s="220"/>
      <c r="G84" s="220"/>
      <c r="H84" s="220"/>
      <c r="I84" s="220"/>
      <c r="J84" s="772"/>
    </row>
    <row r="85" spans="1:10" ht="78.75" customHeight="1">
      <c r="A85" s="1525" t="s">
        <v>1448</v>
      </c>
      <c r="B85" s="1526"/>
      <c r="C85" s="1526"/>
      <c r="D85" s="1526"/>
      <c r="E85" s="1526"/>
      <c r="F85" s="220"/>
      <c r="G85" s="220"/>
      <c r="H85" s="220"/>
      <c r="I85" s="220"/>
      <c r="J85" s="772"/>
    </row>
    <row r="86" spans="1:10">
      <c r="A86" s="759"/>
      <c r="B86" s="411"/>
      <c r="C86" s="640"/>
      <c r="D86" s="412"/>
      <c r="E86" s="413" t="s">
        <v>386</v>
      </c>
      <c r="F86" s="823"/>
      <c r="G86" s="824"/>
      <c r="H86" s="825"/>
      <c r="J86" s="772"/>
    </row>
    <row r="87" spans="1:10">
      <c r="A87" s="414"/>
      <c r="B87" s="415"/>
      <c r="C87" s="578" t="s">
        <v>555</v>
      </c>
      <c r="D87" s="578" t="s">
        <v>348</v>
      </c>
      <c r="E87" s="505" t="s">
        <v>340</v>
      </c>
      <c r="F87" s="826"/>
      <c r="G87" s="824"/>
      <c r="J87" s="772"/>
    </row>
    <row r="88" spans="1:10">
      <c r="A88" s="416"/>
      <c r="B88" s="417"/>
      <c r="C88" s="579" t="s">
        <v>387</v>
      </c>
      <c r="D88" s="579" t="s">
        <v>387</v>
      </c>
      <c r="E88" s="418" t="s">
        <v>387</v>
      </c>
      <c r="F88" s="826"/>
      <c r="G88" s="824"/>
      <c r="J88" s="772"/>
    </row>
    <row r="89" spans="1:10">
      <c r="A89" s="419" t="s">
        <v>328</v>
      </c>
      <c r="B89" s="420"/>
      <c r="C89" s="421">
        <v>208823.70000000004</v>
      </c>
      <c r="D89" s="422">
        <v>113505.33</v>
      </c>
      <c r="E89" s="423">
        <v>6611740.4699999997</v>
      </c>
      <c r="F89" s="826"/>
      <c r="G89" s="824"/>
      <c r="J89" s="772"/>
    </row>
    <row r="90" spans="1:10">
      <c r="A90" s="419" t="s">
        <v>343</v>
      </c>
      <c r="B90" s="420"/>
      <c r="C90" s="424">
        <v>972627.7</v>
      </c>
      <c r="D90" s="425">
        <v>42304.97</v>
      </c>
      <c r="E90" s="426">
        <v>37323977.359999999</v>
      </c>
      <c r="F90" s="826"/>
      <c r="G90" s="824"/>
      <c r="J90" s="772"/>
    </row>
    <row r="91" spans="1:10" ht="17.25" customHeight="1">
      <c r="A91" s="1541" t="s">
        <v>388</v>
      </c>
      <c r="B91" s="1542"/>
      <c r="C91" s="879">
        <v>-763803.99999999988</v>
      </c>
      <c r="D91" s="427">
        <v>71200.36</v>
      </c>
      <c r="E91" s="428">
        <f t="shared" ref="E91" si="6">E89-E90</f>
        <v>-30712236.890000001</v>
      </c>
      <c r="F91" s="826"/>
      <c r="G91" s="824"/>
      <c r="J91" s="772"/>
    </row>
    <row r="92" spans="1:10">
      <c r="A92" s="1531"/>
      <c r="B92" s="1532"/>
      <c r="C92" s="506"/>
      <c r="D92" s="429"/>
      <c r="E92" s="430"/>
      <c r="F92" s="827"/>
      <c r="G92" s="824"/>
      <c r="H92" s="220"/>
      <c r="I92" s="220"/>
      <c r="J92" s="772"/>
    </row>
    <row r="93" spans="1:10">
      <c r="A93" s="431"/>
      <c r="B93" s="432"/>
      <c r="C93" s="432"/>
      <c r="D93" s="433"/>
      <c r="E93" s="434"/>
      <c r="F93" s="827"/>
      <c r="G93" s="824"/>
      <c r="H93" s="220"/>
      <c r="I93" s="220"/>
      <c r="J93" s="772"/>
    </row>
    <row r="94" spans="1:10">
      <c r="A94" s="414"/>
      <c r="B94" s="415"/>
      <c r="C94" s="578" t="s">
        <v>555</v>
      </c>
      <c r="D94" s="578" t="s">
        <v>348</v>
      </c>
      <c r="E94" s="505" t="s">
        <v>340</v>
      </c>
      <c r="F94" s="827"/>
      <c r="G94" s="220"/>
      <c r="H94" s="220"/>
      <c r="I94" s="220"/>
      <c r="J94" s="772"/>
    </row>
    <row r="95" spans="1:10">
      <c r="A95" s="416"/>
      <c r="B95" s="417"/>
      <c r="C95" s="580" t="s">
        <v>389</v>
      </c>
      <c r="D95" s="579" t="s">
        <v>389</v>
      </c>
      <c r="E95" s="418" t="s">
        <v>389</v>
      </c>
      <c r="F95" s="827"/>
      <c r="G95" s="220"/>
      <c r="H95" s="220"/>
      <c r="I95" s="220"/>
      <c r="J95" s="772"/>
    </row>
    <row r="96" spans="1:10">
      <c r="A96" s="419" t="s">
        <v>328</v>
      </c>
      <c r="B96" s="420"/>
      <c r="C96" s="435">
        <v>3234.08</v>
      </c>
      <c r="D96" s="436">
        <v>522.95000000000005</v>
      </c>
      <c r="E96" s="423">
        <v>231920.45</v>
      </c>
      <c r="F96" s="827"/>
      <c r="G96" s="220"/>
      <c r="H96" s="220"/>
      <c r="I96" s="220"/>
      <c r="J96" s="772"/>
    </row>
    <row r="97" spans="1:10">
      <c r="A97" s="419" t="s">
        <v>343</v>
      </c>
      <c r="B97" s="420"/>
      <c r="C97" s="435">
        <v>785.4</v>
      </c>
      <c r="D97" s="437">
        <v>422.89</v>
      </c>
      <c r="E97" s="426">
        <v>229575419.41</v>
      </c>
      <c r="F97" s="827"/>
      <c r="G97" s="220"/>
      <c r="H97" s="220"/>
      <c r="I97" s="220"/>
      <c r="J97" s="772"/>
    </row>
    <row r="98" spans="1:10" ht="36.75" customHeight="1">
      <c r="A98" s="1541" t="s">
        <v>388</v>
      </c>
      <c r="B98" s="1542"/>
      <c r="C98" s="438">
        <v>2448.6799999999998</v>
      </c>
      <c r="D98" s="439">
        <v>100.06000000000006</v>
      </c>
      <c r="E98" s="428">
        <f t="shared" ref="E98" si="7">E96-E97</f>
        <v>-229343498.96000001</v>
      </c>
      <c r="F98" s="827"/>
      <c r="G98" s="220"/>
      <c r="H98" s="220"/>
      <c r="I98" s="220"/>
      <c r="J98" s="772"/>
    </row>
    <row r="99" spans="1:10">
      <c r="A99" s="431"/>
      <c r="B99" s="432"/>
      <c r="C99" s="432"/>
      <c r="D99" s="433"/>
      <c r="E99" s="434"/>
      <c r="F99" s="827"/>
      <c r="G99" s="220"/>
      <c r="H99" s="220"/>
      <c r="I99" s="220"/>
      <c r="J99" s="772"/>
    </row>
    <row r="100" spans="1:10">
      <c r="A100" s="753" t="s">
        <v>390</v>
      </c>
      <c r="B100" s="635"/>
      <c r="C100" s="635"/>
      <c r="D100" s="635"/>
      <c r="E100" s="641"/>
      <c r="F100" s="220"/>
      <c r="G100" s="220"/>
      <c r="H100" s="220"/>
      <c r="I100" s="220"/>
      <c r="J100" s="772"/>
    </row>
    <row r="101" spans="1:10" ht="30.6" customHeight="1">
      <c r="A101" s="1535" t="s">
        <v>391</v>
      </c>
      <c r="B101" s="1536"/>
      <c r="C101" s="1536"/>
      <c r="D101" s="1536"/>
      <c r="E101" s="1536"/>
      <c r="F101" s="828"/>
      <c r="G101" s="828"/>
      <c r="H101" s="828"/>
      <c r="I101" s="828"/>
      <c r="J101" s="772"/>
    </row>
    <row r="102" spans="1:10">
      <c r="A102" s="440"/>
      <c r="B102" s="441"/>
      <c r="C102" s="581" t="s">
        <v>1258</v>
      </c>
      <c r="D102" s="1519" t="s">
        <v>392</v>
      </c>
      <c r="E102" s="1520"/>
      <c r="G102" s="220"/>
      <c r="H102" s="220"/>
      <c r="I102" s="220"/>
      <c r="J102" s="772"/>
    </row>
    <row r="103" spans="1:10">
      <c r="A103" s="442"/>
      <c r="B103" s="443"/>
      <c r="C103" s="581" t="s">
        <v>1259</v>
      </c>
      <c r="D103" s="582" t="s">
        <v>555</v>
      </c>
      <c r="E103" s="583" t="s">
        <v>348</v>
      </c>
      <c r="G103" s="220"/>
      <c r="H103" s="220"/>
      <c r="I103" s="220"/>
      <c r="J103" s="772"/>
    </row>
    <row r="104" spans="1:10" ht="16.5">
      <c r="A104" s="584" t="s">
        <v>393</v>
      </c>
      <c r="B104" s="444"/>
      <c r="C104" s="445"/>
      <c r="D104" s="446"/>
      <c r="E104" s="446"/>
      <c r="G104" s="220"/>
      <c r="H104" s="220"/>
      <c r="I104" s="220"/>
      <c r="J104" s="772"/>
    </row>
    <row r="105" spans="1:10" ht="16.5">
      <c r="A105" s="447" t="s">
        <v>1260</v>
      </c>
      <c r="B105" s="448"/>
      <c r="C105" s="449">
        <v>0.05</v>
      </c>
      <c r="D105" s="450">
        <f>-C91*C105</f>
        <v>38190.199999999997</v>
      </c>
      <c r="E105" s="450">
        <f>+-D91*C105</f>
        <v>-3560.018</v>
      </c>
      <c r="G105" s="220"/>
      <c r="H105" s="220"/>
      <c r="I105" s="220"/>
      <c r="J105" s="772"/>
    </row>
    <row r="106" spans="1:10" ht="16.5">
      <c r="A106" s="447" t="s">
        <v>1261</v>
      </c>
      <c r="B106" s="448"/>
      <c r="C106" s="449">
        <v>-0.05</v>
      </c>
      <c r="D106" s="450">
        <f>+-D105</f>
        <v>-38190.199999999997</v>
      </c>
      <c r="E106" s="451">
        <f>-E105</f>
        <v>3560.018</v>
      </c>
      <c r="G106" s="220"/>
      <c r="H106" s="220"/>
      <c r="I106" s="220"/>
      <c r="J106" s="772"/>
    </row>
    <row r="107" spans="1:10" ht="16.5">
      <c r="A107" s="584" t="s">
        <v>394</v>
      </c>
      <c r="B107" s="444"/>
      <c r="C107" s="449"/>
      <c r="D107" s="452"/>
      <c r="E107" s="452"/>
      <c r="G107" s="220"/>
      <c r="H107" s="220"/>
      <c r="I107" s="220"/>
      <c r="J107" s="772"/>
    </row>
    <row r="108" spans="1:10" ht="16.5">
      <c r="A108" s="447" t="s">
        <v>1260</v>
      </c>
      <c r="B108" s="444"/>
      <c r="C108" s="449">
        <v>0.05</v>
      </c>
      <c r="D108" s="451">
        <f>-C98*C108</f>
        <v>-122.434</v>
      </c>
      <c r="E108" s="451">
        <f>-D98*C108</f>
        <v>-5.0030000000000037</v>
      </c>
      <c r="G108" s="220"/>
      <c r="H108" s="220"/>
      <c r="I108" s="220"/>
      <c r="J108" s="772"/>
    </row>
    <row r="109" spans="1:10" ht="16.5">
      <c r="A109" s="447" t="s">
        <v>1261</v>
      </c>
      <c r="B109" s="444"/>
      <c r="C109" s="449">
        <v>-0.05</v>
      </c>
      <c r="D109" s="451">
        <f>++-D108</f>
        <v>122.434</v>
      </c>
      <c r="E109" s="451">
        <f>+-E108</f>
        <v>5.0030000000000037</v>
      </c>
      <c r="G109" s="220"/>
      <c r="H109" s="220"/>
      <c r="I109" s="220"/>
      <c r="J109" s="772"/>
    </row>
    <row r="110" spans="1:10">
      <c r="A110" s="754"/>
      <c r="B110" s="432"/>
      <c r="C110" s="432"/>
      <c r="D110" s="642"/>
      <c r="E110" s="641"/>
      <c r="F110" s="220"/>
      <c r="G110" s="220"/>
      <c r="H110" s="220"/>
      <c r="I110" s="220"/>
      <c r="J110" s="772"/>
    </row>
    <row r="111" spans="1:10">
      <c r="A111" s="754" t="s">
        <v>395</v>
      </c>
      <c r="B111" s="432"/>
      <c r="C111" s="643"/>
      <c r="D111" s="642"/>
      <c r="E111" s="641"/>
      <c r="F111" s="220"/>
      <c r="G111" s="220"/>
      <c r="H111" s="220"/>
      <c r="I111" s="220"/>
      <c r="J111" s="772"/>
    </row>
    <row r="112" spans="1:10">
      <c r="A112" s="760"/>
      <c r="B112" s="641"/>
      <c r="C112" s="641"/>
      <c r="D112" s="641"/>
      <c r="E112" s="641"/>
      <c r="F112" s="220"/>
      <c r="G112" s="220"/>
      <c r="H112" s="220"/>
      <c r="I112" s="220"/>
      <c r="J112" s="772"/>
    </row>
    <row r="113" spans="1:10" ht="38.25" customHeight="1">
      <c r="A113" s="1533" t="s">
        <v>1449</v>
      </c>
      <c r="B113" s="1534"/>
      <c r="C113" s="1534"/>
      <c r="D113" s="1534"/>
      <c r="E113" s="641"/>
      <c r="F113" s="220"/>
      <c r="G113" s="220"/>
      <c r="H113" s="220"/>
      <c r="I113" s="220"/>
      <c r="J113" s="772"/>
    </row>
    <row r="114" spans="1:10">
      <c r="A114" s="760"/>
      <c r="B114" s="641"/>
      <c r="C114" s="641"/>
      <c r="D114" s="641"/>
      <c r="E114" s="641"/>
      <c r="F114" s="220"/>
      <c r="G114" s="220"/>
      <c r="H114" s="220"/>
      <c r="I114" s="220"/>
      <c r="J114" s="772"/>
    </row>
    <row r="115" spans="1:10">
      <c r="A115" s="753" t="s">
        <v>396</v>
      </c>
      <c r="B115" s="342"/>
      <c r="C115" s="342"/>
      <c r="D115" s="342"/>
      <c r="E115" s="342"/>
      <c r="J115" s="772"/>
    </row>
    <row r="116" spans="1:10" ht="76.5" customHeight="1">
      <c r="A116" s="1521" t="s">
        <v>397</v>
      </c>
      <c r="B116" s="1522"/>
      <c r="C116" s="1522"/>
      <c r="D116" s="1522"/>
      <c r="E116" s="1522"/>
      <c r="F116" s="521"/>
      <c r="J116" s="772"/>
    </row>
    <row r="117" spans="1:10">
      <c r="A117" s="211" t="s">
        <v>398</v>
      </c>
      <c r="B117" s="342"/>
      <c r="C117" s="342"/>
      <c r="D117" s="342"/>
      <c r="E117" s="342"/>
      <c r="J117" s="772"/>
    </row>
    <row r="118" spans="1:10" ht="81.75" customHeight="1">
      <c r="A118" s="1523" t="s">
        <v>399</v>
      </c>
      <c r="B118" s="1524"/>
      <c r="C118" s="1524"/>
      <c r="D118" s="1524"/>
      <c r="E118" s="1524"/>
      <c r="F118" s="829"/>
      <c r="G118" s="829"/>
      <c r="H118" s="829"/>
      <c r="I118" s="830"/>
      <c r="J118" s="831"/>
    </row>
  </sheetData>
  <mergeCells count="28">
    <mergeCell ref="A2:E2"/>
    <mergeCell ref="B43:C43"/>
    <mergeCell ref="J23:J24"/>
    <mergeCell ref="A91:B91"/>
    <mergeCell ref="A98:B98"/>
    <mergeCell ref="B8:C8"/>
    <mergeCell ref="B9:C9"/>
    <mergeCell ref="B10:C10"/>
    <mergeCell ref="B11:C11"/>
    <mergeCell ref="B12:C12"/>
    <mergeCell ref="B23:C23"/>
    <mergeCell ref="D23:E23"/>
    <mergeCell ref="D102:E102"/>
    <mergeCell ref="A1:E1"/>
    <mergeCell ref="A116:E116"/>
    <mergeCell ref="A118:E118"/>
    <mergeCell ref="A21:E21"/>
    <mergeCell ref="A40:E40"/>
    <mergeCell ref="A85:E85"/>
    <mergeCell ref="A38:E38"/>
    <mergeCell ref="A92:B92"/>
    <mergeCell ref="A113:D113"/>
    <mergeCell ref="A15:E15"/>
    <mergeCell ref="A18:E18"/>
    <mergeCell ref="A19:E19"/>
    <mergeCell ref="A6:E6"/>
    <mergeCell ref="A84:E84"/>
    <mergeCell ref="A101:E101"/>
  </mergeCells>
  <printOptions horizontalCentered="1"/>
  <pageMargins left="0.15748031496062992" right="0.27559055118110237" top="3.937007874015748E-2" bottom="1.1811023622047245" header="3.937007874015748E-2" footer="3.937007874015748E-2"/>
  <pageSetup paperSize="9" scale="56" fitToWidth="0" fitToHeight="0" orientation="portrait" r:id="rId1"/>
  <rowBreaks count="1" manualBreakCount="1">
    <brk id="40" max="9" man="1"/>
  </rowBreaks>
</worksheet>
</file>

<file path=xl/worksheets/sheet14.xml><?xml version="1.0" encoding="utf-8"?>
<worksheet xmlns="http://schemas.openxmlformats.org/spreadsheetml/2006/main" xmlns:r="http://schemas.openxmlformats.org/officeDocument/2006/relationships">
  <sheetPr enableFormatConditionsCalculation="0">
    <tabColor rgb="FF00B050"/>
    <pageSetUpPr fitToPage="1"/>
  </sheetPr>
  <dimension ref="A1:E16"/>
  <sheetViews>
    <sheetView showGridLines="0" topLeftCell="A15" zoomScaleSheetLayoutView="90" workbookViewId="0">
      <selection activeCell="D15" sqref="D15"/>
    </sheetView>
  </sheetViews>
  <sheetFormatPr defaultColWidth="8.85546875" defaultRowHeight="15"/>
  <cols>
    <col min="1" max="1" width="54.7109375" customWidth="1"/>
    <col min="3" max="4" width="20.42578125" style="679" bestFit="1" customWidth="1"/>
  </cols>
  <sheetData>
    <row r="1" spans="1:5" ht="16.5" customHeight="1">
      <c r="A1" s="1397" t="s">
        <v>0</v>
      </c>
      <c r="B1" s="1398"/>
      <c r="C1" s="1398"/>
      <c r="D1" s="1398"/>
      <c r="E1" s="761"/>
    </row>
    <row r="2" spans="1:5" ht="15.75">
      <c r="A2" s="1400" t="s">
        <v>1048</v>
      </c>
      <c r="B2" s="1401"/>
      <c r="C2" s="1401"/>
      <c r="D2" s="1401"/>
      <c r="E2" s="1402"/>
    </row>
    <row r="3" spans="1:5" ht="16.5">
      <c r="A3" s="762"/>
      <c r="B3" s="644"/>
      <c r="C3" s="675"/>
      <c r="D3" s="675"/>
      <c r="E3" s="763"/>
    </row>
    <row r="4" spans="1:5" ht="16.5">
      <c r="A4" s="211" t="s">
        <v>490</v>
      </c>
      <c r="B4" s="330"/>
      <c r="C4" s="218"/>
      <c r="D4" s="218"/>
      <c r="E4" s="764"/>
    </row>
    <row r="5" spans="1:5" ht="15.75">
      <c r="A5" s="753" t="s">
        <v>401</v>
      </c>
      <c r="B5" s="645"/>
      <c r="C5" s="676"/>
      <c r="D5" s="676"/>
      <c r="E5" s="764"/>
    </row>
    <row r="6" spans="1:5">
      <c r="A6" s="586"/>
      <c r="B6" s="645"/>
      <c r="C6" s="676"/>
      <c r="D6" s="676"/>
      <c r="E6" s="764"/>
    </row>
    <row r="7" spans="1:5">
      <c r="A7" s="431" t="s">
        <v>402</v>
      </c>
      <c r="B7" s="651"/>
      <c r="C7" s="651"/>
      <c r="D7" s="651"/>
      <c r="E7" s="764"/>
    </row>
    <row r="8" spans="1:5" ht="33" customHeight="1">
      <c r="A8" s="1533" t="s">
        <v>406</v>
      </c>
      <c r="B8" s="1534"/>
      <c r="C8" s="1534"/>
      <c r="D8" s="1534"/>
      <c r="E8" s="764"/>
    </row>
    <row r="9" spans="1:5" ht="30" customHeight="1">
      <c r="A9" s="1529" t="s">
        <v>407</v>
      </c>
      <c r="B9" s="1530"/>
      <c r="C9" s="1530"/>
      <c r="D9" s="1530"/>
      <c r="E9" s="764"/>
    </row>
    <row r="10" spans="1:5" ht="51" customHeight="1">
      <c r="A10" s="1525" t="s">
        <v>403</v>
      </c>
      <c r="B10" s="1526"/>
      <c r="C10" s="1526"/>
      <c r="D10" s="1526"/>
      <c r="E10" s="764"/>
    </row>
    <row r="11" spans="1:5" ht="16.5">
      <c r="A11" s="765"/>
      <c r="B11" s="646"/>
      <c r="C11" s="677"/>
      <c r="D11" s="677"/>
      <c r="E11" s="764"/>
    </row>
    <row r="12" spans="1:5" ht="16.5">
      <c r="A12" s="753" t="s">
        <v>404</v>
      </c>
      <c r="B12" s="647"/>
      <c r="C12" s="432"/>
      <c r="D12" s="432"/>
      <c r="E12" s="764"/>
    </row>
    <row r="13" spans="1:5" ht="15.75">
      <c r="A13" s="1546" t="s">
        <v>21</v>
      </c>
      <c r="B13" s="1546"/>
      <c r="C13" s="583" t="s">
        <v>555</v>
      </c>
      <c r="D13" s="583" t="s">
        <v>348</v>
      </c>
      <c r="E13" s="764"/>
    </row>
    <row r="14" spans="1:5" ht="16.5">
      <c r="A14" s="586"/>
      <c r="B14" s="585"/>
      <c r="C14" s="678"/>
      <c r="D14" s="678"/>
      <c r="E14" s="764"/>
    </row>
    <row r="15" spans="1:5" ht="16.5">
      <c r="A15" s="766" t="s">
        <v>405</v>
      </c>
      <c r="B15" s="767"/>
      <c r="C15" s="768">
        <f>-'5SOCE'!F13</f>
        <v>0</v>
      </c>
      <c r="D15" s="768">
        <f>-'5SOCE'!F8</f>
        <v>843900560</v>
      </c>
      <c r="E15" s="769"/>
    </row>
    <row r="16" spans="1:5" ht="16.5">
      <c r="A16" s="453"/>
      <c r="B16" s="453"/>
      <c r="C16" s="342"/>
      <c r="D16" s="342"/>
    </row>
  </sheetData>
  <mergeCells count="6">
    <mergeCell ref="A13:B13"/>
    <mergeCell ref="A8:D8"/>
    <mergeCell ref="A10:D10"/>
    <mergeCell ref="A9:D9"/>
    <mergeCell ref="A1:D1"/>
    <mergeCell ref="A2:E2"/>
  </mergeCells>
  <printOptions horizontalCentered="1"/>
  <pageMargins left="0.7" right="0.7" top="0.75" bottom="0.75" header="0.3" footer="0.3"/>
  <pageSetup paperSize="9" scale="77" orientation="portrait" r:id="rId1"/>
  <drawing r:id="rId2"/>
</worksheet>
</file>

<file path=xl/worksheets/sheet15.xml><?xml version="1.0" encoding="utf-8"?>
<worksheet xmlns="http://schemas.openxmlformats.org/spreadsheetml/2006/main" xmlns:r="http://schemas.openxmlformats.org/officeDocument/2006/relationships">
  <sheetPr enableFormatConditionsCalculation="0">
    <tabColor rgb="FF00B050"/>
  </sheetPr>
  <dimension ref="A1:AS133"/>
  <sheetViews>
    <sheetView showGridLines="0" topLeftCell="A89" zoomScale="90" zoomScaleNormal="90" zoomScaleSheetLayoutView="90" zoomScalePageLayoutView="90" workbookViewId="0">
      <selection activeCell="AX102" sqref="AX102"/>
    </sheetView>
  </sheetViews>
  <sheetFormatPr defaultColWidth="8.85546875" defaultRowHeight="16.5"/>
  <cols>
    <col min="1" max="1" width="4.85546875" style="453" customWidth="1"/>
    <col min="2" max="2" width="48.28515625" style="222" customWidth="1"/>
    <col min="3" max="3" width="10.7109375" style="222" customWidth="1"/>
    <col min="4" max="4" width="22.7109375" style="222" hidden="1" customWidth="1"/>
    <col min="5" max="6" width="22.7109375" style="222" customWidth="1"/>
    <col min="7" max="7" width="20.42578125" style="222" customWidth="1"/>
    <col min="8" max="8" width="6" style="461" hidden="1" customWidth="1"/>
    <col min="9" max="9" width="0" style="222" hidden="1" customWidth="1"/>
    <col min="10" max="10" width="13.7109375" style="453" hidden="1" customWidth="1"/>
    <col min="11" max="11" width="15.42578125" style="453" hidden="1" customWidth="1"/>
    <col min="12" max="12" width="19.85546875" style="453" hidden="1" customWidth="1"/>
    <col min="13" max="13" width="3.85546875" style="453" customWidth="1"/>
    <col min="14" max="14" width="2.7109375" style="453" hidden="1" customWidth="1"/>
    <col min="15" max="38" width="9.140625" style="453" hidden="1" customWidth="1"/>
    <col min="39" max="41" width="0" style="453" hidden="1" customWidth="1"/>
    <col min="42" max="42" width="5.42578125" style="453" customWidth="1"/>
    <col min="43" max="45" width="9.140625" style="453" hidden="1" customWidth="1"/>
    <col min="46" max="46" width="9.140625" style="453" customWidth="1"/>
    <col min="47" max="16384" width="8.85546875" style="453"/>
  </cols>
  <sheetData>
    <row r="1" spans="1:13">
      <c r="A1" s="770"/>
      <c r="B1" s="1398" t="s">
        <v>0</v>
      </c>
      <c r="C1" s="1398"/>
      <c r="D1" s="1398"/>
      <c r="E1" s="1398"/>
      <c r="F1" s="1398"/>
      <c r="G1" s="771"/>
    </row>
    <row r="2" spans="1:13">
      <c r="A2" s="599"/>
      <c r="B2" s="1401" t="s">
        <v>1048</v>
      </c>
      <c r="C2" s="1401"/>
      <c r="D2" s="1401"/>
      <c r="E2" s="1401"/>
      <c r="F2" s="1401"/>
      <c r="G2" s="772"/>
    </row>
    <row r="3" spans="1:13">
      <c r="A3" s="599"/>
      <c r="B3" s="675"/>
      <c r="C3" s="675"/>
      <c r="D3" s="675"/>
      <c r="E3" s="675"/>
      <c r="F3" s="675"/>
      <c r="G3" s="772"/>
    </row>
    <row r="4" spans="1:13">
      <c r="A4" s="211" t="s">
        <v>1422</v>
      </c>
      <c r="G4" s="453"/>
    </row>
    <row r="5" spans="1:13">
      <c r="A5" s="211"/>
      <c r="G5" s="453"/>
    </row>
    <row r="6" spans="1:13">
      <c r="A6" s="211" t="s">
        <v>1423</v>
      </c>
      <c r="B6" s="216" t="s">
        <v>1424</v>
      </c>
      <c r="G6" s="453"/>
    </row>
    <row r="7" spans="1:13">
      <c r="A7" s="211"/>
      <c r="B7" s="216"/>
      <c r="G7" s="773" t="s">
        <v>64</v>
      </c>
    </row>
    <row r="8" spans="1:13" ht="31.5">
      <c r="A8" s="1443" t="s">
        <v>21</v>
      </c>
      <c r="B8" s="1443"/>
      <c r="C8" s="606" t="s">
        <v>99</v>
      </c>
      <c r="D8" s="208" t="s">
        <v>1046</v>
      </c>
      <c r="E8" s="208" t="s">
        <v>1298</v>
      </c>
      <c r="F8" s="208" t="s">
        <v>107</v>
      </c>
      <c r="G8" s="208" t="s">
        <v>562</v>
      </c>
    </row>
    <row r="9" spans="1:13">
      <c r="A9" s="599"/>
      <c r="B9" s="607" t="s">
        <v>95</v>
      </c>
      <c r="C9" s="602"/>
      <c r="D9" s="473"/>
      <c r="E9" s="474"/>
      <c r="F9" s="474"/>
      <c r="G9" s="475"/>
      <c r="J9" s="453">
        <f>4+5+8+3+9</f>
        <v>29</v>
      </c>
    </row>
    <row r="10" spans="1:13">
      <c r="A10" s="599"/>
      <c r="B10" s="608" t="s">
        <v>452</v>
      </c>
      <c r="C10" s="602"/>
      <c r="D10" s="476"/>
      <c r="E10" s="477"/>
      <c r="F10" s="477"/>
      <c r="G10" s="478"/>
    </row>
    <row r="11" spans="1:13">
      <c r="A11" s="599"/>
      <c r="B11" s="609" t="s">
        <v>513</v>
      </c>
      <c r="C11" s="602" t="s">
        <v>1299</v>
      </c>
      <c r="D11" s="479">
        <v>3035956266.0529108</v>
      </c>
      <c r="E11" s="652">
        <f>SUM(F11:G11)</f>
        <v>3353676889.1871982</v>
      </c>
      <c r="F11" s="652">
        <f>-([3]AE!E133+[3]AE!E153-[3]AE!F157-[3]AE!F138)</f>
        <v>-369652985.5828017</v>
      </c>
      <c r="G11" s="328">
        <f>3723329874.37+0.4</f>
        <v>3723329874.77</v>
      </c>
      <c r="J11" s="453">
        <v>3353676889.9371982</v>
      </c>
    </row>
    <row r="12" spans="1:13">
      <c r="A12" s="599"/>
      <c r="B12" s="610" t="s">
        <v>221</v>
      </c>
      <c r="C12" s="602" t="s">
        <v>1300</v>
      </c>
      <c r="D12" s="479">
        <v>1129198308.3640366</v>
      </c>
      <c r="E12" s="652">
        <f t="shared" ref="E12:E18" si="0">SUM(F12:G12)</f>
        <v>1337580391.4133863</v>
      </c>
      <c r="F12" s="652">
        <f>[3]AE!E83-[3]AE!F85-[3]AE!F138-[3]AE!F157</f>
        <v>250073992.9333863</v>
      </c>
      <c r="G12" s="328">
        <v>1087506398.48</v>
      </c>
      <c r="J12" s="453">
        <v>1337580391.4133863</v>
      </c>
    </row>
    <row r="13" spans="1:13">
      <c r="A13" s="599"/>
      <c r="B13" s="610" t="s">
        <v>22</v>
      </c>
      <c r="C13" s="602"/>
      <c r="D13" s="479">
        <v>83416952.069999993</v>
      </c>
      <c r="E13" s="652">
        <f t="shared" si="0"/>
        <v>15077014.659999996</v>
      </c>
      <c r="F13" s="652">
        <v>0</v>
      </c>
      <c r="G13" s="328">
        <v>15077014.659999996</v>
      </c>
      <c r="J13" s="453">
        <v>15077014.659999996</v>
      </c>
    </row>
    <row r="14" spans="1:13">
      <c r="A14" s="599"/>
      <c r="B14" s="608" t="s">
        <v>1134</v>
      </c>
      <c r="C14" s="602"/>
      <c r="D14" s="479"/>
      <c r="E14" s="652"/>
      <c r="F14" s="652"/>
      <c r="G14" s="328"/>
    </row>
    <row r="15" spans="1:13">
      <c r="A15" s="599"/>
      <c r="B15" s="611" t="s">
        <v>1135</v>
      </c>
      <c r="C15" s="602"/>
      <c r="D15" s="479">
        <v>0</v>
      </c>
      <c r="E15" s="652">
        <f t="shared" si="0"/>
        <v>92308400</v>
      </c>
      <c r="F15" s="652">
        <v>0</v>
      </c>
      <c r="G15" s="328">
        <v>92308400</v>
      </c>
      <c r="J15" s="453">
        <v>92308400</v>
      </c>
      <c r="L15" s="453">
        <v>107008946.00000001</v>
      </c>
      <c r="M15" s="489">
        <f>+L15-E22</f>
        <v>-0.12999998033046722</v>
      </c>
    </row>
    <row r="16" spans="1:13">
      <c r="A16" s="599"/>
      <c r="B16" s="611" t="s">
        <v>1136</v>
      </c>
      <c r="C16" s="602"/>
      <c r="D16" s="479">
        <v>189682582.52000001</v>
      </c>
      <c r="E16" s="652">
        <f t="shared" si="0"/>
        <v>124734293</v>
      </c>
      <c r="F16" s="652">
        <v>0</v>
      </c>
      <c r="G16" s="328">
        <v>124734293</v>
      </c>
      <c r="J16" s="453">
        <v>124734293.09</v>
      </c>
      <c r="M16" s="489">
        <f t="shared" ref="M16:M20" si="1">+L16-E23</f>
        <v>0</v>
      </c>
    </row>
    <row r="17" spans="1:14">
      <c r="A17" s="599"/>
      <c r="B17" s="611" t="s">
        <v>512</v>
      </c>
      <c r="C17" s="602"/>
      <c r="D17" s="479">
        <v>9659868.5</v>
      </c>
      <c r="E17" s="652">
        <f t="shared" si="0"/>
        <v>9659868.5</v>
      </c>
      <c r="F17" s="652">
        <v>0</v>
      </c>
      <c r="G17" s="328">
        <v>9659868.5</v>
      </c>
      <c r="J17" s="453">
        <v>9659868.5</v>
      </c>
      <c r="L17" s="453">
        <v>127062333.34999998</v>
      </c>
      <c r="M17" s="489">
        <f t="shared" si="1"/>
        <v>-0.40000000596046448</v>
      </c>
    </row>
    <row r="18" spans="1:14">
      <c r="A18" s="599"/>
      <c r="B18" s="610" t="s">
        <v>222</v>
      </c>
      <c r="C18" s="602" t="s">
        <v>1301</v>
      </c>
      <c r="D18" s="479">
        <v>2282728.96</v>
      </c>
      <c r="E18" s="652">
        <f t="shared" si="0"/>
        <v>0</v>
      </c>
      <c r="F18" s="652">
        <f>-[3]AE!F77</f>
        <v>-12950000</v>
      </c>
      <c r="G18" s="328">
        <v>12950000</v>
      </c>
      <c r="J18" s="453">
        <v>0</v>
      </c>
      <c r="L18" s="453">
        <v>172043085.68000001</v>
      </c>
      <c r="M18" s="489">
        <f t="shared" si="1"/>
        <v>0</v>
      </c>
    </row>
    <row r="19" spans="1:14">
      <c r="A19" s="599"/>
      <c r="B19" s="612" t="s">
        <v>453</v>
      </c>
      <c r="C19" s="602"/>
      <c r="D19" s="480">
        <v>4450196706.4669476</v>
      </c>
      <c r="E19" s="653">
        <f>SUM(E11:E18)</f>
        <v>4933036856.7605839</v>
      </c>
      <c r="F19" s="653">
        <f>SUM(F11:F18)</f>
        <v>-132528992.6494154</v>
      </c>
      <c r="G19" s="774">
        <f>SUM(G11:G18)</f>
        <v>5065565849.4099998</v>
      </c>
      <c r="J19" s="453">
        <v>4933036857.7005844</v>
      </c>
      <c r="L19" s="453">
        <v>2860642</v>
      </c>
      <c r="M19" s="489">
        <f t="shared" si="1"/>
        <v>0.14000000013038516</v>
      </c>
    </row>
    <row r="20" spans="1:14">
      <c r="A20" s="599"/>
      <c r="B20" s="613"/>
      <c r="C20" s="602"/>
      <c r="D20" s="481"/>
      <c r="E20" s="650"/>
      <c r="F20" s="650"/>
      <c r="G20" s="775"/>
      <c r="L20" s="453">
        <v>4115127.4100000006</v>
      </c>
      <c r="M20" s="489">
        <f t="shared" si="1"/>
        <v>0.49999999860301614</v>
      </c>
    </row>
    <row r="21" spans="1:14">
      <c r="A21" s="599"/>
      <c r="B21" s="614" t="s">
        <v>454</v>
      </c>
      <c r="C21" s="602"/>
      <c r="D21" s="479"/>
      <c r="E21" s="652"/>
      <c r="F21" s="652"/>
      <c r="G21" s="305"/>
      <c r="J21" s="453">
        <f>9+1+5+3+9</f>
        <v>27</v>
      </c>
    </row>
    <row r="22" spans="1:14">
      <c r="A22" s="599"/>
      <c r="B22" s="611" t="s">
        <v>23</v>
      </c>
      <c r="C22" s="602"/>
      <c r="D22" s="479">
        <v>98877104.174999982</v>
      </c>
      <c r="E22" s="652">
        <f t="shared" ref="E22:E28" si="2">SUM(F22:G22)</f>
        <v>107008946.13</v>
      </c>
      <c r="F22" s="652">
        <v>0</v>
      </c>
      <c r="G22" s="328">
        <v>107008946.13</v>
      </c>
    </row>
    <row r="23" spans="1:14">
      <c r="A23" s="599"/>
      <c r="B23" s="608" t="s">
        <v>1134</v>
      </c>
      <c r="C23" s="602"/>
      <c r="D23" s="479"/>
      <c r="E23" s="652"/>
      <c r="F23" s="652"/>
      <c r="G23" s="328"/>
    </row>
    <row r="24" spans="1:14">
      <c r="A24" s="599"/>
      <c r="B24" s="611" t="s">
        <v>1302</v>
      </c>
      <c r="C24" s="602" t="s">
        <v>1303</v>
      </c>
      <c r="D24" s="479">
        <v>108911295.59889999</v>
      </c>
      <c r="E24" s="652">
        <f t="shared" si="2"/>
        <v>127062333.74999999</v>
      </c>
      <c r="F24" s="652">
        <f>-[3]Regrouping!F45+0.4</f>
        <v>-4215469.09</v>
      </c>
      <c r="G24" s="328">
        <v>131277802.83999999</v>
      </c>
      <c r="I24" s="222">
        <f>13-9</f>
        <v>4</v>
      </c>
      <c r="J24" s="453">
        <f>131277803-4215469</f>
        <v>127062334</v>
      </c>
      <c r="L24" s="513">
        <f>-4215469.49+0.14</f>
        <v>-4215469.3500000006</v>
      </c>
    </row>
    <row r="25" spans="1:14">
      <c r="A25" s="599"/>
      <c r="B25" s="611" t="s">
        <v>1304</v>
      </c>
      <c r="C25" s="602"/>
      <c r="D25" s="479">
        <v>633519823.8499999</v>
      </c>
      <c r="E25" s="652">
        <f t="shared" si="2"/>
        <v>172043085.68000001</v>
      </c>
      <c r="F25" s="652">
        <v>0</v>
      </c>
      <c r="G25" s="328">
        <v>172043085.68000001</v>
      </c>
    </row>
    <row r="26" spans="1:14">
      <c r="A26" s="599"/>
      <c r="B26" s="611" t="s">
        <v>1305</v>
      </c>
      <c r="C26" s="602" t="s">
        <v>1306</v>
      </c>
      <c r="D26" s="479">
        <v>1278270</v>
      </c>
      <c r="E26" s="652">
        <f t="shared" si="2"/>
        <v>2860641.86</v>
      </c>
      <c r="F26" s="652">
        <f>2007812+0.3</f>
        <v>2007812.3</v>
      </c>
      <c r="G26" s="328">
        <v>852829.55999999994</v>
      </c>
      <c r="K26" s="513">
        <f>131277802.84+0.4</f>
        <v>131277803.24000001</v>
      </c>
    </row>
    <row r="27" spans="1:14">
      <c r="A27" s="599"/>
      <c r="B27" s="611" t="s">
        <v>211</v>
      </c>
      <c r="C27" s="602" t="s">
        <v>1301</v>
      </c>
      <c r="D27" s="482">
        <v>227083405.02999997</v>
      </c>
      <c r="E27" s="652">
        <f t="shared" si="2"/>
        <v>4115126.910000002</v>
      </c>
      <c r="F27" s="329">
        <f>-[3]AE!F78-2007812.9-0.5</f>
        <v>-14957813.4</v>
      </c>
      <c r="G27" s="305">
        <v>19072940.310000002</v>
      </c>
      <c r="I27" s="222">
        <f>6+3+6</f>
        <v>15</v>
      </c>
    </row>
    <row r="28" spans="1:14">
      <c r="A28" s="599"/>
      <c r="B28" s="611" t="s">
        <v>1131</v>
      </c>
      <c r="C28" s="602"/>
      <c r="D28" s="482">
        <v>99285178.310000002</v>
      </c>
      <c r="E28" s="652">
        <f t="shared" si="2"/>
        <v>0</v>
      </c>
      <c r="F28" s="329">
        <v>0</v>
      </c>
      <c r="G28" s="328">
        <v>0</v>
      </c>
    </row>
    <row r="29" spans="1:14">
      <c r="A29" s="599"/>
      <c r="B29" s="612" t="s">
        <v>455</v>
      </c>
      <c r="C29" s="603"/>
      <c r="D29" s="483">
        <v>1168955076.9638999</v>
      </c>
      <c r="E29" s="339">
        <f>SUM(E22:E28)</f>
        <v>413090134.33000004</v>
      </c>
      <c r="F29" s="339">
        <f>SUM(F22:F28)</f>
        <v>-17165470.190000001</v>
      </c>
      <c r="G29" s="306">
        <f>SUM(G22:G28)</f>
        <v>430255604.51999998</v>
      </c>
      <c r="J29" s="453">
        <f>6+3+6+2+7</f>
        <v>24</v>
      </c>
      <c r="L29" s="513">
        <v>413090134.28000003</v>
      </c>
      <c r="M29" s="513">
        <v>-17165470.240000002</v>
      </c>
      <c r="N29" s="513">
        <v>430255604.51999998</v>
      </c>
    </row>
    <row r="30" spans="1:14">
      <c r="A30" s="599"/>
      <c r="B30" s="546"/>
      <c r="C30" s="603"/>
      <c r="D30" s="485"/>
      <c r="E30" s="338"/>
      <c r="F30" s="338"/>
      <c r="G30" s="327"/>
    </row>
    <row r="31" spans="1:14">
      <c r="A31" s="599"/>
      <c r="B31" s="615" t="s">
        <v>456</v>
      </c>
      <c r="C31" s="603"/>
      <c r="D31" s="483">
        <v>5619151783.4308472</v>
      </c>
      <c r="E31" s="339">
        <f>E29+E19</f>
        <v>5346126991.0905838</v>
      </c>
      <c r="F31" s="339">
        <f>F29+F19</f>
        <v>-149694462.8394154</v>
      </c>
      <c r="G31" s="306">
        <f>G29+G19</f>
        <v>5495821453.9300003</v>
      </c>
    </row>
    <row r="32" spans="1:14">
      <c r="A32" s="599"/>
      <c r="B32" s="603"/>
      <c r="C32" s="603"/>
      <c r="D32" s="482"/>
      <c r="E32" s="329"/>
      <c r="F32" s="329"/>
      <c r="G32" s="305"/>
    </row>
    <row r="33" spans="1:10">
      <c r="A33" s="599"/>
      <c r="B33" s="529" t="s">
        <v>96</v>
      </c>
      <c r="C33" s="603"/>
      <c r="D33" s="482"/>
      <c r="E33" s="329"/>
      <c r="F33" s="329"/>
      <c r="G33" s="305"/>
    </row>
    <row r="34" spans="1:10">
      <c r="A34" s="599"/>
      <c r="B34" s="608" t="s">
        <v>105</v>
      </c>
      <c r="C34" s="603"/>
      <c r="D34" s="482"/>
      <c r="E34" s="329"/>
      <c r="F34" s="329"/>
      <c r="G34" s="776"/>
    </row>
    <row r="35" spans="1:10">
      <c r="A35" s="599"/>
      <c r="B35" s="616" t="s">
        <v>225</v>
      </c>
      <c r="C35" s="604"/>
      <c r="D35" s="487">
        <v>854082000</v>
      </c>
      <c r="E35" s="654">
        <f>SUM(F35:G35)</f>
        <v>854082000</v>
      </c>
      <c r="F35" s="654">
        <v>0</v>
      </c>
      <c r="G35" s="777">
        <v>854082000</v>
      </c>
    </row>
    <row r="36" spans="1:10">
      <c r="A36" s="599"/>
      <c r="B36" s="611" t="s">
        <v>228</v>
      </c>
      <c r="C36" s="602"/>
      <c r="D36" s="479">
        <v>2885519399.0819049</v>
      </c>
      <c r="E36" s="654">
        <f>+'2SFP'!E32</f>
        <v>2949153947.2900004</v>
      </c>
      <c r="F36" s="652">
        <f>G36-E36</f>
        <v>421109399.14999962</v>
      </c>
      <c r="G36" s="328">
        <v>3370263346.4400001</v>
      </c>
    </row>
    <row r="37" spans="1:10">
      <c r="A37" s="599"/>
      <c r="B37" s="612" t="s">
        <v>457</v>
      </c>
      <c r="C37" s="546"/>
      <c r="D37" s="483">
        <v>3739601399.0819049</v>
      </c>
      <c r="E37" s="339">
        <f>SUM(E35:E36)</f>
        <v>3803235947.2900004</v>
      </c>
      <c r="F37" s="339">
        <f>SUM(F35:F36)</f>
        <v>421109399.14999962</v>
      </c>
      <c r="G37" s="306">
        <f>SUM(G35:G36)</f>
        <v>4224345346.4400001</v>
      </c>
    </row>
    <row r="38" spans="1:10">
      <c r="A38" s="599"/>
      <c r="B38" s="617"/>
      <c r="C38" s="546"/>
      <c r="D38" s="485"/>
      <c r="E38" s="338"/>
      <c r="F38" s="338"/>
      <c r="G38" s="305"/>
    </row>
    <row r="39" spans="1:10">
      <c r="A39" s="599"/>
      <c r="B39" s="611" t="s">
        <v>1307</v>
      </c>
      <c r="C39" s="602" t="s">
        <v>1358</v>
      </c>
      <c r="D39" s="485"/>
      <c r="E39" s="329">
        <f>+'2SFP'!E35</f>
        <v>87633713.719999999</v>
      </c>
      <c r="F39" s="329">
        <f>E39-G39</f>
        <v>-532443.01999999583</v>
      </c>
      <c r="G39" s="305">
        <v>88166156.739999995</v>
      </c>
      <c r="I39" s="222">
        <f>8+7</f>
        <v>15</v>
      </c>
    </row>
    <row r="40" spans="1:10">
      <c r="A40" s="599"/>
      <c r="B40" s="614" t="s">
        <v>1308</v>
      </c>
      <c r="C40" s="603"/>
      <c r="D40" s="482"/>
      <c r="E40" s="329"/>
      <c r="F40" s="329"/>
      <c r="G40" s="776"/>
    </row>
    <row r="41" spans="1:10">
      <c r="A41" s="599"/>
      <c r="B41" s="608" t="s">
        <v>343</v>
      </c>
      <c r="C41" s="603"/>
      <c r="D41" s="482"/>
      <c r="E41" s="329"/>
      <c r="F41" s="329"/>
      <c r="G41" s="776"/>
    </row>
    <row r="42" spans="1:10">
      <c r="A42" s="599"/>
      <c r="B42" s="611" t="s">
        <v>1309</v>
      </c>
      <c r="C42" s="602"/>
      <c r="D42" s="482">
        <v>602627143.24000001</v>
      </c>
      <c r="E42" s="329">
        <f>+'2SFP'!E40</f>
        <v>602627143.24000001</v>
      </c>
      <c r="F42" s="329">
        <v>0</v>
      </c>
      <c r="G42" s="305">
        <v>648615398.00999999</v>
      </c>
      <c r="J42" s="453">
        <f>8+5+6</f>
        <v>19</v>
      </c>
    </row>
    <row r="43" spans="1:10">
      <c r="A43" s="599"/>
      <c r="B43" s="611" t="s">
        <v>1310</v>
      </c>
      <c r="C43" s="602"/>
      <c r="D43" s="482">
        <v>0</v>
      </c>
      <c r="E43" s="329">
        <f>+'2SFP'!E41</f>
        <v>155400000</v>
      </c>
      <c r="F43" s="329">
        <v>0</v>
      </c>
      <c r="G43" s="305">
        <v>0</v>
      </c>
    </row>
    <row r="44" spans="1:10">
      <c r="A44" s="599"/>
      <c r="B44" s="611" t="s">
        <v>1311</v>
      </c>
      <c r="C44" s="602" t="s">
        <v>1301</v>
      </c>
      <c r="D44" s="482">
        <v>194250000</v>
      </c>
      <c r="E44" s="329">
        <f>+'2SFP'!E42</f>
        <v>0</v>
      </c>
      <c r="F44" s="329">
        <f>194250000</f>
        <v>194250000</v>
      </c>
      <c r="G44" s="776">
        <v>0</v>
      </c>
    </row>
    <row r="45" spans="1:10">
      <c r="A45" s="599"/>
      <c r="B45" s="611" t="s">
        <v>229</v>
      </c>
      <c r="C45" s="602"/>
      <c r="D45" s="482">
        <v>40829210.400000006</v>
      </c>
      <c r="E45" s="329">
        <f>+'2SFP'!E43</f>
        <v>57164638.400000006</v>
      </c>
      <c r="F45" s="329">
        <v>0</v>
      </c>
      <c r="G45" s="305">
        <v>67340966.400000006</v>
      </c>
    </row>
    <row r="46" spans="1:10">
      <c r="A46" s="599"/>
      <c r="B46" s="612" t="s">
        <v>458</v>
      </c>
      <c r="C46" s="546"/>
      <c r="D46" s="488">
        <v>904483723.03999996</v>
      </c>
      <c r="E46" s="543">
        <f>SUM(E42:E45)</f>
        <v>815191781.63999999</v>
      </c>
      <c r="F46" s="543">
        <f>SUM(F42:F45)</f>
        <v>194250000</v>
      </c>
      <c r="G46" s="306">
        <f>SUM(G42:G45)</f>
        <v>715956364.40999997</v>
      </c>
    </row>
    <row r="47" spans="1:10">
      <c r="A47" s="599"/>
      <c r="B47" s="613"/>
      <c r="C47" s="546"/>
      <c r="D47" s="488"/>
      <c r="E47" s="543"/>
      <c r="F47" s="543"/>
      <c r="G47" s="778"/>
    </row>
    <row r="48" spans="1:10">
      <c r="A48" s="599"/>
      <c r="B48" s="614" t="s">
        <v>1312</v>
      </c>
      <c r="C48" s="603"/>
      <c r="D48" s="482"/>
      <c r="E48" s="329"/>
      <c r="F48" s="329"/>
      <c r="G48" s="776"/>
    </row>
    <row r="49" spans="1:10">
      <c r="A49" s="599"/>
      <c r="B49" s="611" t="s">
        <v>1313</v>
      </c>
      <c r="C49" s="602" t="s">
        <v>1370</v>
      </c>
      <c r="D49" s="479">
        <v>163359081.71000001</v>
      </c>
      <c r="E49" s="329">
        <f>+'2SFP'!E48</f>
        <v>171166001.31999999</v>
      </c>
      <c r="F49" s="652">
        <f>E49-G49</f>
        <v>76156264.609999999</v>
      </c>
      <c r="G49" s="328">
        <v>95009736.709999993</v>
      </c>
    </row>
    <row r="50" spans="1:10">
      <c r="A50" s="599"/>
      <c r="B50" s="611" t="s">
        <v>243</v>
      </c>
      <c r="C50" s="602" t="s">
        <v>1371</v>
      </c>
      <c r="D50" s="479">
        <v>241749546.42909047</v>
      </c>
      <c r="E50" s="329">
        <f>+'2SFP'!E49</f>
        <v>96526009.099999994</v>
      </c>
      <c r="F50" s="652">
        <f>E50-G50</f>
        <v>23375684.059999987</v>
      </c>
      <c r="G50" s="328">
        <v>73150325.040000007</v>
      </c>
    </row>
    <row r="51" spans="1:10">
      <c r="A51" s="599"/>
      <c r="B51" s="611" t="s">
        <v>231</v>
      </c>
      <c r="C51" s="602" t="s">
        <v>1358</v>
      </c>
      <c r="D51" s="479">
        <v>475758700.34485161</v>
      </c>
      <c r="E51" s="329">
        <f>+'2SFP'!E50</f>
        <v>236623130.08000001</v>
      </c>
      <c r="F51" s="652">
        <f t="shared" ref="F51" si="3">E51-G51</f>
        <v>17066078.790000021</v>
      </c>
      <c r="G51" s="328">
        <v>219557051.28999999</v>
      </c>
    </row>
    <row r="52" spans="1:10">
      <c r="A52" s="599"/>
      <c r="B52" s="611" t="s">
        <v>230</v>
      </c>
      <c r="C52" s="602" t="s">
        <v>1359</v>
      </c>
      <c r="D52" s="482"/>
      <c r="E52" s="329">
        <f>+'2SFP'!E51</f>
        <v>270177894.37</v>
      </c>
      <c r="F52" s="329">
        <f>E52-G52</f>
        <v>190541421.38</v>
      </c>
      <c r="G52" s="776">
        <v>79636472.989999995</v>
      </c>
    </row>
    <row r="53" spans="1:10">
      <c r="A53" s="599"/>
      <c r="B53" s="612" t="s">
        <v>459</v>
      </c>
      <c r="C53" s="603"/>
      <c r="D53" s="488">
        <v>975066660.93394208</v>
      </c>
      <c r="E53" s="543">
        <f>SUM(E49:E52)</f>
        <v>774493034.87</v>
      </c>
      <c r="F53" s="543">
        <f>SUM(F49:F52)</f>
        <v>307139448.84000003</v>
      </c>
      <c r="G53" s="326">
        <f>SUM(G49:G52)</f>
        <v>467353586.02999997</v>
      </c>
      <c r="I53" s="222">
        <f>7+5+1+3</f>
        <v>16</v>
      </c>
      <c r="J53" s="453">
        <f>9+6-7-3</f>
        <v>5</v>
      </c>
    </row>
    <row r="54" spans="1:10">
      <c r="A54" s="599"/>
      <c r="B54" s="618"/>
      <c r="C54" s="603"/>
      <c r="D54" s="488"/>
      <c r="E54" s="543"/>
      <c r="F54" s="543"/>
      <c r="G54" s="326"/>
    </row>
    <row r="55" spans="1:10">
      <c r="A55" s="599"/>
      <c r="B55" s="612" t="s">
        <v>1314</v>
      </c>
      <c r="C55" s="546"/>
      <c r="D55" s="488">
        <v>1879550383.973942</v>
      </c>
      <c r="E55" s="543">
        <f>SUM(E53+E46)+E39</f>
        <v>1677318530.23</v>
      </c>
      <c r="F55" s="543">
        <f>SUM(F53+F46)+F39</f>
        <v>500857005.82000005</v>
      </c>
      <c r="G55" s="306">
        <f>G46+G53+G39</f>
        <v>1271476107.1800001</v>
      </c>
    </row>
    <row r="56" spans="1:10">
      <c r="A56" s="599"/>
      <c r="B56" s="534"/>
      <c r="C56" s="546"/>
      <c r="D56" s="488"/>
      <c r="E56" s="543"/>
      <c r="F56" s="543"/>
      <c r="G56" s="326"/>
    </row>
    <row r="57" spans="1:10">
      <c r="A57" s="600"/>
      <c r="B57" s="619" t="s">
        <v>460</v>
      </c>
      <c r="C57" s="605"/>
      <c r="D57" s="483">
        <v>5619151783.0558472</v>
      </c>
      <c r="E57" s="339">
        <f>E55+E37</f>
        <v>5480554477.5200005</v>
      </c>
      <c r="F57" s="339">
        <f>F55-F37</f>
        <v>79747606.670000434</v>
      </c>
      <c r="G57" s="306">
        <f>G55+G37</f>
        <v>5495821453.6199999</v>
      </c>
    </row>
    <row r="58" spans="1:10">
      <c r="A58" s="600"/>
      <c r="B58" s="779"/>
      <c r="C58" s="779"/>
      <c r="D58" s="779"/>
      <c r="E58" s="780"/>
      <c r="F58" s="780"/>
      <c r="G58" s="781"/>
    </row>
    <row r="59" spans="1:10">
      <c r="A59" s="770"/>
      <c r="B59" s="782"/>
      <c r="C59" s="782"/>
      <c r="D59" s="782"/>
      <c r="E59" s="783"/>
      <c r="F59" s="783"/>
      <c r="G59" s="784"/>
    </row>
    <row r="60" spans="1:10">
      <c r="A60" s="211" t="s">
        <v>1423</v>
      </c>
      <c r="B60" s="216" t="s">
        <v>1425</v>
      </c>
      <c r="C60" s="453"/>
      <c r="D60" s="453"/>
      <c r="E60" s="342"/>
      <c r="F60" s="342"/>
      <c r="G60" s="725"/>
    </row>
    <row r="61" spans="1:10">
      <c r="A61" s="211"/>
      <c r="B61" s="216"/>
      <c r="C61" s="453"/>
      <c r="D61" s="453"/>
      <c r="E61" s="342"/>
      <c r="F61" s="342"/>
      <c r="G61" s="773" t="s">
        <v>64</v>
      </c>
    </row>
    <row r="62" spans="1:10">
      <c r="A62" s="1560" t="s">
        <v>21</v>
      </c>
      <c r="B62" s="1560"/>
      <c r="C62" s="1555" t="s">
        <v>1315</v>
      </c>
      <c r="D62" s="1557" t="s">
        <v>1316</v>
      </c>
      <c r="E62" s="1559" t="s">
        <v>1317</v>
      </c>
      <c r="F62" s="1559"/>
      <c r="G62" s="1559"/>
      <c r="H62" s="463"/>
    </row>
    <row r="63" spans="1:10" ht="33">
      <c r="A63" s="1560"/>
      <c r="B63" s="1560"/>
      <c r="C63" s="1556"/>
      <c r="D63" s="1558"/>
      <c r="E63" s="208" t="s">
        <v>1318</v>
      </c>
      <c r="F63" s="208" t="s">
        <v>1319</v>
      </c>
      <c r="G63" s="208" t="s">
        <v>1320</v>
      </c>
      <c r="H63" s="464" t="s">
        <v>1321</v>
      </c>
    </row>
    <row r="64" spans="1:10">
      <c r="A64" s="599"/>
      <c r="B64" s="533" t="s">
        <v>1088</v>
      </c>
      <c r="C64" s="491"/>
      <c r="D64" s="472"/>
      <c r="E64" s="215"/>
      <c r="F64" s="655"/>
      <c r="G64" s="785"/>
      <c r="H64" s="465"/>
    </row>
    <row r="65" spans="1:9">
      <c r="A65" s="599"/>
      <c r="B65" s="542" t="s">
        <v>1090</v>
      </c>
      <c r="C65" s="491" t="s">
        <v>1360</v>
      </c>
      <c r="D65" s="492">
        <v>3456823404.3795891</v>
      </c>
      <c r="E65" s="656">
        <f>SUM(F65:G65)</f>
        <v>3039804838.4999995</v>
      </c>
      <c r="F65" s="656">
        <v>15557378</v>
      </c>
      <c r="G65" s="786">
        <v>3024247460.4999995</v>
      </c>
      <c r="H65" s="466" t="e">
        <f>'[4]10N_22-33'!E42+'[4]10N_22-33'!E54</f>
        <v>#REF!</v>
      </c>
      <c r="I65" s="462"/>
    </row>
    <row r="66" spans="1:9">
      <c r="A66" s="599"/>
      <c r="B66" s="542" t="s">
        <v>1451</v>
      </c>
      <c r="C66" s="491" t="s">
        <v>1361</v>
      </c>
      <c r="D66" s="492">
        <v>116914504.89636236</v>
      </c>
      <c r="E66" s="656">
        <v>135248243</v>
      </c>
      <c r="F66" s="656">
        <v>-14771020</v>
      </c>
      <c r="G66" s="786">
        <v>150019263.11000001</v>
      </c>
      <c r="H66" s="466" t="s">
        <v>1322</v>
      </c>
      <c r="I66" s="462"/>
    </row>
    <row r="67" spans="1:9">
      <c r="A67" s="599"/>
      <c r="B67" s="591" t="s">
        <v>1323</v>
      </c>
      <c r="C67" s="588" t="s">
        <v>1361</v>
      </c>
      <c r="D67" s="493"/>
      <c r="E67" s="656">
        <v>0</v>
      </c>
      <c r="F67" s="656">
        <f>-19819798</f>
        <v>-19819798</v>
      </c>
      <c r="G67" s="786">
        <v>19819798.859999999</v>
      </c>
      <c r="H67" s="466" t="s">
        <v>1322</v>
      </c>
      <c r="I67" s="462"/>
    </row>
    <row r="68" spans="1:9">
      <c r="A68" s="599"/>
      <c r="B68" s="592"/>
      <c r="C68" s="491"/>
      <c r="D68" s="494">
        <v>3573737909.2759514</v>
      </c>
      <c r="E68" s="657">
        <f>SUM(E65:E67)</f>
        <v>3175053081.4999995</v>
      </c>
      <c r="F68" s="657">
        <f>SUM(F65:F67)</f>
        <v>-19033440</v>
      </c>
      <c r="G68" s="787">
        <f>SUM(G65:G67)</f>
        <v>3194086522.4699998</v>
      </c>
      <c r="H68" s="467" t="e">
        <f>SUM(H65:H67)</f>
        <v>#REF!</v>
      </c>
      <c r="I68" s="462"/>
    </row>
    <row r="69" spans="1:9">
      <c r="A69" s="599"/>
      <c r="B69" s="532"/>
      <c r="C69" s="491"/>
      <c r="D69" s="495"/>
      <c r="E69" s="658"/>
      <c r="F69" s="658"/>
      <c r="G69" s="788"/>
      <c r="H69" s="468"/>
      <c r="I69" s="462"/>
    </row>
    <row r="70" spans="1:9">
      <c r="A70" s="599"/>
      <c r="B70" s="533" t="s">
        <v>1450</v>
      </c>
      <c r="C70" s="491"/>
      <c r="D70" s="492"/>
      <c r="E70" s="656"/>
      <c r="F70" s="656"/>
      <c r="G70" s="786"/>
      <c r="H70" s="469"/>
      <c r="I70" s="462"/>
    </row>
    <row r="71" spans="1:9">
      <c r="A71" s="599"/>
      <c r="B71" s="542" t="s">
        <v>1095</v>
      </c>
      <c r="C71" s="491" t="s">
        <v>1362</v>
      </c>
      <c r="D71" s="492">
        <v>563149712.08999979</v>
      </c>
      <c r="E71" s="656">
        <f t="shared" ref="E71:E76" si="4">SUM(F71:G71)</f>
        <v>495438293</v>
      </c>
      <c r="F71" s="656">
        <f>119906010+8024683+193866488+173641112</f>
        <v>495438293</v>
      </c>
      <c r="G71" s="786">
        <v>0</v>
      </c>
      <c r="H71" s="466" t="s">
        <v>1324</v>
      </c>
      <c r="I71" s="462"/>
    </row>
    <row r="72" spans="1:9">
      <c r="A72" s="599"/>
      <c r="B72" s="542" t="s">
        <v>1099</v>
      </c>
      <c r="C72" s="491" t="s">
        <v>1331</v>
      </c>
      <c r="D72" s="492">
        <v>13476389.920000285</v>
      </c>
      <c r="E72" s="656">
        <f t="shared" si="4"/>
        <v>44969988.469999999</v>
      </c>
      <c r="F72" s="656">
        <f>44969988.47</f>
        <v>44969988.469999999</v>
      </c>
      <c r="G72" s="786">
        <v>0</v>
      </c>
      <c r="H72" s="466" t="s">
        <v>1325</v>
      </c>
      <c r="I72" s="462"/>
    </row>
    <row r="73" spans="1:9">
      <c r="A73" s="599"/>
      <c r="B73" s="542" t="s">
        <v>1096</v>
      </c>
      <c r="C73" s="491" t="s">
        <v>1326</v>
      </c>
      <c r="D73" s="492">
        <v>325889675.2697795</v>
      </c>
      <c r="E73" s="656">
        <f t="shared" si="4"/>
        <v>316625054.13</v>
      </c>
      <c r="F73" s="656">
        <f>-[3]Regrouping!F10-[3]Regrouping!F13-[3]AE!F54+[3]AE!E41-[3]AE!E38</f>
        <v>-11803020.549999982</v>
      </c>
      <c r="G73" s="786">
        <v>328428074.68000001</v>
      </c>
      <c r="H73" s="466" t="s">
        <v>1327</v>
      </c>
      <c r="I73" s="462"/>
    </row>
    <row r="74" spans="1:9">
      <c r="A74" s="599"/>
      <c r="B74" s="542" t="s">
        <v>1097</v>
      </c>
      <c r="C74" s="491" t="s">
        <v>1329</v>
      </c>
      <c r="D74" s="492">
        <v>182487416.28</v>
      </c>
      <c r="E74" s="656">
        <f t="shared" si="4"/>
        <v>166818458.46000001</v>
      </c>
      <c r="F74" s="656">
        <v>166818458.46000001</v>
      </c>
      <c r="G74" s="786">
        <v>0</v>
      </c>
      <c r="I74" s="462"/>
    </row>
    <row r="75" spans="1:9">
      <c r="A75" s="599"/>
      <c r="B75" s="542" t="s">
        <v>1328</v>
      </c>
      <c r="C75" s="491" t="s">
        <v>1329</v>
      </c>
      <c r="D75" s="492"/>
      <c r="E75" s="656">
        <f t="shared" si="4"/>
        <v>0</v>
      </c>
      <c r="F75" s="656">
        <f>-166818458.46-140194233-37324189-[3]AE!F113-119906010-[3]Regrouping!F39-27.18</f>
        <v>-516284420.59000003</v>
      </c>
      <c r="G75" s="786">
        <v>516284420.58999991</v>
      </c>
      <c r="H75" s="466"/>
      <c r="I75" s="462"/>
    </row>
    <row r="76" spans="1:9">
      <c r="A76" s="599"/>
      <c r="B76" s="542" t="s">
        <v>1330</v>
      </c>
      <c r="C76" s="491" t="s">
        <v>1331</v>
      </c>
      <c r="D76" s="492" t="s">
        <v>93</v>
      </c>
      <c r="E76" s="656">
        <f t="shared" si="4"/>
        <v>0</v>
      </c>
      <c r="F76" s="656">
        <f>-44969988.47-8024683-6909943.91</f>
        <v>-59904615.379999995</v>
      </c>
      <c r="G76" s="786">
        <v>59904615.380000003</v>
      </c>
      <c r="H76" s="466" t="s">
        <v>1332</v>
      </c>
      <c r="I76" s="462"/>
    </row>
    <row r="77" spans="1:9">
      <c r="A77" s="599"/>
      <c r="B77" s="542" t="s">
        <v>1333</v>
      </c>
      <c r="C77" s="491" t="s">
        <v>1334</v>
      </c>
      <c r="D77" s="492"/>
      <c r="E77" s="656">
        <v>0</v>
      </c>
      <c r="F77" s="656">
        <f>-173641112-19541150</f>
        <v>-193182262</v>
      </c>
      <c r="G77" s="786">
        <v>193182263.19000003</v>
      </c>
      <c r="H77" s="466" t="s">
        <v>1335</v>
      </c>
      <c r="I77" s="462"/>
    </row>
    <row r="78" spans="1:9">
      <c r="A78" s="599"/>
      <c r="B78" s="542" t="s">
        <v>1336</v>
      </c>
      <c r="C78" s="491" t="s">
        <v>1337</v>
      </c>
      <c r="D78" s="492"/>
      <c r="E78" s="656">
        <f>SUM(F78:G78)</f>
        <v>0</v>
      </c>
      <c r="F78" s="656">
        <f>-193866488.52</f>
        <v>-193866488.52000001</v>
      </c>
      <c r="G78" s="786">
        <v>193866488.51999998</v>
      </c>
      <c r="H78" s="466" t="s">
        <v>1338</v>
      </c>
      <c r="I78" s="462"/>
    </row>
    <row r="79" spans="1:9">
      <c r="A79" s="599"/>
      <c r="B79" s="542" t="s">
        <v>1100</v>
      </c>
      <c r="C79" s="491"/>
      <c r="D79" s="492">
        <v>54242697.980000004</v>
      </c>
      <c r="E79" s="656">
        <f>SUM(F79:G79)</f>
        <v>38604314</v>
      </c>
      <c r="F79" s="656">
        <f>37324189+[3]Regrouping!E9+[3]Regrouping!E12</f>
        <v>38604314</v>
      </c>
      <c r="G79" s="786">
        <v>0</v>
      </c>
      <c r="H79" s="466" t="s">
        <v>1339</v>
      </c>
      <c r="I79" s="462"/>
    </row>
    <row r="80" spans="1:9">
      <c r="A80" s="599"/>
      <c r="B80" s="593" t="s">
        <v>1340</v>
      </c>
      <c r="C80" s="491" t="s">
        <v>1361</v>
      </c>
      <c r="D80" s="492"/>
      <c r="E80" s="656">
        <v>0</v>
      </c>
      <c r="F80" s="656">
        <v>-18138661</v>
      </c>
      <c r="G80" s="786">
        <v>18138661.109999999</v>
      </c>
      <c r="H80" s="466" t="s">
        <v>1341</v>
      </c>
      <c r="I80" s="462"/>
    </row>
    <row r="81" spans="1:9">
      <c r="A81" s="599"/>
      <c r="B81" s="542" t="s">
        <v>1098</v>
      </c>
      <c r="C81" s="491" t="s">
        <v>1363</v>
      </c>
      <c r="D81" s="492">
        <v>116230118.52000001</v>
      </c>
      <c r="E81" s="656">
        <v>165750573.25</v>
      </c>
      <c r="F81" s="656">
        <f>E81</f>
        <v>165750573.25</v>
      </c>
      <c r="G81" s="786">
        <v>0</v>
      </c>
      <c r="H81" s="466" t="s">
        <v>1342</v>
      </c>
      <c r="I81" s="462"/>
    </row>
    <row r="82" spans="1:9">
      <c r="A82" s="599"/>
      <c r="B82" s="542" t="s">
        <v>1101</v>
      </c>
      <c r="C82" s="491"/>
      <c r="D82" s="492">
        <v>952836073.99000001</v>
      </c>
      <c r="E82" s="659">
        <f>SUM(F82:G82)</f>
        <v>719666260</v>
      </c>
      <c r="F82" s="656">
        <f>[3]Regrouping!F39</f>
        <v>51800000</v>
      </c>
      <c r="G82" s="786">
        <v>667866260</v>
      </c>
      <c r="H82" s="466"/>
      <c r="I82" s="462"/>
    </row>
    <row r="83" spans="1:9">
      <c r="A83" s="599"/>
      <c r="B83" s="555"/>
      <c r="C83" s="490"/>
      <c r="D83" s="494">
        <v>1255476010.0597796</v>
      </c>
      <c r="E83" s="660">
        <f>SUM(E71:E82)</f>
        <v>1947872941.3099999</v>
      </c>
      <c r="F83" s="657">
        <f>SUM(F71:F81)</f>
        <v>-81597840.859999925</v>
      </c>
      <c r="G83" s="787">
        <f>SUM(G71:G81)</f>
        <v>1309804523.4699998</v>
      </c>
      <c r="H83" s="467">
        <f>SUM(H71:H81)</f>
        <v>0</v>
      </c>
      <c r="I83" s="462"/>
    </row>
    <row r="84" spans="1:9">
      <c r="A84" s="599"/>
      <c r="B84" s="555"/>
      <c r="C84" s="491"/>
      <c r="D84" s="495"/>
      <c r="E84" s="661"/>
      <c r="F84" s="658"/>
      <c r="G84" s="788"/>
      <c r="H84" s="469"/>
      <c r="I84" s="462"/>
    </row>
    <row r="85" spans="1:9">
      <c r="A85" s="599"/>
      <c r="B85" s="594" t="s">
        <v>463</v>
      </c>
      <c r="C85" s="490"/>
      <c r="D85" s="494" t="e">
        <f>#REF!-#REF!</f>
        <v>#REF!</v>
      </c>
      <c r="E85" s="660">
        <f>E83</f>
        <v>1947872941.3099999</v>
      </c>
      <c r="F85" s="657">
        <f>F83</f>
        <v>-81597840.859999925</v>
      </c>
      <c r="G85" s="787">
        <f>G83</f>
        <v>1309804523.4699998</v>
      </c>
      <c r="H85" s="467" t="e">
        <f>#REF!-#REF!</f>
        <v>#REF!</v>
      </c>
      <c r="I85" s="462"/>
    </row>
    <row r="86" spans="1:9">
      <c r="A86" s="599"/>
      <c r="B86" s="594" t="s">
        <v>522</v>
      </c>
      <c r="C86" s="491"/>
      <c r="D86" s="492"/>
      <c r="E86" s="656"/>
      <c r="F86" s="656"/>
      <c r="G86" s="786"/>
      <c r="H86" s="466"/>
      <c r="I86" s="462"/>
    </row>
    <row r="87" spans="1:9">
      <c r="A87" s="599"/>
      <c r="B87" s="542" t="s">
        <v>1103</v>
      </c>
      <c r="C87" s="491"/>
      <c r="D87" s="492">
        <v>10737614.48</v>
      </c>
      <c r="E87" s="656">
        <f>SUM(F87:G87)</f>
        <v>0</v>
      </c>
      <c r="F87" s="656"/>
      <c r="G87" s="786">
        <v>0</v>
      </c>
      <c r="H87" s="466"/>
      <c r="I87" s="462"/>
    </row>
    <row r="88" spans="1:9">
      <c r="A88" s="599"/>
      <c r="B88" s="542" t="s">
        <v>524</v>
      </c>
      <c r="C88" s="589" t="s">
        <v>93</v>
      </c>
      <c r="D88" s="492">
        <v>444274878.84485161</v>
      </c>
      <c r="E88" s="656">
        <f>SUM(F88:G88)</f>
        <v>403952707.54000002</v>
      </c>
      <c r="F88" s="656">
        <v>0</v>
      </c>
      <c r="G88" s="786">
        <v>403952707.54000002</v>
      </c>
      <c r="H88" s="466"/>
      <c r="I88" s="462"/>
    </row>
    <row r="89" spans="1:9">
      <c r="A89" s="599"/>
      <c r="B89" s="542" t="s">
        <v>523</v>
      </c>
      <c r="C89" s="491"/>
      <c r="D89" s="496"/>
      <c r="E89" s="656">
        <f>SUM(F89:G89)</f>
        <v>-16443370.33</v>
      </c>
      <c r="F89" s="662">
        <v>0</v>
      </c>
      <c r="G89" s="789">
        <v>-16443370.33</v>
      </c>
      <c r="H89" s="470"/>
      <c r="I89" s="462"/>
    </row>
    <row r="90" spans="1:9">
      <c r="A90" s="599"/>
      <c r="B90" s="533" t="s">
        <v>468</v>
      </c>
      <c r="C90" s="491"/>
      <c r="D90" s="497">
        <v>455012493.32485163</v>
      </c>
      <c r="E90" s="663">
        <f>SUM(E88:E89)</f>
        <v>387509337.21000004</v>
      </c>
      <c r="F90" s="663">
        <f>SUM(F88:F89)</f>
        <v>0</v>
      </c>
      <c r="G90" s="325">
        <f>SUM(G88:G89)</f>
        <v>387509337.21000004</v>
      </c>
      <c r="H90" s="467">
        <f>SUM(H87:H89)</f>
        <v>0</v>
      </c>
      <c r="I90" s="462"/>
    </row>
    <row r="91" spans="1:9">
      <c r="A91" s="599"/>
      <c r="B91" s="595"/>
      <c r="C91" s="491"/>
      <c r="D91" s="498"/>
      <c r="E91" s="295"/>
      <c r="F91" s="295"/>
      <c r="G91" s="275"/>
      <c r="H91" s="466"/>
      <c r="I91" s="462"/>
    </row>
    <row r="92" spans="1:9">
      <c r="A92" s="599"/>
      <c r="B92" s="594" t="s">
        <v>464</v>
      </c>
      <c r="C92" s="555"/>
      <c r="D92" s="497">
        <v>910413331.9013201</v>
      </c>
      <c r="E92" s="663">
        <f>E85-E90</f>
        <v>1560363604.0999999</v>
      </c>
      <c r="F92" s="663">
        <f>F85-F90</f>
        <v>-81597840.859999925</v>
      </c>
      <c r="G92" s="325">
        <f>G85-G90</f>
        <v>922295186.25999975</v>
      </c>
      <c r="H92" s="467" t="e">
        <f>H85-H90</f>
        <v>#REF!</v>
      </c>
      <c r="I92" s="462"/>
    </row>
    <row r="93" spans="1:9">
      <c r="A93" s="599"/>
      <c r="B93" s="596"/>
      <c r="C93" s="555"/>
      <c r="D93" s="498"/>
      <c r="E93" s="295"/>
      <c r="F93" s="295"/>
      <c r="G93" s="275"/>
      <c r="H93" s="466"/>
      <c r="I93" s="462"/>
    </row>
    <row r="94" spans="1:9">
      <c r="A94" s="599"/>
      <c r="B94" s="597" t="s">
        <v>465</v>
      </c>
      <c r="C94" s="491"/>
      <c r="D94" s="492"/>
      <c r="E94" s="656"/>
      <c r="F94" s="656"/>
      <c r="G94" s="786"/>
      <c r="H94" s="466"/>
      <c r="I94" s="462"/>
    </row>
    <row r="95" spans="1:9">
      <c r="A95" s="599"/>
      <c r="B95" s="598" t="s">
        <v>77</v>
      </c>
      <c r="C95" s="491"/>
      <c r="D95" s="492">
        <v>20624316</v>
      </c>
      <c r="E95" s="656">
        <f>SUM(F95:G95)</f>
        <v>46380</v>
      </c>
      <c r="F95" s="656">
        <v>0</v>
      </c>
      <c r="G95" s="786">
        <v>46380</v>
      </c>
      <c r="H95" s="466" t="e">
        <f>'[4]10N_22-33'!E257</f>
        <v>#REF!</v>
      </c>
      <c r="I95" s="462"/>
    </row>
    <row r="96" spans="1:9" ht="30">
      <c r="A96" s="599"/>
      <c r="B96" s="598" t="s">
        <v>569</v>
      </c>
      <c r="C96" s="491"/>
      <c r="D96" s="492"/>
      <c r="E96" s="656">
        <f>SUM(F96:G96)</f>
        <v>0</v>
      </c>
      <c r="F96" s="656">
        <v>0</v>
      </c>
      <c r="G96" s="786"/>
      <c r="H96" s="466"/>
      <c r="I96" s="462"/>
    </row>
    <row r="97" spans="1:9">
      <c r="A97" s="599"/>
      <c r="B97" s="598" t="s">
        <v>525</v>
      </c>
      <c r="C97" s="491"/>
      <c r="D97" s="498">
        <v>20624316</v>
      </c>
      <c r="E97" s="656">
        <f>SUM(F97:G97)</f>
        <v>46380</v>
      </c>
      <c r="F97" s="295">
        <v>0</v>
      </c>
      <c r="G97" s="275">
        <v>46380</v>
      </c>
      <c r="H97" s="466" t="e">
        <f>H95-H96</f>
        <v>#REF!</v>
      </c>
      <c r="I97" s="462"/>
    </row>
    <row r="98" spans="1:9">
      <c r="A98" s="600"/>
      <c r="B98" s="601" t="s">
        <v>466</v>
      </c>
      <c r="C98" s="590"/>
      <c r="D98" s="494">
        <v>889789015.9013201</v>
      </c>
      <c r="E98" s="660">
        <f>E92-E97</f>
        <v>1560317224.0999999</v>
      </c>
      <c r="F98" s="657">
        <f>F92-F97</f>
        <v>-81597840.859999925</v>
      </c>
      <c r="G98" s="787">
        <f>G92-G97</f>
        <v>922248806.25999975</v>
      </c>
      <c r="H98" s="467" t="e">
        <f>H92-H97</f>
        <v>#REF!</v>
      </c>
      <c r="I98" s="462"/>
    </row>
    <row r="99" spans="1:9">
      <c r="A99" s="599"/>
      <c r="B99" s="453"/>
      <c r="C99" s="453"/>
      <c r="D99" s="453"/>
      <c r="E99" s="453"/>
      <c r="F99" s="453"/>
      <c r="G99" s="790"/>
    </row>
    <row r="100" spans="1:9">
      <c r="A100" s="791" t="s">
        <v>1315</v>
      </c>
      <c r="B100" s="587"/>
      <c r="C100" s="342"/>
      <c r="D100" s="342"/>
      <c r="E100" s="342"/>
      <c r="F100" s="342"/>
      <c r="G100" s="725"/>
      <c r="H100" s="222"/>
    </row>
    <row r="101" spans="1:9" s="460" customFormat="1" ht="42" customHeight="1">
      <c r="A101" s="792" t="s">
        <v>1343</v>
      </c>
      <c r="B101" s="1561" t="s">
        <v>1344</v>
      </c>
      <c r="C101" s="1561"/>
      <c r="D101" s="1561"/>
      <c r="E101" s="1561"/>
      <c r="F101" s="1561"/>
      <c r="G101" s="1562"/>
      <c r="H101" s="471"/>
      <c r="I101" s="471"/>
    </row>
    <row r="102" spans="1:9" ht="75" customHeight="1">
      <c r="A102" s="793" t="s">
        <v>1345</v>
      </c>
      <c r="B102" s="1561" t="s">
        <v>1452</v>
      </c>
      <c r="C102" s="1561"/>
      <c r="D102" s="1561"/>
      <c r="E102" s="1561"/>
      <c r="F102" s="1561"/>
      <c r="G102" s="1562"/>
      <c r="H102" s="222"/>
    </row>
    <row r="103" spans="1:9" ht="45.75" customHeight="1">
      <c r="A103" s="793" t="s">
        <v>1346</v>
      </c>
      <c r="B103" s="1550" t="s">
        <v>1347</v>
      </c>
      <c r="C103" s="1550"/>
      <c r="D103" s="1550"/>
      <c r="E103" s="1550"/>
      <c r="F103" s="1550"/>
      <c r="G103" s="1552"/>
      <c r="H103" s="222"/>
    </row>
    <row r="104" spans="1:9" ht="48" customHeight="1">
      <c r="A104" s="793" t="s">
        <v>1348</v>
      </c>
      <c r="B104" s="1550" t="s">
        <v>1349</v>
      </c>
      <c r="C104" s="1550"/>
      <c r="D104" s="1550"/>
      <c r="E104" s="1550"/>
      <c r="F104" s="1550"/>
      <c r="G104" s="1552"/>
      <c r="H104" s="222"/>
    </row>
    <row r="105" spans="1:9" ht="44.25" customHeight="1">
      <c r="A105" s="793" t="s">
        <v>1350</v>
      </c>
      <c r="B105" s="1549" t="s">
        <v>1453</v>
      </c>
      <c r="C105" s="1549"/>
      <c r="D105" s="1549"/>
      <c r="E105" s="1549"/>
      <c r="F105" s="1549"/>
      <c r="G105" s="1549"/>
      <c r="H105" s="222"/>
    </row>
    <row r="106" spans="1:9" ht="41.25" customHeight="1">
      <c r="A106" s="793" t="s">
        <v>1351</v>
      </c>
      <c r="B106" s="1550" t="s">
        <v>1352</v>
      </c>
      <c r="C106" s="1550"/>
      <c r="D106" s="1550"/>
      <c r="E106" s="1550"/>
      <c r="F106" s="1550"/>
      <c r="G106" s="1552"/>
      <c r="H106" s="222"/>
    </row>
    <row r="107" spans="1:9" ht="45.75" customHeight="1">
      <c r="A107" s="793" t="s">
        <v>1353</v>
      </c>
      <c r="B107" s="1550" t="s">
        <v>1454</v>
      </c>
      <c r="C107" s="1550"/>
      <c r="D107" s="1550"/>
      <c r="E107" s="1550"/>
      <c r="F107" s="1550"/>
      <c r="G107" s="1552"/>
      <c r="H107" s="222"/>
    </row>
    <row r="108" spans="1:9" ht="33.75" customHeight="1">
      <c r="A108" s="793" t="s">
        <v>1354</v>
      </c>
      <c r="B108" s="1550" t="s">
        <v>1355</v>
      </c>
      <c r="C108" s="1550"/>
      <c r="D108" s="1550"/>
      <c r="E108" s="1550"/>
      <c r="F108" s="1550"/>
      <c r="G108" s="1552"/>
      <c r="H108" s="222"/>
    </row>
    <row r="109" spans="1:9" ht="32.25" customHeight="1">
      <c r="A109" s="793" t="s">
        <v>1356</v>
      </c>
      <c r="B109" s="1550" t="s">
        <v>1357</v>
      </c>
      <c r="C109" s="1550"/>
      <c r="D109" s="1550"/>
      <c r="E109" s="1550"/>
      <c r="F109" s="1550"/>
      <c r="G109" s="1552"/>
      <c r="H109" s="222"/>
    </row>
    <row r="110" spans="1:9">
      <c r="A110" s="793" t="s">
        <v>1364</v>
      </c>
      <c r="B110" s="1549" t="s">
        <v>1455</v>
      </c>
      <c r="C110" s="1549"/>
      <c r="D110" s="1549"/>
      <c r="E110" s="1549"/>
      <c r="F110" s="1549"/>
      <c r="G110" s="1549"/>
    </row>
    <row r="111" spans="1:9">
      <c r="A111" s="793" t="s">
        <v>1365</v>
      </c>
      <c r="B111" s="1550" t="s">
        <v>1456</v>
      </c>
      <c r="C111" s="1550"/>
      <c r="D111" s="1550"/>
      <c r="E111" s="1550"/>
      <c r="F111" s="1550"/>
      <c r="G111" s="1552"/>
    </row>
    <row r="112" spans="1:9">
      <c r="A112" s="599" t="s">
        <v>1366</v>
      </c>
      <c r="B112" s="1550" t="s">
        <v>1457</v>
      </c>
      <c r="C112" s="1550"/>
      <c r="D112" s="1550"/>
      <c r="E112" s="1550"/>
      <c r="F112" s="1550"/>
      <c r="G112" s="1552"/>
    </row>
    <row r="113" spans="1:7">
      <c r="A113" s="599" t="s">
        <v>1367</v>
      </c>
      <c r="B113" s="1550" t="s">
        <v>1368</v>
      </c>
      <c r="C113" s="1550"/>
      <c r="D113" s="1550"/>
      <c r="E113" s="1550"/>
      <c r="F113" s="1550"/>
      <c r="G113" s="1552"/>
    </row>
    <row r="114" spans="1:7">
      <c r="A114" s="600" t="s">
        <v>1369</v>
      </c>
      <c r="B114" s="1553" t="s">
        <v>1458</v>
      </c>
      <c r="C114" s="1553"/>
      <c r="D114" s="1553"/>
      <c r="E114" s="1553"/>
      <c r="F114" s="1553"/>
      <c r="G114" s="1554"/>
    </row>
    <row r="115" spans="1:7">
      <c r="B115" s="1551"/>
      <c r="C115" s="1551"/>
      <c r="D115" s="1551"/>
      <c r="E115" s="1551"/>
      <c r="F115" s="1551"/>
      <c r="G115" s="1551"/>
    </row>
    <row r="116" spans="1:7">
      <c r="B116" s="1550"/>
      <c r="C116" s="1550"/>
      <c r="D116" s="1550"/>
      <c r="E116" s="1550"/>
      <c r="F116" s="1550"/>
      <c r="G116" s="1550"/>
    </row>
    <row r="117" spans="1:7">
      <c r="B117" s="1550"/>
      <c r="C117" s="1550"/>
      <c r="D117" s="1550"/>
      <c r="E117" s="1550"/>
      <c r="F117" s="1550"/>
      <c r="G117" s="1550"/>
    </row>
    <row r="118" spans="1:7">
      <c r="B118" s="1550"/>
      <c r="C118" s="1550"/>
      <c r="D118" s="1550"/>
      <c r="E118" s="1550"/>
      <c r="F118" s="1550"/>
      <c r="G118" s="1550"/>
    </row>
    <row r="119" spans="1:7">
      <c r="B119" s="1550"/>
      <c r="C119" s="1550"/>
      <c r="D119" s="1550"/>
      <c r="E119" s="1550"/>
      <c r="F119" s="1550"/>
      <c r="G119" s="1550"/>
    </row>
    <row r="120" spans="1:7">
      <c r="B120" s="1549"/>
      <c r="C120" s="1549"/>
      <c r="D120" s="1549"/>
      <c r="E120" s="1549"/>
      <c r="F120" s="1549"/>
      <c r="G120" s="1549"/>
    </row>
    <row r="121" spans="1:7">
      <c r="B121" s="1550"/>
      <c r="C121" s="1550"/>
      <c r="D121" s="1550"/>
      <c r="E121" s="1550"/>
      <c r="F121" s="1550"/>
      <c r="G121" s="1550"/>
    </row>
    <row r="122" spans="1:7">
      <c r="B122" s="1550"/>
      <c r="C122" s="1550"/>
      <c r="D122" s="1550"/>
      <c r="E122" s="1550"/>
      <c r="F122" s="1550"/>
      <c r="G122" s="1550"/>
    </row>
    <row r="123" spans="1:7">
      <c r="B123" s="1550"/>
      <c r="C123" s="1550"/>
      <c r="D123" s="1550"/>
      <c r="E123" s="1550"/>
      <c r="F123" s="1550"/>
      <c r="G123" s="1550"/>
    </row>
    <row r="124" spans="1:7">
      <c r="B124" s="1548"/>
      <c r="C124" s="1548"/>
      <c r="D124" s="1548"/>
      <c r="E124" s="1548"/>
      <c r="F124" s="1548"/>
      <c r="G124" s="1548"/>
    </row>
    <row r="125" spans="1:7">
      <c r="B125" s="1547"/>
      <c r="C125" s="1547"/>
      <c r="D125" s="1547"/>
      <c r="E125" s="1547"/>
      <c r="F125" s="1547"/>
      <c r="G125" s="1547"/>
    </row>
    <row r="126" spans="1:7">
      <c r="B126" s="1548"/>
      <c r="C126" s="1548"/>
      <c r="D126" s="1548"/>
      <c r="E126" s="1548"/>
      <c r="F126" s="1548"/>
      <c r="G126" s="1548"/>
    </row>
    <row r="127" spans="1:7">
      <c r="B127" s="1548"/>
      <c r="C127" s="1548"/>
      <c r="D127" s="1548"/>
      <c r="E127" s="1548"/>
      <c r="F127" s="1548"/>
      <c r="G127" s="1548"/>
    </row>
    <row r="128" spans="1:7">
      <c r="B128" s="1548"/>
      <c r="C128" s="1548"/>
      <c r="D128" s="1548"/>
      <c r="E128" s="1548"/>
      <c r="F128" s="1548"/>
      <c r="G128" s="1548"/>
    </row>
    <row r="129" spans="2:7">
      <c r="B129" s="1548"/>
      <c r="C129" s="1548"/>
      <c r="D129" s="1548"/>
      <c r="E129" s="1548"/>
      <c r="F129" s="1548"/>
      <c r="G129" s="1548"/>
    </row>
    <row r="130" spans="2:7">
      <c r="B130" s="1547"/>
      <c r="C130" s="1547"/>
      <c r="D130" s="1547"/>
      <c r="E130" s="1547"/>
      <c r="F130" s="1547"/>
      <c r="G130" s="1547"/>
    </row>
    <row r="131" spans="2:7">
      <c r="B131" s="1548"/>
      <c r="C131" s="1548"/>
      <c r="D131" s="1548"/>
      <c r="E131" s="1548"/>
      <c r="F131" s="1548"/>
      <c r="G131" s="1548"/>
    </row>
    <row r="132" spans="2:7">
      <c r="B132" s="1548"/>
      <c r="C132" s="1548"/>
      <c r="D132" s="1548"/>
      <c r="E132" s="1548"/>
      <c r="F132" s="1548"/>
      <c r="G132" s="1548"/>
    </row>
    <row r="133" spans="2:7">
      <c r="B133" s="1548"/>
      <c r="C133" s="1548"/>
      <c r="D133" s="1548"/>
      <c r="E133" s="1548"/>
      <c r="F133" s="1548"/>
      <c r="G133" s="1548"/>
    </row>
  </sheetData>
  <mergeCells count="40">
    <mergeCell ref="B107:G107"/>
    <mergeCell ref="B108:G108"/>
    <mergeCell ref="B109:G109"/>
    <mergeCell ref="B101:G101"/>
    <mergeCell ref="B102:G102"/>
    <mergeCell ref="B103:G103"/>
    <mergeCell ref="B104:G104"/>
    <mergeCell ref="B105:G105"/>
    <mergeCell ref="B106:G106"/>
    <mergeCell ref="C62:C63"/>
    <mergeCell ref="D62:D63"/>
    <mergeCell ref="E62:G62"/>
    <mergeCell ref="B1:F1"/>
    <mergeCell ref="B2:F2"/>
    <mergeCell ref="A62:B63"/>
    <mergeCell ref="A8:B8"/>
    <mergeCell ref="B110:G110"/>
    <mergeCell ref="B111:G111"/>
    <mergeCell ref="B112:G112"/>
    <mergeCell ref="B113:G113"/>
    <mergeCell ref="B114:G114"/>
    <mergeCell ref="B115:G115"/>
    <mergeCell ref="B116:G116"/>
    <mergeCell ref="B117:G117"/>
    <mergeCell ref="B118:G118"/>
    <mergeCell ref="B119:G119"/>
    <mergeCell ref="B120:G120"/>
    <mergeCell ref="B121:G121"/>
    <mergeCell ref="B122:G122"/>
    <mergeCell ref="B123:G123"/>
    <mergeCell ref="B124:G124"/>
    <mergeCell ref="B130:G130"/>
    <mergeCell ref="B131:G131"/>
    <mergeCell ref="B132:G132"/>
    <mergeCell ref="B133:G133"/>
    <mergeCell ref="B125:G125"/>
    <mergeCell ref="B126:G126"/>
    <mergeCell ref="B127:G127"/>
    <mergeCell ref="B128:G128"/>
    <mergeCell ref="B129:G129"/>
  </mergeCells>
  <pageMargins left="0.78740157480314965" right="0" top="7.874015748031496E-2" bottom="0.74803149606299213" header="0.31496062992125984" footer="0.31496062992125984"/>
  <pageSetup paperSize="9" scale="63" orientation="portrait" r:id="rId1"/>
  <rowBreaks count="1" manualBreakCount="1">
    <brk id="58" max="6" man="1"/>
  </rowBreaks>
</worksheet>
</file>

<file path=xl/worksheets/sheet16.xml><?xml version="1.0" encoding="utf-8"?>
<worksheet xmlns="http://schemas.openxmlformats.org/spreadsheetml/2006/main" xmlns:r="http://schemas.openxmlformats.org/officeDocument/2006/relationships">
  <sheetPr enableFormatConditionsCalculation="0">
    <tabColor rgb="FF00B050"/>
    <pageSetUpPr fitToPage="1"/>
  </sheetPr>
  <dimension ref="B1:P72"/>
  <sheetViews>
    <sheetView showGridLines="0" topLeftCell="A8" zoomScaleSheetLayoutView="80" workbookViewId="0">
      <selection activeCell="F38" sqref="F38:F49"/>
    </sheetView>
  </sheetViews>
  <sheetFormatPr defaultColWidth="9.140625" defaultRowHeight="16.5"/>
  <cols>
    <col min="1" max="5" width="2.85546875" style="1" customWidth="1"/>
    <col min="6" max="6" width="64" style="453" bestFit="1" customWidth="1"/>
    <col min="7" max="7" width="15.42578125" style="455" customWidth="1"/>
    <col min="8" max="9" width="16.42578125" style="455" customWidth="1"/>
    <col min="10" max="10" width="8.85546875" style="103" bestFit="1" customWidth="1"/>
    <col min="11" max="11" width="66.42578125" style="103" bestFit="1" customWidth="1"/>
    <col min="12" max="12" width="23.28515625" style="10" bestFit="1" customWidth="1"/>
    <col min="13" max="13" width="3" style="1" bestFit="1" customWidth="1"/>
    <col min="14" max="16384" width="9.140625" style="1"/>
  </cols>
  <sheetData>
    <row r="1" spans="2:16" ht="15.75">
      <c r="B1" s="857"/>
      <c r="C1" s="871"/>
      <c r="D1" s="871"/>
      <c r="E1" s="871"/>
      <c r="F1" s="1563" t="s">
        <v>0</v>
      </c>
      <c r="G1" s="1563"/>
      <c r="H1" s="1563"/>
      <c r="I1" s="794"/>
      <c r="J1" s="102"/>
      <c r="K1" s="102"/>
    </row>
    <row r="2" spans="2:16" ht="15.75" hidden="1">
      <c r="B2" s="858"/>
      <c r="F2" s="1423" t="s">
        <v>4</v>
      </c>
      <c r="G2" s="1423"/>
      <c r="H2" s="1423"/>
      <c r="I2" s="795"/>
      <c r="J2" s="102"/>
      <c r="K2" s="102"/>
      <c r="L2" s="43"/>
    </row>
    <row r="3" spans="2:16" ht="15.75">
      <c r="B3" s="858"/>
      <c r="F3" s="1401" t="s">
        <v>1054</v>
      </c>
      <c r="G3" s="1401"/>
      <c r="H3" s="1401"/>
      <c r="I3" s="796"/>
      <c r="J3" s="102"/>
    </row>
    <row r="4" spans="2:16" ht="15.75">
      <c r="B4" s="858"/>
      <c r="F4" s="507"/>
      <c r="G4" s="507"/>
      <c r="H4" s="507"/>
      <c r="I4" s="796"/>
      <c r="J4" s="102"/>
    </row>
    <row r="5" spans="2:16" ht="15.75">
      <c r="B5" s="858"/>
      <c r="F5" s="860" t="s">
        <v>21</v>
      </c>
      <c r="G5" s="504">
        <v>2018</v>
      </c>
      <c r="H5" s="504">
        <v>2017</v>
      </c>
      <c r="I5" s="797"/>
      <c r="J5" s="102"/>
    </row>
    <row r="6" spans="2:16">
      <c r="B6" s="858"/>
      <c r="F6" s="864" t="s">
        <v>5</v>
      </c>
      <c r="G6" s="664"/>
      <c r="H6" s="665"/>
      <c r="I6" s="604"/>
      <c r="K6" s="103" t="s">
        <v>185</v>
      </c>
      <c r="L6" s="73"/>
    </row>
    <row r="7" spans="2:16">
      <c r="B7" s="858"/>
      <c r="F7" s="723" t="s">
        <v>57</v>
      </c>
      <c r="G7" s="666" t="str">
        <f>J7 &amp;":"&amp;1</f>
        <v>2.95:1</v>
      </c>
      <c r="H7" s="212" t="s">
        <v>547</v>
      </c>
      <c r="I7" s="604"/>
      <c r="J7" s="185">
        <f>TRUNC(SUM('2SFP'!D25/'2SFP'!D52),2)</f>
        <v>2.95</v>
      </c>
      <c r="K7" s="104" t="s">
        <v>186</v>
      </c>
      <c r="L7" s="74"/>
      <c r="M7" s="4" t="s">
        <v>93</v>
      </c>
      <c r="N7" s="4" t="s">
        <v>93</v>
      </c>
      <c r="O7" s="4" t="s">
        <v>93</v>
      </c>
      <c r="P7" s="4"/>
    </row>
    <row r="8" spans="2:16">
      <c r="B8" s="858"/>
      <c r="F8" s="723" t="s">
        <v>47</v>
      </c>
      <c r="G8" s="666" t="str">
        <f>J8 &amp;":"&amp;1</f>
        <v>2.68:1</v>
      </c>
      <c r="H8" s="212" t="s">
        <v>548</v>
      </c>
      <c r="I8" s="604"/>
      <c r="J8" s="185">
        <f>TRUNC(SUM('2SFP'!D25-'2SFP'!D18)/'2SFP'!D52,2)</f>
        <v>2.68</v>
      </c>
      <c r="K8" s="104" t="s">
        <v>187</v>
      </c>
      <c r="L8" s="74"/>
      <c r="M8" s="4" t="s">
        <v>93</v>
      </c>
      <c r="N8" s="4" t="s">
        <v>93</v>
      </c>
      <c r="O8" s="4" t="s">
        <v>93</v>
      </c>
      <c r="P8" s="4"/>
    </row>
    <row r="9" spans="2:16" ht="16.5" customHeight="1">
      <c r="B9" s="858"/>
      <c r="F9" s="865" t="s">
        <v>6</v>
      </c>
      <c r="G9" s="666"/>
      <c r="H9" s="212"/>
      <c r="I9" s="604"/>
      <c r="J9" s="10"/>
      <c r="K9" s="10"/>
      <c r="M9" s="4"/>
      <c r="N9" s="4"/>
      <c r="O9" s="4"/>
      <c r="P9" s="4"/>
    </row>
    <row r="10" spans="2:16">
      <c r="B10" s="858"/>
      <c r="F10" s="866" t="s">
        <v>48</v>
      </c>
      <c r="G10" s="667" t="s">
        <v>1266</v>
      </c>
      <c r="H10" s="212" t="s">
        <v>530</v>
      </c>
      <c r="I10" s="604"/>
      <c r="J10" s="188">
        <f>TRUNC(365/(L10/(AVERAGE('7N_3-12'!C68+'7N_3-12'!C70,'7N_3-12'!D68+'7N_3-12'!D70))),3)</f>
        <v>42.558</v>
      </c>
      <c r="K10" s="104" t="s">
        <v>528</v>
      </c>
      <c r="L10" s="184">
        <v>1277412973.9000001</v>
      </c>
      <c r="M10" s="4" t="s">
        <v>93</v>
      </c>
      <c r="N10" s="4" t="s">
        <v>93</v>
      </c>
      <c r="O10" s="4" t="s">
        <v>93</v>
      </c>
      <c r="P10" s="4"/>
    </row>
    <row r="11" spans="2:16">
      <c r="B11" s="858"/>
      <c r="F11" s="867" t="s">
        <v>501</v>
      </c>
      <c r="G11" s="666"/>
      <c r="H11" s="212"/>
      <c r="I11" s="604"/>
      <c r="J11" s="10"/>
      <c r="K11" s="10"/>
      <c r="M11" s="4"/>
      <c r="N11" s="4"/>
      <c r="O11" s="4"/>
      <c r="P11" s="4"/>
    </row>
    <row r="12" spans="2:16">
      <c r="B12" s="858"/>
      <c r="F12" s="723" t="s">
        <v>49</v>
      </c>
      <c r="G12" s="668">
        <f>J12</f>
        <v>0.51054204220000921</v>
      </c>
      <c r="H12" s="669">
        <v>8.9043963437925276E-3</v>
      </c>
      <c r="I12" s="798"/>
      <c r="J12" s="186">
        <f>(AVERAGE('2SFP'!D25,'2SFP'!E25)-AVERAGE('2SFP'!D52,'2SFP'!E52))/('3SOCI'!D6)</f>
        <v>0.51054204220000921</v>
      </c>
      <c r="K12" s="10" t="s">
        <v>1262</v>
      </c>
      <c r="M12" s="75"/>
      <c r="N12" s="75"/>
      <c r="O12" s="75"/>
      <c r="P12" s="4"/>
    </row>
    <row r="13" spans="2:16">
      <c r="B13" s="858"/>
      <c r="F13" s="867" t="s">
        <v>529</v>
      </c>
      <c r="G13" s="666"/>
      <c r="H13" s="212"/>
      <c r="I13" s="604"/>
      <c r="J13" s="107"/>
      <c r="K13" s="10"/>
      <c r="M13" s="4"/>
      <c r="N13" s="4"/>
      <c r="O13" s="4"/>
      <c r="P13" s="4"/>
    </row>
    <row r="14" spans="2:16">
      <c r="B14" s="858"/>
      <c r="F14" s="213" t="s">
        <v>7</v>
      </c>
      <c r="G14" s="666"/>
      <c r="H14" s="212"/>
      <c r="I14" s="604"/>
      <c r="J14" s="10"/>
      <c r="K14" s="10"/>
      <c r="M14" s="4"/>
      <c r="N14" s="4"/>
      <c r="O14" s="4"/>
      <c r="P14" s="4"/>
    </row>
    <row r="15" spans="2:16">
      <c r="B15" s="858"/>
      <c r="F15" s="723" t="s">
        <v>50</v>
      </c>
      <c r="G15" s="670" t="str">
        <f>J15 &amp;"%"</f>
        <v>14.76%</v>
      </c>
      <c r="H15" s="669" t="s">
        <v>549</v>
      </c>
      <c r="I15" s="798"/>
      <c r="J15" s="185">
        <f>TRUNC('2SFP'!D40/SUM('2SFP'!D7:D9)*100,2)</f>
        <v>14.76</v>
      </c>
      <c r="K15" s="10" t="s">
        <v>188</v>
      </c>
      <c r="M15" s="4"/>
      <c r="N15" s="4"/>
      <c r="O15" s="4"/>
      <c r="P15" s="4"/>
    </row>
    <row r="16" spans="2:16">
      <c r="B16" s="858"/>
      <c r="F16" s="868" t="s">
        <v>8</v>
      </c>
      <c r="G16" s="666"/>
      <c r="H16" s="212"/>
      <c r="I16" s="604"/>
      <c r="J16" s="10"/>
      <c r="K16" s="10"/>
      <c r="M16" s="4"/>
      <c r="N16" s="4"/>
      <c r="O16" s="4"/>
      <c r="P16" s="4"/>
    </row>
    <row r="17" spans="2:16">
      <c r="B17" s="858"/>
      <c r="F17" s="723" t="s">
        <v>51</v>
      </c>
      <c r="G17" s="666" t="str">
        <f>J17&amp;":" &amp;1</f>
        <v>0.14:1</v>
      </c>
      <c r="H17" s="212" t="s">
        <v>550</v>
      </c>
      <c r="I17" s="604"/>
      <c r="J17" s="185">
        <f>TRUNC('2SFP'!D40/'2SFP'!D33,2)</f>
        <v>0.14000000000000001</v>
      </c>
      <c r="K17" s="105" t="s">
        <v>526</v>
      </c>
      <c r="M17" s="2" t="s">
        <v>93</v>
      </c>
      <c r="N17" s="2" t="s">
        <v>93</v>
      </c>
      <c r="O17" s="2" t="s">
        <v>93</v>
      </c>
      <c r="P17" s="4"/>
    </row>
    <row r="18" spans="2:16">
      <c r="B18" s="858"/>
      <c r="F18" s="868" t="s">
        <v>9</v>
      </c>
      <c r="G18" s="666"/>
      <c r="H18" s="212"/>
      <c r="I18" s="604"/>
      <c r="J18" s="10"/>
      <c r="K18" s="10"/>
      <c r="M18" s="4"/>
      <c r="N18" s="4"/>
      <c r="O18" s="4"/>
      <c r="P18" s="4"/>
    </row>
    <row r="19" spans="2:16">
      <c r="B19" s="858"/>
      <c r="F19" s="213" t="s">
        <v>10</v>
      </c>
      <c r="G19" s="666"/>
      <c r="H19" s="212"/>
      <c r="I19" s="604"/>
      <c r="J19" s="10"/>
      <c r="K19" s="10"/>
      <c r="M19" s="4"/>
      <c r="N19" s="4"/>
      <c r="O19" s="4"/>
      <c r="P19" s="4"/>
    </row>
    <row r="20" spans="2:16">
      <c r="B20" s="858"/>
      <c r="F20" s="723" t="s">
        <v>52</v>
      </c>
      <c r="G20" s="666"/>
      <c r="H20" s="212"/>
      <c r="I20" s="604"/>
      <c r="J20" s="10"/>
      <c r="K20" s="10"/>
      <c r="M20" s="4"/>
      <c r="N20" s="4"/>
      <c r="O20" s="4"/>
      <c r="P20" s="4"/>
    </row>
    <row r="21" spans="2:16">
      <c r="B21" s="858"/>
      <c r="F21" s="868" t="s">
        <v>11</v>
      </c>
      <c r="G21" s="668" t="str">
        <f>J21&amp;"%"</f>
        <v>10.9%</v>
      </c>
      <c r="H21" s="671" t="s">
        <v>551</v>
      </c>
      <c r="I21" s="799"/>
      <c r="J21" s="185">
        <f>TRUNC('3SOCI'!D23/('2SFP'!D33+'2SFP'!D40)*100,2)</f>
        <v>10.9</v>
      </c>
      <c r="K21" s="10" t="s">
        <v>189</v>
      </c>
      <c r="M21" s="4"/>
      <c r="N21" s="4"/>
      <c r="O21" s="4"/>
      <c r="P21" s="4"/>
    </row>
    <row r="22" spans="2:16">
      <c r="B22" s="858"/>
      <c r="F22" s="868" t="s">
        <v>12</v>
      </c>
      <c r="G22" s="668">
        <v>0.21160000000000001</v>
      </c>
      <c r="H22" s="671">
        <v>0.1701</v>
      </c>
      <c r="I22" s="799"/>
      <c r="J22" s="185">
        <f>TRUNC('3SOCI'!D30/SUM('2SFP'!D33+'2SFP'!D40)*100,3)</f>
        <v>7.5860000000000003</v>
      </c>
      <c r="K22" s="10" t="s">
        <v>190</v>
      </c>
      <c r="M22" s="4"/>
      <c r="N22" s="4"/>
      <c r="O22" s="4"/>
      <c r="P22" s="4"/>
    </row>
    <row r="23" spans="2:16">
      <c r="B23" s="858"/>
      <c r="F23" s="869" t="s">
        <v>13</v>
      </c>
      <c r="G23" s="666"/>
      <c r="H23" s="212"/>
      <c r="I23" s="604"/>
      <c r="J23" s="10"/>
      <c r="K23" s="10"/>
      <c r="M23" s="4"/>
      <c r="N23" s="4"/>
      <c r="O23" s="4"/>
      <c r="P23" s="4"/>
    </row>
    <row r="24" spans="2:16">
      <c r="B24" s="858"/>
      <c r="F24" s="723" t="s">
        <v>53</v>
      </c>
      <c r="G24" s="668" t="str">
        <f>J24&amp;"%"</f>
        <v>8.68%</v>
      </c>
      <c r="H24" s="671" t="s">
        <v>552</v>
      </c>
      <c r="I24" s="799"/>
      <c r="J24" s="185">
        <f>TRUNC('3SOCI'!D30/SUM('2SFP'!D33)*100,2)</f>
        <v>8.68</v>
      </c>
      <c r="K24" s="10" t="s">
        <v>191</v>
      </c>
      <c r="M24" s="4"/>
      <c r="N24" s="4"/>
      <c r="O24" s="4"/>
      <c r="P24" s="4"/>
    </row>
    <row r="25" spans="2:16">
      <c r="B25" s="858"/>
      <c r="F25" s="869" t="s">
        <v>14</v>
      </c>
      <c r="G25" s="666"/>
      <c r="H25" s="212"/>
      <c r="I25" s="604"/>
      <c r="J25" s="10"/>
      <c r="K25" s="10"/>
      <c r="M25" s="4"/>
      <c r="N25" s="4"/>
      <c r="O25" s="4"/>
      <c r="P25" s="4"/>
    </row>
    <row r="26" spans="2:16">
      <c r="B26" s="858"/>
      <c r="F26" s="868" t="s">
        <v>15</v>
      </c>
      <c r="G26" s="666"/>
      <c r="H26" s="212"/>
      <c r="I26" s="604"/>
      <c r="J26" s="10"/>
      <c r="K26" s="10"/>
      <c r="M26" s="4"/>
      <c r="N26" s="4"/>
      <c r="O26" s="4"/>
      <c r="P26" s="4"/>
    </row>
    <row r="27" spans="2:16">
      <c r="B27" s="858"/>
      <c r="F27" s="723" t="s">
        <v>54</v>
      </c>
      <c r="G27" s="668" t="str">
        <f>J27&amp;"%"</f>
        <v>54.58%</v>
      </c>
      <c r="H27" s="671" t="s">
        <v>553</v>
      </c>
      <c r="I27" s="799"/>
      <c r="J27" s="185">
        <f>TRUNC('3SOCI'!D23/SUM('3SOCI'!D6:D6)*100,2)</f>
        <v>54.58</v>
      </c>
      <c r="K27" s="106" t="s">
        <v>1264</v>
      </c>
      <c r="L27" s="76"/>
      <c r="M27" s="4"/>
      <c r="N27" s="4"/>
      <c r="O27" s="4"/>
      <c r="P27" s="4"/>
    </row>
    <row r="28" spans="2:16">
      <c r="B28" s="858"/>
      <c r="F28" s="868" t="s">
        <v>16</v>
      </c>
      <c r="G28" s="666"/>
      <c r="H28" s="212"/>
      <c r="I28" s="604"/>
      <c r="J28" s="10"/>
      <c r="K28" s="10"/>
      <c r="M28" s="4"/>
      <c r="N28" s="4"/>
      <c r="O28" s="4"/>
      <c r="P28" s="4"/>
    </row>
    <row r="29" spans="2:16">
      <c r="B29" s="858"/>
      <c r="F29" s="723" t="s">
        <v>55</v>
      </c>
      <c r="G29" s="668">
        <v>9.4299999999999995E-2</v>
      </c>
      <c r="H29" s="671">
        <v>0.1086</v>
      </c>
      <c r="I29" s="799"/>
      <c r="J29" s="185">
        <f>TRUNC('3SOCI'!D13/SUM('3SOCI'!D6:D6)*100,3)</f>
        <v>6.1429999999999998</v>
      </c>
      <c r="K29" s="10" t="s">
        <v>1263</v>
      </c>
      <c r="M29" s="4"/>
      <c r="N29" s="4"/>
      <c r="O29" s="4"/>
      <c r="P29" s="4"/>
    </row>
    <row r="30" spans="2:16">
      <c r="B30" s="858"/>
      <c r="F30" s="868" t="s">
        <v>17</v>
      </c>
      <c r="G30" s="666"/>
      <c r="H30" s="212"/>
      <c r="I30" s="604"/>
      <c r="J30" s="10"/>
      <c r="K30" s="10"/>
      <c r="M30" s="4"/>
      <c r="N30" s="4"/>
      <c r="O30" s="4"/>
      <c r="P30" s="4"/>
    </row>
    <row r="31" spans="2:16">
      <c r="B31" s="858"/>
      <c r="F31" s="723" t="s">
        <v>56</v>
      </c>
      <c r="G31" s="666" t="s">
        <v>1265</v>
      </c>
      <c r="H31" s="212" t="s">
        <v>527</v>
      </c>
      <c r="I31" s="604"/>
      <c r="J31" s="187">
        <f>TRUNC('3SOCI'!D30/'10N_22-33'!E282/1000000,3)</f>
        <v>0.54700000000000004</v>
      </c>
      <c r="K31" s="10" t="s">
        <v>197</v>
      </c>
      <c r="M31" s="4" t="s">
        <v>93</v>
      </c>
      <c r="N31" s="4" t="s">
        <v>93</v>
      </c>
      <c r="O31" s="4" t="s">
        <v>93</v>
      </c>
      <c r="P31" s="4"/>
    </row>
    <row r="32" spans="2:16">
      <c r="B32" s="858"/>
      <c r="F32" s="870" t="s">
        <v>18</v>
      </c>
      <c r="G32" s="672"/>
      <c r="H32" s="673"/>
      <c r="I32" s="604"/>
      <c r="J32" s="10"/>
      <c r="K32" s="10"/>
      <c r="M32" s="4" t="s">
        <v>93</v>
      </c>
      <c r="N32" s="4" t="s">
        <v>93</v>
      </c>
      <c r="O32" s="4" t="s">
        <v>93</v>
      </c>
      <c r="P32" s="4"/>
    </row>
    <row r="33" spans="2:16">
      <c r="B33" s="858"/>
      <c r="I33" s="800"/>
      <c r="M33" s="4"/>
      <c r="N33" s="4"/>
      <c r="O33" s="4"/>
      <c r="P33" s="4"/>
    </row>
    <row r="34" spans="2:16">
      <c r="B34" s="858"/>
      <c r="I34" s="800"/>
      <c r="M34" s="4"/>
      <c r="N34" s="4"/>
      <c r="O34" s="4"/>
      <c r="P34" s="4"/>
    </row>
    <row r="35" spans="2:16">
      <c r="B35" s="858"/>
      <c r="I35" s="800"/>
      <c r="M35" s="4"/>
      <c r="N35" s="4"/>
      <c r="O35" s="4"/>
      <c r="P35" s="4"/>
    </row>
    <row r="36" spans="2:16">
      <c r="B36" s="858"/>
      <c r="I36" s="800"/>
      <c r="M36" s="4"/>
      <c r="N36" s="4"/>
      <c r="O36" s="4"/>
      <c r="P36" s="4"/>
    </row>
    <row r="37" spans="2:16">
      <c r="B37" s="858"/>
      <c r="I37" s="800"/>
      <c r="M37" s="4"/>
      <c r="N37" s="4"/>
      <c r="O37" s="4"/>
      <c r="P37" s="4"/>
    </row>
    <row r="38" spans="2:16">
      <c r="B38" s="858"/>
      <c r="F38" s="459" t="str">
        <f>'2SFP'!B61</f>
        <v>For GSA &amp; Associates.</v>
      </c>
      <c r="G38" s="648" t="str">
        <f>'2SFP'!E61</f>
        <v>for and on behalf of board of directors</v>
      </c>
      <c r="H38" s="649"/>
      <c r="I38" s="800"/>
    </row>
    <row r="39" spans="2:16">
      <c r="B39" s="858"/>
      <c r="F39" s="222" t="str">
        <f>'2SFP'!B62</f>
        <v>Chartered accountants</v>
      </c>
      <c r="G39" s="649"/>
      <c r="H39" s="649"/>
      <c r="I39" s="800"/>
    </row>
    <row r="40" spans="2:16">
      <c r="B40" s="858"/>
      <c r="F40" s="222" t="str">
        <f>'2SFP'!B63</f>
        <v>(Firm Reg. No. 000257N)</v>
      </c>
      <c r="G40" s="649"/>
      <c r="H40" s="649"/>
      <c r="I40" s="800"/>
    </row>
    <row r="41" spans="2:16">
      <c r="B41" s="858"/>
      <c r="F41" s="222"/>
      <c r="G41" s="649"/>
      <c r="H41" s="649"/>
      <c r="I41" s="800"/>
    </row>
    <row r="42" spans="2:16">
      <c r="B42" s="858"/>
      <c r="F42" s="222"/>
      <c r="G42" s="649"/>
      <c r="H42" s="649"/>
      <c r="I42" s="800"/>
    </row>
    <row r="43" spans="2:16">
      <c r="B43" s="858"/>
      <c r="F43" s="222"/>
      <c r="G43" s="649"/>
      <c r="H43" s="649"/>
      <c r="I43" s="800"/>
    </row>
    <row r="44" spans="2:16">
      <c r="B44" s="858"/>
      <c r="F44" s="459" t="str">
        <f>'2SFP'!B67</f>
        <v>Tanuj Chugh</v>
      </c>
      <c r="G44" s="620" t="str">
        <f>'2SFP'!E65</f>
        <v>Chairman</v>
      </c>
      <c r="H44" s="649"/>
      <c r="I44" s="800"/>
    </row>
    <row r="45" spans="2:16">
      <c r="B45" s="858"/>
      <c r="F45" s="222" t="str">
        <f>'2SFP'!B68</f>
        <v>Partner</v>
      </c>
      <c r="G45" s="649"/>
      <c r="H45" s="649"/>
      <c r="I45" s="800"/>
    </row>
    <row r="46" spans="2:16">
      <c r="B46" s="858"/>
      <c r="F46" s="222" t="str">
        <f>'2SFP'!B69</f>
        <v>M. No. 529619</v>
      </c>
      <c r="G46" s="649"/>
      <c r="H46" s="649"/>
      <c r="I46" s="800"/>
    </row>
    <row r="47" spans="2:16">
      <c r="B47" s="858"/>
      <c r="F47" s="222"/>
      <c r="G47" s="649"/>
      <c r="H47" s="649"/>
      <c r="I47" s="800"/>
    </row>
    <row r="48" spans="2:16">
      <c r="B48" s="858"/>
      <c r="F48" s="222" t="str">
        <f>'2SFP'!B71</f>
        <v xml:space="preserve">Place: </v>
      </c>
      <c r="G48" s="649"/>
      <c r="H48" s="649"/>
      <c r="I48" s="800"/>
    </row>
    <row r="49" spans="2:9">
      <c r="B49" s="858"/>
      <c r="F49" s="222" t="str">
        <f>'2SFP'!B72</f>
        <v xml:space="preserve">Date: </v>
      </c>
      <c r="G49" s="873" t="str">
        <f>'2SFP'!E69</f>
        <v>Chief Executive Officer</v>
      </c>
      <c r="H49" s="874"/>
      <c r="I49" s="800"/>
    </row>
    <row r="50" spans="2:9">
      <c r="B50" s="859"/>
      <c r="C50" s="872"/>
      <c r="D50" s="872"/>
      <c r="E50" s="872"/>
      <c r="F50" s="779"/>
      <c r="G50" s="801"/>
      <c r="H50" s="801"/>
      <c r="I50" s="802"/>
    </row>
    <row r="51" spans="2:9">
      <c r="F51" s="599"/>
      <c r="I51" s="800"/>
    </row>
    <row r="52" spans="2:9">
      <c r="F52" s="599"/>
      <c r="I52" s="800"/>
    </row>
    <row r="53" spans="2:9">
      <c r="F53" s="599"/>
      <c r="I53" s="800"/>
    </row>
    <row r="54" spans="2:9">
      <c r="F54" s="599"/>
      <c r="I54" s="800"/>
    </row>
    <row r="55" spans="2:9">
      <c r="F55" s="599"/>
      <c r="I55" s="800"/>
    </row>
    <row r="56" spans="2:9">
      <c r="F56" s="599"/>
      <c r="I56" s="800"/>
    </row>
    <row r="57" spans="2:9">
      <c r="F57" s="599"/>
      <c r="I57" s="800"/>
    </row>
    <row r="58" spans="2:9">
      <c r="F58" s="599"/>
      <c r="I58" s="800"/>
    </row>
    <row r="59" spans="2:9">
      <c r="F59" s="599"/>
      <c r="I59" s="800"/>
    </row>
    <row r="60" spans="2:9">
      <c r="F60" s="599"/>
      <c r="I60" s="800"/>
    </row>
    <row r="61" spans="2:9">
      <c r="F61" s="599"/>
      <c r="I61" s="800"/>
    </row>
    <row r="62" spans="2:9">
      <c r="F62" s="599"/>
      <c r="I62" s="800"/>
    </row>
    <row r="63" spans="2:9">
      <c r="F63" s="599"/>
      <c r="I63" s="800"/>
    </row>
    <row r="64" spans="2:9">
      <c r="F64" s="599"/>
      <c r="I64" s="800"/>
    </row>
    <row r="65" spans="6:9">
      <c r="F65" s="599"/>
      <c r="I65" s="800"/>
    </row>
    <row r="66" spans="6:9">
      <c r="F66" s="599"/>
      <c r="I66" s="800"/>
    </row>
    <row r="67" spans="6:9">
      <c r="F67" s="599"/>
      <c r="I67" s="800"/>
    </row>
    <row r="68" spans="6:9">
      <c r="F68" s="599"/>
      <c r="I68" s="800"/>
    </row>
    <row r="69" spans="6:9">
      <c r="F69" s="599"/>
      <c r="I69" s="800"/>
    </row>
    <row r="70" spans="6:9">
      <c r="F70" s="599"/>
      <c r="I70" s="800"/>
    </row>
    <row r="71" spans="6:9">
      <c r="F71" s="599"/>
      <c r="I71" s="800"/>
    </row>
    <row r="72" spans="6:9">
      <c r="F72" s="600"/>
      <c r="G72" s="801"/>
      <c r="H72" s="801"/>
      <c r="I72" s="802"/>
    </row>
  </sheetData>
  <mergeCells count="3">
    <mergeCell ref="F1:H1"/>
    <mergeCell ref="F2:H2"/>
    <mergeCell ref="F3:H3"/>
  </mergeCells>
  <printOptions horizontalCentered="1"/>
  <pageMargins left="0.95" right="0.26" top="0.56000000000000005" bottom="0.2" header="0.05" footer="0.05"/>
  <pageSetup scale="75" fitToHeight="0" orientation="portrait" r:id="rId1"/>
  <ignoredErrors>
    <ignoredError sqref="H15:H32" numberStoredAsText="1"/>
  </ignoredErrors>
</worksheet>
</file>

<file path=xl/worksheets/sheet17.xml><?xml version="1.0" encoding="utf-8"?>
<worksheet xmlns="http://schemas.openxmlformats.org/spreadsheetml/2006/main" xmlns:r="http://schemas.openxmlformats.org/officeDocument/2006/relationships">
  <sheetPr enableFormatConditionsCalculation="0">
    <tabColor rgb="FF00B050"/>
    <pageSetUpPr fitToPage="1"/>
  </sheetPr>
  <dimension ref="A2:Q67"/>
  <sheetViews>
    <sheetView showGridLines="0" topLeftCell="A47" workbookViewId="0">
      <selection activeCell="D67" sqref="D67"/>
    </sheetView>
  </sheetViews>
  <sheetFormatPr defaultColWidth="9.140625" defaultRowHeight="15.75"/>
  <cols>
    <col min="1" max="1" width="3.42578125" style="1" customWidth="1"/>
    <col min="2" max="2" width="9.140625" style="1"/>
    <col min="3" max="3" width="45.42578125" style="1" bestFit="1" customWidth="1"/>
    <col min="4" max="5" width="18.7109375" style="5" bestFit="1" customWidth="1"/>
    <col min="6" max="6" width="20.42578125" style="1" bestFit="1" customWidth="1"/>
    <col min="7" max="7" width="16.42578125" style="1" bestFit="1" customWidth="1"/>
    <col min="8" max="8" width="15.28515625" style="1" bestFit="1" customWidth="1"/>
    <col min="9" max="9" width="15" style="1" bestFit="1" customWidth="1"/>
    <col min="10" max="10" width="14.28515625" style="1" bestFit="1" customWidth="1"/>
    <col min="11" max="11" width="9.140625" style="1"/>
    <col min="12" max="12" width="15" style="1" bestFit="1" customWidth="1"/>
    <col min="13" max="13" width="18.42578125" style="1" customWidth="1"/>
    <col min="14" max="16" width="9.140625" style="1"/>
    <col min="17" max="17" width="18.140625" style="1" customWidth="1"/>
    <col min="18" max="16384" width="9.140625" style="1"/>
  </cols>
  <sheetData>
    <row r="2" spans="1:15">
      <c r="B2" s="67"/>
      <c r="C2" s="1564" t="s">
        <v>140</v>
      </c>
      <c r="D2" s="1564"/>
      <c r="E2" s="1565"/>
      <c r="F2" s="25"/>
    </row>
    <row r="3" spans="1:15">
      <c r="B3" s="68"/>
      <c r="C3" s="24" t="s">
        <v>28</v>
      </c>
      <c r="D3" s="193"/>
      <c r="E3" s="197"/>
    </row>
    <row r="4" spans="1:15">
      <c r="B4" s="69"/>
      <c r="C4" s="66" t="s">
        <v>1485</v>
      </c>
      <c r="D4" s="198"/>
      <c r="E4" s="199"/>
    </row>
    <row r="5" spans="1:15">
      <c r="B5" s="42" t="s">
        <v>113</v>
      </c>
      <c r="C5" s="65" t="s">
        <v>19</v>
      </c>
      <c r="D5" s="200" t="s">
        <v>29</v>
      </c>
      <c r="E5" s="206">
        <v>2019</v>
      </c>
      <c r="F5" s="4"/>
      <c r="G5" s="4"/>
      <c r="H5" s="4"/>
      <c r="I5" s="4"/>
      <c r="J5" s="4"/>
      <c r="K5" s="4"/>
      <c r="L5" s="4"/>
      <c r="M5" s="4"/>
      <c r="N5" s="4"/>
      <c r="O5" s="4"/>
    </row>
    <row r="6" spans="1:15">
      <c r="B6" s="68"/>
      <c r="C6" s="68"/>
      <c r="D6" s="197"/>
      <c r="E6" s="197"/>
      <c r="F6" s="7"/>
      <c r="G6" s="4"/>
      <c r="H6" s="4"/>
      <c r="I6" s="4"/>
      <c r="J6" s="4"/>
      <c r="K6" s="4"/>
      <c r="L6" s="4"/>
      <c r="M6" s="4"/>
      <c r="N6" s="4"/>
      <c r="O6" s="4"/>
    </row>
    <row r="7" spans="1:15">
      <c r="B7" s="68"/>
      <c r="C7" s="57" t="s">
        <v>492</v>
      </c>
      <c r="D7" s="197">
        <f>'3SOCI'!D23-'3SOCI'!D33</f>
        <v>519822612.5800001</v>
      </c>
      <c r="E7" s="201"/>
      <c r="F7" s="7"/>
      <c r="G7" s="4"/>
      <c r="H7" s="2"/>
      <c r="I7" s="4"/>
      <c r="J7" s="4"/>
      <c r="K7" s="4"/>
      <c r="L7" s="4"/>
      <c r="M7" s="4"/>
      <c r="N7" s="4"/>
      <c r="O7" s="4"/>
    </row>
    <row r="8" spans="1:15">
      <c r="B8" s="68"/>
      <c r="C8" s="68"/>
      <c r="D8" s="197"/>
      <c r="E8" s="197"/>
      <c r="F8" s="7"/>
      <c r="G8" s="4"/>
      <c r="H8" s="6"/>
      <c r="I8" s="4"/>
      <c r="J8" s="4"/>
      <c r="K8" s="4"/>
      <c r="L8" s="4"/>
      <c r="M8" s="4"/>
      <c r="N8" s="4"/>
      <c r="O8" s="4"/>
    </row>
    <row r="9" spans="1:15">
      <c r="B9" s="68"/>
      <c r="C9" s="57" t="s">
        <v>30</v>
      </c>
      <c r="D9" s="197"/>
      <c r="E9" s="197"/>
      <c r="F9" s="4"/>
      <c r="G9" s="4"/>
      <c r="H9" s="4"/>
      <c r="I9" s="4"/>
      <c r="J9" s="4"/>
      <c r="K9" s="4"/>
      <c r="L9" s="4"/>
      <c r="M9" s="4"/>
      <c r="N9" s="4"/>
      <c r="O9" s="4"/>
    </row>
    <row r="10" spans="1:15">
      <c r="B10" s="68"/>
      <c r="C10" s="68"/>
      <c r="D10" s="197"/>
      <c r="E10" s="197"/>
      <c r="F10" s="4"/>
      <c r="G10" s="4"/>
      <c r="H10" s="4"/>
      <c r="I10" s="4"/>
      <c r="J10" s="4"/>
      <c r="K10" s="4"/>
      <c r="L10" s="4"/>
      <c r="M10" s="4"/>
      <c r="N10" s="4"/>
      <c r="O10" s="4"/>
    </row>
    <row r="11" spans="1:15">
      <c r="A11" s="3"/>
      <c r="B11" s="68">
        <v>1</v>
      </c>
      <c r="C11" s="56" t="s">
        <v>193</v>
      </c>
      <c r="D11" s="197"/>
      <c r="E11" s="197"/>
      <c r="F11" s="7"/>
      <c r="G11" s="4"/>
      <c r="H11" s="4"/>
      <c r="I11" s="4"/>
      <c r="J11" s="4"/>
      <c r="K11" s="4"/>
      <c r="L11" s="4"/>
      <c r="M11" s="4"/>
      <c r="N11" s="4"/>
      <c r="O11" s="4"/>
    </row>
    <row r="12" spans="1:15">
      <c r="B12" s="68"/>
      <c r="C12" s="56"/>
      <c r="D12" s="197"/>
      <c r="E12" s="197"/>
      <c r="F12" s="4"/>
      <c r="G12" s="4"/>
      <c r="H12" s="4"/>
      <c r="I12" s="4"/>
      <c r="J12" s="4"/>
      <c r="K12" s="4"/>
      <c r="L12" s="4"/>
      <c r="M12" s="4"/>
      <c r="N12" s="4"/>
      <c r="O12" s="4"/>
    </row>
    <row r="13" spans="1:15">
      <c r="B13" s="68">
        <v>2</v>
      </c>
      <c r="C13" s="56" t="s">
        <v>198</v>
      </c>
      <c r="D13" s="197"/>
      <c r="E13" s="197"/>
      <c r="F13" s="4"/>
      <c r="G13" s="4"/>
      <c r="H13" s="4"/>
      <c r="I13" s="4"/>
      <c r="J13" s="4"/>
      <c r="K13" s="4"/>
      <c r="L13" s="4"/>
      <c r="M13" s="4"/>
      <c r="N13" s="4"/>
      <c r="O13" s="4"/>
    </row>
    <row r="14" spans="1:15">
      <c r="B14" s="68"/>
      <c r="C14" s="68"/>
      <c r="D14" s="197"/>
      <c r="E14" s="197"/>
      <c r="F14" s="4"/>
      <c r="G14" s="4"/>
      <c r="H14" s="4"/>
      <c r="I14" s="4"/>
      <c r="J14" s="4"/>
      <c r="K14" s="4"/>
      <c r="L14" s="4"/>
      <c r="M14" s="4"/>
      <c r="N14" s="4"/>
      <c r="O14" s="4"/>
    </row>
    <row r="15" spans="1:15">
      <c r="B15" s="68">
        <v>3</v>
      </c>
      <c r="C15" s="68" t="s">
        <v>204</v>
      </c>
      <c r="D15" s="197">
        <f>'10N_22-33'!E218+'10N_22-33'!E217</f>
        <v>135000</v>
      </c>
      <c r="E15" s="197"/>
      <c r="F15" s="4"/>
      <c r="G15" s="4"/>
      <c r="H15" s="4"/>
      <c r="I15" s="4"/>
      <c r="J15" s="4"/>
      <c r="K15" s="4"/>
      <c r="L15" s="4"/>
      <c r="M15" s="4"/>
      <c r="N15" s="4"/>
      <c r="O15" s="4"/>
    </row>
    <row r="16" spans="1:15">
      <c r="B16" s="68"/>
      <c r="C16" s="56"/>
      <c r="D16" s="197"/>
      <c r="E16" s="197"/>
      <c r="F16" s="4"/>
      <c r="G16" s="4"/>
      <c r="H16" s="4"/>
      <c r="I16" s="4"/>
      <c r="J16" s="4"/>
      <c r="K16" s="4"/>
      <c r="L16" s="4"/>
      <c r="M16" s="4"/>
      <c r="N16" s="4"/>
      <c r="O16" s="4"/>
    </row>
    <row r="17" spans="2:15">
      <c r="B17" s="68">
        <v>4</v>
      </c>
      <c r="C17" s="56" t="s">
        <v>493</v>
      </c>
      <c r="D17" s="197">
        <f>'10N_22-33'!E143+'10N_22-33'!E144+'10N_22-33'!E145+'10N_22-33'!E146</f>
        <v>1199595</v>
      </c>
      <c r="E17" s="197"/>
      <c r="F17" s="4"/>
      <c r="G17" s="4"/>
      <c r="H17" s="4"/>
      <c r="I17" s="4"/>
      <c r="J17" s="4"/>
      <c r="K17" s="4"/>
      <c r="L17" s="4"/>
      <c r="M17" s="4"/>
      <c r="N17" s="4"/>
      <c r="O17" s="4"/>
    </row>
    <row r="18" spans="2:15">
      <c r="B18" s="68"/>
      <c r="C18" s="56"/>
      <c r="D18" s="202"/>
      <c r="E18" s="197"/>
      <c r="F18" s="4"/>
      <c r="G18" s="4"/>
      <c r="H18" s="4"/>
      <c r="I18" s="4"/>
      <c r="J18" s="4"/>
      <c r="K18" s="4"/>
      <c r="L18" s="4"/>
      <c r="M18" s="4"/>
      <c r="N18" s="4"/>
      <c r="O18" s="4"/>
    </row>
    <row r="19" spans="2:15">
      <c r="B19" s="68">
        <v>5</v>
      </c>
      <c r="C19" s="56" t="s">
        <v>194</v>
      </c>
      <c r="D19" s="202">
        <f>'3SOCI'!D15</f>
        <v>237493192.77999997</v>
      </c>
      <c r="E19" s="197"/>
      <c r="F19" s="7"/>
      <c r="G19" s="4"/>
      <c r="H19" s="4"/>
      <c r="I19" s="4"/>
      <c r="J19" s="4"/>
      <c r="K19" s="4"/>
      <c r="L19" s="4"/>
      <c r="M19" s="4"/>
      <c r="N19" s="4"/>
      <c r="O19" s="4"/>
    </row>
    <row r="20" spans="2:15">
      <c r="B20" s="68"/>
      <c r="C20" s="56"/>
      <c r="D20" s="202"/>
      <c r="E20" s="197"/>
      <c r="F20" s="4"/>
      <c r="G20" s="4"/>
      <c r="H20" s="4"/>
      <c r="I20" s="4"/>
      <c r="J20" s="4"/>
      <c r="K20" s="4"/>
      <c r="L20" s="4"/>
      <c r="M20" s="4"/>
      <c r="N20" s="4"/>
      <c r="O20" s="4"/>
    </row>
    <row r="21" spans="2:15">
      <c r="B21" s="68">
        <v>6</v>
      </c>
      <c r="C21" s="56" t="s">
        <v>494</v>
      </c>
      <c r="D21" s="202">
        <f>'10N_22-33'!E194</f>
        <v>0</v>
      </c>
      <c r="E21" s="197"/>
      <c r="F21" s="4"/>
      <c r="G21" s="4"/>
      <c r="H21" s="4"/>
      <c r="I21" s="4"/>
      <c r="J21" s="4"/>
      <c r="K21" s="4"/>
      <c r="L21" s="4"/>
      <c r="M21" s="4"/>
      <c r="N21" s="4"/>
      <c r="O21" s="4"/>
    </row>
    <row r="22" spans="2:15">
      <c r="B22" s="68"/>
      <c r="C22" s="56"/>
      <c r="D22" s="202"/>
      <c r="E22" s="197"/>
      <c r="F22" s="4"/>
      <c r="G22" s="4"/>
      <c r="H22" s="4"/>
      <c r="I22" s="4"/>
      <c r="J22" s="4"/>
      <c r="K22" s="4"/>
      <c r="L22" s="4"/>
      <c r="M22" s="4"/>
      <c r="N22" s="4"/>
      <c r="O22" s="4"/>
    </row>
    <row r="23" spans="2:15">
      <c r="B23" s="68">
        <v>7</v>
      </c>
      <c r="C23" s="56" t="s">
        <v>491</v>
      </c>
      <c r="D23" s="202"/>
      <c r="E23" s="197"/>
      <c r="F23" s="4"/>
      <c r="G23" s="4"/>
      <c r="H23" s="4"/>
      <c r="I23" s="4"/>
      <c r="J23" s="4"/>
      <c r="K23" s="4"/>
      <c r="L23" s="4"/>
      <c r="M23" s="4"/>
      <c r="N23" s="4"/>
      <c r="O23" s="4"/>
    </row>
    <row r="24" spans="2:15">
      <c r="B24" s="68"/>
      <c r="C24" s="56"/>
      <c r="D24" s="202"/>
      <c r="E24" s="197"/>
      <c r="F24" s="4"/>
      <c r="G24" s="4"/>
      <c r="H24" s="4"/>
      <c r="I24" s="4"/>
      <c r="J24" s="4"/>
      <c r="K24" s="4"/>
      <c r="L24" s="4"/>
      <c r="M24" s="4"/>
      <c r="N24" s="4"/>
      <c r="O24" s="4"/>
    </row>
    <row r="25" spans="2:15">
      <c r="B25" s="68">
        <v>8</v>
      </c>
      <c r="C25" s="56" t="s">
        <v>1053</v>
      </c>
      <c r="D25" s="202">
        <v>0</v>
      </c>
      <c r="E25" s="197"/>
      <c r="F25" s="4"/>
      <c r="G25" s="4"/>
      <c r="H25" s="4"/>
      <c r="I25" s="4"/>
      <c r="J25" s="4"/>
      <c r="K25" s="4"/>
      <c r="L25" s="4"/>
      <c r="M25" s="4"/>
      <c r="N25" s="4"/>
      <c r="O25" s="4"/>
    </row>
    <row r="26" spans="2:15">
      <c r="B26" s="68"/>
      <c r="C26" s="56"/>
      <c r="D26" s="202"/>
      <c r="E26" s="197"/>
      <c r="F26" s="4"/>
      <c r="G26" s="4"/>
      <c r="H26" s="4"/>
      <c r="I26" s="4"/>
      <c r="J26" s="4"/>
      <c r="K26" s="4"/>
      <c r="L26" s="4"/>
      <c r="M26" s="4"/>
      <c r="N26" s="4"/>
      <c r="O26" s="4"/>
    </row>
    <row r="27" spans="2:15">
      <c r="B27" s="68"/>
      <c r="C27" s="57" t="s">
        <v>31</v>
      </c>
      <c r="D27" s="197"/>
      <c r="E27" s="201">
        <f>SUM(D11:D27)</f>
        <v>238827787.77999997</v>
      </c>
      <c r="F27" s="7"/>
      <c r="G27" s="4"/>
      <c r="H27" s="4"/>
      <c r="I27" s="4"/>
      <c r="J27" s="4"/>
      <c r="K27" s="4"/>
      <c r="L27" s="4"/>
      <c r="M27" s="4"/>
      <c r="N27" s="4"/>
      <c r="O27" s="4"/>
    </row>
    <row r="28" spans="2:15">
      <c r="B28" s="68"/>
      <c r="C28" s="57"/>
      <c r="D28" s="197"/>
      <c r="E28" s="201"/>
      <c r="F28" s="4"/>
      <c r="G28" s="7"/>
      <c r="H28" s="4"/>
      <c r="I28" s="4"/>
      <c r="J28" s="4"/>
      <c r="K28" s="4"/>
      <c r="L28" s="4"/>
      <c r="M28" s="4"/>
      <c r="N28" s="4"/>
      <c r="O28" s="4"/>
    </row>
    <row r="29" spans="2:15">
      <c r="B29" s="68"/>
      <c r="C29" s="57" t="s">
        <v>495</v>
      </c>
      <c r="D29" s="201"/>
      <c r="E29" s="201"/>
      <c r="F29" s="4"/>
      <c r="G29" s="7"/>
      <c r="H29" s="4"/>
      <c r="I29" s="4"/>
      <c r="J29" s="4"/>
      <c r="K29" s="4"/>
      <c r="L29" s="4"/>
      <c r="M29" s="4"/>
      <c r="N29" s="4"/>
      <c r="O29" s="4"/>
    </row>
    <row r="30" spans="2:15">
      <c r="B30" s="68"/>
      <c r="C30" s="56"/>
      <c r="D30" s="201"/>
      <c r="E30" s="201"/>
      <c r="F30" s="4"/>
      <c r="G30" s="4"/>
      <c r="H30" s="4"/>
      <c r="I30" s="4"/>
      <c r="J30" s="4"/>
      <c r="K30" s="4"/>
      <c r="L30" s="4"/>
      <c r="M30" s="4"/>
      <c r="N30" s="4"/>
      <c r="O30" s="4"/>
    </row>
    <row r="31" spans="2:15">
      <c r="B31" s="68">
        <v>1</v>
      </c>
      <c r="C31" s="1212" t="s">
        <v>496</v>
      </c>
      <c r="D31" s="1213">
        <v>218440917.87</v>
      </c>
      <c r="E31" s="201"/>
      <c r="F31" s="7"/>
      <c r="G31" s="7"/>
      <c r="H31" s="4"/>
      <c r="I31" s="4"/>
      <c r="J31" s="4"/>
      <c r="K31" s="4"/>
      <c r="L31" s="7"/>
      <c r="M31" s="4"/>
      <c r="N31" s="4"/>
      <c r="O31" s="4"/>
    </row>
    <row r="32" spans="2:15">
      <c r="B32" s="68"/>
      <c r="C32" s="56"/>
      <c r="D32" s="201"/>
      <c r="E32" s="201"/>
      <c r="F32" s="4"/>
      <c r="G32" s="4"/>
      <c r="H32" s="4"/>
      <c r="I32" s="4"/>
      <c r="J32" s="4"/>
      <c r="K32" s="4"/>
      <c r="L32" s="4"/>
      <c r="M32" s="4"/>
      <c r="N32" s="4"/>
      <c r="O32" s="4"/>
    </row>
    <row r="33" spans="2:17">
      <c r="B33" s="68">
        <v>2</v>
      </c>
      <c r="C33" s="56" t="s">
        <v>497</v>
      </c>
      <c r="D33" s="197"/>
      <c r="E33" s="197"/>
      <c r="F33" s="4"/>
      <c r="G33" s="4"/>
      <c r="H33" s="4"/>
      <c r="I33" s="4"/>
      <c r="J33" s="4"/>
      <c r="K33" s="4"/>
      <c r="L33" s="4"/>
      <c r="M33" s="4"/>
      <c r="N33" s="4"/>
      <c r="O33" s="4"/>
    </row>
    <row r="34" spans="2:17">
      <c r="B34" s="70" t="s">
        <v>199</v>
      </c>
      <c r="C34" s="56" t="s">
        <v>1470</v>
      </c>
      <c r="D34" s="1208">
        <f>D17*1/3</f>
        <v>399865</v>
      </c>
      <c r="E34" s="197"/>
      <c r="F34" s="4"/>
      <c r="G34" s="4"/>
      <c r="H34" s="4"/>
      <c r="I34" s="4"/>
      <c r="J34" s="4"/>
      <c r="K34" s="4"/>
      <c r="L34" s="4"/>
      <c r="M34" s="4"/>
      <c r="N34" s="4"/>
      <c r="O34" s="4"/>
    </row>
    <row r="35" spans="2:17">
      <c r="B35" s="70"/>
      <c r="C35" s="56"/>
      <c r="D35" s="202"/>
      <c r="E35" s="197"/>
      <c r="F35" s="29"/>
      <c r="G35" s="28"/>
      <c r="H35" s="4"/>
      <c r="I35" s="4"/>
      <c r="J35" s="4"/>
      <c r="K35" s="4"/>
      <c r="L35" s="4"/>
      <c r="M35" s="4"/>
      <c r="N35" s="4"/>
      <c r="O35" s="4"/>
    </row>
    <row r="36" spans="2:17">
      <c r="B36" s="70" t="s">
        <v>200</v>
      </c>
      <c r="C36" s="56" t="s">
        <v>544</v>
      </c>
      <c r="D36" s="197">
        <v>0</v>
      </c>
      <c r="E36" s="197"/>
      <c r="F36" s="4"/>
      <c r="G36" s="7"/>
      <c r="H36" s="7"/>
      <c r="I36" s="4"/>
      <c r="J36" s="7"/>
      <c r="K36" s="4"/>
      <c r="L36" s="7"/>
      <c r="M36" s="7"/>
      <c r="N36" s="4"/>
      <c r="O36" s="4"/>
    </row>
    <row r="37" spans="2:17">
      <c r="B37" s="70"/>
      <c r="C37" s="56"/>
      <c r="D37" s="197"/>
      <c r="E37" s="202"/>
      <c r="F37" s="4"/>
      <c r="G37" s="4"/>
      <c r="H37" s="7"/>
      <c r="I37" s="4"/>
      <c r="J37" s="4"/>
      <c r="K37" s="4"/>
      <c r="L37" s="4"/>
      <c r="M37" s="4"/>
      <c r="N37" s="4"/>
      <c r="O37" s="4"/>
    </row>
    <row r="38" spans="2:17">
      <c r="B38" s="70" t="s">
        <v>201</v>
      </c>
      <c r="C38" s="56" t="s">
        <v>498</v>
      </c>
      <c r="D38" s="197">
        <v>12631132</v>
      </c>
      <c r="E38" s="203"/>
      <c r="F38" s="4"/>
      <c r="G38" s="4"/>
      <c r="H38" s="7"/>
      <c r="I38" s="4"/>
      <c r="K38" s="4"/>
      <c r="L38" s="4"/>
      <c r="M38" s="4"/>
      <c r="N38" s="4"/>
      <c r="O38" s="4"/>
      <c r="Q38" s="7">
        <f>D38*0.3</f>
        <v>3789339.5999999996</v>
      </c>
    </row>
    <row r="39" spans="2:17">
      <c r="B39" s="68"/>
      <c r="C39" s="56"/>
      <c r="D39" s="202"/>
      <c r="E39" s="201"/>
      <c r="F39" s="4"/>
      <c r="G39" s="4"/>
      <c r="H39" s="26"/>
      <c r="I39" s="4"/>
      <c r="J39" s="4"/>
      <c r="K39" s="4"/>
      <c r="L39" s="4"/>
      <c r="M39" s="4"/>
      <c r="N39" s="4"/>
      <c r="O39" s="4"/>
    </row>
    <row r="40" spans="2:17">
      <c r="B40" s="68"/>
      <c r="C40" s="57" t="s">
        <v>32</v>
      </c>
      <c r="D40" s="197"/>
      <c r="E40" s="201">
        <f>SUM(D29:D40)</f>
        <v>231471914.87</v>
      </c>
      <c r="F40" s="7"/>
      <c r="G40" s="7"/>
      <c r="H40" s="7"/>
      <c r="I40" s="7"/>
      <c r="J40" s="7"/>
      <c r="K40" s="4"/>
      <c r="L40" s="4"/>
      <c r="M40" s="4"/>
      <c r="N40" s="4"/>
      <c r="O40" s="4"/>
    </row>
    <row r="41" spans="2:17">
      <c r="B41" s="68"/>
      <c r="C41" s="68"/>
      <c r="D41" s="197"/>
      <c r="E41" s="197"/>
      <c r="F41" s="4"/>
      <c r="G41" s="4"/>
      <c r="H41" s="4"/>
      <c r="I41" s="4"/>
      <c r="J41" s="7"/>
      <c r="K41" s="4"/>
      <c r="L41" s="4"/>
      <c r="M41" s="4"/>
      <c r="N41" s="4"/>
      <c r="O41" s="4"/>
    </row>
    <row r="42" spans="2:17">
      <c r="B42" s="68"/>
      <c r="C42" s="57" t="s">
        <v>499</v>
      </c>
      <c r="D42" s="197"/>
      <c r="E42" s="197">
        <f>D7+E27-E40</f>
        <v>527178485.49000013</v>
      </c>
      <c r="F42" s="7"/>
      <c r="G42" s="4"/>
      <c r="H42" s="27"/>
      <c r="I42" s="4"/>
      <c r="J42" s="7"/>
      <c r="K42" s="4"/>
      <c r="L42" s="4"/>
      <c r="M42" s="4"/>
      <c r="N42" s="4"/>
      <c r="O42" s="4"/>
    </row>
    <row r="43" spans="2:17">
      <c r="B43" s="68"/>
      <c r="C43" s="68"/>
      <c r="D43" s="197"/>
      <c r="E43" s="201"/>
      <c r="F43" s="7"/>
      <c r="G43" s="4"/>
      <c r="H43" s="4"/>
      <c r="I43" s="4"/>
      <c r="J43" s="4"/>
      <c r="K43" s="4"/>
      <c r="L43" s="4"/>
      <c r="M43" s="4"/>
      <c r="N43" s="4"/>
      <c r="O43" s="4"/>
    </row>
    <row r="44" spans="2:17">
      <c r="B44" s="68"/>
      <c r="C44" s="68" t="s">
        <v>33</v>
      </c>
      <c r="D44" s="197"/>
      <c r="E44" s="881">
        <f>E46-E45</f>
        <v>158153545.64700004</v>
      </c>
      <c r="F44" s="7"/>
      <c r="G44" s="4"/>
      <c r="H44" s="4"/>
      <c r="I44" s="4"/>
      <c r="J44" s="4"/>
      <c r="K44" s="4"/>
      <c r="L44" s="4"/>
      <c r="M44" s="4"/>
      <c r="N44" s="4"/>
      <c r="O44" s="4"/>
    </row>
    <row r="45" spans="2:17">
      <c r="B45" s="68"/>
      <c r="C45" s="68" t="s">
        <v>94</v>
      </c>
      <c r="D45" s="197"/>
      <c r="E45" s="882"/>
      <c r="F45" s="7">
        <f>-E45</f>
        <v>0</v>
      </c>
      <c r="G45" s="4"/>
      <c r="H45" s="4"/>
      <c r="I45" s="4"/>
      <c r="J45" s="4"/>
      <c r="K45" s="4"/>
      <c r="L45" s="4"/>
      <c r="M45" s="4"/>
      <c r="N45" s="4"/>
      <c r="O45" s="4"/>
    </row>
    <row r="46" spans="2:17">
      <c r="B46" s="68"/>
      <c r="C46" s="65" t="s">
        <v>112</v>
      </c>
      <c r="D46" s="204"/>
      <c r="E46" s="883">
        <f>E42*30%</f>
        <v>158153545.64700004</v>
      </c>
      <c r="F46" s="4"/>
      <c r="G46" s="4"/>
      <c r="H46" s="4"/>
      <c r="I46" s="4"/>
      <c r="J46" s="4"/>
      <c r="K46" s="4"/>
      <c r="L46" s="4"/>
      <c r="M46" s="4"/>
      <c r="N46" s="4"/>
      <c r="O46" s="4"/>
    </row>
    <row r="47" spans="2:17">
      <c r="B47" s="68"/>
      <c r="C47" s="68" t="s">
        <v>34</v>
      </c>
      <c r="D47" s="197"/>
      <c r="E47" s="882"/>
      <c r="F47" s="4"/>
      <c r="G47" s="4"/>
      <c r="H47" s="4"/>
      <c r="I47" s="4"/>
      <c r="J47" s="4"/>
      <c r="K47" s="4"/>
      <c r="L47" s="4"/>
      <c r="M47" s="4"/>
      <c r="N47" s="4"/>
      <c r="O47" s="4"/>
    </row>
    <row r="48" spans="2:17">
      <c r="B48" s="68"/>
      <c r="C48" s="68" t="s">
        <v>500</v>
      </c>
      <c r="D48" s="197"/>
      <c r="E48" s="882"/>
      <c r="F48" s="4"/>
      <c r="G48" s="4"/>
      <c r="H48" s="4"/>
      <c r="I48" s="4"/>
      <c r="J48" s="4"/>
      <c r="K48" s="4"/>
      <c r="L48" s="4"/>
      <c r="M48" s="4"/>
      <c r="N48" s="4"/>
      <c r="O48" s="4"/>
    </row>
    <row r="49" spans="2:15">
      <c r="B49" s="68"/>
      <c r="C49" s="68" t="s">
        <v>1055</v>
      </c>
      <c r="D49" s="201"/>
      <c r="E49" s="882"/>
      <c r="F49" s="2"/>
      <c r="G49" s="7"/>
      <c r="H49" s="4"/>
      <c r="I49" s="4"/>
      <c r="J49" s="4"/>
      <c r="K49" s="4"/>
      <c r="L49" s="4"/>
      <c r="M49" s="4"/>
      <c r="N49" s="4"/>
      <c r="O49" s="4"/>
    </row>
    <row r="50" spans="2:15">
      <c r="B50" s="69"/>
      <c r="C50" s="71" t="s">
        <v>1</v>
      </c>
      <c r="D50" s="199"/>
      <c r="E50" s="884"/>
      <c r="F50" s="4"/>
      <c r="G50" s="4"/>
      <c r="H50" s="4"/>
      <c r="I50" s="4"/>
      <c r="J50" s="4"/>
      <c r="K50" s="4"/>
      <c r="L50" s="4"/>
      <c r="M50" s="4"/>
      <c r="N50" s="4"/>
      <c r="O50" s="4"/>
    </row>
    <row r="51" spans="2:15">
      <c r="B51" s="72"/>
      <c r="C51" s="65" t="s">
        <v>35</v>
      </c>
      <c r="D51" s="205"/>
      <c r="E51" s="885">
        <f>E46-E48-E49</f>
        <v>158153545.64700004</v>
      </c>
      <c r="F51" s="4"/>
      <c r="G51" s="4"/>
      <c r="H51" s="4"/>
      <c r="I51" s="4"/>
      <c r="J51" s="4"/>
      <c r="K51" s="4"/>
      <c r="L51" s="4"/>
      <c r="M51" s="4"/>
      <c r="N51" s="4"/>
      <c r="O51" s="4"/>
    </row>
    <row r="52" spans="2:15">
      <c r="F52" s="7"/>
      <c r="G52" s="4"/>
      <c r="H52" s="4"/>
      <c r="I52" s="4"/>
      <c r="J52" s="4"/>
      <c r="K52" s="4"/>
      <c r="L52" s="4"/>
      <c r="M52" s="4"/>
      <c r="N52" s="4"/>
      <c r="O52" s="4"/>
    </row>
    <row r="56" spans="2:15">
      <c r="C56" s="22"/>
    </row>
    <row r="57" spans="2:15">
      <c r="C57" s="3"/>
    </row>
    <row r="58" spans="2:15">
      <c r="C58" s="3"/>
    </row>
    <row r="59" spans="2:15">
      <c r="C59" s="3"/>
      <c r="D59" s="5" t="s">
        <v>1471</v>
      </c>
    </row>
    <row r="60" spans="2:15">
      <c r="C60" s="3"/>
    </row>
    <row r="61" spans="2:15">
      <c r="C61" s="3"/>
    </row>
    <row r="62" spans="2:15">
      <c r="C62" s="22"/>
    </row>
    <row r="63" spans="2:15">
      <c r="C63" s="3"/>
    </row>
    <row r="64" spans="2:15">
      <c r="C64" s="3"/>
    </row>
    <row r="65" spans="3:3">
      <c r="C65" s="3"/>
    </row>
    <row r="66" spans="3:3">
      <c r="C66" s="3"/>
    </row>
    <row r="67" spans="3:3">
      <c r="C67" s="3"/>
    </row>
  </sheetData>
  <mergeCells count="1">
    <mergeCell ref="C2:E2"/>
  </mergeCells>
  <pageMargins left="0.33" right="0.25" top="1" bottom="1" header="0.5" footer="0.5"/>
  <pageSetup scale="81" orientation="portrait" r:id="rId1"/>
</worksheet>
</file>

<file path=xl/worksheets/sheet18.xml><?xml version="1.0" encoding="utf-8"?>
<worksheet xmlns="http://schemas.openxmlformats.org/spreadsheetml/2006/main" xmlns:r="http://schemas.openxmlformats.org/officeDocument/2006/relationships">
  <sheetPr enableFormatConditionsCalculation="0">
    <tabColor rgb="FF00B050"/>
    <pageSetUpPr fitToPage="1"/>
  </sheetPr>
  <dimension ref="A1:K67"/>
  <sheetViews>
    <sheetView showGridLines="0" zoomScaleSheetLayoutView="90" workbookViewId="0">
      <selection activeCell="F10" sqref="F10"/>
    </sheetView>
  </sheetViews>
  <sheetFormatPr defaultColWidth="9.140625" defaultRowHeight="15.75"/>
  <cols>
    <col min="1" max="1" width="3.42578125" style="20" customWidth="1"/>
    <col min="2" max="2" width="52" style="49" customWidth="1"/>
    <col min="3" max="3" width="17.85546875" style="20" bestFit="1" customWidth="1"/>
    <col min="4" max="4" width="19.28515625" style="49" bestFit="1" customWidth="1"/>
    <col min="5" max="5" width="18.140625" style="49" customWidth="1"/>
    <col min="6" max="6" width="19.28515625" style="20" customWidth="1"/>
    <col min="7" max="7" width="18.42578125" style="1284" bestFit="1" customWidth="1"/>
    <col min="8" max="8" width="19.42578125" style="1284" bestFit="1" customWidth="1"/>
    <col min="9" max="9" width="8.85546875" style="1284" bestFit="1" customWidth="1"/>
    <col min="10" max="10" width="19.42578125" style="20" bestFit="1" customWidth="1"/>
    <col min="11" max="11" width="11.7109375" style="20" bestFit="1" customWidth="1"/>
    <col min="12" max="16384" width="9.140625" style="20"/>
  </cols>
  <sheetData>
    <row r="1" spans="1:11" ht="15" customHeight="1">
      <c r="B1" s="1377" t="str">
        <f>'2SFP'!B1</f>
        <v>BHUTAN TELECOM LIMITED</v>
      </c>
      <c r="C1" s="1378"/>
      <c r="D1" s="1378"/>
      <c r="E1" s="1378"/>
      <c r="F1" s="1379"/>
    </row>
    <row r="2" spans="1:11" ht="16.5" customHeight="1">
      <c r="B2" s="1566" t="s">
        <v>1481</v>
      </c>
      <c r="C2" s="1567"/>
      <c r="D2" s="1567"/>
      <c r="E2" s="1567"/>
      <c r="F2" s="1568"/>
      <c r="H2" s="1285"/>
    </row>
    <row r="3" spans="1:11">
      <c r="B3" s="682"/>
      <c r="C3" s="501"/>
      <c r="D3" s="248"/>
      <c r="E3" s="248"/>
      <c r="F3" s="686" t="str">
        <f>'2SFP'!E3</f>
        <v>Amount in Nu.</v>
      </c>
      <c r="H3" s="1285"/>
    </row>
    <row r="4" spans="1:11" s="8" customFormat="1" ht="44.25" customHeight="1">
      <c r="B4" s="271" t="s">
        <v>21</v>
      </c>
      <c r="C4" s="271" t="s">
        <v>69</v>
      </c>
      <c r="D4" s="271" t="s">
        <v>70</v>
      </c>
      <c r="E4" s="272" t="s">
        <v>68</v>
      </c>
      <c r="F4" s="208" t="s">
        <v>36</v>
      </c>
      <c r="G4" s="1286"/>
      <c r="H4" s="1286"/>
      <c r="I4" s="1286"/>
    </row>
    <row r="5" spans="1:11">
      <c r="B5" s="273" t="s">
        <v>1465</v>
      </c>
      <c r="C5" s="276">
        <v>854082000</v>
      </c>
      <c r="D5" s="1091">
        <f>2891943488.05-63.14</f>
        <v>2891943424.9100003</v>
      </c>
      <c r="E5" s="1091">
        <v>92308400</v>
      </c>
      <c r="F5" s="275">
        <f>C5+D5+E5</f>
        <v>3838333824.9100003</v>
      </c>
      <c r="G5" s="1287"/>
      <c r="H5" s="1259"/>
      <c r="I5" s="1287"/>
      <c r="J5" s="45"/>
      <c r="K5" s="46"/>
    </row>
    <row r="6" spans="1:11">
      <c r="B6" s="277" t="s">
        <v>540</v>
      </c>
      <c r="C6" s="257">
        <v>0</v>
      </c>
      <c r="D6" s="1090">
        <v>0</v>
      </c>
      <c r="E6" s="274">
        <v>0</v>
      </c>
      <c r="F6" s="275">
        <f>C6+D6+E6</f>
        <v>0</v>
      </c>
      <c r="G6" s="1287"/>
      <c r="H6" s="1288"/>
      <c r="I6" s="1287"/>
      <c r="J6" s="45"/>
      <c r="K6" s="46"/>
    </row>
    <row r="7" spans="1:11">
      <c r="B7" s="278" t="s">
        <v>1233</v>
      </c>
      <c r="C7" s="257">
        <v>0</v>
      </c>
      <c r="D7" s="1090">
        <f>908021171</f>
        <v>908021171</v>
      </c>
      <c r="E7" s="274">
        <v>0</v>
      </c>
      <c r="F7" s="275">
        <f>C7+D7+E7</f>
        <v>908021171</v>
      </c>
      <c r="G7" s="1288"/>
      <c r="H7" s="1288"/>
      <c r="I7" s="1287"/>
      <c r="J7" s="45"/>
      <c r="K7" s="47"/>
    </row>
    <row r="8" spans="1:11" ht="19.5" customHeight="1">
      <c r="B8" s="278" t="s">
        <v>1234</v>
      </c>
      <c r="C8" s="257">
        <v>0</v>
      </c>
      <c r="D8" s="1090">
        <v>-751592160</v>
      </c>
      <c r="E8" s="1090">
        <v>-92308400</v>
      </c>
      <c r="F8" s="275">
        <f>C8+D8+E8</f>
        <v>-843900560</v>
      </c>
      <c r="G8" s="1289"/>
      <c r="H8" s="1290"/>
      <c r="I8" s="1289"/>
      <c r="J8" s="46"/>
      <c r="K8" s="46"/>
    </row>
    <row r="9" spans="1:11">
      <c r="B9" s="281" t="s">
        <v>1236</v>
      </c>
      <c r="C9" s="257">
        <v>0</v>
      </c>
      <c r="D9" s="1090">
        <f>-99285178.31+66689.69</f>
        <v>-99218488.620000005</v>
      </c>
      <c r="E9" s="274"/>
      <c r="F9" s="275">
        <f>C9+D9+E9</f>
        <v>-99218488.620000005</v>
      </c>
      <c r="G9" s="1287"/>
      <c r="H9" s="1288"/>
      <c r="I9" s="1287"/>
      <c r="J9" s="45"/>
      <c r="K9" s="48"/>
    </row>
    <row r="10" spans="1:11">
      <c r="B10" s="279" t="s">
        <v>541</v>
      </c>
      <c r="C10" s="280">
        <f>SUM(C5:C9)</f>
        <v>854082000</v>
      </c>
      <c r="D10" s="280">
        <f>SUM(D5:D9)</f>
        <v>2949153947.2900004</v>
      </c>
      <c r="E10" s="280">
        <f>SUM(E5:E9)</f>
        <v>0</v>
      </c>
      <c r="F10" s="280">
        <f>SUM(F5:F9)</f>
        <v>3803235947.29</v>
      </c>
      <c r="G10" s="1287"/>
      <c r="H10" s="1288"/>
      <c r="I10" s="1287"/>
      <c r="J10" s="45"/>
      <c r="K10" s="48"/>
    </row>
    <row r="11" spans="1:11" ht="17.25" customHeight="1">
      <c r="B11" s="273" t="s">
        <v>1466</v>
      </c>
      <c r="C11" s="191"/>
      <c r="D11" s="1092"/>
      <c r="E11" s="192"/>
      <c r="F11" s="137">
        <f>C11+D11+E11</f>
        <v>0</v>
      </c>
      <c r="G11" s="1287"/>
      <c r="H11" s="1288"/>
      <c r="I11" s="1287"/>
      <c r="J11" s="45"/>
      <c r="K11" s="48"/>
    </row>
    <row r="12" spans="1:11">
      <c r="B12" s="281" t="s">
        <v>1233</v>
      </c>
      <c r="C12" s="257"/>
      <c r="D12" s="1090">
        <f>'3SOCI'!D36</f>
        <v>361669066.93300009</v>
      </c>
      <c r="E12" s="274"/>
      <c r="F12" s="275">
        <f>C12+D12+E12</f>
        <v>361669066.93300009</v>
      </c>
      <c r="G12" s="1289"/>
      <c r="H12" s="1290"/>
      <c r="I12" s="1289"/>
      <c r="J12" s="46"/>
      <c r="K12" s="46"/>
    </row>
    <row r="13" spans="1:11">
      <c r="A13" s="3"/>
      <c r="B13" s="281" t="s">
        <v>1235</v>
      </c>
      <c r="C13" s="257"/>
      <c r="D13" s="1043"/>
      <c r="E13" s="1090"/>
      <c r="F13" s="275">
        <f>C13+D13+E13</f>
        <v>0</v>
      </c>
      <c r="G13" s="1289"/>
      <c r="H13" s="1289"/>
      <c r="I13" s="1289"/>
      <c r="J13" s="46"/>
      <c r="K13" s="46"/>
    </row>
    <row r="14" spans="1:11" hidden="1">
      <c r="A14" s="3"/>
      <c r="B14" s="281" t="s">
        <v>1132</v>
      </c>
      <c r="C14" s="257"/>
      <c r="D14" s="1043"/>
      <c r="E14" s="274"/>
      <c r="F14" s="275"/>
      <c r="G14" s="1289"/>
      <c r="H14" s="1289"/>
      <c r="I14" s="1289"/>
      <c r="J14" s="46"/>
      <c r="K14" s="46"/>
    </row>
    <row r="15" spans="1:11">
      <c r="A15" s="21"/>
      <c r="B15" s="281" t="s">
        <v>1236</v>
      </c>
      <c r="C15" s="257"/>
      <c r="D15" s="1090"/>
      <c r="E15" s="274"/>
      <c r="F15" s="275">
        <f>SUM(C15:E15)</f>
        <v>0</v>
      </c>
    </row>
    <row r="16" spans="1:11">
      <c r="B16" s="279" t="s">
        <v>1467</v>
      </c>
      <c r="C16" s="258">
        <f>SUM(C10:C15)</f>
        <v>854082000</v>
      </c>
      <c r="D16" s="258">
        <f>SUM(D10:D15)</f>
        <v>3310823014.2230005</v>
      </c>
      <c r="E16" s="258">
        <f>SUM(E10:E15)</f>
        <v>0</v>
      </c>
      <c r="F16" s="258">
        <f>SUM(F10:F15)</f>
        <v>4164905014.223</v>
      </c>
    </row>
    <row r="17" spans="1:9" s="44" customFormat="1">
      <c r="A17" s="3"/>
      <c r="B17" s="687"/>
      <c r="C17" s="30"/>
      <c r="D17" s="514"/>
      <c r="E17" s="515">
        <f>SUM(D16:E16)</f>
        <v>3310823014.2230005</v>
      </c>
      <c r="F17" s="688"/>
      <c r="G17" s="1291"/>
      <c r="H17" s="1291"/>
      <c r="I17" s="1291"/>
    </row>
    <row r="18" spans="1:9">
      <c r="A18" s="3"/>
      <c r="B18" s="687"/>
      <c r="C18" s="3"/>
      <c r="D18" s="516"/>
      <c r="E18" s="517"/>
      <c r="F18" s="689"/>
      <c r="H18" s="1292"/>
    </row>
    <row r="19" spans="1:9">
      <c r="A19" s="3"/>
      <c r="B19" s="687"/>
      <c r="C19" s="3"/>
      <c r="D19" s="517"/>
      <c r="E19" s="516"/>
      <c r="F19" s="690"/>
    </row>
    <row r="20" spans="1:9" s="270" customFormat="1" ht="16.5">
      <c r="A20" s="508"/>
      <c r="B20" s="691" t="str">
        <f>'2SFP'!B61</f>
        <v>For GSA &amp; Associates.</v>
      </c>
      <c r="C20" s="508"/>
      <c r="D20" s="518" t="str">
        <f>'2SFP'!E61</f>
        <v>for and on behalf of board of directors</v>
      </c>
      <c r="F20" s="692"/>
      <c r="G20" s="1293"/>
      <c r="H20" s="1293"/>
      <c r="I20" s="1293"/>
    </row>
    <row r="21" spans="1:9" s="270" customFormat="1">
      <c r="A21" s="508"/>
      <c r="B21" s="693" t="str">
        <f>'2SFP'!B62</f>
        <v>Chartered accountants</v>
      </c>
      <c r="C21" s="508"/>
      <c r="D21" s="519"/>
      <c r="F21" s="692"/>
      <c r="G21" s="1293"/>
      <c r="H21" s="1293"/>
      <c r="I21" s="1293"/>
    </row>
    <row r="22" spans="1:9" s="270" customFormat="1">
      <c r="A22" s="508"/>
      <c r="B22" s="693" t="str">
        <f>'2SFP'!B63</f>
        <v>(Firm Reg. No. 000257N)</v>
      </c>
      <c r="C22" s="508"/>
      <c r="D22" s="519"/>
      <c r="F22" s="694"/>
      <c r="G22" s="1293"/>
      <c r="H22" s="1293"/>
      <c r="I22" s="1293"/>
    </row>
    <row r="23" spans="1:9" s="270" customFormat="1">
      <c r="A23" s="508"/>
      <c r="B23" s="693"/>
      <c r="C23" s="508"/>
      <c r="D23" s="519"/>
      <c r="F23" s="694"/>
      <c r="G23" s="1293"/>
      <c r="H23" s="1293"/>
      <c r="I23" s="1293"/>
    </row>
    <row r="24" spans="1:9" s="270" customFormat="1">
      <c r="A24" s="508"/>
      <c r="B24" s="693"/>
      <c r="C24" s="508"/>
      <c r="D24" s="519"/>
      <c r="F24" s="692"/>
      <c r="G24" s="1293"/>
      <c r="H24" s="1293"/>
      <c r="I24" s="1293"/>
    </row>
    <row r="25" spans="1:9" s="270" customFormat="1" ht="16.5">
      <c r="A25" s="508"/>
      <c r="B25" s="693"/>
      <c r="C25" s="508"/>
      <c r="D25" s="509" t="str">
        <f>'4CF'!E68</f>
        <v>Chairman</v>
      </c>
      <c r="F25" s="692"/>
      <c r="G25" s="1293"/>
      <c r="H25" s="1293"/>
      <c r="I25" s="1293"/>
    </row>
    <row r="26" spans="1:9" s="270" customFormat="1" ht="16.5">
      <c r="A26" s="508"/>
      <c r="B26" s="691" t="str">
        <f>'2SFP'!B67</f>
        <v>Tanuj Chugh</v>
      </c>
      <c r="C26" s="508"/>
      <c r="D26" s="519"/>
      <c r="F26" s="694"/>
      <c r="G26" s="1293"/>
      <c r="H26" s="1293"/>
      <c r="I26" s="1293"/>
    </row>
    <row r="27" spans="1:9" s="270" customFormat="1">
      <c r="A27" s="508"/>
      <c r="B27" s="693" t="str">
        <f>'2SFP'!B68</f>
        <v>Partner</v>
      </c>
      <c r="C27" s="508"/>
      <c r="D27" s="519"/>
      <c r="F27" s="694"/>
      <c r="G27" s="1293"/>
      <c r="H27" s="1293"/>
      <c r="I27" s="1293"/>
    </row>
    <row r="28" spans="1:9" s="270" customFormat="1">
      <c r="A28" s="508"/>
      <c r="B28" s="693" t="str">
        <f>'2SFP'!B69</f>
        <v>M. No. 529619</v>
      </c>
      <c r="C28" s="508"/>
      <c r="D28" s="520"/>
      <c r="F28" s="692"/>
      <c r="G28" s="1293"/>
      <c r="H28" s="1293"/>
      <c r="I28" s="1293"/>
    </row>
    <row r="29" spans="1:9" s="270" customFormat="1">
      <c r="B29" s="693"/>
      <c r="D29" s="521"/>
      <c r="F29" s="695"/>
      <c r="G29" s="1293"/>
      <c r="H29" s="1293"/>
      <c r="I29" s="1293"/>
    </row>
    <row r="30" spans="1:9" s="270" customFormat="1" ht="16.5">
      <c r="B30" s="693" t="str">
        <f>'2SFP'!B71</f>
        <v xml:space="preserve">Place: </v>
      </c>
      <c r="D30" s="510" t="str">
        <f>'4CF'!E72</f>
        <v>Chief Executive Officer</v>
      </c>
      <c r="F30" s="695"/>
      <c r="G30" s="1293"/>
      <c r="H30" s="1293"/>
      <c r="I30" s="1293"/>
    </row>
    <row r="31" spans="1:9" s="270" customFormat="1">
      <c r="B31" s="693" t="str">
        <f>'2SFP'!B72</f>
        <v xml:space="preserve">Date: </v>
      </c>
      <c r="D31" s="521"/>
      <c r="E31" s="521"/>
      <c r="F31" s="695"/>
      <c r="G31" s="1293"/>
      <c r="H31" s="1293"/>
      <c r="I31" s="1293"/>
    </row>
    <row r="32" spans="1:9" s="270" customFormat="1">
      <c r="B32" s="696"/>
      <c r="D32" s="521"/>
      <c r="E32" s="521"/>
      <c r="F32" s="695"/>
      <c r="G32" s="1293"/>
      <c r="H32" s="1293"/>
      <c r="I32" s="1293"/>
    </row>
    <row r="33" spans="2:6">
      <c r="B33" s="851"/>
      <c r="C33" s="700"/>
      <c r="D33" s="701"/>
      <c r="E33" s="701"/>
      <c r="F33" s="702"/>
    </row>
    <row r="34" spans="2:6">
      <c r="B34" s="687"/>
      <c r="F34" s="697"/>
    </row>
    <row r="35" spans="2:6">
      <c r="B35" s="698"/>
      <c r="F35" s="697"/>
    </row>
    <row r="36" spans="2:6">
      <c r="B36" s="698"/>
      <c r="F36" s="697"/>
    </row>
    <row r="37" spans="2:6">
      <c r="B37" s="698"/>
      <c r="F37" s="697"/>
    </row>
    <row r="38" spans="2:6">
      <c r="B38" s="698"/>
      <c r="F38" s="697"/>
    </row>
    <row r="39" spans="2:6">
      <c r="B39" s="698"/>
      <c r="F39" s="697"/>
    </row>
    <row r="40" spans="2:6">
      <c r="B40" s="698"/>
      <c r="F40" s="697"/>
    </row>
    <row r="41" spans="2:6">
      <c r="B41" s="698"/>
      <c r="F41" s="697"/>
    </row>
    <row r="42" spans="2:6">
      <c r="B42" s="698"/>
      <c r="F42" s="697"/>
    </row>
    <row r="43" spans="2:6">
      <c r="B43" s="698"/>
      <c r="F43" s="697"/>
    </row>
    <row r="44" spans="2:6">
      <c r="B44" s="698"/>
      <c r="F44" s="697"/>
    </row>
    <row r="45" spans="2:6">
      <c r="B45" s="698"/>
      <c r="F45" s="697"/>
    </row>
    <row r="46" spans="2:6">
      <c r="B46" s="698"/>
      <c r="F46" s="697"/>
    </row>
    <row r="47" spans="2:6">
      <c r="B47" s="698"/>
      <c r="F47" s="697"/>
    </row>
    <row r="48" spans="2:6">
      <c r="B48" s="698"/>
      <c r="F48" s="697"/>
    </row>
    <row r="49" spans="2:6">
      <c r="B49" s="698"/>
      <c r="F49" s="697"/>
    </row>
    <row r="50" spans="2:6">
      <c r="B50" s="698"/>
      <c r="F50" s="697"/>
    </row>
    <row r="51" spans="2:6">
      <c r="B51" s="698"/>
      <c r="F51" s="697"/>
    </row>
    <row r="52" spans="2:6">
      <c r="B52" s="698"/>
      <c r="F52" s="697"/>
    </row>
    <row r="53" spans="2:6">
      <c r="B53" s="698"/>
      <c r="F53" s="697"/>
    </row>
    <row r="54" spans="2:6">
      <c r="B54" s="698"/>
      <c r="F54" s="697"/>
    </row>
    <row r="55" spans="2:6">
      <c r="B55" s="698"/>
      <c r="F55" s="697"/>
    </row>
    <row r="56" spans="2:6">
      <c r="B56" s="698"/>
      <c r="F56" s="697"/>
    </row>
    <row r="57" spans="2:6">
      <c r="B57" s="698"/>
      <c r="F57" s="697"/>
    </row>
    <row r="58" spans="2:6">
      <c r="B58" s="698"/>
      <c r="F58" s="697"/>
    </row>
    <row r="59" spans="2:6">
      <c r="B59" s="698"/>
      <c r="F59" s="697"/>
    </row>
    <row r="60" spans="2:6">
      <c r="B60" s="698"/>
      <c r="F60" s="697"/>
    </row>
    <row r="61" spans="2:6">
      <c r="B61" s="698"/>
      <c r="F61" s="697"/>
    </row>
    <row r="62" spans="2:6">
      <c r="B62" s="698"/>
      <c r="F62" s="697"/>
    </row>
    <row r="63" spans="2:6">
      <c r="B63" s="698"/>
      <c r="F63" s="697"/>
    </row>
    <row r="64" spans="2:6">
      <c r="B64" s="698"/>
      <c r="F64" s="697"/>
    </row>
    <row r="65" spans="2:6">
      <c r="B65" s="698"/>
      <c r="F65" s="697"/>
    </row>
    <row r="66" spans="2:6">
      <c r="B66" s="698"/>
      <c r="F66" s="697"/>
    </row>
    <row r="67" spans="2:6">
      <c r="B67" s="699"/>
      <c r="C67" s="700"/>
      <c r="D67" s="701"/>
      <c r="E67" s="701"/>
      <c r="F67" s="702"/>
    </row>
  </sheetData>
  <mergeCells count="2">
    <mergeCell ref="B2:F2"/>
    <mergeCell ref="B1:F1"/>
  </mergeCells>
  <pageMargins left="0.95" right="0.51" top="0.56000000000000005" bottom="0.2" header="0.05" footer="0.05"/>
  <pageSetup scale="72" orientation="portrait" r:id="rId1"/>
  <ignoredErrors>
    <ignoredError sqref="F10" formula="1"/>
  </ignoredErrors>
</worksheet>
</file>

<file path=xl/worksheets/sheet19.xml><?xml version="1.0" encoding="utf-8"?>
<worksheet xmlns="http://schemas.openxmlformats.org/spreadsheetml/2006/main" xmlns:r="http://schemas.openxmlformats.org/officeDocument/2006/relationships">
  <sheetPr enableFormatConditionsCalculation="0">
    <tabColor rgb="FF00B050"/>
  </sheetPr>
  <dimension ref="A1:K24"/>
  <sheetViews>
    <sheetView showGridLines="0" workbookViewId="0">
      <selection activeCell="B1" sqref="B1"/>
    </sheetView>
  </sheetViews>
  <sheetFormatPr defaultColWidth="8.85546875" defaultRowHeight="15.75"/>
  <cols>
    <col min="1" max="1" width="5.42578125" style="77" customWidth="1"/>
    <col min="2" max="2" width="129" style="77" customWidth="1"/>
    <col min="3" max="20" width="8.85546875" style="77"/>
    <col min="21" max="21" width="13.85546875" style="77" bestFit="1" customWidth="1"/>
    <col min="22" max="16384" width="8.85546875" style="77"/>
  </cols>
  <sheetData>
    <row r="1" spans="1:11">
      <c r="B1" s="24" t="s">
        <v>0</v>
      </c>
    </row>
    <row r="2" spans="1:11">
      <c r="A2" s="78"/>
      <c r="B2" s="79" t="s">
        <v>1084</v>
      </c>
    </row>
    <row r="3" spans="1:11">
      <c r="B3" s="80" t="s">
        <v>1074</v>
      </c>
      <c r="C3" s="80"/>
      <c r="D3" s="80"/>
      <c r="E3" s="80"/>
      <c r="F3" s="80"/>
    </row>
    <row r="4" spans="1:11" ht="31.5">
      <c r="B4" s="81" t="s">
        <v>1073</v>
      </c>
      <c r="C4" s="81"/>
      <c r="D4" s="81"/>
      <c r="E4" s="82"/>
      <c r="F4" s="82"/>
    </row>
    <row r="5" spans="1:11">
      <c r="B5" s="79" t="s">
        <v>408</v>
      </c>
      <c r="C5" s="79"/>
      <c r="D5" s="79"/>
      <c r="E5" s="79"/>
      <c r="F5" s="79"/>
    </row>
    <row r="6" spans="1:11" ht="31.5">
      <c r="B6" s="83" t="s">
        <v>1075</v>
      </c>
      <c r="C6" s="81"/>
      <c r="D6" s="81"/>
      <c r="E6" s="81"/>
      <c r="F6" s="81"/>
    </row>
    <row r="7" spans="1:11">
      <c r="B7" s="84" t="s">
        <v>1076</v>
      </c>
      <c r="C7" s="85"/>
      <c r="D7" s="85"/>
      <c r="E7" s="85"/>
      <c r="F7" s="85"/>
      <c r="G7" s="85"/>
      <c r="H7" s="85"/>
      <c r="I7" s="85"/>
      <c r="J7" s="85"/>
      <c r="K7" s="85"/>
    </row>
    <row r="8" spans="1:11">
      <c r="B8" s="84" t="s">
        <v>409</v>
      </c>
      <c r="C8" s="85"/>
      <c r="D8" s="85"/>
      <c r="E8" s="85"/>
      <c r="F8" s="85"/>
      <c r="G8" s="85"/>
      <c r="H8" s="85"/>
      <c r="I8" s="85"/>
      <c r="J8" s="85"/>
      <c r="K8" s="85"/>
    </row>
    <row r="9" spans="1:11" ht="47.25">
      <c r="B9" s="86" t="s">
        <v>1077</v>
      </c>
      <c r="C9" s="87"/>
      <c r="D9" s="87"/>
      <c r="E9" s="87"/>
      <c r="F9" s="87"/>
      <c r="G9" s="87"/>
      <c r="H9" s="87"/>
      <c r="I9" s="87"/>
      <c r="J9" s="87"/>
      <c r="K9" s="87"/>
    </row>
    <row r="10" spans="1:11">
      <c r="B10" s="88" t="s">
        <v>1078</v>
      </c>
      <c r="C10" s="88"/>
      <c r="D10" s="88"/>
      <c r="E10" s="88"/>
      <c r="F10" s="88"/>
      <c r="G10" s="88"/>
      <c r="H10" s="88"/>
      <c r="I10" s="88"/>
      <c r="J10" s="88"/>
      <c r="K10" s="88"/>
    </row>
    <row r="11" spans="1:11">
      <c r="B11" s="89" t="s">
        <v>1079</v>
      </c>
    </row>
    <row r="12" spans="1:11">
      <c r="B12" s="89" t="s">
        <v>410</v>
      </c>
    </row>
    <row r="13" spans="1:11" ht="105" customHeight="1">
      <c r="B13" s="90" t="s">
        <v>1080</v>
      </c>
    </row>
    <row r="14" spans="1:11">
      <c r="B14" s="89" t="s">
        <v>411</v>
      </c>
    </row>
    <row r="15" spans="1:11" ht="78.75">
      <c r="B15" s="77" t="s">
        <v>1081</v>
      </c>
    </row>
    <row r="17" spans="2:2">
      <c r="B17" s="89" t="s">
        <v>412</v>
      </c>
    </row>
    <row r="18" spans="2:2" ht="63">
      <c r="B18" s="77" t="s">
        <v>1082</v>
      </c>
    </row>
    <row r="20" spans="2:2">
      <c r="B20" s="89" t="s">
        <v>413</v>
      </c>
    </row>
    <row r="21" spans="2:2" ht="141.75">
      <c r="B21" s="91" t="s">
        <v>1083</v>
      </c>
    </row>
    <row r="23" spans="2:2">
      <c r="B23" s="89" t="s">
        <v>414</v>
      </c>
    </row>
    <row r="24" spans="2:2" ht="47.25">
      <c r="B24" s="77" t="s">
        <v>415</v>
      </c>
    </row>
  </sheetData>
  <pageMargins left="0.95" right="0.26" top="0.56000000000000005" bottom="0.2" header="0.05" footer="0.05"/>
  <pageSetup paperSize="9" scale="90" fitToWidth="0" fitToHeight="0"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theme="4"/>
  </sheetPr>
  <dimension ref="A1:XEU660"/>
  <sheetViews>
    <sheetView showGridLines="0" topLeftCell="A635" workbookViewId="0">
      <selection activeCell="F643" sqref="F643"/>
    </sheetView>
  </sheetViews>
  <sheetFormatPr defaultColWidth="9.140625" defaultRowHeight="15.75"/>
  <cols>
    <col min="1" max="1" width="13.28515625" style="41" bestFit="1" customWidth="1"/>
    <col min="2" max="2" width="48.7109375" style="52" bestFit="1" customWidth="1"/>
    <col min="3" max="4" width="19.42578125" style="40" bestFit="1" customWidth="1"/>
    <col min="5" max="5" width="19.42578125" style="3" bestFit="1" customWidth="1"/>
    <col min="6" max="16384" width="9.140625" style="3"/>
  </cols>
  <sheetData>
    <row r="1" spans="1:4" s="61" customFormat="1" ht="31.5">
      <c r="A1" s="58" t="s">
        <v>141</v>
      </c>
      <c r="B1" s="59" t="s">
        <v>142</v>
      </c>
      <c r="C1" s="60">
        <v>2019</v>
      </c>
      <c r="D1" s="60">
        <v>2018</v>
      </c>
    </row>
    <row r="2" spans="1:4" s="122" customFormat="1">
      <c r="A2" s="1096">
        <v>1101101000</v>
      </c>
      <c r="B2" s="1097" t="s">
        <v>436</v>
      </c>
      <c r="C2" s="1214">
        <f>IFERROR(VLOOKUP(A2,'SAP '!$A$3:$C$14709,3,0),0)</f>
        <v>0</v>
      </c>
      <c r="D2" s="1082">
        <v>0</v>
      </c>
    </row>
    <row r="3" spans="1:4" s="122" customFormat="1">
      <c r="A3" s="1098">
        <v>1101101001</v>
      </c>
      <c r="B3" s="1098" t="s">
        <v>277</v>
      </c>
      <c r="C3" s="1214">
        <f>IFERROR(VLOOKUP(A3,'SAP '!$A$3:$C$14709,3,0),0)</f>
        <v>0</v>
      </c>
      <c r="D3" s="1082">
        <v>1209913.31</v>
      </c>
    </row>
    <row r="4" spans="1:4" s="122" customFormat="1">
      <c r="A4" s="1098">
        <v>1101101002</v>
      </c>
      <c r="B4" s="1098" t="s">
        <v>437</v>
      </c>
      <c r="C4" s="1214">
        <f>IFERROR(VLOOKUP(A4,'SAP '!$A$3:$C$14709,3,0),0)</f>
        <v>0</v>
      </c>
      <c r="D4" s="1082">
        <v>0</v>
      </c>
    </row>
    <row r="5" spans="1:4" s="122" customFormat="1">
      <c r="A5" s="1098">
        <v>1101202000</v>
      </c>
      <c r="B5" s="1098" t="s">
        <v>278</v>
      </c>
      <c r="C5" s="1214">
        <f>IFERROR(VLOOKUP(A5,'SAP '!$A$3:$C$14709,3,0),0)</f>
        <v>0</v>
      </c>
      <c r="D5" s="1082">
        <v>0</v>
      </c>
    </row>
    <row r="6" spans="1:4" s="122" customFormat="1">
      <c r="A6" s="1098">
        <v>1101202002</v>
      </c>
      <c r="B6" s="1098" t="s">
        <v>279</v>
      </c>
      <c r="C6" s="1214">
        <f>IFERROR(VLOOKUP(A6,'SAP '!$A$3:$C$14709,3,0),0)</f>
        <v>0</v>
      </c>
      <c r="D6" s="1082">
        <v>0</v>
      </c>
    </row>
    <row r="7" spans="1:4" s="122" customFormat="1">
      <c r="A7" s="1098">
        <v>1101202010</v>
      </c>
      <c r="B7" s="1098" t="s">
        <v>280</v>
      </c>
      <c r="C7" s="1214">
        <f>IFERROR(VLOOKUP(A7,'SAP '!$A$3:$C$14709,3,0),0)</f>
        <v>352044804.61000001</v>
      </c>
      <c r="D7" s="1082">
        <v>262775503.93000001</v>
      </c>
    </row>
    <row r="8" spans="1:4" s="122" customFormat="1">
      <c r="A8" s="1098">
        <v>1101202011</v>
      </c>
      <c r="B8" s="1098" t="s">
        <v>281</v>
      </c>
      <c r="C8" s="1214">
        <f>IFERROR(VLOOKUP(A8,'SAP '!$A$3:$C$14709,3,0),0)</f>
        <v>26078.33</v>
      </c>
      <c r="D8" s="1082">
        <v>14338774.9</v>
      </c>
    </row>
    <row r="9" spans="1:4" s="122" customFormat="1">
      <c r="A9" s="1098">
        <v>1101202012</v>
      </c>
      <c r="B9" s="1098" t="s">
        <v>282</v>
      </c>
      <c r="C9" s="1214">
        <f>IFERROR(VLOOKUP(A9,'SAP '!$A$3:$C$14709,3,0),0)</f>
        <v>-3152053.44</v>
      </c>
      <c r="D9" s="1082">
        <v>-32979256.289999999</v>
      </c>
    </row>
    <row r="10" spans="1:4" s="122" customFormat="1">
      <c r="A10" s="1098">
        <v>1101202020</v>
      </c>
      <c r="B10" s="1098" t="s">
        <v>283</v>
      </c>
      <c r="C10" s="1214">
        <f>IFERROR(VLOOKUP(A10,'SAP '!$A$3:$C$14709,3,0),0)</f>
        <v>1028723.35</v>
      </c>
      <c r="D10" s="1082">
        <v>20335290.899999999</v>
      </c>
    </row>
    <row r="11" spans="1:4" s="122" customFormat="1">
      <c r="A11" s="1098">
        <v>1101202021</v>
      </c>
      <c r="B11" s="1098" t="s">
        <v>417</v>
      </c>
      <c r="C11" s="1214">
        <f>IFERROR(VLOOKUP(A11,'SAP '!$A$3:$C$14709,3,0),0)</f>
        <v>0</v>
      </c>
      <c r="D11" s="1082">
        <v>0</v>
      </c>
    </row>
    <row r="12" spans="1:4" s="122" customFormat="1">
      <c r="A12" s="1098">
        <v>1101202022</v>
      </c>
      <c r="B12" s="1098" t="s">
        <v>284</v>
      </c>
      <c r="C12" s="1214">
        <f>IFERROR(VLOOKUP(A12,'SAP '!$A$3:$C$14709,3,0),0)</f>
        <v>-4000</v>
      </c>
      <c r="D12" s="1082">
        <v>-19083464</v>
      </c>
    </row>
    <row r="13" spans="1:4" s="122" customFormat="1">
      <c r="A13" s="1098">
        <v>1101202030</v>
      </c>
      <c r="B13" s="1098" t="s">
        <v>285</v>
      </c>
      <c r="C13" s="1214">
        <f>IFERROR(VLOOKUP(A13,'SAP '!$A$3:$C$14709,3,0),0)</f>
        <v>-164297179.88</v>
      </c>
      <c r="D13" s="1082">
        <v>5023601.2300000004</v>
      </c>
    </row>
    <row r="14" spans="1:4" s="122" customFormat="1">
      <c r="A14" s="1098">
        <v>1101202031</v>
      </c>
      <c r="B14" s="1098" t="s">
        <v>438</v>
      </c>
      <c r="C14" s="1214">
        <f>IFERROR(VLOOKUP(A14,'SAP '!$A$3:$C$14709,3,0),0)</f>
        <v>169018581.09</v>
      </c>
      <c r="D14" s="1082">
        <v>0</v>
      </c>
    </row>
    <row r="15" spans="1:4" s="122" customFormat="1">
      <c r="A15" s="1098">
        <v>1101202032</v>
      </c>
      <c r="B15" s="1098" t="s">
        <v>439</v>
      </c>
      <c r="C15" s="1214">
        <f>IFERROR(VLOOKUP(A15,'SAP '!$A$3:$C$14709,3,0),0)</f>
        <v>0</v>
      </c>
      <c r="D15" s="1082">
        <v>0</v>
      </c>
    </row>
    <row r="16" spans="1:4" s="122" customFormat="1">
      <c r="A16" s="1098">
        <v>1101202040</v>
      </c>
      <c r="B16" s="1098" t="s">
        <v>286</v>
      </c>
      <c r="C16" s="1214">
        <f>IFERROR(VLOOKUP(A16,'SAP '!$A$3:$C$14709,3,0),0)</f>
        <v>15288800.060000001</v>
      </c>
      <c r="D16" s="1082">
        <v>15288800.060000001</v>
      </c>
    </row>
    <row r="17" spans="1:4" s="122" customFormat="1">
      <c r="A17" s="1098">
        <v>1101202041</v>
      </c>
      <c r="B17" s="1098" t="s">
        <v>440</v>
      </c>
      <c r="C17" s="1214">
        <f>IFERROR(VLOOKUP(A17,'SAP '!$A$3:$C$14709,3,0),0)</f>
        <v>4027370.32</v>
      </c>
      <c r="D17" s="1082">
        <v>0</v>
      </c>
    </row>
    <row r="18" spans="1:4" s="122" customFormat="1">
      <c r="A18" s="1098">
        <v>1101202042</v>
      </c>
      <c r="B18" s="1098" t="s">
        <v>441</v>
      </c>
      <c r="C18" s="1214">
        <f>IFERROR(VLOOKUP(A18,'SAP '!$A$3:$C$14709,3,0),0)</f>
        <v>0</v>
      </c>
      <c r="D18" s="1082">
        <v>0</v>
      </c>
    </row>
    <row r="19" spans="1:4" s="122" customFormat="1">
      <c r="A19" s="1098">
        <v>1101202050</v>
      </c>
      <c r="B19" s="1098" t="s">
        <v>442</v>
      </c>
      <c r="C19" s="1214">
        <f>IFERROR(VLOOKUP(A19,'SAP '!$A$3:$C$14709,3,0),0)</f>
        <v>0</v>
      </c>
      <c r="D19" s="1082">
        <v>0</v>
      </c>
    </row>
    <row r="20" spans="1:4" s="122" customFormat="1">
      <c r="A20" s="1098">
        <v>1101202051</v>
      </c>
      <c r="B20" s="1098" t="s">
        <v>443</v>
      </c>
      <c r="C20" s="1214">
        <f>IFERROR(VLOOKUP(A20,'SAP '!$A$3:$C$14709,3,0),0)</f>
        <v>0</v>
      </c>
      <c r="D20" s="1082">
        <v>0</v>
      </c>
    </row>
    <row r="21" spans="1:4" s="122" customFormat="1">
      <c r="A21" s="1098">
        <v>1101202052</v>
      </c>
      <c r="B21" s="1098" t="s">
        <v>444</v>
      </c>
      <c r="C21" s="1214">
        <f>IFERROR(VLOOKUP(A21,'SAP '!$A$3:$C$14709,3,0),0)</f>
        <v>0</v>
      </c>
      <c r="D21" s="1082">
        <v>0</v>
      </c>
    </row>
    <row r="22" spans="1:4" s="122" customFormat="1">
      <c r="A22" s="1098">
        <v>1101202060</v>
      </c>
      <c r="B22" s="1098" t="s">
        <v>287</v>
      </c>
      <c r="C22" s="1214">
        <f>IFERROR(VLOOKUP(A22,'SAP '!$A$3:$C$14709,3,0),0)</f>
        <v>1581339.46</v>
      </c>
      <c r="D22" s="1082">
        <v>633637.36</v>
      </c>
    </row>
    <row r="23" spans="1:4" s="122" customFormat="1">
      <c r="A23" s="1098">
        <v>1101202061</v>
      </c>
      <c r="B23" s="1098" t="s">
        <v>445</v>
      </c>
      <c r="C23" s="1214">
        <f>IFERROR(VLOOKUP(A23,'SAP '!$A$3:$C$14709,3,0),0)</f>
        <v>0</v>
      </c>
      <c r="D23" s="1082">
        <v>0</v>
      </c>
    </row>
    <row r="24" spans="1:4" s="122" customFormat="1">
      <c r="A24" s="1098">
        <v>1101202062</v>
      </c>
      <c r="B24" s="1098" t="s">
        <v>446</v>
      </c>
      <c r="C24" s="1214">
        <f>IFERROR(VLOOKUP(A24,'SAP '!$A$3:$C$14709,3,0),0)</f>
        <v>0</v>
      </c>
      <c r="D24" s="1082">
        <v>0</v>
      </c>
    </row>
    <row r="25" spans="1:4" s="122" customFormat="1">
      <c r="A25" s="1098">
        <v>1101202070</v>
      </c>
      <c r="B25" s="1098" t="s">
        <v>288</v>
      </c>
      <c r="C25" s="1214">
        <f>IFERROR(VLOOKUP(A25,'SAP '!$A$3:$C$14709,3,0),0)</f>
        <v>27970212.170000002</v>
      </c>
      <c r="D25" s="1082">
        <v>27635654.760000002</v>
      </c>
    </row>
    <row r="26" spans="1:4" s="122" customFormat="1">
      <c r="A26" s="1098">
        <v>1101202071</v>
      </c>
      <c r="B26" s="1098" t="s">
        <v>418</v>
      </c>
      <c r="C26" s="1214">
        <f>IFERROR(VLOOKUP(A26,'SAP '!$A$3:$C$14709,3,0),0)</f>
        <v>0</v>
      </c>
      <c r="D26" s="1082">
        <v>0</v>
      </c>
    </row>
    <row r="27" spans="1:4" s="122" customFormat="1">
      <c r="A27" s="1098">
        <v>1101202072</v>
      </c>
      <c r="B27" s="1098" t="s">
        <v>447</v>
      </c>
      <c r="C27" s="1214">
        <f>IFERROR(VLOOKUP(A27,'SAP '!$A$3:$C$14709,3,0),0)</f>
        <v>0</v>
      </c>
      <c r="D27" s="1082">
        <v>0</v>
      </c>
    </row>
    <row r="28" spans="1:4" s="122" customFormat="1">
      <c r="A28" s="1098">
        <v>1101202080</v>
      </c>
      <c r="B28" s="1098" t="s">
        <v>289</v>
      </c>
      <c r="C28" s="1214">
        <f>IFERROR(VLOOKUP(A28,'SAP '!$A$3:$C$14709,3,0),0)</f>
        <v>359391795.06999999</v>
      </c>
      <c r="D28" s="1082">
        <v>301580424.23000002</v>
      </c>
    </row>
    <row r="29" spans="1:4" s="122" customFormat="1">
      <c r="A29" s="1098">
        <v>1101202081</v>
      </c>
      <c r="B29" s="1098" t="s">
        <v>702</v>
      </c>
      <c r="C29" s="1214">
        <f>IFERROR(VLOOKUP(A29,'SAP '!$A$3:$C$14709,3,0),0)</f>
        <v>25614.17</v>
      </c>
      <c r="D29" s="1082">
        <v>3603857.28</v>
      </c>
    </row>
    <row r="30" spans="1:4" s="122" customFormat="1">
      <c r="A30" s="1098">
        <v>1101202082</v>
      </c>
      <c r="B30" s="1098" t="s">
        <v>703</v>
      </c>
      <c r="C30" s="1214">
        <f>IFERROR(VLOOKUP(A30,'SAP '!$A$3:$C$14709,3,0),0)</f>
        <v>-17123244.289999999</v>
      </c>
      <c r="D30" s="1082">
        <v>-19893660.829999998</v>
      </c>
    </row>
    <row r="31" spans="1:4" s="122" customFormat="1">
      <c r="A31" s="1098">
        <v>1101202090</v>
      </c>
      <c r="B31" s="1098" t="s">
        <v>704</v>
      </c>
      <c r="C31" s="1214">
        <f>IFERROR(VLOOKUP(A31,'SAP '!$A$3:$C$14709,3,0),0)</f>
        <v>1000</v>
      </c>
      <c r="D31" s="1082">
        <v>1000</v>
      </c>
    </row>
    <row r="32" spans="1:4" s="122" customFormat="1">
      <c r="A32" s="1098">
        <v>1101202091</v>
      </c>
      <c r="B32" s="1098" t="s">
        <v>866</v>
      </c>
      <c r="C32" s="1214">
        <f>IFERROR(VLOOKUP(A32,'SAP '!$A$3:$C$14709,3,0),0)</f>
        <v>0</v>
      </c>
      <c r="D32" s="1082">
        <v>0</v>
      </c>
    </row>
    <row r="33" spans="1:4" s="122" customFormat="1">
      <c r="A33" s="1098">
        <v>1101202092</v>
      </c>
      <c r="B33" s="1098" t="s">
        <v>871</v>
      </c>
      <c r="C33" s="1214">
        <f>IFERROR(VLOOKUP(A33,'SAP '!$A$3:$C$14709,3,0),0)</f>
        <v>0</v>
      </c>
      <c r="D33" s="1082">
        <v>0</v>
      </c>
    </row>
    <row r="34" spans="1:4" s="122" customFormat="1">
      <c r="A34" s="1098">
        <v>1101202100</v>
      </c>
      <c r="B34" s="1098" t="s">
        <v>705</v>
      </c>
      <c r="C34" s="1214">
        <f>IFERROR(VLOOKUP(A34,'SAP '!$A$3:$C$14709,3,0),0)</f>
        <v>13447</v>
      </c>
      <c r="D34" s="1082">
        <v>13447</v>
      </c>
    </row>
    <row r="35" spans="1:4" s="122" customFormat="1">
      <c r="A35" s="1098">
        <v>1101202101</v>
      </c>
      <c r="B35" s="1098" t="s">
        <v>706</v>
      </c>
      <c r="C35" s="1214">
        <f>IFERROR(VLOOKUP(A35,'SAP '!$A$3:$C$14709,3,0),0)</f>
        <v>303719</v>
      </c>
      <c r="D35" s="1082">
        <v>73238</v>
      </c>
    </row>
    <row r="36" spans="1:4" s="122" customFormat="1">
      <c r="A36" s="1098">
        <v>1101202102</v>
      </c>
      <c r="B36" s="1098" t="s">
        <v>861</v>
      </c>
      <c r="C36" s="1214">
        <f>IFERROR(VLOOKUP(A36,'SAP '!$A$3:$C$14709,3,0),0)</f>
        <v>-237228</v>
      </c>
      <c r="D36" s="1082">
        <v>0</v>
      </c>
    </row>
    <row r="37" spans="1:4" s="122" customFormat="1">
      <c r="A37" s="1098">
        <v>1101202110</v>
      </c>
      <c r="B37" s="1098" t="s">
        <v>707</v>
      </c>
      <c r="C37" s="1214">
        <f>IFERROR(VLOOKUP(A37,'SAP '!$A$3:$C$14709,3,0),0)</f>
        <v>1000</v>
      </c>
      <c r="D37" s="1082">
        <v>1000</v>
      </c>
    </row>
    <row r="38" spans="1:4" s="122" customFormat="1">
      <c r="A38" s="1098">
        <v>1101202111</v>
      </c>
      <c r="B38" s="1098" t="s">
        <v>708</v>
      </c>
      <c r="C38" s="1214">
        <f>IFERROR(VLOOKUP(A38,'SAP '!$A$3:$C$14709,3,0),0)</f>
        <v>0</v>
      </c>
      <c r="D38" s="1082">
        <v>0</v>
      </c>
    </row>
    <row r="39" spans="1:4" s="122" customFormat="1">
      <c r="A39" s="1098">
        <v>1101202112</v>
      </c>
      <c r="B39" s="1098" t="s">
        <v>862</v>
      </c>
      <c r="C39" s="1214">
        <f>IFERROR(VLOOKUP(A39,'SAP '!$A$3:$C$14709,3,0),0)</f>
        <v>0</v>
      </c>
      <c r="D39" s="1082">
        <v>0</v>
      </c>
    </row>
    <row r="40" spans="1:4" s="122" customFormat="1">
      <c r="A40" s="1098">
        <v>1101202120</v>
      </c>
      <c r="B40" s="1098" t="s">
        <v>709</v>
      </c>
      <c r="C40" s="1214">
        <f>IFERROR(VLOOKUP(A40,'SAP '!$A$3:$C$14709,3,0),0)</f>
        <v>564872.13</v>
      </c>
      <c r="D40" s="1082">
        <v>819407.91</v>
      </c>
    </row>
    <row r="41" spans="1:4" s="122" customFormat="1">
      <c r="A41" s="1098">
        <v>1101202121</v>
      </c>
      <c r="B41" s="1098" t="s">
        <v>710</v>
      </c>
      <c r="C41" s="1214">
        <f>IFERROR(VLOOKUP(A41,'SAP '!$A$3:$C$14709,3,0),0)</f>
        <v>377582.36</v>
      </c>
      <c r="D41" s="1082">
        <v>29405.85</v>
      </c>
    </row>
    <row r="42" spans="1:4" s="122" customFormat="1">
      <c r="A42" s="1098">
        <v>1101202122</v>
      </c>
      <c r="B42" s="1098" t="s">
        <v>883</v>
      </c>
      <c r="C42" s="1214">
        <f>IFERROR(VLOOKUP(A42,'SAP '!$A$3:$C$14709,3,0),0)</f>
        <v>0</v>
      </c>
      <c r="D42" s="1082">
        <v>0</v>
      </c>
    </row>
    <row r="43" spans="1:4" s="122" customFormat="1">
      <c r="A43" s="1098">
        <v>1101202130</v>
      </c>
      <c r="B43" s="1098" t="s">
        <v>711</v>
      </c>
      <c r="C43" s="1214">
        <f>IFERROR(VLOOKUP(A43,'SAP '!$A$3:$C$14709,3,0),0)</f>
        <v>1000</v>
      </c>
      <c r="D43" s="1082">
        <v>22458.38</v>
      </c>
    </row>
    <row r="44" spans="1:4" s="122" customFormat="1">
      <c r="A44" s="1098">
        <v>1101202131</v>
      </c>
      <c r="B44" s="1098" t="s">
        <v>867</v>
      </c>
      <c r="C44" s="1214">
        <f>IFERROR(VLOOKUP(A44,'SAP '!$A$3:$C$14709,3,0),0)</f>
        <v>71113.98</v>
      </c>
      <c r="D44" s="1082">
        <v>1598.62</v>
      </c>
    </row>
    <row r="45" spans="1:4" s="122" customFormat="1">
      <c r="A45" s="1098">
        <v>1101202132</v>
      </c>
      <c r="B45" s="1098" t="s">
        <v>884</v>
      </c>
      <c r="C45" s="1214">
        <f>IFERROR(VLOOKUP(A45,'SAP '!$A$3:$C$14709,3,0),0)</f>
        <v>-14305</v>
      </c>
      <c r="D45" s="1082">
        <v>0</v>
      </c>
    </row>
    <row r="46" spans="1:4" s="122" customFormat="1">
      <c r="A46" s="1099">
        <v>1101202140</v>
      </c>
      <c r="B46" s="1099" t="s">
        <v>1049</v>
      </c>
      <c r="C46" s="1214">
        <f>IFERROR(VLOOKUP(A46,'SAP '!$A$3:$C$14709,3,0),0)</f>
        <v>2077701.5</v>
      </c>
      <c r="D46" s="1082">
        <v>0</v>
      </c>
    </row>
    <row r="47" spans="1:4" s="122" customFormat="1">
      <c r="A47" s="1100">
        <v>1101202141</v>
      </c>
      <c r="B47" s="1099" t="s">
        <v>1043</v>
      </c>
      <c r="C47" s="1214">
        <f>IFERROR(VLOOKUP(A47,'SAP '!$A$3:$C$14709,3,0),0)</f>
        <v>995561</v>
      </c>
      <c r="D47" s="1082">
        <v>506387</v>
      </c>
    </row>
    <row r="48" spans="1:4" s="122" customFormat="1">
      <c r="A48" s="1100">
        <v>1101202142</v>
      </c>
      <c r="B48" s="1099" t="s">
        <v>1050</v>
      </c>
      <c r="C48" s="1214">
        <f>IFERROR(VLOOKUP(A48,'SAP '!$A$3:$C$14709,3,0),0)</f>
        <v>-542324.56000000006</v>
      </c>
      <c r="D48" s="1082">
        <v>0</v>
      </c>
    </row>
    <row r="49" spans="1:4" s="122" customFormat="1">
      <c r="A49" s="1098">
        <v>1101203000</v>
      </c>
      <c r="B49" s="1098" t="s">
        <v>712</v>
      </c>
      <c r="C49" s="1214">
        <f>IFERROR(VLOOKUP(A49,'SAP '!$A$3:$C$14709,3,0),0)</f>
        <v>96827.5</v>
      </c>
      <c r="D49" s="1082">
        <v>134885</v>
      </c>
    </row>
    <row r="50" spans="1:4" s="122" customFormat="1">
      <c r="A50" s="1098">
        <v>1101203001</v>
      </c>
      <c r="B50" s="1098" t="s">
        <v>713</v>
      </c>
      <c r="C50" s="1214">
        <f>IFERROR(VLOOKUP(A50,'SAP '!$A$3:$C$14709,3,0),0)</f>
        <v>708188.25</v>
      </c>
      <c r="D50" s="1082">
        <v>604031</v>
      </c>
    </row>
    <row r="51" spans="1:4" s="122" customFormat="1">
      <c r="A51" s="1098">
        <v>1101203002</v>
      </c>
      <c r="B51" s="1098" t="s">
        <v>885</v>
      </c>
      <c r="C51" s="1214">
        <f>IFERROR(VLOOKUP(A51,'SAP '!$A$3:$C$14709,3,0),0)</f>
        <v>0</v>
      </c>
      <c r="D51" s="1082">
        <v>0</v>
      </c>
    </row>
    <row r="52" spans="1:4" s="122" customFormat="1">
      <c r="A52" s="1098">
        <v>1101203010</v>
      </c>
      <c r="B52" s="1098" t="s">
        <v>714</v>
      </c>
      <c r="C52" s="1214">
        <f>IFERROR(VLOOKUP(A52,'SAP '!$A$3:$C$14709,3,0),0)</f>
        <v>35643</v>
      </c>
      <c r="D52" s="1082">
        <v>2148880.91</v>
      </c>
    </row>
    <row r="53" spans="1:4" s="122" customFormat="1">
      <c r="A53" s="1098">
        <v>1101203011</v>
      </c>
      <c r="B53" s="1098" t="s">
        <v>715</v>
      </c>
      <c r="C53" s="1214">
        <f>IFERROR(VLOOKUP(A53,'SAP '!$A$3:$C$14709,3,0),0)</f>
        <v>49822.44</v>
      </c>
      <c r="D53" s="1082">
        <v>254948.79</v>
      </c>
    </row>
    <row r="54" spans="1:4" s="122" customFormat="1">
      <c r="A54" s="1098">
        <v>1101203012</v>
      </c>
      <c r="B54" s="1098" t="s">
        <v>886</v>
      </c>
      <c r="C54" s="1214">
        <f>IFERROR(VLOOKUP(A54,'SAP '!$A$3:$C$14709,3,0),0)</f>
        <v>0</v>
      </c>
      <c r="D54" s="1082">
        <v>0</v>
      </c>
    </row>
    <row r="55" spans="1:4" s="122" customFormat="1">
      <c r="A55" s="1098">
        <v>1101203020</v>
      </c>
      <c r="B55" s="1098" t="s">
        <v>716</v>
      </c>
      <c r="C55" s="1214">
        <f>IFERROR(VLOOKUP(A55,'SAP '!$A$3:$C$14709,3,0),0)</f>
        <v>0</v>
      </c>
      <c r="D55" s="1082">
        <v>0</v>
      </c>
    </row>
    <row r="56" spans="1:4" s="122" customFormat="1">
      <c r="A56" s="1098">
        <v>1101203021</v>
      </c>
      <c r="B56" s="1098" t="s">
        <v>717</v>
      </c>
      <c r="C56" s="1214">
        <f>IFERROR(VLOOKUP(A56,'SAP '!$A$3:$C$14709,3,0),0)</f>
        <v>0</v>
      </c>
      <c r="D56" s="1082">
        <v>0</v>
      </c>
    </row>
    <row r="57" spans="1:4" s="122" customFormat="1">
      <c r="A57" s="1098">
        <v>1101203022</v>
      </c>
      <c r="B57" s="1098" t="s">
        <v>887</v>
      </c>
      <c r="C57" s="1214">
        <f>IFERROR(VLOOKUP(A57,'SAP '!$A$3:$C$14709,3,0),0)</f>
        <v>0</v>
      </c>
      <c r="D57" s="1082">
        <v>0</v>
      </c>
    </row>
    <row r="58" spans="1:4" s="122" customFormat="1">
      <c r="A58" s="1098">
        <v>1101203030</v>
      </c>
      <c r="B58" s="1098" t="s">
        <v>718</v>
      </c>
      <c r="C58" s="1214">
        <f>IFERROR(VLOOKUP(A58,'SAP '!$A$3:$C$14709,3,0),0)</f>
        <v>24631</v>
      </c>
      <c r="D58" s="1082">
        <v>1000</v>
      </c>
    </row>
    <row r="59" spans="1:4" s="122" customFormat="1">
      <c r="A59" s="1098">
        <v>1101203031</v>
      </c>
      <c r="B59" s="1098" t="s">
        <v>872</v>
      </c>
      <c r="C59" s="1214">
        <f>IFERROR(VLOOKUP(A59,'SAP '!$A$3:$C$14709,3,0),0)</f>
        <v>0</v>
      </c>
      <c r="D59" s="1082">
        <v>0</v>
      </c>
    </row>
    <row r="60" spans="1:4" s="122" customFormat="1">
      <c r="A60" s="1098">
        <v>1101203032</v>
      </c>
      <c r="B60" s="1098" t="s">
        <v>873</v>
      </c>
      <c r="C60" s="1214">
        <f>IFERROR(VLOOKUP(A60,'SAP '!$A$3:$C$14709,3,0),0)</f>
        <v>0</v>
      </c>
      <c r="D60" s="1082">
        <v>0</v>
      </c>
    </row>
    <row r="61" spans="1:4" s="122" customFormat="1">
      <c r="A61" s="1098">
        <v>1101203040</v>
      </c>
      <c r="B61" s="1098" t="s">
        <v>719</v>
      </c>
      <c r="C61" s="1214">
        <f>IFERROR(VLOOKUP(A61,'SAP '!$A$3:$C$14709,3,0),0)</f>
        <v>243915.5</v>
      </c>
      <c r="D61" s="1082">
        <v>43161.5</v>
      </c>
    </row>
    <row r="62" spans="1:4" s="122" customFormat="1">
      <c r="A62" s="1098">
        <v>1101203041</v>
      </c>
      <c r="B62" s="1098" t="s">
        <v>720</v>
      </c>
      <c r="C62" s="1214">
        <f>IFERROR(VLOOKUP(A62,'SAP '!$A$3:$C$14709,3,0),0)</f>
        <v>211403.5</v>
      </c>
      <c r="D62" s="1082">
        <v>47310.5</v>
      </c>
    </row>
    <row r="63" spans="1:4" s="122" customFormat="1">
      <c r="A63" s="1098">
        <v>1101203042</v>
      </c>
      <c r="B63" s="1098" t="s">
        <v>888</v>
      </c>
      <c r="C63" s="1214">
        <f>IFERROR(VLOOKUP(A63,'SAP '!$A$3:$C$14709,3,0),0)</f>
        <v>0</v>
      </c>
      <c r="D63" s="1082">
        <v>0</v>
      </c>
    </row>
    <row r="64" spans="1:4" s="122" customFormat="1">
      <c r="A64" s="1098">
        <v>1101203050</v>
      </c>
      <c r="B64" s="1101" t="s">
        <v>721</v>
      </c>
      <c r="C64" s="1214">
        <f>IFERROR(VLOOKUP(A64,'SAP '!$A$3:$C$14709,3,0),0)</f>
        <v>13626</v>
      </c>
      <c r="D64" s="1082">
        <v>50139</v>
      </c>
    </row>
    <row r="65" spans="1:4" s="122" customFormat="1">
      <c r="A65" s="1098">
        <v>1101203051</v>
      </c>
      <c r="B65" s="1098" t="s">
        <v>722</v>
      </c>
      <c r="C65" s="1214">
        <f>IFERROR(VLOOKUP(A65,'SAP '!$A$3:$C$14709,3,0),0)</f>
        <v>0.66</v>
      </c>
      <c r="D65" s="1082">
        <v>1616.66</v>
      </c>
    </row>
    <row r="66" spans="1:4" s="122" customFormat="1">
      <c r="A66" s="1098">
        <v>1101203052</v>
      </c>
      <c r="B66" s="1098" t="s">
        <v>889</v>
      </c>
      <c r="C66" s="1214">
        <f>IFERROR(VLOOKUP(A66,'SAP '!$A$3:$C$14709,3,0),0)</f>
        <v>0</v>
      </c>
      <c r="D66" s="1082">
        <v>0</v>
      </c>
    </row>
    <row r="67" spans="1:4" s="122" customFormat="1">
      <c r="A67" s="1098">
        <v>1101203060</v>
      </c>
      <c r="B67" s="1098" t="s">
        <v>723</v>
      </c>
      <c r="C67" s="1214">
        <f>IFERROR(VLOOKUP(A67,'SAP '!$A$3:$C$14709,3,0),0)</f>
        <v>185549</v>
      </c>
      <c r="D67" s="1082">
        <v>444797.75</v>
      </c>
    </row>
    <row r="68" spans="1:4" s="122" customFormat="1">
      <c r="A68" s="1098">
        <v>1101203061</v>
      </c>
      <c r="B68" s="1098" t="s">
        <v>724</v>
      </c>
      <c r="C68" s="1214">
        <f>IFERROR(VLOOKUP(A68,'SAP '!$A$3:$C$14709,3,0),0)</f>
        <v>314191.87</v>
      </c>
      <c r="D68" s="1082">
        <v>4278</v>
      </c>
    </row>
    <row r="69" spans="1:4" s="122" customFormat="1">
      <c r="A69" s="1098">
        <v>1101203062</v>
      </c>
      <c r="B69" s="1098" t="s">
        <v>890</v>
      </c>
      <c r="C69" s="1214">
        <f>IFERROR(VLOOKUP(A69,'SAP '!$A$3:$C$14709,3,0),0)</f>
        <v>0</v>
      </c>
      <c r="D69" s="1082">
        <v>0</v>
      </c>
    </row>
    <row r="70" spans="1:4" s="122" customFormat="1">
      <c r="A70" s="1098">
        <v>1101203070</v>
      </c>
      <c r="B70" s="1098" t="s">
        <v>725</v>
      </c>
      <c r="C70" s="1214">
        <f>IFERROR(VLOOKUP(A70,'SAP '!$A$3:$C$14709,3,0),0)</f>
        <v>48664</v>
      </c>
      <c r="D70" s="1082">
        <v>89585</v>
      </c>
    </row>
    <row r="71" spans="1:4" s="122" customFormat="1">
      <c r="A71" s="1098">
        <v>1101203071</v>
      </c>
      <c r="B71" s="1098" t="s">
        <v>726</v>
      </c>
      <c r="C71" s="1214">
        <f>IFERROR(VLOOKUP(A71,'SAP '!$A$3:$C$14709,3,0),0)</f>
        <v>0</v>
      </c>
      <c r="D71" s="1082">
        <v>19685</v>
      </c>
    </row>
    <row r="72" spans="1:4" s="122" customFormat="1">
      <c r="A72" s="1098">
        <v>1101203072</v>
      </c>
      <c r="B72" s="1098" t="s">
        <v>874</v>
      </c>
      <c r="C72" s="1214">
        <f>IFERROR(VLOOKUP(A72,'SAP '!$A$3:$C$14709,3,0),0)</f>
        <v>0</v>
      </c>
      <c r="D72" s="1082">
        <v>0</v>
      </c>
    </row>
    <row r="73" spans="1:4" s="122" customFormat="1">
      <c r="A73" s="1098">
        <v>1101203080</v>
      </c>
      <c r="B73" s="1098" t="s">
        <v>891</v>
      </c>
      <c r="C73" s="1214">
        <f>IFERROR(VLOOKUP(A73,'SAP '!$A$3:$C$14709,3,0),0)</f>
        <v>0</v>
      </c>
      <c r="D73" s="1082">
        <v>0</v>
      </c>
    </row>
    <row r="74" spans="1:4" s="122" customFormat="1">
      <c r="A74" s="1098">
        <v>1101203081</v>
      </c>
      <c r="B74" s="1098" t="s">
        <v>892</v>
      </c>
      <c r="C74" s="1214">
        <f>IFERROR(VLOOKUP(A74,'SAP '!$A$3:$C$14709,3,0),0)</f>
        <v>0</v>
      </c>
      <c r="D74" s="1082">
        <v>0</v>
      </c>
    </row>
    <row r="75" spans="1:4" s="122" customFormat="1">
      <c r="A75" s="1098">
        <v>1101203082</v>
      </c>
      <c r="B75" s="1098" t="s">
        <v>893</v>
      </c>
      <c r="C75" s="1214">
        <f>IFERROR(VLOOKUP(A75,'SAP '!$A$3:$C$14709,3,0),0)</f>
        <v>0</v>
      </c>
      <c r="D75" s="1082">
        <v>0</v>
      </c>
    </row>
    <row r="76" spans="1:4" s="122" customFormat="1">
      <c r="A76" s="1098">
        <v>1101203090</v>
      </c>
      <c r="B76" s="1098" t="s">
        <v>894</v>
      </c>
      <c r="C76" s="1214">
        <f>IFERROR(VLOOKUP(A76,'SAP '!$A$3:$C$14709,3,0),0)</f>
        <v>0</v>
      </c>
      <c r="D76" s="1082">
        <v>0</v>
      </c>
    </row>
    <row r="77" spans="1:4" s="122" customFormat="1">
      <c r="A77" s="1098">
        <v>1101203091</v>
      </c>
      <c r="B77" s="1098" t="s">
        <v>895</v>
      </c>
      <c r="C77" s="1214">
        <f>IFERROR(VLOOKUP(A77,'SAP '!$A$3:$C$14709,3,0),0)</f>
        <v>0</v>
      </c>
      <c r="D77" s="1082">
        <v>0</v>
      </c>
    </row>
    <row r="78" spans="1:4" s="122" customFormat="1">
      <c r="A78" s="1098">
        <v>1101203092</v>
      </c>
      <c r="B78" s="1098" t="s">
        <v>896</v>
      </c>
      <c r="C78" s="1214">
        <f>IFERROR(VLOOKUP(A78,'SAP '!$A$3:$C$14709,3,0),0)</f>
        <v>0</v>
      </c>
      <c r="D78" s="1082">
        <v>0</v>
      </c>
    </row>
    <row r="79" spans="1:4" s="122" customFormat="1">
      <c r="A79" s="1098">
        <v>1101203100</v>
      </c>
      <c r="B79" s="1098" t="s">
        <v>897</v>
      </c>
      <c r="C79" s="1214">
        <f>IFERROR(VLOOKUP(A79,'SAP '!$A$3:$C$14709,3,0),0)</f>
        <v>0</v>
      </c>
      <c r="D79" s="1082">
        <v>0</v>
      </c>
    </row>
    <row r="80" spans="1:4" s="122" customFormat="1">
      <c r="A80" s="1098">
        <v>1101203101</v>
      </c>
      <c r="B80" s="1098" t="s">
        <v>898</v>
      </c>
      <c r="C80" s="1214">
        <f>IFERROR(VLOOKUP(A80,'SAP '!$A$3:$C$14709,3,0),0)</f>
        <v>0</v>
      </c>
      <c r="D80" s="1082">
        <v>0</v>
      </c>
    </row>
    <row r="81" spans="1:4" s="122" customFormat="1">
      <c r="A81" s="1098">
        <v>1101203102</v>
      </c>
      <c r="B81" s="1098" t="s">
        <v>899</v>
      </c>
      <c r="C81" s="1214">
        <f>IFERROR(VLOOKUP(A81,'SAP '!$A$3:$C$14709,3,0),0)</f>
        <v>0</v>
      </c>
      <c r="D81" s="1082">
        <v>0</v>
      </c>
    </row>
    <row r="82" spans="1:4" s="122" customFormat="1">
      <c r="A82" s="1098">
        <v>1101203110</v>
      </c>
      <c r="B82" s="1098" t="s">
        <v>900</v>
      </c>
      <c r="C82" s="1214">
        <f>IFERROR(VLOOKUP(A82,'SAP '!$A$3:$C$14709,3,0),0)</f>
        <v>0</v>
      </c>
      <c r="D82" s="1082">
        <v>0</v>
      </c>
    </row>
    <row r="83" spans="1:4" s="122" customFormat="1">
      <c r="A83" s="1098">
        <v>1101203111</v>
      </c>
      <c r="B83" s="1098" t="s">
        <v>901</v>
      </c>
      <c r="C83" s="1214">
        <f>IFERROR(VLOOKUP(A83,'SAP '!$A$3:$C$14709,3,0),0)</f>
        <v>0</v>
      </c>
      <c r="D83" s="1082">
        <v>0</v>
      </c>
    </row>
    <row r="84" spans="1:4" s="122" customFormat="1">
      <c r="A84" s="1098">
        <v>1101203112</v>
      </c>
      <c r="B84" s="1098" t="s">
        <v>902</v>
      </c>
      <c r="C84" s="1214">
        <f>IFERROR(VLOOKUP(A84,'SAP '!$A$3:$C$14709,3,0),0)</f>
        <v>0</v>
      </c>
      <c r="D84" s="1082">
        <v>0</v>
      </c>
    </row>
    <row r="85" spans="1:4" s="122" customFormat="1">
      <c r="A85" s="1098">
        <v>1101203120</v>
      </c>
      <c r="B85" s="1098" t="s">
        <v>903</v>
      </c>
      <c r="C85" s="1214">
        <f>IFERROR(VLOOKUP(A85,'SAP '!$A$3:$C$14709,3,0),0)</f>
        <v>0</v>
      </c>
      <c r="D85" s="1082">
        <v>0</v>
      </c>
    </row>
    <row r="86" spans="1:4" s="122" customFormat="1">
      <c r="A86" s="1098">
        <v>1101203121</v>
      </c>
      <c r="B86" s="1098" t="s">
        <v>904</v>
      </c>
      <c r="C86" s="1214">
        <f>IFERROR(VLOOKUP(A86,'SAP '!$A$3:$C$14709,3,0),0)</f>
        <v>0</v>
      </c>
      <c r="D86" s="1082">
        <v>0</v>
      </c>
    </row>
    <row r="87" spans="1:4" s="122" customFormat="1">
      <c r="A87" s="1098">
        <v>1101203122</v>
      </c>
      <c r="B87" s="1098" t="s">
        <v>905</v>
      </c>
      <c r="C87" s="1214">
        <f>IFERROR(VLOOKUP(A87,'SAP '!$A$3:$C$14709,3,0),0)</f>
        <v>0</v>
      </c>
      <c r="D87" s="1082">
        <v>0</v>
      </c>
    </row>
    <row r="88" spans="1:4" s="122" customFormat="1">
      <c r="A88" s="1098">
        <v>1101203130</v>
      </c>
      <c r="B88" s="1098" t="s">
        <v>728</v>
      </c>
      <c r="C88" s="1214">
        <f>IFERROR(VLOOKUP(A88,'SAP '!$A$3:$C$14709,3,0),0)</f>
        <v>0</v>
      </c>
      <c r="D88" s="1082">
        <v>0</v>
      </c>
    </row>
    <row r="89" spans="1:4" s="122" customFormat="1">
      <c r="A89" s="1098">
        <v>1101203131</v>
      </c>
      <c r="B89" s="1098" t="s">
        <v>729</v>
      </c>
      <c r="C89" s="1214">
        <f>IFERROR(VLOOKUP(A89,'SAP '!$A$3:$C$14709,3,0),0)</f>
        <v>0</v>
      </c>
      <c r="D89" s="1082">
        <v>0</v>
      </c>
    </row>
    <row r="90" spans="1:4" s="122" customFormat="1">
      <c r="A90" s="1098">
        <v>1101203132</v>
      </c>
      <c r="B90" s="1098" t="s">
        <v>906</v>
      </c>
      <c r="C90" s="1214">
        <f>IFERROR(VLOOKUP(A90,'SAP '!$A$3:$C$14709,3,0),0)</f>
        <v>0</v>
      </c>
      <c r="D90" s="1082">
        <v>0</v>
      </c>
    </row>
    <row r="91" spans="1:4" s="122" customFormat="1">
      <c r="A91" s="1098">
        <v>1101203140</v>
      </c>
      <c r="B91" s="1098" t="s">
        <v>907</v>
      </c>
      <c r="C91" s="1214">
        <f>IFERROR(VLOOKUP(A91,'SAP '!$A$3:$C$14709,3,0),0)</f>
        <v>0</v>
      </c>
      <c r="D91" s="1082">
        <v>0</v>
      </c>
    </row>
    <row r="92" spans="1:4" s="122" customFormat="1">
      <c r="A92" s="1098">
        <v>1101203141</v>
      </c>
      <c r="B92" s="1098" t="s">
        <v>908</v>
      </c>
      <c r="C92" s="1214">
        <f>IFERROR(VLOOKUP(A92,'SAP '!$A$3:$C$14709,3,0),0)</f>
        <v>0</v>
      </c>
      <c r="D92" s="1082">
        <v>0</v>
      </c>
    </row>
    <row r="93" spans="1:4" s="122" customFormat="1">
      <c r="A93" s="1098">
        <v>1101203142</v>
      </c>
      <c r="B93" s="1098" t="s">
        <v>909</v>
      </c>
      <c r="C93" s="1214">
        <f>IFERROR(VLOOKUP(A93,'SAP '!$A$3:$C$14709,3,0),0)</f>
        <v>0</v>
      </c>
      <c r="D93" s="1082">
        <v>0</v>
      </c>
    </row>
    <row r="94" spans="1:4" s="122" customFormat="1">
      <c r="A94" s="1098">
        <v>1101203150</v>
      </c>
      <c r="B94" s="1098" t="s">
        <v>728</v>
      </c>
      <c r="C94" s="1214">
        <f>IFERROR(VLOOKUP(A94,'SAP '!$A$3:$C$14709,3,0),0)</f>
        <v>0</v>
      </c>
      <c r="D94" s="1082">
        <v>0</v>
      </c>
    </row>
    <row r="95" spans="1:4" s="122" customFormat="1">
      <c r="A95" s="1098">
        <v>1101203151</v>
      </c>
      <c r="B95" s="1098" t="s">
        <v>729</v>
      </c>
      <c r="C95" s="1214">
        <f>IFERROR(VLOOKUP(A95,'SAP '!$A$3:$C$14709,3,0),0)</f>
        <v>0</v>
      </c>
      <c r="D95" s="1082">
        <v>0</v>
      </c>
    </row>
    <row r="96" spans="1:4" s="122" customFormat="1">
      <c r="A96" s="1098">
        <v>1101203152</v>
      </c>
      <c r="B96" s="1098" t="s">
        <v>906</v>
      </c>
      <c r="C96" s="1214">
        <f>IFERROR(VLOOKUP(A96,'SAP '!$A$3:$C$14709,3,0),0)</f>
        <v>0</v>
      </c>
      <c r="D96" s="1082">
        <v>0</v>
      </c>
    </row>
    <row r="97" spans="1:4" s="122" customFormat="1">
      <c r="A97" s="1098">
        <v>1101203160</v>
      </c>
      <c r="B97" s="1098" t="s">
        <v>727</v>
      </c>
      <c r="C97" s="1214">
        <f>IFERROR(VLOOKUP(A97,'SAP '!$A$3:$C$14709,3,0),0)</f>
        <v>76282</v>
      </c>
      <c r="D97" s="1082">
        <v>1000</v>
      </c>
    </row>
    <row r="98" spans="1:4" s="122" customFormat="1">
      <c r="A98" s="1098">
        <v>1101203161</v>
      </c>
      <c r="B98" s="1098" t="s">
        <v>1040</v>
      </c>
      <c r="C98" s="1214">
        <f>IFERROR(VLOOKUP(A98,'SAP '!$A$3:$C$14709,3,0),0)</f>
        <v>0</v>
      </c>
      <c r="D98" s="1082">
        <v>0</v>
      </c>
    </row>
    <row r="99" spans="1:4" s="122" customFormat="1">
      <c r="A99" s="1098">
        <v>1101203162</v>
      </c>
      <c r="B99" s="1098" t="s">
        <v>914</v>
      </c>
      <c r="C99" s="1214">
        <f>IFERROR(VLOOKUP(A99,'SAP '!$A$3:$C$14709,3,0),0)</f>
        <v>0</v>
      </c>
      <c r="D99" s="1082">
        <v>0</v>
      </c>
    </row>
    <row r="100" spans="1:4" s="122" customFormat="1">
      <c r="A100" s="1098">
        <v>1101203170</v>
      </c>
      <c r="B100" s="1098" t="s">
        <v>728</v>
      </c>
      <c r="C100" s="1214">
        <f>IFERROR(VLOOKUP(A100,'SAP '!$A$3:$C$14709,3,0),0)</f>
        <v>0</v>
      </c>
      <c r="D100" s="1082">
        <v>0</v>
      </c>
    </row>
    <row r="101" spans="1:4" s="122" customFormat="1">
      <c r="A101" s="1098">
        <v>1101203171</v>
      </c>
      <c r="B101" s="1098" t="s">
        <v>729</v>
      </c>
      <c r="C101" s="1214">
        <f>IFERROR(VLOOKUP(A101,'SAP '!$A$3:$C$14709,3,0),0)</f>
        <v>0</v>
      </c>
      <c r="D101" s="1082">
        <v>0</v>
      </c>
    </row>
    <row r="102" spans="1:4" s="122" customFormat="1">
      <c r="A102" s="1098">
        <v>1101203172</v>
      </c>
      <c r="B102" s="1098" t="s">
        <v>906</v>
      </c>
      <c r="C102" s="1214">
        <f>IFERROR(VLOOKUP(A102,'SAP '!$A$3:$C$14709,3,0),0)</f>
        <v>0</v>
      </c>
      <c r="D102" s="1082">
        <v>0</v>
      </c>
    </row>
    <row r="103" spans="1:4" s="122" customFormat="1">
      <c r="A103" s="1098">
        <v>1101203180</v>
      </c>
      <c r="B103" s="1098" t="s">
        <v>730</v>
      </c>
      <c r="C103" s="1214">
        <f>IFERROR(VLOOKUP(A103,'SAP '!$A$3:$C$14709,3,0),0)</f>
        <v>1000</v>
      </c>
      <c r="D103" s="1082">
        <v>15013</v>
      </c>
    </row>
    <row r="104" spans="1:4" s="122" customFormat="1">
      <c r="A104" s="1098">
        <v>1101203181</v>
      </c>
      <c r="B104" s="1098" t="s">
        <v>731</v>
      </c>
      <c r="C104" s="1214">
        <f>IFERROR(VLOOKUP(A104,'SAP '!$A$3:$C$14709,3,0),0)</f>
        <v>2213</v>
      </c>
      <c r="D104" s="1082">
        <v>0</v>
      </c>
    </row>
    <row r="105" spans="1:4" s="122" customFormat="1">
      <c r="A105" s="1098">
        <v>1101203182</v>
      </c>
      <c r="B105" s="1098" t="s">
        <v>910</v>
      </c>
      <c r="C105" s="1214">
        <f>IFERROR(VLOOKUP(A105,'SAP '!$A$3:$C$14709,3,0),0)</f>
        <v>0</v>
      </c>
      <c r="D105" s="1082">
        <v>0</v>
      </c>
    </row>
    <row r="106" spans="1:4" s="122" customFormat="1">
      <c r="A106" s="1102">
        <v>1101203190</v>
      </c>
      <c r="B106" s="1098" t="s">
        <v>732</v>
      </c>
      <c r="C106" s="1214">
        <f>IFERROR(VLOOKUP(A106,'SAP '!$A$3:$C$14709,3,0),0)</f>
        <v>5027</v>
      </c>
      <c r="D106" s="1082">
        <v>242339</v>
      </c>
    </row>
    <row r="107" spans="1:4" s="122" customFormat="1">
      <c r="A107" s="1102">
        <v>1101203191</v>
      </c>
      <c r="B107" s="1098" t="s">
        <v>868</v>
      </c>
      <c r="C107" s="1214">
        <f>IFERROR(VLOOKUP(A107,'SAP '!$A$3:$C$14709,3,0),0)</f>
        <v>446</v>
      </c>
      <c r="D107" s="1082">
        <v>0</v>
      </c>
    </row>
    <row r="108" spans="1:4" s="122" customFormat="1">
      <c r="A108" s="1102">
        <v>1101203192</v>
      </c>
      <c r="B108" s="1098" t="s">
        <v>911</v>
      </c>
      <c r="C108" s="1214">
        <f>IFERROR(VLOOKUP(A108,'SAP '!$A$3:$C$14709,3,0),0)</f>
        <v>0</v>
      </c>
      <c r="D108" s="1082">
        <v>0</v>
      </c>
    </row>
    <row r="109" spans="1:4" s="122" customFormat="1">
      <c r="A109" s="1102">
        <v>1101203210</v>
      </c>
      <c r="B109" s="1098" t="s">
        <v>733</v>
      </c>
      <c r="C109" s="1214">
        <f>IFERROR(VLOOKUP(A109,'SAP '!$A$3:$C$14709,3,0),0)</f>
        <v>1000</v>
      </c>
      <c r="D109" s="1082">
        <v>1000</v>
      </c>
    </row>
    <row r="110" spans="1:4" s="122" customFormat="1">
      <c r="A110" s="1102">
        <v>1101203211</v>
      </c>
      <c r="B110" s="1098" t="s">
        <v>734</v>
      </c>
      <c r="C110" s="1214">
        <f>IFERROR(VLOOKUP(A110,'SAP '!$A$3:$C$14709,3,0),0)</f>
        <v>6780</v>
      </c>
      <c r="D110" s="1082">
        <v>40233</v>
      </c>
    </row>
    <row r="111" spans="1:4" s="122" customFormat="1">
      <c r="A111" s="1102">
        <v>1101203220</v>
      </c>
      <c r="B111" s="1098" t="s">
        <v>735</v>
      </c>
      <c r="C111" s="1214">
        <f>IFERROR(VLOOKUP(A111,'SAP '!$A$3:$C$14709,3,0),0)</f>
        <v>24581</v>
      </c>
      <c r="D111" s="1082">
        <v>68646</v>
      </c>
    </row>
    <row r="112" spans="1:4" s="122" customFormat="1">
      <c r="A112" s="1102">
        <v>1101203221</v>
      </c>
      <c r="B112" s="1098" t="s">
        <v>736</v>
      </c>
      <c r="C112" s="1214">
        <f>IFERROR(VLOOKUP(A112,'SAP '!$A$3:$C$14709,3,0),0)</f>
        <v>347725.75</v>
      </c>
      <c r="D112" s="1082">
        <v>17145</v>
      </c>
    </row>
    <row r="113" spans="1:4" s="122" customFormat="1">
      <c r="A113" s="1102">
        <v>1101203222</v>
      </c>
      <c r="B113" s="1098" t="s">
        <v>875</v>
      </c>
      <c r="C113" s="1214">
        <f>IFERROR(VLOOKUP(A113,'SAP '!$A$3:$C$14709,3,0),0)</f>
        <v>0</v>
      </c>
      <c r="D113" s="1082">
        <v>0</v>
      </c>
    </row>
    <row r="114" spans="1:4" s="122" customFormat="1">
      <c r="A114" s="1098">
        <v>1101203230</v>
      </c>
      <c r="B114" s="1098" t="s">
        <v>564</v>
      </c>
      <c r="C114" s="1214">
        <f>IFERROR(VLOOKUP(A114,'SAP '!$A$3:$C$14709,3,0),0)</f>
        <v>78313</v>
      </c>
      <c r="D114" s="1082">
        <v>35656</v>
      </c>
    </row>
    <row r="115" spans="1:4" s="122" customFormat="1">
      <c r="A115" s="1098">
        <v>1101203231</v>
      </c>
      <c r="B115" s="1098" t="s">
        <v>565</v>
      </c>
      <c r="C115" s="1214">
        <f>IFERROR(VLOOKUP(A115,'SAP '!$A$3:$C$14709,3,0),0)</f>
        <v>72047</v>
      </c>
      <c r="D115" s="1082">
        <v>26226</v>
      </c>
    </row>
    <row r="116" spans="1:4" s="122" customFormat="1">
      <c r="A116" s="1098">
        <v>1101203232</v>
      </c>
      <c r="B116" s="1098" t="s">
        <v>566</v>
      </c>
      <c r="C116" s="1214">
        <f>IFERROR(VLOOKUP(A116,'SAP '!$A$3:$C$14709,3,0),0)</f>
        <v>0</v>
      </c>
      <c r="D116" s="1082">
        <v>0</v>
      </c>
    </row>
    <row r="117" spans="1:4" s="122" customFormat="1">
      <c r="A117" s="1098">
        <v>1101203240</v>
      </c>
      <c r="B117" s="1098" t="s">
        <v>737</v>
      </c>
      <c r="C117" s="1214">
        <f>IFERROR(VLOOKUP(A117,'SAP '!$A$3:$C$14709,3,0),0)</f>
        <v>403397</v>
      </c>
      <c r="D117" s="1082">
        <v>894284.75</v>
      </c>
    </row>
    <row r="118" spans="1:4" s="122" customFormat="1">
      <c r="A118" s="1098">
        <v>1101203241</v>
      </c>
      <c r="B118" s="1098" t="s">
        <v>738</v>
      </c>
      <c r="C118" s="1214">
        <f>IFERROR(VLOOKUP(A118,'SAP '!$A$3:$C$14709,3,0),0)</f>
        <v>353566</v>
      </c>
      <c r="D118" s="1082">
        <v>43945</v>
      </c>
    </row>
    <row r="119" spans="1:4" s="122" customFormat="1">
      <c r="A119" s="1098">
        <v>1101203242</v>
      </c>
      <c r="B119" s="1098" t="s">
        <v>864</v>
      </c>
      <c r="C119" s="1214">
        <f>IFERROR(VLOOKUP(A119,'SAP '!$A$3:$C$14709,3,0),0)</f>
        <v>0</v>
      </c>
      <c r="D119" s="1082">
        <v>0</v>
      </c>
    </row>
    <row r="120" spans="1:4" s="122" customFormat="1">
      <c r="A120" s="1098">
        <v>1101203250</v>
      </c>
      <c r="B120" s="1098" t="s">
        <v>739</v>
      </c>
      <c r="C120" s="1214">
        <f>IFERROR(VLOOKUP(A120,'SAP '!$A$3:$C$14709,3,0),0)</f>
        <v>2077155.37</v>
      </c>
      <c r="D120" s="1082">
        <v>144014.22</v>
      </c>
    </row>
    <row r="121" spans="1:4" s="122" customFormat="1">
      <c r="A121" s="1098">
        <v>1101203251</v>
      </c>
      <c r="B121" s="1098" t="s">
        <v>863</v>
      </c>
      <c r="C121" s="1214">
        <f>IFERROR(VLOOKUP(A121,'SAP '!$A$3:$C$14709,3,0),0)</f>
        <v>-493999.07</v>
      </c>
      <c r="D121" s="1082">
        <v>2500000</v>
      </c>
    </row>
    <row r="122" spans="1:4" s="122" customFormat="1">
      <c r="A122" s="1098">
        <v>1101203252</v>
      </c>
      <c r="B122" s="1098" t="s">
        <v>740</v>
      </c>
      <c r="C122" s="1214">
        <f>IFERROR(VLOOKUP(A122,'SAP '!$A$3:$C$14709,3,0),0)</f>
        <v>-3283735</v>
      </c>
      <c r="D122" s="1082">
        <v>-2759863.76</v>
      </c>
    </row>
    <row r="123" spans="1:4" s="122" customFormat="1">
      <c r="A123" s="1098">
        <v>1101204000</v>
      </c>
      <c r="B123" s="1098" t="s">
        <v>741</v>
      </c>
      <c r="C123" s="1214">
        <f>IFERROR(VLOOKUP(A123,'SAP '!$A$3:$C$14709,3,0),0)</f>
        <v>769753</v>
      </c>
      <c r="D123" s="1082">
        <v>15968290.59</v>
      </c>
    </row>
    <row r="124" spans="1:4" s="122" customFormat="1">
      <c r="A124" s="1098">
        <v>1101204001</v>
      </c>
      <c r="B124" s="1098" t="s">
        <v>742</v>
      </c>
      <c r="C124" s="1214">
        <f>IFERROR(VLOOKUP(A124,'SAP '!$A$3:$C$14709,3,0),0)</f>
        <v>512453</v>
      </c>
      <c r="D124" s="1082">
        <v>1046088</v>
      </c>
    </row>
    <row r="125" spans="1:4" s="122" customFormat="1">
      <c r="A125" s="1098">
        <v>1101204002</v>
      </c>
      <c r="B125" s="1098" t="s">
        <v>915</v>
      </c>
      <c r="C125" s="1214">
        <f>IFERROR(VLOOKUP(A125,'SAP '!$A$3:$C$14709,3,0),0)</f>
        <v>0</v>
      </c>
      <c r="D125" s="1082">
        <v>0</v>
      </c>
    </row>
    <row r="126" spans="1:4" s="122" customFormat="1">
      <c r="A126" s="1098">
        <v>1101204010</v>
      </c>
      <c r="B126" s="1098" t="s">
        <v>743</v>
      </c>
      <c r="C126" s="1214">
        <f>IFERROR(VLOOKUP(A126,'SAP '!$A$3:$C$14709,3,0),0)</f>
        <v>25609</v>
      </c>
      <c r="D126" s="1082">
        <v>241716.05</v>
      </c>
    </row>
    <row r="127" spans="1:4" s="122" customFormat="1">
      <c r="A127" s="1098">
        <v>1101204011</v>
      </c>
      <c r="B127" s="1098" t="s">
        <v>744</v>
      </c>
      <c r="C127" s="1214">
        <f>IFERROR(VLOOKUP(A127,'SAP '!$A$3:$C$14709,3,0),0)</f>
        <v>43798</v>
      </c>
      <c r="D127" s="1082">
        <v>33257</v>
      </c>
    </row>
    <row r="128" spans="1:4" s="122" customFormat="1">
      <c r="A128" s="1098">
        <v>1101204012</v>
      </c>
      <c r="B128" s="1098" t="s">
        <v>916</v>
      </c>
      <c r="C128" s="1214">
        <f>IFERROR(VLOOKUP(A128,'SAP '!$A$3:$C$14709,3,0),0)</f>
        <v>0</v>
      </c>
      <c r="D128" s="1082">
        <v>0</v>
      </c>
    </row>
    <row r="129" spans="1:4" s="122" customFormat="1">
      <c r="A129" s="1098">
        <v>1101204020</v>
      </c>
      <c r="B129" s="1098" t="s">
        <v>745</v>
      </c>
      <c r="C129" s="1214">
        <f>IFERROR(VLOOKUP(A129,'SAP '!$A$3:$C$14709,3,0),0)</f>
        <v>0</v>
      </c>
      <c r="D129" s="1082">
        <v>0</v>
      </c>
    </row>
    <row r="130" spans="1:4" s="122" customFormat="1">
      <c r="A130" s="1098">
        <v>1101204021</v>
      </c>
      <c r="B130" s="1098" t="s">
        <v>917</v>
      </c>
      <c r="C130" s="1214">
        <f>IFERROR(VLOOKUP(A130,'SAP '!$A$3:$C$14709,3,0),0)</f>
        <v>0</v>
      </c>
      <c r="D130" s="1082">
        <v>0</v>
      </c>
    </row>
    <row r="131" spans="1:4" s="122" customFormat="1">
      <c r="A131" s="1098">
        <v>1101204022</v>
      </c>
      <c r="B131" s="1098" t="s">
        <v>918</v>
      </c>
      <c r="C131" s="1214">
        <f>IFERROR(VLOOKUP(A131,'SAP '!$A$3:$C$14709,3,0),0)</f>
        <v>0</v>
      </c>
      <c r="D131" s="1082">
        <v>0</v>
      </c>
    </row>
    <row r="132" spans="1:4" s="122" customFormat="1">
      <c r="A132" s="1098">
        <v>1101204030</v>
      </c>
      <c r="B132" s="1098" t="s">
        <v>746</v>
      </c>
      <c r="C132" s="1214">
        <f>IFERROR(VLOOKUP(A132,'SAP '!$A$3:$C$14709,3,0),0)</f>
        <v>1000</v>
      </c>
      <c r="D132" s="1082">
        <v>1000</v>
      </c>
    </row>
    <row r="133" spans="1:4" s="122" customFormat="1">
      <c r="A133" s="1098">
        <v>1101204031</v>
      </c>
      <c r="B133" s="1098" t="s">
        <v>747</v>
      </c>
      <c r="C133" s="1214">
        <f>IFERROR(VLOOKUP(A133,'SAP '!$A$3:$C$14709,3,0),0)</f>
        <v>46599</v>
      </c>
      <c r="D133" s="1082">
        <v>10871</v>
      </c>
    </row>
    <row r="134" spans="1:4" s="122" customFormat="1">
      <c r="A134" s="1098">
        <v>1101204032</v>
      </c>
      <c r="B134" s="1098" t="s">
        <v>919</v>
      </c>
      <c r="C134" s="1214">
        <f>IFERROR(VLOOKUP(A134,'SAP '!$A$3:$C$14709,3,0),0)</f>
        <v>0</v>
      </c>
      <c r="D134" s="1082">
        <v>0</v>
      </c>
    </row>
    <row r="135" spans="1:4" s="122" customFormat="1">
      <c r="A135" s="1098">
        <v>1101204040</v>
      </c>
      <c r="B135" s="1098" t="s">
        <v>748</v>
      </c>
      <c r="C135" s="1214">
        <f>IFERROR(VLOOKUP(A135,'SAP '!$A$3:$C$14709,3,0),0)</f>
        <v>29533</v>
      </c>
      <c r="D135" s="1082">
        <v>59331</v>
      </c>
    </row>
    <row r="136" spans="1:4" s="122" customFormat="1">
      <c r="A136" s="1098">
        <v>1101204041</v>
      </c>
      <c r="B136" s="1098" t="s">
        <v>749</v>
      </c>
      <c r="C136" s="1214">
        <f>IFERROR(VLOOKUP(A136,'SAP '!$A$3:$C$14709,3,0),0)</f>
        <v>399</v>
      </c>
      <c r="D136" s="1082">
        <v>15874</v>
      </c>
    </row>
    <row r="137" spans="1:4" s="122" customFormat="1">
      <c r="A137" s="1098">
        <v>1101204042</v>
      </c>
      <c r="B137" s="1098" t="s">
        <v>920</v>
      </c>
      <c r="C137" s="1214">
        <f>IFERROR(VLOOKUP(A137,'SAP '!$A$3:$C$14709,3,0),0)</f>
        <v>0</v>
      </c>
      <c r="D137" s="1082">
        <v>0</v>
      </c>
    </row>
    <row r="138" spans="1:4" s="122" customFormat="1">
      <c r="A138" s="1098">
        <v>1101204050</v>
      </c>
      <c r="B138" s="1098" t="s">
        <v>750</v>
      </c>
      <c r="C138" s="1214">
        <f>IFERROR(VLOOKUP(A138,'SAP '!$A$3:$C$14709,3,0),0)</f>
        <v>272567.5</v>
      </c>
      <c r="D138" s="1082">
        <v>315103.75</v>
      </c>
    </row>
    <row r="139" spans="1:4" s="122" customFormat="1">
      <c r="A139" s="1098">
        <v>1101204051</v>
      </c>
      <c r="B139" s="1098" t="s">
        <v>751</v>
      </c>
      <c r="C139" s="1214">
        <f>IFERROR(VLOOKUP(A139,'SAP '!$A$3:$C$14709,3,0),0)</f>
        <v>139080</v>
      </c>
      <c r="D139" s="1082">
        <v>79596</v>
      </c>
    </row>
    <row r="140" spans="1:4" s="122" customFormat="1">
      <c r="A140" s="1098">
        <v>1101204052</v>
      </c>
      <c r="B140" s="1098" t="s">
        <v>921</v>
      </c>
      <c r="C140" s="1214">
        <f>IFERROR(VLOOKUP(A140,'SAP '!$A$3:$C$14709,3,0),0)</f>
        <v>0</v>
      </c>
      <c r="D140" s="1082">
        <v>0</v>
      </c>
    </row>
    <row r="141" spans="1:4" s="122" customFormat="1">
      <c r="A141" s="1098">
        <v>1101204060</v>
      </c>
      <c r="B141" s="1098" t="s">
        <v>752</v>
      </c>
      <c r="C141" s="1214">
        <f>IFERROR(VLOOKUP(A141,'SAP '!$A$3:$C$14709,3,0),0)</f>
        <v>10164</v>
      </c>
      <c r="D141" s="1082">
        <v>1000</v>
      </c>
    </row>
    <row r="142" spans="1:4" s="122" customFormat="1">
      <c r="A142" s="1098">
        <v>1101204061</v>
      </c>
      <c r="B142" s="1098" t="s">
        <v>753</v>
      </c>
      <c r="C142" s="1214">
        <f>IFERROR(VLOOKUP(A142,'SAP '!$A$3:$C$14709,3,0),0)</f>
        <v>0</v>
      </c>
      <c r="D142" s="1082">
        <v>3220</v>
      </c>
    </row>
    <row r="143" spans="1:4" s="122" customFormat="1">
      <c r="A143" s="1098">
        <v>1101204062</v>
      </c>
      <c r="B143" s="1098" t="s">
        <v>922</v>
      </c>
      <c r="C143" s="1214">
        <f>IFERROR(VLOOKUP(A143,'SAP '!$A$3:$C$14709,3,0),0)</f>
        <v>0</v>
      </c>
      <c r="D143" s="1082">
        <v>0</v>
      </c>
    </row>
    <row r="144" spans="1:4" s="122" customFormat="1">
      <c r="A144" s="1098">
        <v>1101204070</v>
      </c>
      <c r="B144" s="1098" t="s">
        <v>754</v>
      </c>
      <c r="C144" s="1214">
        <f>IFERROR(VLOOKUP(A144,'SAP '!$A$3:$C$14709,3,0),0)</f>
        <v>1000</v>
      </c>
      <c r="D144" s="1082">
        <v>2227</v>
      </c>
    </row>
    <row r="145" spans="1:4" s="122" customFormat="1">
      <c r="A145" s="1098">
        <v>1101204071</v>
      </c>
      <c r="B145" s="1098" t="s">
        <v>755</v>
      </c>
      <c r="C145" s="1214">
        <f>IFERROR(VLOOKUP(A145,'SAP '!$A$3:$C$14709,3,0),0)</f>
        <v>249922.49</v>
      </c>
      <c r="D145" s="1082">
        <v>29353.49</v>
      </c>
    </row>
    <row r="146" spans="1:4" s="122" customFormat="1">
      <c r="A146" s="1098">
        <v>1101204072</v>
      </c>
      <c r="B146" s="1098" t="s">
        <v>923</v>
      </c>
      <c r="C146" s="1214">
        <f>IFERROR(VLOOKUP(A146,'SAP '!$A$3:$C$14709,3,0),0)</f>
        <v>0</v>
      </c>
      <c r="D146" s="1082">
        <v>0</v>
      </c>
    </row>
    <row r="147" spans="1:4" s="122" customFormat="1">
      <c r="A147" s="1098">
        <v>1101204080</v>
      </c>
      <c r="B147" s="1098" t="s">
        <v>756</v>
      </c>
      <c r="C147" s="1214">
        <f>IFERROR(VLOOKUP(A147,'SAP '!$A$3:$C$14709,3,0),0)</f>
        <v>1653226.38</v>
      </c>
      <c r="D147" s="1082">
        <v>2013880.91</v>
      </c>
    </row>
    <row r="148" spans="1:4" s="122" customFormat="1">
      <c r="A148" s="1098">
        <v>1101204081</v>
      </c>
      <c r="B148" s="1098" t="s">
        <v>757</v>
      </c>
      <c r="C148" s="1214">
        <f>IFERROR(VLOOKUP(A148,'SAP '!$A$3:$C$14709,3,0),0)</f>
        <v>867304.59</v>
      </c>
      <c r="D148" s="1082">
        <v>1490775.21</v>
      </c>
    </row>
    <row r="149" spans="1:4" s="122" customFormat="1">
      <c r="A149" s="1098">
        <v>1101204082</v>
      </c>
      <c r="B149" s="1098" t="s">
        <v>758</v>
      </c>
      <c r="C149" s="1214">
        <f>IFERROR(VLOOKUP(A149,'SAP '!$A$3:$C$14709,3,0),0)</f>
        <v>-2915439.95</v>
      </c>
      <c r="D149" s="1082">
        <v>-2722728.3</v>
      </c>
    </row>
    <row r="150" spans="1:4" s="122" customFormat="1">
      <c r="A150" s="1098">
        <v>1101204090</v>
      </c>
      <c r="B150" s="1098" t="s">
        <v>924</v>
      </c>
      <c r="C150" s="1214">
        <f>IFERROR(VLOOKUP(A150,'SAP '!$A$3:$C$14709,3,0),0)</f>
        <v>0</v>
      </c>
      <c r="D150" s="1082">
        <v>0</v>
      </c>
    </row>
    <row r="151" spans="1:4" s="122" customFormat="1">
      <c r="A151" s="1098">
        <v>1101204091</v>
      </c>
      <c r="B151" s="1098" t="s">
        <v>925</v>
      </c>
      <c r="C151" s="1214">
        <f>IFERROR(VLOOKUP(A151,'SAP '!$A$3:$C$14709,3,0),0)</f>
        <v>0</v>
      </c>
      <c r="D151" s="1082">
        <v>0</v>
      </c>
    </row>
    <row r="152" spans="1:4" s="122" customFormat="1">
      <c r="A152" s="1098">
        <v>1101204092</v>
      </c>
      <c r="B152" s="1098" t="s">
        <v>926</v>
      </c>
      <c r="C152" s="1214">
        <f>IFERROR(VLOOKUP(A152,'SAP '!$A$3:$C$14709,3,0),0)</f>
        <v>0</v>
      </c>
      <c r="D152" s="1082">
        <v>0</v>
      </c>
    </row>
    <row r="153" spans="1:4" s="122" customFormat="1">
      <c r="A153" s="1098">
        <v>1101204100</v>
      </c>
      <c r="B153" s="1098" t="s">
        <v>927</v>
      </c>
      <c r="C153" s="1214">
        <f>IFERROR(VLOOKUP(A153,'SAP '!$A$3:$C$14709,3,0),0)</f>
        <v>0</v>
      </c>
      <c r="D153" s="1082">
        <v>0</v>
      </c>
    </row>
    <row r="154" spans="1:4" s="122" customFormat="1">
      <c r="A154" s="1098">
        <v>1101204101</v>
      </c>
      <c r="B154" s="1098" t="s">
        <v>928</v>
      </c>
      <c r="C154" s="1214">
        <f>IFERROR(VLOOKUP(A154,'SAP '!$A$3:$C$14709,3,0),0)</f>
        <v>0</v>
      </c>
      <c r="D154" s="1082">
        <v>0</v>
      </c>
    </row>
    <row r="155" spans="1:4" s="122" customFormat="1">
      <c r="A155" s="1098">
        <v>1101204102</v>
      </c>
      <c r="B155" s="1098" t="s">
        <v>929</v>
      </c>
      <c r="C155" s="1214">
        <f>IFERROR(VLOOKUP(A155,'SAP '!$A$3:$C$14709,3,0),0)</f>
        <v>0</v>
      </c>
      <c r="D155" s="1082">
        <v>0</v>
      </c>
    </row>
    <row r="156" spans="1:4" s="122" customFormat="1">
      <c r="A156" s="1098">
        <v>1101204110</v>
      </c>
      <c r="B156" s="1098" t="s">
        <v>930</v>
      </c>
      <c r="C156" s="1214">
        <f>IFERROR(VLOOKUP(A156,'SAP '!$A$3:$C$14709,3,0),0)</f>
        <v>0</v>
      </c>
      <c r="D156" s="1082">
        <v>0</v>
      </c>
    </row>
    <row r="157" spans="1:4" s="122" customFormat="1">
      <c r="A157" s="1098">
        <v>1101204111</v>
      </c>
      <c r="B157" s="1098" t="s">
        <v>931</v>
      </c>
      <c r="C157" s="1214">
        <f>IFERROR(VLOOKUP(A157,'SAP '!$A$3:$C$14709,3,0),0)</f>
        <v>0</v>
      </c>
      <c r="D157" s="1082">
        <v>0</v>
      </c>
    </row>
    <row r="158" spans="1:4" s="122" customFormat="1">
      <c r="A158" s="1098">
        <v>1101204112</v>
      </c>
      <c r="B158" s="1098" t="s">
        <v>932</v>
      </c>
      <c r="C158" s="1214">
        <f>IFERROR(VLOOKUP(A158,'SAP '!$A$3:$C$14709,3,0),0)</f>
        <v>0</v>
      </c>
      <c r="D158" s="1082">
        <v>0</v>
      </c>
    </row>
    <row r="159" spans="1:4" s="122" customFormat="1">
      <c r="A159" s="1098">
        <v>1101204120</v>
      </c>
      <c r="B159" s="1098" t="s">
        <v>933</v>
      </c>
      <c r="C159" s="1214">
        <f>IFERROR(VLOOKUP(A159,'SAP '!$A$3:$C$14709,3,0),0)</f>
        <v>0</v>
      </c>
      <c r="D159" s="1082">
        <v>0</v>
      </c>
    </row>
    <row r="160" spans="1:4" s="122" customFormat="1">
      <c r="A160" s="1098">
        <v>1101204121</v>
      </c>
      <c r="B160" s="1098" t="s">
        <v>934</v>
      </c>
      <c r="C160" s="1214">
        <f>IFERROR(VLOOKUP(A160,'SAP '!$A$3:$C$14709,3,0),0)</f>
        <v>0</v>
      </c>
      <c r="D160" s="1082">
        <v>0</v>
      </c>
    </row>
    <row r="161" spans="1:4" s="122" customFormat="1">
      <c r="A161" s="1098">
        <v>1101204122</v>
      </c>
      <c r="B161" s="1098" t="s">
        <v>935</v>
      </c>
      <c r="C161" s="1214">
        <f>IFERROR(VLOOKUP(A161,'SAP '!$A$3:$C$14709,3,0),0)</f>
        <v>0</v>
      </c>
      <c r="D161" s="1082">
        <v>0</v>
      </c>
    </row>
    <row r="162" spans="1:4" s="122" customFormat="1">
      <c r="A162" s="1098">
        <v>1101204130</v>
      </c>
      <c r="B162" s="1098" t="s">
        <v>936</v>
      </c>
      <c r="C162" s="1214">
        <f>IFERROR(VLOOKUP(A162,'SAP '!$A$3:$C$14709,3,0),0)</f>
        <v>0</v>
      </c>
      <c r="D162" s="1082">
        <v>0</v>
      </c>
    </row>
    <row r="163" spans="1:4" s="122" customFormat="1">
      <c r="A163" s="1098">
        <v>1101204131</v>
      </c>
      <c r="B163" s="1098" t="s">
        <v>937</v>
      </c>
      <c r="C163" s="1214">
        <f>IFERROR(VLOOKUP(A163,'SAP '!$A$3:$C$14709,3,0),0)</f>
        <v>0</v>
      </c>
      <c r="D163" s="1082">
        <v>0</v>
      </c>
    </row>
    <row r="164" spans="1:4" s="122" customFormat="1">
      <c r="A164" s="1098">
        <v>1101204132</v>
      </c>
      <c r="B164" s="1098" t="s">
        <v>938</v>
      </c>
      <c r="C164" s="1214">
        <f>IFERROR(VLOOKUP(A164,'SAP '!$A$3:$C$14709,3,0),0)</f>
        <v>0</v>
      </c>
      <c r="D164" s="1082">
        <v>0</v>
      </c>
    </row>
    <row r="165" spans="1:4" s="122" customFormat="1">
      <c r="A165" s="1098">
        <v>1101204140</v>
      </c>
      <c r="B165" s="1098" t="s">
        <v>939</v>
      </c>
      <c r="C165" s="1214">
        <f>IFERROR(VLOOKUP(A165,'SAP '!$A$3:$C$14709,3,0),0)</f>
        <v>0</v>
      </c>
      <c r="D165" s="1082">
        <v>0</v>
      </c>
    </row>
    <row r="166" spans="1:4" s="122" customFormat="1">
      <c r="A166" s="1098">
        <v>1101204141</v>
      </c>
      <c r="B166" s="1098" t="s">
        <v>940</v>
      </c>
      <c r="C166" s="1214">
        <f>IFERROR(VLOOKUP(A166,'SAP '!$A$3:$C$14709,3,0),0)</f>
        <v>0</v>
      </c>
      <c r="D166" s="1082">
        <v>0</v>
      </c>
    </row>
    <row r="167" spans="1:4" s="122" customFormat="1">
      <c r="A167" s="1098">
        <v>1101204142</v>
      </c>
      <c r="B167" s="1098" t="s">
        <v>941</v>
      </c>
      <c r="C167" s="1214">
        <f>IFERROR(VLOOKUP(A167,'SAP '!$A$3:$C$14709,3,0),0)</f>
        <v>0</v>
      </c>
      <c r="D167" s="1082">
        <v>0</v>
      </c>
    </row>
    <row r="168" spans="1:4" s="122" customFormat="1">
      <c r="A168" s="1098">
        <v>1101204150</v>
      </c>
      <c r="B168" s="1098" t="s">
        <v>759</v>
      </c>
      <c r="C168" s="1214">
        <f>IFERROR(VLOOKUP(A168,'SAP '!$A$3:$C$14709,3,0),0)</f>
        <v>4696</v>
      </c>
      <c r="D168" s="1082">
        <v>1000</v>
      </c>
    </row>
    <row r="169" spans="1:4" s="122" customFormat="1">
      <c r="A169" s="1098">
        <v>1101204151</v>
      </c>
      <c r="B169" s="1098" t="s">
        <v>760</v>
      </c>
      <c r="C169" s="1214">
        <f>IFERROR(VLOOKUP(A169,'SAP '!$A$3:$C$14709,3,0),0)</f>
        <v>0</v>
      </c>
      <c r="D169" s="1082">
        <v>0</v>
      </c>
    </row>
    <row r="170" spans="1:4" s="122" customFormat="1">
      <c r="A170" s="1098">
        <v>1101204152</v>
      </c>
      <c r="B170" s="1098" t="s">
        <v>942</v>
      </c>
      <c r="C170" s="1214">
        <f>IFERROR(VLOOKUP(A170,'SAP '!$A$3:$C$14709,3,0),0)</f>
        <v>0</v>
      </c>
      <c r="D170" s="1082">
        <v>0</v>
      </c>
    </row>
    <row r="171" spans="1:4" s="122" customFormat="1">
      <c r="A171" s="1096">
        <v>1101204160</v>
      </c>
      <c r="B171" s="1097" t="s">
        <v>761</v>
      </c>
      <c r="C171" s="1214">
        <f>IFERROR(VLOOKUP(A171,'SAP '!$A$3:$C$14709,3,0),0)</f>
        <v>211335.25</v>
      </c>
      <c r="D171" s="1082">
        <v>15713</v>
      </c>
    </row>
    <row r="172" spans="1:4" s="122" customFormat="1">
      <c r="A172" s="1096">
        <v>1101204161</v>
      </c>
      <c r="B172" s="1097" t="s">
        <v>762</v>
      </c>
      <c r="C172" s="1214">
        <f>IFERROR(VLOOKUP(A172,'SAP '!$A$3:$C$14709,3,0),0)</f>
        <v>0</v>
      </c>
      <c r="D172" s="1082">
        <v>34672</v>
      </c>
    </row>
    <row r="173" spans="1:4" s="122" customFormat="1">
      <c r="A173" s="1096">
        <v>1101204162</v>
      </c>
      <c r="B173" s="1097" t="s">
        <v>943</v>
      </c>
      <c r="C173" s="1214">
        <f>IFERROR(VLOOKUP(A173,'SAP '!$A$3:$C$14709,3,0),0)</f>
        <v>0</v>
      </c>
      <c r="D173" s="1082">
        <v>0</v>
      </c>
    </row>
    <row r="174" spans="1:4" s="122" customFormat="1">
      <c r="A174" s="1098">
        <v>1101204170</v>
      </c>
      <c r="B174" s="1098" t="s">
        <v>944</v>
      </c>
      <c r="C174" s="1214">
        <f>IFERROR(VLOOKUP(A174,'SAP '!$A$3:$C$14709,3,0),0)</f>
        <v>0</v>
      </c>
      <c r="D174" s="1082">
        <v>0</v>
      </c>
    </row>
    <row r="175" spans="1:4" s="122" customFormat="1">
      <c r="A175" s="1098">
        <v>1101204171</v>
      </c>
      <c r="B175" s="1098" t="s">
        <v>945</v>
      </c>
      <c r="C175" s="1214">
        <f>IFERROR(VLOOKUP(A175,'SAP '!$A$3:$C$14709,3,0),0)</f>
        <v>0</v>
      </c>
      <c r="D175" s="1082">
        <v>0</v>
      </c>
    </row>
    <row r="176" spans="1:4" s="122" customFormat="1">
      <c r="A176" s="1098">
        <v>1101204172</v>
      </c>
      <c r="B176" s="1098" t="s">
        <v>946</v>
      </c>
      <c r="C176" s="1214">
        <f>IFERROR(VLOOKUP(A176,'SAP '!$A$3:$C$14709,3,0),0)</f>
        <v>0</v>
      </c>
      <c r="D176" s="1082">
        <v>0</v>
      </c>
    </row>
    <row r="177" spans="1:4" s="122" customFormat="1">
      <c r="A177" s="1098">
        <v>1101204180</v>
      </c>
      <c r="B177" s="1098" t="s">
        <v>532</v>
      </c>
      <c r="C177" s="1214">
        <f>IFERROR(VLOOKUP(A177,'SAP '!$A$3:$C$14709,3,0),0)</f>
        <v>0</v>
      </c>
      <c r="D177" s="1082">
        <v>1000</v>
      </c>
    </row>
    <row r="178" spans="1:4" s="122" customFormat="1">
      <c r="A178" s="1098">
        <v>1101204181</v>
      </c>
      <c r="B178" s="1098" t="s">
        <v>542</v>
      </c>
      <c r="C178" s="1214">
        <f>IFERROR(VLOOKUP(A178,'SAP '!$A$3:$C$14709,3,0),0)</f>
        <v>20000</v>
      </c>
      <c r="D178" s="1082">
        <v>0</v>
      </c>
    </row>
    <row r="179" spans="1:4" s="122" customFormat="1">
      <c r="A179" s="1098">
        <v>1101204182</v>
      </c>
      <c r="B179" s="1098" t="s">
        <v>543</v>
      </c>
      <c r="C179" s="1214">
        <f>IFERROR(VLOOKUP(A179,'SAP '!$A$3:$C$14709,3,0),0)</f>
        <v>0</v>
      </c>
      <c r="D179" s="1082">
        <v>0</v>
      </c>
    </row>
    <row r="180" spans="1:4" s="122" customFormat="1">
      <c r="A180" s="1098">
        <v>1101205000</v>
      </c>
      <c r="B180" s="1098" t="s">
        <v>763</v>
      </c>
      <c r="C180" s="1214">
        <f>IFERROR(VLOOKUP(A180,'SAP '!$A$3:$C$14709,3,0),0)</f>
        <v>43236</v>
      </c>
      <c r="D180" s="1082">
        <v>603055</v>
      </c>
    </row>
    <row r="181" spans="1:4" s="122" customFormat="1">
      <c r="A181" s="1098">
        <v>1101205001</v>
      </c>
      <c r="B181" s="1098" t="s">
        <v>764</v>
      </c>
      <c r="C181" s="1214">
        <f>IFERROR(VLOOKUP(A181,'SAP '!$A$3:$C$14709,3,0),0)</f>
        <v>824319.85</v>
      </c>
      <c r="D181" s="1082">
        <v>742023.34</v>
      </c>
    </row>
    <row r="182" spans="1:4" s="122" customFormat="1">
      <c r="A182" s="1098">
        <v>1101205002</v>
      </c>
      <c r="B182" s="1098" t="s">
        <v>947</v>
      </c>
      <c r="C182" s="1214">
        <f>IFERROR(VLOOKUP(A182,'SAP '!$A$3:$C$14709,3,0),0)</f>
        <v>0</v>
      </c>
      <c r="D182" s="1082">
        <v>0</v>
      </c>
    </row>
    <row r="183" spans="1:4" s="122" customFormat="1">
      <c r="A183" s="1098">
        <v>1101205010</v>
      </c>
      <c r="B183" s="1098" t="s">
        <v>765</v>
      </c>
      <c r="C183" s="1214">
        <f>IFERROR(VLOOKUP(A183,'SAP '!$A$3:$C$14709,3,0),0)</f>
        <v>2280</v>
      </c>
      <c r="D183" s="1082">
        <v>996913.9</v>
      </c>
    </row>
    <row r="184" spans="1:4" s="122" customFormat="1">
      <c r="A184" s="1098">
        <v>1101205011</v>
      </c>
      <c r="B184" s="1098" t="s">
        <v>766</v>
      </c>
      <c r="C184" s="1214">
        <f>IFERROR(VLOOKUP(A184,'SAP '!$A$3:$C$14709,3,0),0)</f>
        <v>83160.5</v>
      </c>
      <c r="D184" s="1082">
        <v>15262</v>
      </c>
    </row>
    <row r="185" spans="1:4" s="122" customFormat="1">
      <c r="A185" s="1098">
        <v>1101205012</v>
      </c>
      <c r="B185" s="1098" t="s">
        <v>869</v>
      </c>
      <c r="C185" s="1214">
        <f>IFERROR(VLOOKUP(A185,'SAP '!$A$3:$C$14709,3,0),0)</f>
        <v>0</v>
      </c>
      <c r="D185" s="1082">
        <v>0</v>
      </c>
    </row>
    <row r="186" spans="1:4" s="122" customFormat="1">
      <c r="A186" s="1098">
        <v>1101205020</v>
      </c>
      <c r="B186" s="1098" t="s">
        <v>767</v>
      </c>
      <c r="C186" s="1214">
        <f>IFERROR(VLOOKUP(A186,'SAP '!$A$3:$C$14709,3,0),0)</f>
        <v>16148</v>
      </c>
      <c r="D186" s="1082">
        <v>39830</v>
      </c>
    </row>
    <row r="187" spans="1:4" s="122" customFormat="1">
      <c r="A187" s="1098">
        <v>1101205021</v>
      </c>
      <c r="B187" s="1098" t="s">
        <v>768</v>
      </c>
      <c r="C187" s="1214">
        <f>IFERROR(VLOOKUP(A187,'SAP '!$A$3:$C$14709,3,0),0)</f>
        <v>58142.85</v>
      </c>
      <c r="D187" s="1082">
        <v>33125.5</v>
      </c>
    </row>
    <row r="188" spans="1:4" s="122" customFormat="1">
      <c r="A188" s="1098">
        <v>1101205022</v>
      </c>
      <c r="B188" s="1098" t="s">
        <v>948</v>
      </c>
      <c r="C188" s="1214">
        <f>IFERROR(VLOOKUP(A188,'SAP '!$A$3:$C$14709,3,0),0)</f>
        <v>0</v>
      </c>
      <c r="D188" s="1082">
        <v>0</v>
      </c>
    </row>
    <row r="189" spans="1:4" s="122" customFormat="1">
      <c r="A189" s="1098">
        <v>1101205030</v>
      </c>
      <c r="B189" s="1098" t="s">
        <v>769</v>
      </c>
      <c r="C189" s="1214">
        <f>IFERROR(VLOOKUP(A189,'SAP '!$A$3:$C$14709,3,0),0)</f>
        <v>3328</v>
      </c>
      <c r="D189" s="1082">
        <v>5496</v>
      </c>
    </row>
    <row r="190" spans="1:4" s="122" customFormat="1">
      <c r="A190" s="1098">
        <v>1101205031</v>
      </c>
      <c r="B190" s="1098" t="s">
        <v>770</v>
      </c>
      <c r="C190" s="1214">
        <f>IFERROR(VLOOKUP(A190,'SAP '!$A$3:$C$14709,3,0),0)</f>
        <v>227427.25</v>
      </c>
      <c r="D190" s="1082">
        <v>212755.25</v>
      </c>
    </row>
    <row r="191" spans="1:4" s="122" customFormat="1">
      <c r="A191" s="1098">
        <v>1101205032</v>
      </c>
      <c r="B191" s="1098" t="s">
        <v>949</v>
      </c>
      <c r="C191" s="1214">
        <f>IFERROR(VLOOKUP(A191,'SAP '!$A$3:$C$14709,3,0),0)</f>
        <v>0</v>
      </c>
      <c r="D191" s="1082">
        <v>0</v>
      </c>
    </row>
    <row r="192" spans="1:4" s="122" customFormat="1">
      <c r="A192" s="1098">
        <v>1101205040</v>
      </c>
      <c r="B192" s="1098" t="s">
        <v>771</v>
      </c>
      <c r="C192" s="1214">
        <f>IFERROR(VLOOKUP(A192,'SAP '!$A$3:$C$14709,3,0),0)</f>
        <v>2838</v>
      </c>
      <c r="D192" s="1082">
        <v>188326</v>
      </c>
    </row>
    <row r="193" spans="1:4" s="122" customFormat="1">
      <c r="A193" s="1098">
        <v>1101205041</v>
      </c>
      <c r="B193" s="1098" t="s">
        <v>772</v>
      </c>
      <c r="C193" s="1214">
        <f>IFERROR(VLOOKUP(A193,'SAP '!$A$3:$C$14709,3,0),0)</f>
        <v>23100</v>
      </c>
      <c r="D193" s="1082">
        <v>1203</v>
      </c>
    </row>
    <row r="194" spans="1:4" s="122" customFormat="1">
      <c r="A194" s="1098">
        <v>1101205042</v>
      </c>
      <c r="B194" s="1098" t="s">
        <v>950</v>
      </c>
      <c r="C194" s="1214">
        <f>IFERROR(VLOOKUP(A194,'SAP '!$A$3:$C$14709,3,0),0)</f>
        <v>0</v>
      </c>
      <c r="D194" s="1082">
        <v>0</v>
      </c>
    </row>
    <row r="195" spans="1:4" s="122" customFormat="1">
      <c r="A195" s="1098">
        <v>1101205050</v>
      </c>
      <c r="B195" s="1098" t="s">
        <v>773</v>
      </c>
      <c r="C195" s="1214">
        <f>IFERROR(VLOOKUP(A195,'SAP '!$A$3:$C$14709,3,0),0)</f>
        <v>52428</v>
      </c>
      <c r="D195" s="1082">
        <v>547588</v>
      </c>
    </row>
    <row r="196" spans="1:4" s="122" customFormat="1">
      <c r="A196" s="1098">
        <v>1101205051</v>
      </c>
      <c r="B196" s="1098" t="s">
        <v>774</v>
      </c>
      <c r="C196" s="1214">
        <f>IFERROR(VLOOKUP(A196,'SAP '!$A$3:$C$14709,3,0),0)</f>
        <v>489931</v>
      </c>
      <c r="D196" s="1082">
        <v>0</v>
      </c>
    </row>
    <row r="197" spans="1:4" s="122" customFormat="1">
      <c r="A197" s="1098">
        <v>1101205052</v>
      </c>
      <c r="B197" s="1098" t="s">
        <v>951</v>
      </c>
      <c r="C197" s="1214">
        <f>IFERROR(VLOOKUP(A197,'SAP '!$A$3:$C$14709,3,0),0)</f>
        <v>0</v>
      </c>
      <c r="D197" s="1082">
        <v>0</v>
      </c>
    </row>
    <row r="198" spans="1:4" s="122" customFormat="1">
      <c r="A198" s="1098">
        <v>1101205060</v>
      </c>
      <c r="B198" s="1098" t="s">
        <v>775</v>
      </c>
      <c r="C198" s="1214">
        <f>IFERROR(VLOOKUP(A198,'SAP '!$A$3:$C$14709,3,0),0)</f>
        <v>2421</v>
      </c>
      <c r="D198" s="1082">
        <v>2749</v>
      </c>
    </row>
    <row r="199" spans="1:4" s="122" customFormat="1">
      <c r="A199" s="1098">
        <v>1101205061</v>
      </c>
      <c r="B199" s="1098" t="s">
        <v>776</v>
      </c>
      <c r="C199" s="1214">
        <f>IFERROR(VLOOKUP(A199,'SAP '!$A$3:$C$14709,3,0),0)</f>
        <v>1198</v>
      </c>
      <c r="D199" s="1082">
        <v>27316</v>
      </c>
    </row>
    <row r="200" spans="1:4" s="122" customFormat="1">
      <c r="A200" s="1098">
        <v>1101205062</v>
      </c>
      <c r="B200" s="1098" t="s">
        <v>952</v>
      </c>
      <c r="C200" s="1214">
        <f>IFERROR(VLOOKUP(A200,'SAP '!$A$3:$C$14709,3,0),0)</f>
        <v>0</v>
      </c>
      <c r="D200" s="1082">
        <v>0</v>
      </c>
    </row>
    <row r="201" spans="1:4" s="122" customFormat="1">
      <c r="A201" s="1098">
        <v>1101205070</v>
      </c>
      <c r="B201" s="1098" t="s">
        <v>777</v>
      </c>
      <c r="C201" s="1214">
        <f>IFERROR(VLOOKUP(A201,'SAP '!$A$3:$C$14709,3,0),0)</f>
        <v>155670</v>
      </c>
      <c r="D201" s="1082">
        <v>384091.25</v>
      </c>
    </row>
    <row r="202" spans="1:4" s="122" customFormat="1">
      <c r="A202" s="1098">
        <v>1101205071</v>
      </c>
      <c r="B202" s="1098" t="s">
        <v>778</v>
      </c>
      <c r="C202" s="1214">
        <f>IFERROR(VLOOKUP(A202,'SAP '!$A$3:$C$14709,3,0),0)</f>
        <v>809983.25</v>
      </c>
      <c r="D202" s="1082">
        <v>430176.75</v>
      </c>
    </row>
    <row r="203" spans="1:4" s="122" customFormat="1">
      <c r="A203" s="1098">
        <v>1101205072</v>
      </c>
      <c r="B203" s="1098" t="s">
        <v>953</v>
      </c>
      <c r="C203" s="1214">
        <f>IFERROR(VLOOKUP(A203,'SAP '!$A$3:$C$14709,3,0),0)</f>
        <v>0</v>
      </c>
      <c r="D203" s="1082">
        <v>0</v>
      </c>
    </row>
    <row r="204" spans="1:4" s="122" customFormat="1">
      <c r="A204" s="1098">
        <v>1101205080</v>
      </c>
      <c r="B204" s="1098" t="s">
        <v>779</v>
      </c>
      <c r="C204" s="1214">
        <f>IFERROR(VLOOKUP(A204,'SAP '!$A$3:$C$14709,3,0),0)</f>
        <v>4768</v>
      </c>
      <c r="D204" s="1082">
        <v>188263</v>
      </c>
    </row>
    <row r="205" spans="1:4" s="122" customFormat="1">
      <c r="A205" s="1098">
        <v>1101205081</v>
      </c>
      <c r="B205" s="1098" t="s">
        <v>780</v>
      </c>
      <c r="C205" s="1214">
        <f>IFERROR(VLOOKUP(A205,'SAP '!$A$3:$C$14709,3,0),0)</f>
        <v>399</v>
      </c>
      <c r="D205" s="1082">
        <v>5424.46</v>
      </c>
    </row>
    <row r="206" spans="1:4" s="122" customFormat="1">
      <c r="A206" s="1098">
        <v>1101205082</v>
      </c>
      <c r="B206" s="1098" t="s">
        <v>954</v>
      </c>
      <c r="C206" s="1214">
        <f>IFERROR(VLOOKUP(A206,'SAP '!$A$3:$C$14709,3,0),0)</f>
        <v>0</v>
      </c>
      <c r="D206" s="1082">
        <v>0</v>
      </c>
    </row>
    <row r="207" spans="1:4" s="122" customFormat="1">
      <c r="A207" s="1098">
        <v>1101205090</v>
      </c>
      <c r="B207" s="1098" t="s">
        <v>781</v>
      </c>
      <c r="C207" s="1214">
        <f>IFERROR(VLOOKUP(A207,'SAP '!$A$3:$C$14709,3,0),0)</f>
        <v>1078046.75</v>
      </c>
      <c r="D207" s="1082">
        <v>933387.58</v>
      </c>
    </row>
    <row r="208" spans="1:4" s="122" customFormat="1">
      <c r="A208" s="1098">
        <v>1101205091</v>
      </c>
      <c r="B208" s="1098" t="s">
        <v>782</v>
      </c>
      <c r="C208" s="1214">
        <f>IFERROR(VLOOKUP(A208,'SAP '!$A$3:$C$14709,3,0),0)</f>
        <v>-832000</v>
      </c>
      <c r="D208" s="1082">
        <v>830814.88</v>
      </c>
    </row>
    <row r="209" spans="1:4" s="122" customFormat="1">
      <c r="A209" s="1098">
        <v>1101205092</v>
      </c>
      <c r="B209" s="1098" t="s">
        <v>783</v>
      </c>
      <c r="C209" s="1214">
        <f>IFERROR(VLOOKUP(A209,'SAP '!$A$3:$C$14709,3,0),0)</f>
        <v>-290986.88</v>
      </c>
      <c r="D209" s="1082">
        <v>-718528</v>
      </c>
    </row>
    <row r="210" spans="1:4" s="122" customFormat="1">
      <c r="A210" s="1098">
        <v>1101205100</v>
      </c>
      <c r="B210" s="1098" t="s">
        <v>955</v>
      </c>
      <c r="C210" s="1214">
        <f>IFERROR(VLOOKUP(A210,'SAP '!$A$3:$C$14709,3,0),0)</f>
        <v>0</v>
      </c>
      <c r="D210" s="1082">
        <v>0</v>
      </c>
    </row>
    <row r="211" spans="1:4" s="122" customFormat="1">
      <c r="A211" s="1098">
        <v>1101205101</v>
      </c>
      <c r="B211" s="1098" t="s">
        <v>956</v>
      </c>
      <c r="C211" s="1214">
        <f>IFERROR(VLOOKUP(A211,'SAP '!$A$3:$C$14709,3,0),0)</f>
        <v>0</v>
      </c>
      <c r="D211" s="1082">
        <v>0</v>
      </c>
    </row>
    <row r="212" spans="1:4" s="122" customFormat="1">
      <c r="A212" s="1098">
        <v>1101205102</v>
      </c>
      <c r="B212" s="1098" t="s">
        <v>957</v>
      </c>
      <c r="C212" s="1214">
        <f>IFERROR(VLOOKUP(A212,'SAP '!$A$3:$C$14709,3,0),0)</f>
        <v>0</v>
      </c>
      <c r="D212" s="1082">
        <v>0</v>
      </c>
    </row>
    <row r="213" spans="1:4" s="122" customFormat="1">
      <c r="A213" s="1098">
        <v>1101205110</v>
      </c>
      <c r="B213" s="1098" t="s">
        <v>958</v>
      </c>
      <c r="C213" s="1214">
        <f>IFERROR(VLOOKUP(A213,'SAP '!$A$3:$C$14709,3,0),0)</f>
        <v>0</v>
      </c>
      <c r="D213" s="1082">
        <v>0</v>
      </c>
    </row>
    <row r="214" spans="1:4" s="122" customFormat="1">
      <c r="A214" s="1098">
        <v>1101205111</v>
      </c>
      <c r="B214" s="1098" t="s">
        <v>959</v>
      </c>
      <c r="C214" s="1214">
        <f>IFERROR(VLOOKUP(A214,'SAP '!$A$3:$C$14709,3,0),0)</f>
        <v>0</v>
      </c>
      <c r="D214" s="1082">
        <v>0</v>
      </c>
    </row>
    <row r="215" spans="1:4" s="122" customFormat="1">
      <c r="A215" s="1098">
        <v>1101205112</v>
      </c>
      <c r="B215" s="1098" t="s">
        <v>960</v>
      </c>
      <c r="C215" s="1214">
        <f>IFERROR(VLOOKUP(A215,'SAP '!$A$3:$C$14709,3,0),0)</f>
        <v>0</v>
      </c>
      <c r="D215" s="1082">
        <v>0</v>
      </c>
    </row>
    <row r="216" spans="1:4" s="122" customFormat="1">
      <c r="A216" s="1098">
        <v>1101205120</v>
      </c>
      <c r="B216" s="1098" t="s">
        <v>961</v>
      </c>
      <c r="C216" s="1214">
        <f>IFERROR(VLOOKUP(A216,'SAP '!$A$3:$C$14709,3,0),0)</f>
        <v>0</v>
      </c>
      <c r="D216" s="1082">
        <v>0</v>
      </c>
    </row>
    <row r="217" spans="1:4" s="122" customFormat="1">
      <c r="A217" s="1098">
        <v>1101205121</v>
      </c>
      <c r="B217" s="1098" t="s">
        <v>962</v>
      </c>
      <c r="C217" s="1214">
        <f>IFERROR(VLOOKUP(A217,'SAP '!$A$3:$C$14709,3,0),0)</f>
        <v>0</v>
      </c>
      <c r="D217" s="1082">
        <v>0</v>
      </c>
    </row>
    <row r="218" spans="1:4" s="122" customFormat="1">
      <c r="A218" s="1098">
        <v>1101205122</v>
      </c>
      <c r="B218" s="1098" t="s">
        <v>963</v>
      </c>
      <c r="C218" s="1214">
        <f>IFERROR(VLOOKUP(A218,'SAP '!$A$3:$C$14709,3,0),0)</f>
        <v>0</v>
      </c>
      <c r="D218" s="1082">
        <v>0</v>
      </c>
    </row>
    <row r="219" spans="1:4" s="122" customFormat="1">
      <c r="A219" s="1098">
        <v>1101205130</v>
      </c>
      <c r="B219" s="1098" t="s">
        <v>964</v>
      </c>
      <c r="C219" s="1214">
        <f>IFERROR(VLOOKUP(A219,'SAP '!$A$3:$C$14709,3,0),0)</f>
        <v>0</v>
      </c>
      <c r="D219" s="1082">
        <v>0</v>
      </c>
    </row>
    <row r="220" spans="1:4" s="122" customFormat="1">
      <c r="A220" s="1098">
        <v>1101205131</v>
      </c>
      <c r="B220" s="1098" t="s">
        <v>965</v>
      </c>
      <c r="C220" s="1214">
        <f>IFERROR(VLOOKUP(A220,'SAP '!$A$3:$C$14709,3,0),0)</f>
        <v>0</v>
      </c>
      <c r="D220" s="1082">
        <v>0</v>
      </c>
    </row>
    <row r="221" spans="1:4" s="122" customFormat="1">
      <c r="A221" s="1098">
        <v>1101205132</v>
      </c>
      <c r="B221" s="1098" t="s">
        <v>966</v>
      </c>
      <c r="C221" s="1214">
        <f>IFERROR(VLOOKUP(A221,'SAP '!$A$3:$C$14709,3,0),0)</f>
        <v>0</v>
      </c>
      <c r="D221" s="1082">
        <v>0</v>
      </c>
    </row>
    <row r="222" spans="1:4" s="122" customFormat="1">
      <c r="A222" s="1098">
        <v>1101205140</v>
      </c>
      <c r="B222" s="1098" t="s">
        <v>967</v>
      </c>
      <c r="C222" s="1214">
        <f>IFERROR(VLOOKUP(A222,'SAP '!$A$3:$C$14709,3,0),0)</f>
        <v>0</v>
      </c>
      <c r="D222" s="1082">
        <v>0</v>
      </c>
    </row>
    <row r="223" spans="1:4" s="122" customFormat="1">
      <c r="A223" s="1098">
        <v>1101205141</v>
      </c>
      <c r="B223" s="1098" t="s">
        <v>968</v>
      </c>
      <c r="C223" s="1214">
        <f>IFERROR(VLOOKUP(A223,'SAP '!$A$3:$C$14709,3,0),0)</f>
        <v>0</v>
      </c>
      <c r="D223" s="1082">
        <v>0</v>
      </c>
    </row>
    <row r="224" spans="1:4" s="122" customFormat="1">
      <c r="A224" s="1098">
        <v>1101205142</v>
      </c>
      <c r="B224" s="1098" t="s">
        <v>969</v>
      </c>
      <c r="C224" s="1214">
        <f>IFERROR(VLOOKUP(A224,'SAP '!$A$3:$C$14709,3,0),0)</f>
        <v>0</v>
      </c>
      <c r="D224" s="1082">
        <v>0</v>
      </c>
    </row>
    <row r="225" spans="1:4" s="122" customFormat="1">
      <c r="A225" s="1098">
        <v>1101206000</v>
      </c>
      <c r="B225" s="1098" t="s">
        <v>784</v>
      </c>
      <c r="C225" s="1214">
        <f>IFERROR(VLOOKUP(A225,'SAP '!$A$3:$C$14709,3,0),0)</f>
        <v>10154781.91</v>
      </c>
      <c r="D225" s="1082">
        <v>3368773.75</v>
      </c>
    </row>
    <row r="226" spans="1:4" s="122" customFormat="1">
      <c r="A226" s="1098">
        <v>1101206001</v>
      </c>
      <c r="B226" s="1098" t="s">
        <v>785</v>
      </c>
      <c r="C226" s="1214">
        <f>IFERROR(VLOOKUP(A226,'SAP '!$A$3:$C$14709,3,0),0)</f>
        <v>68838858.680000007</v>
      </c>
      <c r="D226" s="1082">
        <v>5129897.17</v>
      </c>
    </row>
    <row r="227" spans="1:4" s="122" customFormat="1">
      <c r="A227" s="1098">
        <v>1101206002</v>
      </c>
      <c r="B227" s="1098" t="s">
        <v>876</v>
      </c>
      <c r="C227" s="1214">
        <f>IFERROR(VLOOKUP(A227,'SAP '!$A$3:$C$14709,3,0),0)</f>
        <v>-70850181.920000002</v>
      </c>
      <c r="D227" s="1082">
        <v>0</v>
      </c>
    </row>
    <row r="228" spans="1:4" s="122" customFormat="1">
      <c r="A228" s="1098">
        <v>1101206010</v>
      </c>
      <c r="B228" s="1098" t="s">
        <v>786</v>
      </c>
      <c r="C228" s="1214">
        <f>IFERROR(VLOOKUP(A228,'SAP '!$A$3:$C$14709,3,0),0)</f>
        <v>273827.71999999997</v>
      </c>
      <c r="D228" s="1082">
        <v>171128.05</v>
      </c>
    </row>
    <row r="229" spans="1:4" s="122" customFormat="1">
      <c r="A229" s="1098">
        <v>1101206011</v>
      </c>
      <c r="B229" s="1098" t="s">
        <v>787</v>
      </c>
      <c r="C229" s="1214">
        <f>IFERROR(VLOOKUP(A229,'SAP '!$A$3:$C$14709,3,0),0)</f>
        <v>1260913.28</v>
      </c>
      <c r="D229" s="1082">
        <v>-67557.06</v>
      </c>
    </row>
    <row r="230" spans="1:4" s="122" customFormat="1">
      <c r="A230" s="1098">
        <v>1101206012</v>
      </c>
      <c r="B230" s="1098" t="s">
        <v>970</v>
      </c>
      <c r="C230" s="1214">
        <f>IFERROR(VLOOKUP(A230,'SAP '!$A$3:$C$14709,3,0),0)</f>
        <v>-1529866.4</v>
      </c>
      <c r="D230" s="1082">
        <v>0</v>
      </c>
    </row>
    <row r="231" spans="1:4" s="122" customFormat="1">
      <c r="A231" s="1096">
        <v>1101206020</v>
      </c>
      <c r="B231" s="1097" t="s">
        <v>788</v>
      </c>
      <c r="C231" s="1214">
        <f>IFERROR(VLOOKUP(A231,'SAP '!$A$3:$C$14709,3,0),0)</f>
        <v>1191368.53</v>
      </c>
      <c r="D231" s="1082">
        <v>1509245.11</v>
      </c>
    </row>
    <row r="232" spans="1:4" s="122" customFormat="1">
      <c r="A232" s="1096">
        <v>1101206021</v>
      </c>
      <c r="B232" s="1097" t="s">
        <v>789</v>
      </c>
      <c r="C232" s="1214">
        <f>IFERROR(VLOOKUP(A232,'SAP '!$A$3:$C$14709,3,0),0)</f>
        <v>111572.11</v>
      </c>
      <c r="D232" s="1082">
        <v>62273.5</v>
      </c>
    </row>
    <row r="233" spans="1:4" s="122" customFormat="1">
      <c r="A233" s="1096">
        <v>1101206022</v>
      </c>
      <c r="B233" s="1097" t="s">
        <v>790</v>
      </c>
      <c r="C233" s="1214">
        <f>IFERROR(VLOOKUP(A233,'SAP '!$A$3:$C$14709,3,0),0)</f>
        <v>-639252.56999999995</v>
      </c>
      <c r="D233" s="1082">
        <v>-639252.56999999995</v>
      </c>
    </row>
    <row r="234" spans="1:4" s="122" customFormat="1">
      <c r="A234" s="1098">
        <v>1101206030</v>
      </c>
      <c r="B234" s="1098" t="s">
        <v>791</v>
      </c>
      <c r="C234" s="1214">
        <f>IFERROR(VLOOKUP(A234,'SAP '!$A$3:$C$14709,3,0),0)</f>
        <v>1000</v>
      </c>
      <c r="D234" s="1082">
        <v>1000</v>
      </c>
    </row>
    <row r="235" spans="1:4" s="122" customFormat="1">
      <c r="A235" s="1098">
        <v>1101206031</v>
      </c>
      <c r="B235" s="1098" t="s">
        <v>792</v>
      </c>
      <c r="C235" s="1214">
        <f>IFERROR(VLOOKUP(A235,'SAP '!$A$3:$C$14709,3,0),0)</f>
        <v>0</v>
      </c>
      <c r="D235" s="1082">
        <v>0</v>
      </c>
    </row>
    <row r="236" spans="1:4" s="122" customFormat="1">
      <c r="A236" s="1098">
        <v>1101206032</v>
      </c>
      <c r="B236" s="1098" t="s">
        <v>971</v>
      </c>
      <c r="C236" s="1214">
        <f>IFERROR(VLOOKUP(A236,'SAP '!$A$3:$C$14709,3,0),0)</f>
        <v>0</v>
      </c>
      <c r="D236" s="1082">
        <v>0</v>
      </c>
    </row>
    <row r="237" spans="1:4" s="122" customFormat="1">
      <c r="A237" s="1098">
        <v>1101206040</v>
      </c>
      <c r="B237" s="1098" t="s">
        <v>793</v>
      </c>
      <c r="C237" s="1214">
        <f>IFERROR(VLOOKUP(A237,'SAP '!$A$3:$C$14709,3,0),0)</f>
        <v>104772</v>
      </c>
      <c r="D237" s="1082">
        <v>138510.25</v>
      </c>
    </row>
    <row r="238" spans="1:4" s="122" customFormat="1">
      <c r="A238" s="1098">
        <v>1101206041</v>
      </c>
      <c r="B238" s="1098" t="s">
        <v>794</v>
      </c>
      <c r="C238" s="1214">
        <f>IFERROR(VLOOKUP(A238,'SAP '!$A$3:$C$14709,3,0),0)</f>
        <v>-1001914.27</v>
      </c>
      <c r="D238" s="1082">
        <v>-12462.27</v>
      </c>
    </row>
    <row r="239" spans="1:4" s="122" customFormat="1">
      <c r="A239" s="1098">
        <v>1101206042</v>
      </c>
      <c r="B239" s="1098" t="s">
        <v>795</v>
      </c>
      <c r="C239" s="1214">
        <f>IFERROR(VLOOKUP(A239,'SAP '!$A$3:$C$14709,3,0),0)</f>
        <v>0</v>
      </c>
      <c r="D239" s="1082">
        <v>0</v>
      </c>
    </row>
    <row r="240" spans="1:4" s="122" customFormat="1">
      <c r="A240" s="1098">
        <v>1101206050</v>
      </c>
      <c r="B240" s="1098" t="s">
        <v>972</v>
      </c>
      <c r="C240" s="1214">
        <f>IFERROR(VLOOKUP(A240,'SAP '!$A$3:$C$14709,3,0),0)</f>
        <v>0</v>
      </c>
      <c r="D240" s="1082">
        <v>0</v>
      </c>
    </row>
    <row r="241" spans="1:4" s="122" customFormat="1">
      <c r="A241" s="1098">
        <v>1101206051</v>
      </c>
      <c r="B241" s="1098" t="s">
        <v>973</v>
      </c>
      <c r="C241" s="1214">
        <f>IFERROR(VLOOKUP(A241,'SAP '!$A$3:$C$14709,3,0),0)</f>
        <v>0</v>
      </c>
      <c r="D241" s="1082">
        <v>0</v>
      </c>
    </row>
    <row r="242" spans="1:4" s="122" customFormat="1">
      <c r="A242" s="1098">
        <v>1101206052</v>
      </c>
      <c r="B242" s="1098" t="s">
        <v>974</v>
      </c>
      <c r="C242" s="1214">
        <f>IFERROR(VLOOKUP(A242,'SAP '!$A$3:$C$14709,3,0),0)</f>
        <v>0</v>
      </c>
      <c r="D242" s="1082">
        <v>0</v>
      </c>
    </row>
    <row r="243" spans="1:4" s="122" customFormat="1">
      <c r="A243" s="1098">
        <v>1101206060</v>
      </c>
      <c r="B243" s="1098" t="s">
        <v>796</v>
      </c>
      <c r="C243" s="1214">
        <f>IFERROR(VLOOKUP(A243,'SAP '!$A$3:$C$14709,3,0),0)</f>
        <v>456040.25</v>
      </c>
      <c r="D243" s="1082">
        <v>374948.1</v>
      </c>
    </row>
    <row r="244" spans="1:4" s="122" customFormat="1">
      <c r="A244" s="1098">
        <v>1101206061</v>
      </c>
      <c r="B244" s="1098" t="s">
        <v>797</v>
      </c>
      <c r="C244" s="1214">
        <f>IFERROR(VLOOKUP(A244,'SAP '!$A$3:$C$14709,3,0),0)</f>
        <v>1909077.4</v>
      </c>
      <c r="D244" s="1082">
        <v>1883642.25</v>
      </c>
    </row>
    <row r="245" spans="1:4" s="122" customFormat="1">
      <c r="A245" s="1098">
        <v>1101206062</v>
      </c>
      <c r="B245" s="1098" t="s">
        <v>877</v>
      </c>
      <c r="C245" s="1214">
        <f>IFERROR(VLOOKUP(A245,'SAP '!$A$3:$C$14709,3,0),0)</f>
        <v>0</v>
      </c>
      <c r="D245" s="1082">
        <v>0</v>
      </c>
    </row>
    <row r="246" spans="1:4" s="122" customFormat="1">
      <c r="A246" s="1098">
        <v>1101206070</v>
      </c>
      <c r="B246" s="1098" t="s">
        <v>798</v>
      </c>
      <c r="C246" s="1214">
        <f>IFERROR(VLOOKUP(A246,'SAP '!$A$3:$C$14709,3,0),0)</f>
        <v>265603.55</v>
      </c>
      <c r="D246" s="1082">
        <v>946176.03</v>
      </c>
    </row>
    <row r="247" spans="1:4" s="122" customFormat="1">
      <c r="A247" s="1098">
        <v>1101206071</v>
      </c>
      <c r="B247" s="1098" t="s">
        <v>799</v>
      </c>
      <c r="C247" s="1214">
        <f>IFERROR(VLOOKUP(A247,'SAP '!$A$3:$C$14709,3,0),0)</f>
        <v>493470.05</v>
      </c>
      <c r="D247" s="1082">
        <v>300.8</v>
      </c>
    </row>
    <row r="248" spans="1:4" s="122" customFormat="1">
      <c r="A248" s="1098">
        <v>1101206072</v>
      </c>
      <c r="B248" s="1098" t="s">
        <v>878</v>
      </c>
      <c r="C248" s="1214">
        <f>IFERROR(VLOOKUP(A248,'SAP '!$A$3:$C$14709,3,0),0)</f>
        <v>0</v>
      </c>
      <c r="D248" s="1082">
        <v>0</v>
      </c>
    </row>
    <row r="249" spans="1:4" s="122" customFormat="1">
      <c r="A249" s="1098">
        <v>1101206080</v>
      </c>
      <c r="B249" s="1098" t="s">
        <v>800</v>
      </c>
      <c r="C249" s="1214">
        <f>IFERROR(VLOOKUP(A249,'SAP '!$A$3:$C$14709,3,0),0)</f>
        <v>49691</v>
      </c>
      <c r="D249" s="1082">
        <v>418085.25</v>
      </c>
    </row>
    <row r="250" spans="1:4" s="122" customFormat="1">
      <c r="A250" s="1098">
        <v>1101206081</v>
      </c>
      <c r="B250" s="1098" t="s">
        <v>801</v>
      </c>
      <c r="C250" s="1214">
        <f>IFERROR(VLOOKUP(A250,'SAP '!$A$3:$C$14709,3,0),0)</f>
        <v>371701.27</v>
      </c>
      <c r="D250" s="1082">
        <v>843099</v>
      </c>
    </row>
    <row r="251" spans="1:4" s="122" customFormat="1">
      <c r="A251" s="1098">
        <v>1101206082</v>
      </c>
      <c r="B251" s="1098" t="s">
        <v>879</v>
      </c>
      <c r="C251" s="1214">
        <f>IFERROR(VLOOKUP(A251,'SAP '!$A$3:$C$14709,3,0),0)</f>
        <v>0</v>
      </c>
      <c r="D251" s="1082">
        <v>0</v>
      </c>
    </row>
    <row r="252" spans="1:4" s="122" customFormat="1">
      <c r="A252" s="1098">
        <v>1101206090</v>
      </c>
      <c r="B252" s="1098" t="s">
        <v>802</v>
      </c>
      <c r="C252" s="1214">
        <f>IFERROR(VLOOKUP(A252,'SAP '!$A$3:$C$14709,3,0),0)</f>
        <v>38921</v>
      </c>
      <c r="D252" s="1082">
        <v>307256.75</v>
      </c>
    </row>
    <row r="253" spans="1:4" s="122" customFormat="1">
      <c r="A253" s="1098">
        <v>1101206091</v>
      </c>
      <c r="B253" s="1098" t="s">
        <v>803</v>
      </c>
      <c r="C253" s="1214">
        <f>IFERROR(VLOOKUP(A253,'SAP '!$A$3:$C$14709,3,0),0)</f>
        <v>2745</v>
      </c>
      <c r="D253" s="1082">
        <v>347119.75</v>
      </c>
    </row>
    <row r="254" spans="1:4" s="122" customFormat="1">
      <c r="A254" s="1098">
        <v>1101206092</v>
      </c>
      <c r="B254" s="1098" t="s">
        <v>880</v>
      </c>
      <c r="C254" s="1214">
        <f>IFERROR(VLOOKUP(A254,'SAP '!$A$3:$C$14709,3,0),0)</f>
        <v>0</v>
      </c>
      <c r="D254" s="1082">
        <v>0</v>
      </c>
    </row>
    <row r="255" spans="1:4" s="122" customFormat="1">
      <c r="A255" s="1098">
        <v>1101206100</v>
      </c>
      <c r="B255" s="1098" t="s">
        <v>804</v>
      </c>
      <c r="C255" s="1214">
        <f>IFERROR(VLOOKUP(A255,'SAP '!$A$3:$C$14709,3,0),0)</f>
        <v>34141.5</v>
      </c>
      <c r="D255" s="1082">
        <v>1000</v>
      </c>
    </row>
    <row r="256" spans="1:4" s="122" customFormat="1">
      <c r="A256" s="1098">
        <v>1101206101</v>
      </c>
      <c r="B256" s="1098" t="s">
        <v>805</v>
      </c>
      <c r="C256" s="1214">
        <f>IFERROR(VLOOKUP(A256,'SAP '!$A$3:$C$14709,3,0),0)</f>
        <v>102404.94</v>
      </c>
      <c r="D256" s="1082">
        <v>5634.91</v>
      </c>
    </row>
    <row r="257" spans="1:4" s="122" customFormat="1">
      <c r="A257" s="1096">
        <v>1101206102</v>
      </c>
      <c r="B257" s="1097" t="s">
        <v>881</v>
      </c>
      <c r="C257" s="1214">
        <f>IFERROR(VLOOKUP(A257,'SAP '!$A$3:$C$14709,3,0),0)</f>
        <v>0</v>
      </c>
      <c r="D257" s="1082">
        <v>0</v>
      </c>
    </row>
    <row r="258" spans="1:4" s="122" customFormat="1">
      <c r="A258" s="1096">
        <v>1101206110</v>
      </c>
      <c r="B258" s="1097" t="s">
        <v>806</v>
      </c>
      <c r="C258" s="1214">
        <f>IFERROR(VLOOKUP(A258,'SAP '!$A$3:$C$14709,3,0),0)</f>
        <v>1011757.62</v>
      </c>
      <c r="D258" s="1082">
        <v>1011757.62</v>
      </c>
    </row>
    <row r="259" spans="1:4" s="122" customFormat="1">
      <c r="A259" s="1096">
        <v>1101206111</v>
      </c>
      <c r="B259" s="1097" t="s">
        <v>807</v>
      </c>
      <c r="C259" s="1214">
        <f>IFERROR(VLOOKUP(A259,'SAP '!$A$3:$C$14709,3,0),0)</f>
        <v>7384455.3600000003</v>
      </c>
      <c r="D259" s="1082">
        <v>3000000</v>
      </c>
    </row>
    <row r="260" spans="1:4" s="122" customFormat="1">
      <c r="A260" s="1096">
        <v>1101206112</v>
      </c>
      <c r="B260" s="1097" t="s">
        <v>808</v>
      </c>
      <c r="C260" s="1214">
        <f>IFERROR(VLOOKUP(A260,'SAP '!$A$3:$C$14709,3,0),0)</f>
        <v>-7426512.8499999996</v>
      </c>
      <c r="D260" s="1082">
        <v>-2580088.06</v>
      </c>
    </row>
    <row r="261" spans="1:4" s="122" customFormat="1">
      <c r="A261" s="1098">
        <v>1101206120</v>
      </c>
      <c r="B261" s="1098" t="s">
        <v>975</v>
      </c>
      <c r="C261" s="1214">
        <f>IFERROR(VLOOKUP(A261,'SAP '!$A$3:$C$14709,3,0),0)</f>
        <v>0</v>
      </c>
      <c r="D261" s="1082">
        <v>0</v>
      </c>
    </row>
    <row r="262" spans="1:4" s="122" customFormat="1">
      <c r="A262" s="1098">
        <v>1101206121</v>
      </c>
      <c r="B262" s="1098" t="s">
        <v>976</v>
      </c>
      <c r="C262" s="1214">
        <f>IFERROR(VLOOKUP(A262,'SAP '!$A$3:$C$14709,3,0),0)</f>
        <v>0</v>
      </c>
      <c r="D262" s="1082">
        <v>0</v>
      </c>
    </row>
    <row r="263" spans="1:4" s="122" customFormat="1">
      <c r="A263" s="1098">
        <v>1101206122</v>
      </c>
      <c r="B263" s="1098" t="s">
        <v>977</v>
      </c>
      <c r="C263" s="1214">
        <f>IFERROR(VLOOKUP(A263,'SAP '!$A$3:$C$14709,3,0),0)</f>
        <v>0</v>
      </c>
      <c r="D263" s="1082">
        <v>0</v>
      </c>
    </row>
    <row r="264" spans="1:4" s="122" customFormat="1">
      <c r="A264" s="1098">
        <v>1101206130</v>
      </c>
      <c r="B264" s="1098" t="s">
        <v>978</v>
      </c>
      <c r="C264" s="1214">
        <f>IFERROR(VLOOKUP(A264,'SAP '!$A$3:$C$14709,3,0),0)</f>
        <v>0</v>
      </c>
      <c r="D264" s="1082">
        <v>0</v>
      </c>
    </row>
    <row r="265" spans="1:4" s="122" customFormat="1">
      <c r="A265" s="1098">
        <v>1101206131</v>
      </c>
      <c r="B265" s="1098" t="s">
        <v>979</v>
      </c>
      <c r="C265" s="1214">
        <f>IFERROR(VLOOKUP(A265,'SAP '!$A$3:$C$14709,3,0),0)</f>
        <v>0</v>
      </c>
      <c r="D265" s="1082">
        <v>0</v>
      </c>
    </row>
    <row r="266" spans="1:4" s="122" customFormat="1">
      <c r="A266" s="1098">
        <v>1101206132</v>
      </c>
      <c r="B266" s="1098" t="s">
        <v>980</v>
      </c>
      <c r="C266" s="1214">
        <f>IFERROR(VLOOKUP(A266,'SAP '!$A$3:$C$14709,3,0),0)</f>
        <v>0</v>
      </c>
      <c r="D266" s="1082">
        <v>0</v>
      </c>
    </row>
    <row r="267" spans="1:4" s="122" customFormat="1">
      <c r="A267" s="1098">
        <v>1101206140</v>
      </c>
      <c r="B267" s="1098" t="s">
        <v>981</v>
      </c>
      <c r="C267" s="1214">
        <f>IFERROR(VLOOKUP(A267,'SAP '!$A$3:$C$14709,3,0),0)</f>
        <v>0</v>
      </c>
      <c r="D267" s="1082">
        <v>0</v>
      </c>
    </row>
    <row r="268" spans="1:4" s="122" customFormat="1">
      <c r="A268" s="1098">
        <v>1101206141</v>
      </c>
      <c r="B268" s="1098" t="s">
        <v>982</v>
      </c>
      <c r="C268" s="1214">
        <f>IFERROR(VLOOKUP(A268,'SAP '!$A$3:$C$14709,3,0),0)</f>
        <v>0</v>
      </c>
      <c r="D268" s="1082">
        <v>0</v>
      </c>
    </row>
    <row r="269" spans="1:4" s="122" customFormat="1">
      <c r="A269" s="1098">
        <v>1101206142</v>
      </c>
      <c r="B269" s="1098" t="s">
        <v>983</v>
      </c>
      <c r="C269" s="1214">
        <f>IFERROR(VLOOKUP(A269,'SAP '!$A$3:$C$14709,3,0),0)</f>
        <v>0</v>
      </c>
      <c r="D269" s="1082">
        <v>0</v>
      </c>
    </row>
    <row r="270" spans="1:4" s="122" customFormat="1">
      <c r="A270" s="1098">
        <v>1101206150</v>
      </c>
      <c r="B270" s="1098" t="s">
        <v>984</v>
      </c>
      <c r="C270" s="1214">
        <f>IFERROR(VLOOKUP(A270,'SAP '!$A$3:$C$14709,3,0),0)</f>
        <v>0</v>
      </c>
      <c r="D270" s="1082">
        <v>0</v>
      </c>
    </row>
    <row r="271" spans="1:4" s="122" customFormat="1">
      <c r="A271" s="1098">
        <v>1101206151</v>
      </c>
      <c r="B271" s="1098" t="s">
        <v>985</v>
      </c>
      <c r="C271" s="1214">
        <f>IFERROR(VLOOKUP(A271,'SAP '!$A$3:$C$14709,3,0),0)</f>
        <v>0</v>
      </c>
      <c r="D271" s="1082">
        <v>0</v>
      </c>
    </row>
    <row r="272" spans="1:4" s="122" customFormat="1">
      <c r="A272" s="1098">
        <v>1101206152</v>
      </c>
      <c r="B272" s="1098" t="s">
        <v>986</v>
      </c>
      <c r="C272" s="1214">
        <f>IFERROR(VLOOKUP(A272,'SAP '!$A$3:$C$14709,3,0),0)</f>
        <v>0</v>
      </c>
      <c r="D272" s="1082">
        <v>0</v>
      </c>
    </row>
    <row r="273" spans="1:4" s="122" customFormat="1">
      <c r="A273" s="1098">
        <v>1101206160</v>
      </c>
      <c r="B273" s="1098" t="s">
        <v>809</v>
      </c>
      <c r="C273" s="1214">
        <f>IFERROR(VLOOKUP(A273,'SAP '!$A$3:$C$14709,3,0),0)</f>
        <v>10805.28</v>
      </c>
      <c r="D273" s="1082">
        <v>10805.28</v>
      </c>
    </row>
    <row r="274" spans="1:4" s="122" customFormat="1">
      <c r="A274" s="1098">
        <v>1101206161</v>
      </c>
      <c r="B274" s="1098" t="s">
        <v>810</v>
      </c>
      <c r="C274" s="1214">
        <f>IFERROR(VLOOKUP(A274,'SAP '!$A$3:$C$14709,3,0),0)</f>
        <v>2342</v>
      </c>
      <c r="D274" s="1082">
        <v>2342</v>
      </c>
    </row>
    <row r="275" spans="1:4" s="122" customFormat="1">
      <c r="A275" s="1098">
        <v>1101206162</v>
      </c>
      <c r="B275" s="1098" t="s">
        <v>811</v>
      </c>
      <c r="C275" s="1214">
        <f>IFERROR(VLOOKUP(A275,'SAP '!$A$3:$C$14709,3,0),0)</f>
        <v>37756.39</v>
      </c>
      <c r="D275" s="1082">
        <v>37756.39</v>
      </c>
    </row>
    <row r="276" spans="1:4" s="122" customFormat="1">
      <c r="A276" s="1098">
        <v>1101206170</v>
      </c>
      <c r="B276" s="1098" t="s">
        <v>812</v>
      </c>
      <c r="C276" s="1214">
        <f>IFERROR(VLOOKUP(A276,'SAP '!$A$3:$C$14709,3,0),0)</f>
        <v>1345</v>
      </c>
      <c r="D276" s="1082">
        <v>1000</v>
      </c>
    </row>
    <row r="277" spans="1:4" s="122" customFormat="1">
      <c r="A277" s="1098">
        <v>1101206171</v>
      </c>
      <c r="B277" s="1098" t="s">
        <v>813</v>
      </c>
      <c r="C277" s="1214">
        <f>IFERROR(VLOOKUP(A277,'SAP '!$A$3:$C$14709,3,0),0)</f>
        <v>349.6</v>
      </c>
      <c r="D277" s="1082">
        <v>2549</v>
      </c>
    </row>
    <row r="278" spans="1:4" s="122" customFormat="1">
      <c r="A278" s="1098">
        <v>1101206172</v>
      </c>
      <c r="B278" s="1098" t="s">
        <v>987</v>
      </c>
      <c r="C278" s="1214">
        <f>IFERROR(VLOOKUP(A278,'SAP '!$A$3:$C$14709,3,0),0)</f>
        <v>0</v>
      </c>
      <c r="D278" s="1082">
        <v>0</v>
      </c>
    </row>
    <row r="279" spans="1:4" s="122" customFormat="1">
      <c r="A279" s="1098">
        <v>1101206180</v>
      </c>
      <c r="B279" s="1098" t="s">
        <v>988</v>
      </c>
      <c r="C279" s="1214">
        <f>IFERROR(VLOOKUP(A279,'SAP '!$A$3:$C$14709,3,0),0)</f>
        <v>0</v>
      </c>
      <c r="D279" s="1082">
        <v>0</v>
      </c>
    </row>
    <row r="280" spans="1:4" s="122" customFormat="1">
      <c r="A280" s="1098">
        <v>1101206181</v>
      </c>
      <c r="B280" s="1098" t="s">
        <v>989</v>
      </c>
      <c r="C280" s="1214">
        <f>IFERROR(VLOOKUP(A280,'SAP '!$A$3:$C$14709,3,0),0)</f>
        <v>0</v>
      </c>
      <c r="D280" s="1082">
        <v>0</v>
      </c>
    </row>
    <row r="281" spans="1:4" s="122" customFormat="1">
      <c r="A281" s="1098">
        <v>1101206182</v>
      </c>
      <c r="B281" s="1098" t="s">
        <v>990</v>
      </c>
      <c r="C281" s="1214">
        <f>IFERROR(VLOOKUP(A281,'SAP '!$A$3:$C$14709,3,0),0)</f>
        <v>0</v>
      </c>
      <c r="D281" s="1082">
        <v>0</v>
      </c>
    </row>
    <row r="282" spans="1:4" s="122" customFormat="1">
      <c r="A282" s="1098">
        <v>1101206190</v>
      </c>
      <c r="B282" s="1098" t="s">
        <v>814</v>
      </c>
      <c r="C282" s="1214">
        <f>IFERROR(VLOOKUP(A282,'SAP '!$A$3:$C$14709,3,0),0)</f>
        <v>80979500.560000002</v>
      </c>
      <c r="D282" s="1082">
        <v>6430924.3099999996</v>
      </c>
    </row>
    <row r="283" spans="1:4" s="122" customFormat="1">
      <c r="A283" s="1098">
        <v>1101206191</v>
      </c>
      <c r="B283" s="1098" t="s">
        <v>815</v>
      </c>
      <c r="C283" s="1214">
        <f>IFERROR(VLOOKUP(A283,'SAP '!$A$3:$C$14709,3,0),0)</f>
        <v>-2743066.96</v>
      </c>
      <c r="D283" s="1082">
        <v>-2221562.86</v>
      </c>
    </row>
    <row r="284" spans="1:4" s="122" customFormat="1">
      <c r="A284" s="1098">
        <v>1101206192</v>
      </c>
      <c r="B284" s="1098" t="s">
        <v>1044</v>
      </c>
      <c r="C284" s="1214">
        <f>IFERROR(VLOOKUP(A284,'SAP '!$A$3:$C$14709,3,0),0)</f>
        <v>-76044004.299999997</v>
      </c>
      <c r="D284" s="1082">
        <v>0</v>
      </c>
    </row>
    <row r="285" spans="1:4" s="122" customFormat="1">
      <c r="A285" s="1098">
        <v>1101206200</v>
      </c>
      <c r="B285" s="1098" t="s">
        <v>290</v>
      </c>
      <c r="C285" s="1214">
        <f>IFERROR(VLOOKUP(A285,'SAP '!$A$3:$C$14709,3,0),0)</f>
        <v>90886.89</v>
      </c>
      <c r="D285" s="1082">
        <v>51666.87</v>
      </c>
    </row>
    <row r="286" spans="1:4" s="122" customFormat="1">
      <c r="A286" s="1098">
        <v>1101206201</v>
      </c>
      <c r="B286" s="1098" t="s">
        <v>291</v>
      </c>
      <c r="C286" s="1214">
        <f>IFERROR(VLOOKUP(A286,'SAP '!$A$3:$C$14709,3,0),0)</f>
        <v>967156.92</v>
      </c>
      <c r="D286" s="1082">
        <v>-18450.59</v>
      </c>
    </row>
    <row r="287" spans="1:4" s="122" customFormat="1">
      <c r="A287" s="1098">
        <v>1101206202</v>
      </c>
      <c r="B287" s="1098" t="s">
        <v>419</v>
      </c>
      <c r="C287" s="1214">
        <f>IFERROR(VLOOKUP(A287,'SAP '!$A$3:$C$14709,3,0),0)</f>
        <v>-1023081.34</v>
      </c>
      <c r="D287" s="1082">
        <v>0</v>
      </c>
    </row>
    <row r="288" spans="1:4" s="122" customFormat="1">
      <c r="A288" s="1098">
        <v>1101206210</v>
      </c>
      <c r="B288" s="1098" t="s">
        <v>816</v>
      </c>
      <c r="C288" s="1214">
        <f>IFERROR(VLOOKUP(A288,'SAP '!$A$3:$C$14709,3,0),0)</f>
        <v>3871973.45</v>
      </c>
      <c r="D288" s="1082">
        <v>1247330</v>
      </c>
    </row>
    <row r="289" spans="1:4" s="122" customFormat="1">
      <c r="A289" s="1098">
        <v>1101206211</v>
      </c>
      <c r="B289" s="1098" t="s">
        <v>817</v>
      </c>
      <c r="C289" s="1214">
        <f>IFERROR(VLOOKUP(A289,'SAP '!$A$3:$C$14709,3,0),0)</f>
        <v>12618520.01</v>
      </c>
      <c r="D289" s="1082">
        <v>295009.34000000003</v>
      </c>
    </row>
    <row r="290" spans="1:4" s="122" customFormat="1">
      <c r="A290" s="1098">
        <v>1101206212</v>
      </c>
      <c r="B290" s="1098" t="s">
        <v>991</v>
      </c>
      <c r="C290" s="1214">
        <f>IFERROR(VLOOKUP(A290,'SAP '!$A$3:$C$14709,3,0),0)</f>
        <v>-15714803.449999999</v>
      </c>
      <c r="D290" s="1082">
        <v>0</v>
      </c>
    </row>
    <row r="291" spans="1:4" s="122" customFormat="1">
      <c r="A291" s="1098">
        <v>1101206220</v>
      </c>
      <c r="B291" s="1098" t="s">
        <v>818</v>
      </c>
      <c r="C291" s="1214">
        <f>IFERROR(VLOOKUP(A291,'SAP '!$A$3:$C$14709,3,0),0)</f>
        <v>29672</v>
      </c>
      <c r="D291" s="1082">
        <v>270510</v>
      </c>
    </row>
    <row r="292" spans="1:4" s="122" customFormat="1">
      <c r="A292" s="1098">
        <v>1101206221</v>
      </c>
      <c r="B292" s="1098" t="s">
        <v>819</v>
      </c>
      <c r="C292" s="1214">
        <f>IFERROR(VLOOKUP(A292,'SAP '!$A$3:$C$14709,3,0),0)</f>
        <v>37204.5</v>
      </c>
      <c r="D292" s="1082">
        <v>27965.25</v>
      </c>
    </row>
    <row r="293" spans="1:4" s="122" customFormat="1">
      <c r="A293" s="1098">
        <v>1101206222</v>
      </c>
      <c r="B293" s="1098" t="s">
        <v>882</v>
      </c>
      <c r="C293" s="1214">
        <f>IFERROR(VLOOKUP(A293,'SAP '!$A$3:$C$14709,3,0),0)</f>
        <v>0</v>
      </c>
      <c r="D293" s="1082">
        <v>0</v>
      </c>
    </row>
    <row r="294" spans="1:4" s="122" customFormat="1">
      <c r="A294" s="1098">
        <v>1101207010</v>
      </c>
      <c r="B294" s="1098" t="s">
        <v>912</v>
      </c>
      <c r="C294" s="1214">
        <f>IFERROR(VLOOKUP(A294,'SAP '!$A$3:$C$14709,3,0),0)</f>
        <v>0</v>
      </c>
      <c r="D294" s="1082">
        <v>0</v>
      </c>
    </row>
    <row r="295" spans="1:4" s="122" customFormat="1">
      <c r="A295" s="1098">
        <v>1101207011</v>
      </c>
      <c r="B295" s="1098" t="s">
        <v>913</v>
      </c>
      <c r="C295" s="1214">
        <f>IFERROR(VLOOKUP(A295,'SAP '!$A$3:$C$14709,3,0),0)</f>
        <v>0</v>
      </c>
      <c r="D295" s="1082">
        <v>0</v>
      </c>
    </row>
    <row r="296" spans="1:4" s="122" customFormat="1">
      <c r="A296" s="1098">
        <v>1101207012</v>
      </c>
      <c r="B296" s="1098" t="s">
        <v>914</v>
      </c>
      <c r="C296" s="1214">
        <f>IFERROR(VLOOKUP(A296,'SAP '!$A$3:$C$14709,3,0),0)</f>
        <v>0</v>
      </c>
      <c r="D296" s="1082">
        <v>0</v>
      </c>
    </row>
    <row r="297" spans="1:4" s="122" customFormat="1">
      <c r="A297" s="1098">
        <v>1101301000</v>
      </c>
      <c r="B297" s="1098" t="s">
        <v>992</v>
      </c>
      <c r="C297" s="1214">
        <f>IFERROR(VLOOKUP(A297,'SAP '!$A$3:$C$14709,3,0),0)</f>
        <v>0</v>
      </c>
      <c r="D297" s="1082">
        <v>0</v>
      </c>
    </row>
    <row r="298" spans="1:4" s="122" customFormat="1">
      <c r="A298" s="1096">
        <v>1107101000</v>
      </c>
      <c r="B298" s="1097" t="s">
        <v>292</v>
      </c>
      <c r="C298" s="1214">
        <f>IFERROR(VLOOKUP(A298,'SAP '!$A$3:$C$14709,3,0),0)</f>
        <v>137247314.58000001</v>
      </c>
      <c r="D298" s="1082">
        <v>124694678.72</v>
      </c>
    </row>
    <row r="299" spans="1:4" s="122" customFormat="1">
      <c r="A299" s="1096">
        <v>1107102000</v>
      </c>
      <c r="B299" s="1097" t="s">
        <v>435</v>
      </c>
      <c r="C299" s="1214">
        <f>IFERROR(VLOOKUP(A299,'SAP '!$A$3:$C$14709,3,0),0)</f>
        <v>0</v>
      </c>
      <c r="D299" s="1082">
        <v>0</v>
      </c>
    </row>
    <row r="300" spans="1:4" s="122" customFormat="1">
      <c r="A300" s="1096">
        <v>1107103000</v>
      </c>
      <c r="B300" s="1099" t="s">
        <v>510</v>
      </c>
      <c r="C300" s="1214">
        <f>IFERROR(VLOOKUP(A300,'SAP '!$A$3:$C$14709,3,0),0)</f>
        <v>-30678330.510000002</v>
      </c>
      <c r="D300" s="1082">
        <v>-30678330.510000002</v>
      </c>
    </row>
    <row r="301" spans="1:4" s="122" customFormat="1">
      <c r="A301" s="1096">
        <v>1107104000</v>
      </c>
      <c r="B301" s="1097" t="s">
        <v>293</v>
      </c>
      <c r="C301" s="1214">
        <f>IFERROR(VLOOKUP(A301,'SAP '!$A$3:$C$14709,3,0),0)</f>
        <v>21051371.25</v>
      </c>
      <c r="D301" s="1082">
        <v>14894947.390000001</v>
      </c>
    </row>
    <row r="302" spans="1:4" s="122" customFormat="1">
      <c r="A302" s="1103">
        <v>1107203000</v>
      </c>
      <c r="B302" s="1097" t="s">
        <v>820</v>
      </c>
      <c r="C302" s="1214">
        <f>IFERROR(VLOOKUP(A302,'SAP '!$A$3:$C$14709,3,0),0)</f>
        <v>1265005.6499999999</v>
      </c>
      <c r="D302" s="1082">
        <v>1265005.6499999999</v>
      </c>
    </row>
    <row r="303" spans="1:4" s="122" customFormat="1">
      <c r="A303" s="1096">
        <v>1107210000</v>
      </c>
      <c r="B303" s="1097" t="s">
        <v>993</v>
      </c>
      <c r="C303" s="1214">
        <f>IFERROR(VLOOKUP(A303,'SAP '!$A$3:$C$14709,3,0),0)</f>
        <v>0</v>
      </c>
      <c r="D303" s="1082">
        <v>0</v>
      </c>
    </row>
    <row r="304" spans="1:4" s="122" customFormat="1">
      <c r="A304" s="1098">
        <v>1107212000</v>
      </c>
      <c r="B304" s="1098" t="s">
        <v>144</v>
      </c>
      <c r="C304" s="1214">
        <f>IFERROR(VLOOKUP(A304,'SAP '!$A$3:$C$14709,3,0),0)</f>
        <v>0</v>
      </c>
      <c r="D304" s="1082">
        <v>0</v>
      </c>
    </row>
    <row r="305" spans="1:4" s="122" customFormat="1">
      <c r="A305" s="1103">
        <v>1107214000</v>
      </c>
      <c r="B305" s="1097" t="s">
        <v>821</v>
      </c>
      <c r="C305" s="1214">
        <f>IFERROR(VLOOKUP(A305,'SAP '!$A$3:$C$14709,3,0),0)</f>
        <v>51120917.68</v>
      </c>
      <c r="D305" s="1082">
        <v>21171721.940000001</v>
      </c>
    </row>
    <row r="306" spans="1:4" s="122" customFormat="1">
      <c r="A306" s="1103">
        <v>1107214001</v>
      </c>
      <c r="B306" s="1097" t="s">
        <v>822</v>
      </c>
      <c r="C306" s="1214">
        <f>IFERROR(VLOOKUP(A306,'SAP '!$A$3:$C$14709,3,0),0)</f>
        <v>767113.19</v>
      </c>
      <c r="D306" s="1082">
        <v>767113.19</v>
      </c>
    </row>
    <row r="307" spans="1:4" s="122" customFormat="1">
      <c r="A307" s="1096">
        <v>1107215000</v>
      </c>
      <c r="B307" s="1097" t="s">
        <v>823</v>
      </c>
      <c r="C307" s="1214">
        <f>IFERROR(VLOOKUP(A307,'SAP '!$A$3:$C$14709,3,0),0)</f>
        <v>2007812.9</v>
      </c>
      <c r="D307" s="1082">
        <v>2007812.9</v>
      </c>
    </row>
    <row r="308" spans="1:4" s="122" customFormat="1">
      <c r="A308" s="1098">
        <v>1107215001</v>
      </c>
      <c r="B308" s="1098" t="s">
        <v>145</v>
      </c>
      <c r="C308" s="1214">
        <f>IFERROR(VLOOKUP(A308,'SAP '!$A$3:$C$14709,3,0),0)</f>
        <v>0</v>
      </c>
      <c r="D308" s="1082">
        <v>0</v>
      </c>
    </row>
    <row r="309" spans="1:4" s="122" customFormat="1">
      <c r="A309" s="1096">
        <v>1109101000</v>
      </c>
      <c r="B309" s="1097" t="s">
        <v>824</v>
      </c>
      <c r="C309" s="1214">
        <f>IFERROR(VLOOKUP(A309,'SAP '!$A$3:$C$14709,3,0),0)</f>
        <v>64264.35</v>
      </c>
      <c r="D309" s="1082">
        <v>64264.35</v>
      </c>
    </row>
    <row r="310" spans="1:4" s="122" customFormat="1">
      <c r="A310" s="1103">
        <v>1109104000</v>
      </c>
      <c r="B310" s="1097" t="s">
        <v>825</v>
      </c>
      <c r="C310" s="1214">
        <f>IFERROR(VLOOKUP(A310,'SAP '!$A$3:$C$14709,3,0),0)</f>
        <v>913043.08</v>
      </c>
      <c r="D310" s="1082">
        <v>0</v>
      </c>
    </row>
    <row r="311" spans="1:4" s="122" customFormat="1">
      <c r="A311" s="1103">
        <v>1109104001</v>
      </c>
      <c r="B311" s="1097" t="s">
        <v>826</v>
      </c>
      <c r="C311" s="1214">
        <f>IFERROR(VLOOKUP(A311,'SAP '!$A$3:$C$14709,3,0),0)</f>
        <v>187461.82</v>
      </c>
      <c r="D311" s="1082">
        <v>0</v>
      </c>
    </row>
    <row r="312" spans="1:4" s="122" customFormat="1">
      <c r="A312" s="1103">
        <v>1109104002</v>
      </c>
      <c r="B312" s="1097" t="s">
        <v>827</v>
      </c>
      <c r="C312" s="1214">
        <f>IFERROR(VLOOKUP(A312,'SAP '!$A$3:$C$14709,3,0),0)</f>
        <v>1454833.77</v>
      </c>
      <c r="D312" s="1082">
        <v>37976.620000000003</v>
      </c>
    </row>
    <row r="313" spans="1:4" s="122" customFormat="1">
      <c r="A313" s="1103">
        <v>1109104003</v>
      </c>
      <c r="B313" s="1097" t="s">
        <v>828</v>
      </c>
      <c r="C313" s="1214">
        <f>IFERROR(VLOOKUP(A313,'SAP '!$A$3:$C$14709,3,0),0)</f>
        <v>10770676</v>
      </c>
      <c r="D313" s="1082">
        <v>0</v>
      </c>
    </row>
    <row r="314" spans="1:4" s="122" customFormat="1">
      <c r="A314" s="1096">
        <v>1109105000</v>
      </c>
      <c r="B314" s="1097" t="s">
        <v>829</v>
      </c>
      <c r="C314" s="1214">
        <f>IFERROR(VLOOKUP(A314,'SAP '!$A$3:$C$14709,3,0),0)</f>
        <v>104572</v>
      </c>
      <c r="D314" s="1082">
        <v>99486</v>
      </c>
    </row>
    <row r="315" spans="1:4" s="122" customFormat="1">
      <c r="A315" s="1096">
        <v>1109108001</v>
      </c>
      <c r="B315" s="1097" t="s">
        <v>1122</v>
      </c>
      <c r="C315" s="1214">
        <f>IFERROR(VLOOKUP(A315,'SAP '!$A$3:$C$14709,3,0),0)</f>
        <v>427576.32000000001</v>
      </c>
      <c r="D315" s="1082">
        <v>427576.32000000001</v>
      </c>
    </row>
    <row r="316" spans="1:4" s="122" customFormat="1">
      <c r="A316" s="1096">
        <v>1109109001</v>
      </c>
      <c r="B316" s="1097" t="s">
        <v>1131</v>
      </c>
      <c r="C316" s="1214">
        <f>IFERROR(VLOOKUP(A316,'SAP '!$A$3:$C$14709,3,0),0)</f>
        <v>99285178.310000002</v>
      </c>
      <c r="D316" s="1082">
        <v>99285178.310000002</v>
      </c>
    </row>
    <row r="317" spans="1:4" s="122" customFormat="1">
      <c r="A317" s="1098">
        <v>1109201000</v>
      </c>
      <c r="B317" s="1098" t="s">
        <v>146</v>
      </c>
      <c r="C317" s="1214">
        <f>IFERROR(VLOOKUP(A317,'SAP '!$A$3:$C$14709,3,0),0)</f>
        <v>0</v>
      </c>
      <c r="D317" s="1082">
        <v>0</v>
      </c>
    </row>
    <row r="318" spans="1:4" s="122" customFormat="1">
      <c r="A318" s="1096">
        <v>1109203000</v>
      </c>
      <c r="B318" s="1097" t="s">
        <v>830</v>
      </c>
      <c r="C318" s="1214">
        <f>IFERROR(VLOOKUP(A318,'SAP '!$A$3:$C$14709,3,0),0)</f>
        <v>478878.77</v>
      </c>
      <c r="D318" s="1082">
        <v>288864.40999999997</v>
      </c>
    </row>
    <row r="319" spans="1:4" s="122" customFormat="1">
      <c r="A319" s="1096">
        <v>1111301000</v>
      </c>
      <c r="B319" s="1097" t="s">
        <v>294</v>
      </c>
      <c r="C319" s="1214">
        <f>IFERROR(VLOOKUP(A319,'SAP '!$A$3:$C$14709,3,0),0)</f>
        <v>984624.19</v>
      </c>
      <c r="D319" s="1082">
        <v>862363.71</v>
      </c>
    </row>
    <row r="320" spans="1:4" s="122" customFormat="1">
      <c r="A320" s="1096">
        <v>1111301001</v>
      </c>
      <c r="B320" s="1097" t="s">
        <v>295</v>
      </c>
      <c r="C320" s="1214">
        <f>IFERROR(VLOOKUP(A320,'SAP '!$A$3:$C$14709,3,0),0)</f>
        <v>2996702.03</v>
      </c>
      <c r="D320" s="1082">
        <v>3340300.56</v>
      </c>
    </row>
    <row r="321" spans="1:4" s="122" customFormat="1">
      <c r="A321" s="1096">
        <v>1111301002</v>
      </c>
      <c r="B321" s="1097" t="s">
        <v>296</v>
      </c>
      <c r="C321" s="1214">
        <f>IFERROR(VLOOKUP(A321,'SAP '!$A$3:$C$14709,3,0),0)</f>
        <v>20440627.469999999</v>
      </c>
      <c r="D321" s="1082">
        <v>22829188.75</v>
      </c>
    </row>
    <row r="322" spans="1:4" s="122" customFormat="1">
      <c r="A322" s="1096">
        <v>1111301003</v>
      </c>
      <c r="B322" s="1097" t="s">
        <v>297</v>
      </c>
      <c r="C322" s="1214">
        <f>IFERROR(VLOOKUP(A322,'SAP '!$A$3:$C$14709,3,0),0)</f>
        <v>5950</v>
      </c>
      <c r="D322" s="1082">
        <v>28540</v>
      </c>
    </row>
    <row r="323" spans="1:4" s="122" customFormat="1">
      <c r="A323" s="1096">
        <v>1111301004</v>
      </c>
      <c r="B323" s="1097" t="s">
        <v>298</v>
      </c>
      <c r="C323" s="1214">
        <f>IFERROR(VLOOKUP(A323,'SAP '!$A$3:$C$14709,3,0),0)</f>
        <v>2865561.34</v>
      </c>
      <c r="D323" s="1082">
        <v>2030088.63</v>
      </c>
    </row>
    <row r="324" spans="1:4" s="122" customFormat="1">
      <c r="A324" s="1096">
        <v>1111301005</v>
      </c>
      <c r="B324" s="1097" t="s">
        <v>299</v>
      </c>
      <c r="C324" s="1214">
        <f>IFERROR(VLOOKUP(A324,'SAP '!$A$3:$C$14709,3,0),0)</f>
        <v>988563.74</v>
      </c>
      <c r="D324" s="1082">
        <v>1093718.04</v>
      </c>
    </row>
    <row r="325" spans="1:4" s="122" customFormat="1">
      <c r="A325" s="1098">
        <v>1111301006</v>
      </c>
      <c r="B325" s="1098" t="s">
        <v>433</v>
      </c>
      <c r="C325" s="1214">
        <f>IFERROR(VLOOKUP(A325,'SAP '!$A$3:$C$14709,3,0),0)</f>
        <v>0</v>
      </c>
      <c r="D325" s="1082">
        <v>0</v>
      </c>
    </row>
    <row r="326" spans="1:4" s="122" customFormat="1">
      <c r="A326" s="1096">
        <v>1111301007</v>
      </c>
      <c r="B326" s="1097" t="s">
        <v>300</v>
      </c>
      <c r="C326" s="1214">
        <f>IFERROR(VLOOKUP(A326,'SAP '!$A$3:$C$14709,3,0),0)</f>
        <v>39275351.189999998</v>
      </c>
      <c r="D326" s="1082">
        <v>17848508.09</v>
      </c>
    </row>
    <row r="327" spans="1:4" s="122" customFormat="1">
      <c r="A327" s="1096">
        <v>1111301008</v>
      </c>
      <c r="B327" s="1097" t="s">
        <v>301</v>
      </c>
      <c r="C327" s="1214">
        <f>IFERROR(VLOOKUP(A327,'SAP '!$A$3:$C$14709,3,0),0)</f>
        <v>51521338.189999998</v>
      </c>
      <c r="D327" s="1082">
        <v>59553250.07</v>
      </c>
    </row>
    <row r="328" spans="1:4" s="122" customFormat="1">
      <c r="A328" s="1098">
        <v>1111301009</v>
      </c>
      <c r="B328" s="1098" t="s">
        <v>434</v>
      </c>
      <c r="C328" s="1214">
        <f>IFERROR(VLOOKUP(A328,'SAP '!$A$3:$C$14709,3,0),0)</f>
        <v>0</v>
      </c>
      <c r="D328" s="1082">
        <v>0</v>
      </c>
    </row>
    <row r="329" spans="1:4" s="122" customFormat="1">
      <c r="A329" s="1096">
        <v>1111302001</v>
      </c>
      <c r="B329" s="1097" t="s">
        <v>1461</v>
      </c>
      <c r="C329" s="1214">
        <f>IFERROR(VLOOKUP(A329,'SAP '!$A$3:$C$14709,3,0),0)</f>
        <v>-8708854</v>
      </c>
      <c r="D329" s="1082">
        <v>-8708854</v>
      </c>
    </row>
    <row r="330" spans="1:4" s="122" customFormat="1">
      <c r="A330" s="1098">
        <v>1205101000</v>
      </c>
      <c r="B330" s="1098" t="s">
        <v>147</v>
      </c>
      <c r="C330" s="1214">
        <f>IFERROR(VLOOKUP(A330,'SAP '!$A$3:$C$14709,3,0),0)</f>
        <v>0</v>
      </c>
      <c r="D330" s="1082">
        <v>0</v>
      </c>
    </row>
    <row r="331" spans="1:4" s="122" customFormat="1">
      <c r="A331" s="1098">
        <v>1205101001</v>
      </c>
      <c r="B331" s="1098" t="s">
        <v>148</v>
      </c>
      <c r="C331" s="1214">
        <f>IFERROR(VLOOKUP(A331,'SAP '!$A$3:$C$14709,3,0),0)</f>
        <v>0</v>
      </c>
      <c r="D331" s="1082">
        <v>0</v>
      </c>
    </row>
    <row r="332" spans="1:4" s="122" customFormat="1">
      <c r="A332" s="1098">
        <v>1205201000</v>
      </c>
      <c r="B332" s="1098" t="s">
        <v>149</v>
      </c>
      <c r="C332" s="1214">
        <f>IFERROR(VLOOKUP(A332,'SAP '!$A$3:$C$14709,3,0),0)</f>
        <v>0</v>
      </c>
      <c r="D332" s="1082">
        <v>0</v>
      </c>
    </row>
    <row r="333" spans="1:4" s="122" customFormat="1">
      <c r="A333" s="1098">
        <v>1205201001</v>
      </c>
      <c r="B333" s="1098" t="s">
        <v>831</v>
      </c>
      <c r="C333" s="1214">
        <f>IFERROR(VLOOKUP(A333,'SAP '!$A$3:$C$14709,3,0),0)</f>
        <v>1000000</v>
      </c>
      <c r="D333" s="1082">
        <v>1000000</v>
      </c>
    </row>
    <row r="334" spans="1:4" s="122" customFormat="1">
      <c r="A334" s="1098">
        <v>1205210000</v>
      </c>
      <c r="B334" s="1098" t="s">
        <v>151</v>
      </c>
      <c r="C334" s="1214">
        <f>IFERROR(VLOOKUP(A334,'SAP '!$A$3:$C$14709,3,0),0)</f>
        <v>0</v>
      </c>
      <c r="D334" s="1082">
        <v>0</v>
      </c>
    </row>
    <row r="335" spans="1:4" s="122" customFormat="1">
      <c r="A335" s="1098">
        <v>1205213001</v>
      </c>
      <c r="B335" s="1098" t="s">
        <v>275</v>
      </c>
      <c r="C335" s="1214">
        <f>IFERROR(VLOOKUP(A335,'SAP '!$A$3:$C$14709,3,0),0)</f>
        <v>9682582.5199999996</v>
      </c>
      <c r="D335" s="1082">
        <v>9682582.5199999996</v>
      </c>
    </row>
    <row r="336" spans="1:4" s="122" customFormat="1">
      <c r="A336" s="1096">
        <v>1205310000</v>
      </c>
      <c r="B336" s="1097" t="s">
        <v>302</v>
      </c>
      <c r="C336" s="1214">
        <f>IFERROR(VLOOKUP(A336,'SAP '!$A$3:$C$14709,3,0),0)</f>
        <v>0</v>
      </c>
      <c r="D336" s="1082">
        <v>0</v>
      </c>
    </row>
    <row r="337" spans="1:4" s="122" customFormat="1">
      <c r="A337" s="1098">
        <v>1206101000</v>
      </c>
      <c r="B337" s="1098" t="s">
        <v>152</v>
      </c>
      <c r="C337" s="1214">
        <f>IFERROR(VLOOKUP(A337,'SAP '!$A$3:$C$14709,3,0),0)</f>
        <v>0</v>
      </c>
      <c r="D337" s="1082">
        <v>0</v>
      </c>
    </row>
    <row r="338" spans="1:4" s="122" customFormat="1">
      <c r="A338" s="1098">
        <v>1206101001</v>
      </c>
      <c r="B338" s="1098" t="s">
        <v>153</v>
      </c>
      <c r="C338" s="1214">
        <f>IFERROR(VLOOKUP(A338,'SAP '!$A$3:$C$14709,3,0),0)</f>
        <v>0</v>
      </c>
      <c r="D338" s="1082">
        <v>0</v>
      </c>
    </row>
    <row r="339" spans="1:4" s="122" customFormat="1">
      <c r="A339" s="1098">
        <v>1206102000</v>
      </c>
      <c r="B339" s="1098" t="s">
        <v>154</v>
      </c>
      <c r="C339" s="1214">
        <f>IFERROR(VLOOKUP(A339,'SAP '!$A$3:$C$14709,3,0),0)</f>
        <v>0</v>
      </c>
      <c r="D339" s="1082">
        <v>0</v>
      </c>
    </row>
    <row r="340" spans="1:4" s="122" customFormat="1">
      <c r="A340" s="1102">
        <v>1206103000</v>
      </c>
      <c r="B340" s="1098" t="s">
        <v>303</v>
      </c>
      <c r="C340" s="1214">
        <f>IFERROR(VLOOKUP(A340,'SAP '!$A$3:$C$14709,3,0),0)</f>
        <v>180000000</v>
      </c>
      <c r="D340" s="1082">
        <v>180000000</v>
      </c>
    </row>
    <row r="341" spans="1:4" s="122" customFormat="1">
      <c r="A341" s="1098">
        <v>1206104001</v>
      </c>
      <c r="B341" s="1098" t="s">
        <v>155</v>
      </c>
      <c r="C341" s="1214">
        <f>IFERROR(VLOOKUP(A341,'SAP '!$A$3:$C$14709,3,0),0)</f>
        <v>0</v>
      </c>
      <c r="D341" s="1082">
        <v>0</v>
      </c>
    </row>
    <row r="342" spans="1:4" s="122" customFormat="1">
      <c r="A342" s="1096">
        <v>1206105000</v>
      </c>
      <c r="B342" s="1097" t="s">
        <v>304</v>
      </c>
      <c r="C342" s="1214">
        <f>IFERROR(VLOOKUP(A342,'SAP '!$A$3:$C$14709,3,0),0)</f>
        <v>0</v>
      </c>
      <c r="D342" s="1082">
        <v>0</v>
      </c>
    </row>
    <row r="343" spans="1:4" s="122" customFormat="1">
      <c r="A343" s="1102">
        <v>1206108001</v>
      </c>
      <c r="B343" s="1098" t="s">
        <v>1123</v>
      </c>
      <c r="C343" s="1214">
        <f>IFERROR(VLOOKUP(A343,'SAP '!$A$3:$C$14709,3,0),0)</f>
        <v>1282728.96</v>
      </c>
      <c r="D343" s="1082">
        <v>1282728.96</v>
      </c>
    </row>
    <row r="344" spans="1:4" s="122" customFormat="1">
      <c r="A344" s="1098">
        <v>1212101001</v>
      </c>
      <c r="B344" s="1098" t="s">
        <v>276</v>
      </c>
      <c r="C344" s="1214">
        <f>IFERROR(VLOOKUP(A344,'SAP '!$A$3:$C$14709,3,0),0)</f>
        <v>27892023.539999999</v>
      </c>
      <c r="D344" s="1082">
        <v>27892023.539999999</v>
      </c>
    </row>
    <row r="345" spans="1:4" s="122" customFormat="1">
      <c r="A345" s="1084">
        <v>1213101000</v>
      </c>
      <c r="B345" s="1081" t="s">
        <v>305</v>
      </c>
      <c r="C345" s="1214">
        <f>IFERROR(VLOOKUP(A345,'SAP '!$A$3:$C$14709,3,0),0)</f>
        <v>107757111.05</v>
      </c>
      <c r="D345" s="1082">
        <v>83416952.069999993</v>
      </c>
    </row>
    <row r="346" spans="1:4" s="122" customFormat="1">
      <c r="A346" s="1083">
        <v>1213101001</v>
      </c>
      <c r="B346" s="1083" t="s">
        <v>432</v>
      </c>
      <c r="C346" s="1214">
        <f>IFERROR(VLOOKUP(A346,'SAP '!$A$3:$C$14709,3,0),0)</f>
        <v>0</v>
      </c>
      <c r="D346" s="1082">
        <v>0</v>
      </c>
    </row>
    <row r="347" spans="1:4" s="122" customFormat="1">
      <c r="A347" s="1084">
        <v>1214101000</v>
      </c>
      <c r="B347" s="1081" t="s">
        <v>306</v>
      </c>
      <c r="C347" s="1214">
        <f>IFERROR(VLOOKUP(A347,'SAP '!$A$3:$C$14709,3,0),0)</f>
        <v>0</v>
      </c>
      <c r="D347" s="1082">
        <v>0</v>
      </c>
    </row>
    <row r="348" spans="1:4" s="122" customFormat="1">
      <c r="A348" s="1083">
        <v>1214102000</v>
      </c>
      <c r="B348" s="1083" t="s">
        <v>420</v>
      </c>
      <c r="C348" s="1214">
        <f>IFERROR(VLOOKUP(A348,'SAP '!$A$3:$C$14709,3,0),0)</f>
        <v>0</v>
      </c>
      <c r="D348" s="1082">
        <v>0</v>
      </c>
    </row>
    <row r="349" spans="1:4" s="122" customFormat="1">
      <c r="A349" s="1083">
        <v>1214103000</v>
      </c>
      <c r="B349" s="1083" t="s">
        <v>421</v>
      </c>
      <c r="C349" s="1214">
        <f>IFERROR(VLOOKUP(A349,'SAP '!$A$3:$C$14709,3,0),0)</f>
        <v>0</v>
      </c>
      <c r="D349" s="1082">
        <v>0</v>
      </c>
    </row>
    <row r="350" spans="1:4" s="122" customFormat="1">
      <c r="A350" s="1084">
        <v>1214106000</v>
      </c>
      <c r="B350" s="1081" t="s">
        <v>20</v>
      </c>
      <c r="C350" s="1214">
        <f>IFERROR(VLOOKUP(A350,'SAP '!$A$3:$C$14709,3,0),0)</f>
        <v>675562674.38999999</v>
      </c>
      <c r="D350" s="1082">
        <v>675562674.38999999</v>
      </c>
    </row>
    <row r="351" spans="1:4" s="122" customFormat="1">
      <c r="A351" s="1084">
        <v>1214107000</v>
      </c>
      <c r="B351" s="1081" t="s">
        <v>307</v>
      </c>
      <c r="C351" s="1214">
        <f>IFERROR(VLOOKUP(A351,'SAP '!$A$3:$C$14709,3,0),0)</f>
        <v>-214419115.30000001</v>
      </c>
      <c r="D351" s="1082">
        <v>-207403932.11000001</v>
      </c>
    </row>
    <row r="352" spans="1:4" s="122" customFormat="1">
      <c r="A352" s="1083">
        <v>1214108000</v>
      </c>
      <c r="B352" s="1083" t="s">
        <v>422</v>
      </c>
      <c r="C352" s="1214">
        <f>IFERROR(VLOOKUP(A352,'SAP '!$A$3:$C$14709,3,0),0)</f>
        <v>0</v>
      </c>
      <c r="D352" s="1082">
        <v>0</v>
      </c>
    </row>
    <row r="353" spans="1:4" s="122" customFormat="1">
      <c r="A353" s="1083">
        <v>1214109000</v>
      </c>
      <c r="B353" s="1083" t="s">
        <v>423</v>
      </c>
      <c r="C353" s="1214">
        <f>IFERROR(VLOOKUP(A353,'SAP '!$A$3:$C$14709,3,0),0)</f>
        <v>0</v>
      </c>
      <c r="D353" s="1082">
        <v>0</v>
      </c>
    </row>
    <row r="354" spans="1:4" s="122" customFormat="1">
      <c r="A354" s="1083">
        <v>1214110000</v>
      </c>
      <c r="B354" s="1083" t="s">
        <v>424</v>
      </c>
      <c r="C354" s="1214">
        <f>IFERROR(VLOOKUP(A354,'SAP '!$A$3:$C$14709,3,0),0)</f>
        <v>0</v>
      </c>
      <c r="D354" s="1082">
        <v>0</v>
      </c>
    </row>
    <row r="355" spans="1:4" s="122" customFormat="1">
      <c r="A355" s="1083">
        <v>1214111000</v>
      </c>
      <c r="B355" s="1083" t="s">
        <v>425</v>
      </c>
      <c r="C355" s="1214">
        <f>IFERROR(VLOOKUP(A355,'SAP '!$A$3:$C$14709,3,0),0)</f>
        <v>0</v>
      </c>
      <c r="D355" s="1082">
        <v>0</v>
      </c>
    </row>
    <row r="356" spans="1:4" s="122" customFormat="1">
      <c r="A356" s="1084">
        <v>1214201000</v>
      </c>
      <c r="B356" s="1081" t="s">
        <v>308</v>
      </c>
      <c r="C356" s="1214">
        <f>IFERROR(VLOOKUP(A356,'SAP '!$A$3:$C$14709,3,0),0)</f>
        <v>6313739486.5600004</v>
      </c>
      <c r="D356" s="1082">
        <v>6313739486.5600004</v>
      </c>
    </row>
    <row r="357" spans="1:4" s="122" customFormat="1">
      <c r="A357" s="1084">
        <v>1214202000</v>
      </c>
      <c r="B357" s="1081" t="s">
        <v>309</v>
      </c>
      <c r="C357" s="1214">
        <f>IFERROR(VLOOKUP(A357,'SAP '!$A$3:$C$14709,3,0),0)</f>
        <v>-4732824910.0299997</v>
      </c>
      <c r="D357" s="1082">
        <v>-4640003260.4300003</v>
      </c>
    </row>
    <row r="358" spans="1:4" s="122" customFormat="1">
      <c r="A358" s="1083">
        <v>1214203000</v>
      </c>
      <c r="B358" s="1083" t="s">
        <v>426</v>
      </c>
      <c r="C358" s="1214">
        <f>IFERROR(VLOOKUP(A358,'SAP '!$A$3:$C$14709,3,0),0)</f>
        <v>110060.4</v>
      </c>
      <c r="D358" s="1082">
        <v>110060.4</v>
      </c>
    </row>
    <row r="359" spans="1:4" s="122" customFormat="1">
      <c r="A359" s="1084">
        <v>1214301000</v>
      </c>
      <c r="B359" s="1081" t="s">
        <v>310</v>
      </c>
      <c r="C359" s="1214">
        <f>IFERROR(VLOOKUP(A359,'SAP '!$A$3:$C$14709,3,0),0)</f>
        <v>103370101.95</v>
      </c>
      <c r="D359" s="1082">
        <v>103332221.95</v>
      </c>
    </row>
    <row r="360" spans="1:4" s="122" customFormat="1">
      <c r="A360" s="1084">
        <v>1214301001</v>
      </c>
      <c r="B360" s="1081" t="s">
        <v>311</v>
      </c>
      <c r="C360" s="1214">
        <f>IFERROR(VLOOKUP(A360,'SAP '!$A$3:$C$14709,3,0),0)</f>
        <v>20982321.289999999</v>
      </c>
      <c r="D360" s="1082">
        <v>20837977.390000001</v>
      </c>
    </row>
    <row r="361" spans="1:4" s="122" customFormat="1">
      <c r="A361" s="1084">
        <v>1214302000</v>
      </c>
      <c r="B361" s="1081" t="s">
        <v>312</v>
      </c>
      <c r="C361" s="1214">
        <f>IFERROR(VLOOKUP(A361,'SAP '!$A$3:$C$14709,3,0),0)</f>
        <v>-90494271.25</v>
      </c>
      <c r="D361" s="1082">
        <v>-88515489.170000002</v>
      </c>
    </row>
    <row r="362" spans="1:4" s="122" customFormat="1">
      <c r="A362" s="1084">
        <v>1214302001</v>
      </c>
      <c r="B362" s="1081" t="s">
        <v>313</v>
      </c>
      <c r="C362" s="1214">
        <f>IFERROR(VLOOKUP(A362,'SAP '!$A$3:$C$14709,3,0),0)</f>
        <v>-14326755</v>
      </c>
      <c r="D362" s="1082">
        <v>-13964619.09</v>
      </c>
    </row>
    <row r="363" spans="1:4" s="122" customFormat="1">
      <c r="A363" s="1083">
        <v>1214303000</v>
      </c>
      <c r="B363" s="1083" t="s">
        <v>427</v>
      </c>
      <c r="C363" s="1214">
        <f>IFERROR(VLOOKUP(A363,'SAP '!$A$3:$C$14709,3,0),0)</f>
        <v>0</v>
      </c>
      <c r="D363" s="1082">
        <v>0</v>
      </c>
    </row>
    <row r="364" spans="1:4" s="122" customFormat="1">
      <c r="A364" s="1084">
        <v>1214401000</v>
      </c>
      <c r="B364" s="1081" t="s">
        <v>314</v>
      </c>
      <c r="C364" s="1214">
        <f>IFERROR(VLOOKUP(A364,'SAP '!$A$3:$C$14709,3,0),0)</f>
        <v>1572155163.54</v>
      </c>
      <c r="D364" s="1082">
        <v>1572210949.73</v>
      </c>
    </row>
    <row r="365" spans="1:4" s="122" customFormat="1">
      <c r="A365" s="1084">
        <v>1214401001</v>
      </c>
      <c r="B365" s="1081" t="s">
        <v>315</v>
      </c>
      <c r="C365" s="1214">
        <f>IFERROR(VLOOKUP(A365,'SAP '!$A$3:$C$14709,3,0),0)</f>
        <v>472921997.61000001</v>
      </c>
      <c r="D365" s="1082">
        <v>472921997.61000001</v>
      </c>
    </row>
    <row r="366" spans="1:4" s="122" customFormat="1">
      <c r="A366" s="1084">
        <v>1214402000</v>
      </c>
      <c r="B366" s="1081" t="s">
        <v>316</v>
      </c>
      <c r="C366" s="1214">
        <f>IFERROR(VLOOKUP(A366,'SAP '!$A$3:$C$14709,3,0),0)</f>
        <v>-1053486276.76</v>
      </c>
      <c r="D366" s="1082">
        <v>-1026012669.76</v>
      </c>
    </row>
    <row r="367" spans="1:4" s="122" customFormat="1">
      <c r="A367" s="1084">
        <v>1214402001</v>
      </c>
      <c r="B367" s="1081" t="s">
        <v>317</v>
      </c>
      <c r="C367" s="1214">
        <f>IFERROR(VLOOKUP(A367,'SAP '!$A$3:$C$14709,3,0),0)</f>
        <v>-170888753.34</v>
      </c>
      <c r="D367" s="1082">
        <v>-159538436.50999999</v>
      </c>
    </row>
    <row r="368" spans="1:4" s="122" customFormat="1">
      <c r="A368" s="1083">
        <v>1214403000</v>
      </c>
      <c r="B368" s="1083" t="s">
        <v>428</v>
      </c>
      <c r="C368" s="1214">
        <f>IFERROR(VLOOKUP(A368,'SAP '!$A$3:$C$14709,3,0),0)</f>
        <v>0</v>
      </c>
      <c r="D368" s="1082">
        <v>0</v>
      </c>
    </row>
    <row r="369" spans="1:4" s="122" customFormat="1">
      <c r="A369" s="1084">
        <v>1214501000</v>
      </c>
      <c r="B369" s="1081" t="s">
        <v>72</v>
      </c>
      <c r="C369" s="1214">
        <f>IFERROR(VLOOKUP(A369,'SAP '!$A$3:$C$14709,3,0),0)</f>
        <v>76372431.5</v>
      </c>
      <c r="D369" s="1082">
        <v>76372431.5</v>
      </c>
    </row>
    <row r="370" spans="1:4" s="122" customFormat="1">
      <c r="A370" s="1084">
        <v>1214502000</v>
      </c>
      <c r="B370" s="1081" t="s">
        <v>318</v>
      </c>
      <c r="C370" s="1214">
        <f>IFERROR(VLOOKUP(A370,'SAP '!$A$3:$C$14709,3,0),0)</f>
        <v>-63903079.5</v>
      </c>
      <c r="D370" s="1082">
        <v>-62181619.5</v>
      </c>
    </row>
    <row r="371" spans="1:4" s="122" customFormat="1">
      <c r="A371" s="1083">
        <v>1214503000</v>
      </c>
      <c r="B371" s="1083" t="s">
        <v>429</v>
      </c>
      <c r="C371" s="1214">
        <f>IFERROR(VLOOKUP(A371,'SAP '!$A$3:$C$14709,3,0),0)</f>
        <v>0</v>
      </c>
      <c r="D371" s="1082">
        <v>0</v>
      </c>
    </row>
    <row r="372" spans="1:4" s="122" customFormat="1">
      <c r="A372" s="1084">
        <v>1214601000</v>
      </c>
      <c r="B372" s="1081" t="s">
        <v>319</v>
      </c>
      <c r="C372" s="1214">
        <f>IFERROR(VLOOKUP(A372,'SAP '!$A$3:$C$14709,3,0),0)</f>
        <v>66391299.909999996</v>
      </c>
      <c r="D372" s="1082">
        <v>66391299.909999996</v>
      </c>
    </row>
    <row r="373" spans="1:4" s="122" customFormat="1">
      <c r="A373" s="1084">
        <v>1214602000</v>
      </c>
      <c r="B373" s="1081" t="s">
        <v>320</v>
      </c>
      <c r="C373" s="1214">
        <f>IFERROR(VLOOKUP(A373,'SAP '!$A$3:$C$14709,3,0),0)</f>
        <v>-26508790.670000002</v>
      </c>
      <c r="D373" s="1082">
        <v>-24153976.670000002</v>
      </c>
    </row>
    <row r="374" spans="1:4" s="122" customFormat="1">
      <c r="A374" s="1083">
        <v>1214603000</v>
      </c>
      <c r="B374" s="1083" t="s">
        <v>430</v>
      </c>
      <c r="C374" s="1214">
        <f>IFERROR(VLOOKUP(A374,'SAP '!$A$3:$C$14709,3,0),0)</f>
        <v>0</v>
      </c>
      <c r="D374" s="1082">
        <v>0</v>
      </c>
    </row>
    <row r="375" spans="1:4" s="122" customFormat="1">
      <c r="A375" s="1084">
        <v>1215201000</v>
      </c>
      <c r="B375" s="1081" t="s">
        <v>321</v>
      </c>
      <c r="C375" s="1214">
        <f>IFERROR(VLOOKUP(A375,'SAP '!$A$3:$C$14709,3,0),0)</f>
        <v>2493150856.8899999</v>
      </c>
      <c r="D375" s="1082">
        <v>2491429738.6399999</v>
      </c>
    </row>
    <row r="376" spans="1:4" s="122" customFormat="1">
      <c r="A376" s="1084">
        <v>1215202000</v>
      </c>
      <c r="B376" s="1081" t="s">
        <v>322</v>
      </c>
      <c r="C376" s="1214">
        <f>IFERROR(VLOOKUP(A376,'SAP '!$A$3:$C$14709,3,0),0)</f>
        <v>-1452993102.4000001</v>
      </c>
      <c r="D376" s="1082">
        <v>-1360577867.4000001</v>
      </c>
    </row>
    <row r="377" spans="1:4" s="122" customFormat="1">
      <c r="A377" s="1083">
        <v>1215203000</v>
      </c>
      <c r="B377" s="1083" t="s">
        <v>431</v>
      </c>
      <c r="C377" s="1214">
        <f>IFERROR(VLOOKUP(A377,'SAP '!$A$3:$C$14709,3,0),0)</f>
        <v>0</v>
      </c>
      <c r="D377" s="1082">
        <v>0</v>
      </c>
    </row>
    <row r="378" spans="1:4" s="122" customFormat="1">
      <c r="A378" s="1084">
        <v>2101101000</v>
      </c>
      <c r="B378" s="1081" t="s">
        <v>832</v>
      </c>
      <c r="C378" s="1214">
        <f>IFERROR(VLOOKUP(A378,'SAP '!$A$3:$C$14709,3,0),0)</f>
        <v>-18617639.34</v>
      </c>
      <c r="D378" s="1082">
        <v>-18617639.34</v>
      </c>
    </row>
    <row r="379" spans="1:4" s="122" customFormat="1">
      <c r="A379" s="1084">
        <v>2101101001</v>
      </c>
      <c r="B379" s="1081" t="s">
        <v>833</v>
      </c>
      <c r="C379" s="1214">
        <f>IFERROR(VLOOKUP(A379,'SAP '!$A$3:$C$14709,3,0),0)</f>
        <v>0</v>
      </c>
      <c r="D379" s="1082">
        <v>0</v>
      </c>
    </row>
    <row r="380" spans="1:4" s="122" customFormat="1">
      <c r="A380" s="1084">
        <v>2101101002</v>
      </c>
      <c r="B380" s="1081" t="s">
        <v>834</v>
      </c>
      <c r="C380" s="1214">
        <f>IFERROR(VLOOKUP(A380,'SAP '!$A$3:$C$14709,3,0),0)</f>
        <v>-2238705</v>
      </c>
      <c r="D380" s="1082">
        <v>-2238705</v>
      </c>
    </row>
    <row r="381" spans="1:4" s="122" customFormat="1">
      <c r="A381" s="1080">
        <v>2103101000</v>
      </c>
      <c r="B381" s="1081" t="s">
        <v>835</v>
      </c>
      <c r="C381" s="1214">
        <f>IFERROR(VLOOKUP(A381,'SAP '!$A$3:$C$14709,3,0),0)</f>
        <v>-38749787.25</v>
      </c>
      <c r="D381" s="1082">
        <v>-29644522.789999999</v>
      </c>
    </row>
    <row r="382" spans="1:4" s="122" customFormat="1">
      <c r="A382" s="1080">
        <v>2103102000</v>
      </c>
      <c r="B382" s="1081" t="s">
        <v>836</v>
      </c>
      <c r="C382" s="1088">
        <f>IFERROR(VLOOKUP(A382,'SAP '!$A$3:$C$14709,3,0),0)</f>
        <v>0</v>
      </c>
      <c r="D382" s="1082">
        <v>-24290</v>
      </c>
    </row>
    <row r="383" spans="1:4" s="122" customFormat="1">
      <c r="A383" s="1080">
        <v>2103103000</v>
      </c>
      <c r="B383" s="1081" t="s">
        <v>837</v>
      </c>
      <c r="C383" s="1214">
        <f>IFERROR(VLOOKUP(A383,'SAP '!$A$3:$C$14709,3,0),0)</f>
        <v>-96541473.329999998</v>
      </c>
      <c r="D383" s="1082">
        <v>-111008117.88</v>
      </c>
    </row>
    <row r="384" spans="1:4" s="122" customFormat="1">
      <c r="A384" s="1083">
        <v>2103301000</v>
      </c>
      <c r="B384" s="1083" t="s">
        <v>1015</v>
      </c>
      <c r="C384" s="1088">
        <f>IFERROR(VLOOKUP(A384,'SAP '!$A$3:$C$14709,3,0),0)</f>
        <v>0</v>
      </c>
      <c r="D384" s="1082">
        <v>0</v>
      </c>
    </row>
    <row r="385" spans="1:4" s="122" customFormat="1">
      <c r="A385" s="1083">
        <v>2103401000</v>
      </c>
      <c r="B385" s="1081" t="s">
        <v>1011</v>
      </c>
      <c r="C385" s="1214">
        <f>IFERROR(VLOOKUP(A385,'SAP '!$A$3:$C$14709,3,0),0)</f>
        <v>0</v>
      </c>
      <c r="D385" s="1082">
        <v>-11149808.15</v>
      </c>
    </row>
    <row r="386" spans="1:4" s="122" customFormat="1">
      <c r="A386" s="1084">
        <v>2103501000</v>
      </c>
      <c r="B386" s="1081" t="s">
        <v>838</v>
      </c>
      <c r="C386" s="1214">
        <f>IFERROR(VLOOKUP(A386,'SAP '!$A$3:$C$14709,3,0),0)</f>
        <v>-303562.44</v>
      </c>
      <c r="D386" s="1082">
        <v>-290802.38</v>
      </c>
    </row>
    <row r="387" spans="1:4" s="122" customFormat="1">
      <c r="A387" s="1084">
        <v>2103501001</v>
      </c>
      <c r="B387" s="1081" t="s">
        <v>839</v>
      </c>
      <c r="C387" s="1214">
        <f>IFERROR(VLOOKUP(A387,'SAP '!$A$3:$C$14709,3,0),0)</f>
        <v>-14826330.32</v>
      </c>
      <c r="D387" s="1082">
        <v>-15994411.130000001</v>
      </c>
    </row>
    <row r="388" spans="1:4" s="122" customFormat="1">
      <c r="A388" s="1084">
        <v>2103602000</v>
      </c>
      <c r="B388" s="1081" t="s">
        <v>998</v>
      </c>
      <c r="C388" s="1214">
        <f>IFERROR(VLOOKUP(A388,'SAP '!$A$3:$C$14709,3,0),0)</f>
        <v>0</v>
      </c>
      <c r="D388" s="1082">
        <v>0</v>
      </c>
    </row>
    <row r="389" spans="1:4" s="122" customFormat="1">
      <c r="A389" s="1084">
        <v>2103701000</v>
      </c>
      <c r="B389" s="1081" t="s">
        <v>840</v>
      </c>
      <c r="C389" s="1214">
        <f>IFERROR(VLOOKUP(A389,'SAP '!$A$3:$C$14709,3,0),0)</f>
        <v>-19523</v>
      </c>
      <c r="D389" s="1082">
        <v>-18303</v>
      </c>
    </row>
    <row r="390" spans="1:4" s="122" customFormat="1">
      <c r="A390" s="1084">
        <v>2104101000</v>
      </c>
      <c r="B390" s="1081" t="s">
        <v>1008</v>
      </c>
      <c r="C390" s="1214">
        <f>IFERROR(VLOOKUP(A390,'SAP '!$A$3:$C$14709,3,0),0)</f>
        <v>0</v>
      </c>
      <c r="D390" s="1082">
        <v>0</v>
      </c>
    </row>
    <row r="391" spans="1:4" s="122" customFormat="1">
      <c r="A391" s="1084">
        <v>2104302001</v>
      </c>
      <c r="B391" s="1081" t="s">
        <v>323</v>
      </c>
      <c r="C391" s="1214">
        <f>IFERROR(VLOOKUP(A391,'SAP '!$A$3:$C$14709,3,0),0)</f>
        <v>-71296102.209999993</v>
      </c>
      <c r="D391" s="1082">
        <v>-94199332.450000003</v>
      </c>
    </row>
    <row r="392" spans="1:4" s="122" customFormat="1">
      <c r="A392" s="1089">
        <v>2105101000</v>
      </c>
      <c r="B392" s="1089" t="s">
        <v>181</v>
      </c>
      <c r="C392" s="1214">
        <f>IFERROR(VLOOKUP(A392,'SAP '!$A$3:$C$14709,3,0),0)</f>
        <v>0</v>
      </c>
      <c r="D392" s="1082">
        <v>0</v>
      </c>
    </row>
    <row r="393" spans="1:4" s="122" customFormat="1">
      <c r="A393" s="1084">
        <v>2106103000</v>
      </c>
      <c r="B393" s="1081" t="s">
        <v>841</v>
      </c>
      <c r="C393" s="1214">
        <f>IFERROR(VLOOKUP(A393,'SAP '!$A$3:$C$14709,3,0),0)</f>
        <v>-3439354.35</v>
      </c>
      <c r="D393" s="1082">
        <v>0</v>
      </c>
    </row>
    <row r="394" spans="1:4" s="122" customFormat="1">
      <c r="A394" s="1084">
        <v>2106103001</v>
      </c>
      <c r="B394" s="1081" t="s">
        <v>842</v>
      </c>
      <c r="C394" s="1214">
        <f>IFERROR(VLOOKUP(A394,'SAP '!$A$3:$C$14709,3,0),0)</f>
        <v>-8335472.6299999999</v>
      </c>
      <c r="D394" s="1082">
        <v>-8335472.6299999999</v>
      </c>
    </row>
    <row r="395" spans="1:4" s="122" customFormat="1">
      <c r="A395" s="1084">
        <v>2106103002</v>
      </c>
      <c r="B395" s="1081" t="s">
        <v>511</v>
      </c>
      <c r="C395" s="1214">
        <f>IFERROR(VLOOKUP(A395,'SAP '!$A$3:$C$14709,3,0),0)</f>
        <v>-3048374.53</v>
      </c>
      <c r="D395" s="1082">
        <v>-3048374.53</v>
      </c>
    </row>
    <row r="396" spans="1:4" s="122" customFormat="1">
      <c r="A396" s="1084">
        <v>2106201000</v>
      </c>
      <c r="B396" s="1081" t="s">
        <v>843</v>
      </c>
      <c r="C396" s="1214">
        <f>IFERROR(VLOOKUP(A396,'SAP '!$A$3:$C$14709,3,0),0)</f>
        <v>0</v>
      </c>
      <c r="D396" s="1082">
        <v>0</v>
      </c>
    </row>
    <row r="397" spans="1:4" s="122" customFormat="1">
      <c r="A397" s="1084">
        <v>2106201001</v>
      </c>
      <c r="B397" s="1081" t="s">
        <v>999</v>
      </c>
      <c r="C397" s="1214">
        <f>IFERROR(VLOOKUP(A397,'SAP '!$A$3:$C$14709,3,0),0)</f>
        <v>-14342</v>
      </c>
      <c r="D397" s="1082">
        <v>0</v>
      </c>
    </row>
    <row r="398" spans="1:4" s="122" customFormat="1">
      <c r="A398" s="1084">
        <v>2106201002</v>
      </c>
      <c r="B398" s="1081" t="s">
        <v>1000</v>
      </c>
      <c r="C398" s="1214">
        <f>IFERROR(VLOOKUP(A398,'SAP '!$A$3:$C$14709,3,0),0)</f>
        <v>0</v>
      </c>
      <c r="D398" s="1082">
        <v>0</v>
      </c>
    </row>
    <row r="399" spans="1:4" s="122" customFormat="1">
      <c r="A399" s="1084">
        <v>2106201003</v>
      </c>
      <c r="B399" s="1081" t="s">
        <v>1001</v>
      </c>
      <c r="C399" s="1214">
        <f>IFERROR(VLOOKUP(A399,'SAP '!$A$3:$C$14709,3,0),0)</f>
        <v>0</v>
      </c>
      <c r="D399" s="1082">
        <v>0</v>
      </c>
    </row>
    <row r="400" spans="1:4" s="122" customFormat="1">
      <c r="A400" s="1084">
        <v>2106201004</v>
      </c>
      <c r="B400" s="1081" t="s">
        <v>1002</v>
      </c>
      <c r="C400" s="1214">
        <f>IFERROR(VLOOKUP(A400,'SAP '!$A$3:$C$14709,3,0),0)</f>
        <v>0</v>
      </c>
      <c r="D400" s="1082">
        <v>0</v>
      </c>
    </row>
    <row r="401" spans="1:4" s="122" customFormat="1">
      <c r="A401" s="1084">
        <v>2106201005</v>
      </c>
      <c r="B401" s="1081" t="s">
        <v>1003</v>
      </c>
      <c r="C401" s="1214">
        <f>IFERROR(VLOOKUP(A401,'SAP '!$A$3:$C$14709,3,0),0)</f>
        <v>0</v>
      </c>
      <c r="D401" s="1082">
        <v>0</v>
      </c>
    </row>
    <row r="402" spans="1:4" s="122" customFormat="1">
      <c r="A402" s="1083">
        <v>2106202000</v>
      </c>
      <c r="B402" s="1081" t="s">
        <v>1012</v>
      </c>
      <c r="C402" s="1214">
        <f>IFERROR(VLOOKUP(A402,'SAP '!$A$3:$C$14709,3,0),0)</f>
        <v>-126787.5</v>
      </c>
      <c r="D402" s="1082">
        <v>-126787.5</v>
      </c>
    </row>
    <row r="403" spans="1:4" s="122" customFormat="1">
      <c r="A403" s="1084">
        <v>2106301000</v>
      </c>
      <c r="B403" s="1081" t="s">
        <v>1010</v>
      </c>
      <c r="C403" s="1214">
        <f>IFERROR(VLOOKUP(A403,'SAP '!$A$3:$C$14709,3,0),0)</f>
        <v>0</v>
      </c>
      <c r="D403" s="1082">
        <v>0</v>
      </c>
    </row>
    <row r="404" spans="1:4" s="122" customFormat="1">
      <c r="A404" s="1083">
        <v>2106301001</v>
      </c>
      <c r="B404" s="1083" t="s">
        <v>1016</v>
      </c>
      <c r="C404" s="1214">
        <f>IFERROR(VLOOKUP(A404,'SAP '!$A$3:$C$14709,3,0),0)</f>
        <v>0</v>
      </c>
      <c r="D404" s="1082">
        <v>0</v>
      </c>
    </row>
    <row r="405" spans="1:4" s="122" customFormat="1">
      <c r="A405" s="1084">
        <v>2106301002</v>
      </c>
      <c r="B405" s="1081" t="s">
        <v>1009</v>
      </c>
      <c r="C405" s="1214">
        <f>IFERROR(VLOOKUP(A405,'SAP '!$A$3:$C$14709,3,0),0)</f>
        <v>0</v>
      </c>
      <c r="D405" s="1082">
        <v>0</v>
      </c>
    </row>
    <row r="406" spans="1:4" s="122" customFormat="1">
      <c r="A406" s="1084">
        <v>2106301003</v>
      </c>
      <c r="B406" s="1081" t="s">
        <v>1004</v>
      </c>
      <c r="C406" s="1214">
        <f>IFERROR(VLOOKUP(A406,'SAP '!$A$3:$C$14709,3,0),0)</f>
        <v>0</v>
      </c>
      <c r="D406" s="1082">
        <v>0</v>
      </c>
    </row>
    <row r="407" spans="1:4" s="122" customFormat="1">
      <c r="A407" s="1084">
        <v>2106301003</v>
      </c>
      <c r="B407" s="1081" t="s">
        <v>1004</v>
      </c>
      <c r="C407" s="1214">
        <f>IFERROR(VLOOKUP(A407,'SAP '!$A$3:$C$14709,3,0),0)</f>
        <v>0</v>
      </c>
      <c r="D407" s="1082">
        <v>0</v>
      </c>
    </row>
    <row r="408" spans="1:4" s="122" customFormat="1">
      <c r="A408" s="1084">
        <v>2106301004</v>
      </c>
      <c r="B408" s="1081" t="s">
        <v>844</v>
      </c>
      <c r="C408" s="1214">
        <f>IFERROR(VLOOKUP(A408,'SAP '!$A$3:$C$14709,3,0),0)</f>
        <v>-1363613.86</v>
      </c>
      <c r="D408" s="1082">
        <v>-1446606</v>
      </c>
    </row>
    <row r="409" spans="1:4" s="122" customFormat="1">
      <c r="A409" s="1084">
        <v>2106301005</v>
      </c>
      <c r="B409" s="1081" t="s">
        <v>1005</v>
      </c>
      <c r="C409" s="1214">
        <f>IFERROR(VLOOKUP(A409,'SAP '!$A$3:$C$14709,3,0),0)</f>
        <v>0</v>
      </c>
      <c r="D409" s="1082">
        <v>0</v>
      </c>
    </row>
    <row r="410" spans="1:4" s="122" customFormat="1">
      <c r="A410" s="1083">
        <v>2106301006</v>
      </c>
      <c r="B410" s="1081" t="s">
        <v>1013</v>
      </c>
      <c r="C410" s="1214">
        <f>IFERROR(VLOOKUP(A410,'SAP '!$A$3:$C$14709,3,0),0)</f>
        <v>0</v>
      </c>
      <c r="D410" s="1082">
        <v>0</v>
      </c>
    </row>
    <row r="411" spans="1:4" s="122" customFormat="1">
      <c r="A411" s="1083">
        <v>2106401000</v>
      </c>
      <c r="B411" s="1083" t="s">
        <v>1017</v>
      </c>
      <c r="C411" s="1214">
        <f>IFERROR(VLOOKUP(A411,'SAP '!$A$3:$C$14709,3,0),0)</f>
        <v>0</v>
      </c>
      <c r="D411" s="1082">
        <v>0</v>
      </c>
    </row>
    <row r="412" spans="1:4" s="122" customFormat="1">
      <c r="A412" s="1080">
        <v>2106501000</v>
      </c>
      <c r="B412" s="1081" t="s">
        <v>845</v>
      </c>
      <c r="C412" s="1214">
        <f>IFERROR(VLOOKUP(A412,'SAP '!$A$3:$C$14709,3,0),0)</f>
        <v>-101821</v>
      </c>
      <c r="D412" s="1082">
        <v>-57411</v>
      </c>
    </row>
    <row r="413" spans="1:4" s="122" customFormat="1">
      <c r="A413" s="1083">
        <v>2106501001</v>
      </c>
      <c r="B413" s="1081" t="s">
        <v>1014</v>
      </c>
      <c r="C413" s="1214">
        <f>IFERROR(VLOOKUP(A413,'SAP '!$A$3:$C$14709,3,0),0)</f>
        <v>0</v>
      </c>
      <c r="D413" s="1082">
        <v>0</v>
      </c>
    </row>
    <row r="414" spans="1:4" s="122" customFormat="1">
      <c r="A414" s="1084">
        <v>2106601000</v>
      </c>
      <c r="B414" s="1081" t="s">
        <v>846</v>
      </c>
      <c r="C414" s="1214">
        <f>IFERROR(VLOOKUP(A414,'SAP '!$A$3:$C$14709,3,0),0)</f>
        <v>-3240000</v>
      </c>
      <c r="D414" s="1082">
        <v>-3230000</v>
      </c>
    </row>
    <row r="415" spans="1:4" s="122" customFormat="1">
      <c r="A415" s="1080">
        <v>2106601001</v>
      </c>
      <c r="B415" s="1081" t="s">
        <v>847</v>
      </c>
      <c r="C415" s="1214">
        <f>IFERROR(VLOOKUP(A415,'SAP '!$A$3:$C$14709,3,0),0)</f>
        <v>-8930640.3300000001</v>
      </c>
      <c r="D415" s="1082">
        <v>-9473957.9100000001</v>
      </c>
    </row>
    <row r="416" spans="1:4" s="122" customFormat="1">
      <c r="A416" s="1080">
        <v>2106602000</v>
      </c>
      <c r="B416" s="1081" t="s">
        <v>1006</v>
      </c>
      <c r="C416" s="1214">
        <f>IFERROR(VLOOKUP(A416,'SAP '!$A$3:$C$14709,3,0),0)</f>
        <v>0</v>
      </c>
      <c r="D416" s="1082">
        <v>0</v>
      </c>
    </row>
    <row r="417" spans="1:4" s="122" customFormat="1">
      <c r="A417" s="1084">
        <v>2106703000</v>
      </c>
      <c r="B417" s="1081" t="s">
        <v>1007</v>
      </c>
      <c r="C417" s="1214">
        <f>IFERROR(VLOOKUP(A417,'SAP '!$A$3:$C$14709,3,0),0)</f>
        <v>0</v>
      </c>
      <c r="D417" s="1082">
        <v>-47577716.939999998</v>
      </c>
    </row>
    <row r="418" spans="1:4" s="122" customFormat="1">
      <c r="A418" s="903">
        <v>2106703001</v>
      </c>
      <c r="B418" s="904" t="s">
        <v>1130</v>
      </c>
      <c r="C418" s="1214">
        <f>IFERROR(VLOOKUP(A418,'SAP '!$A$3:$C$14709,3,0),0)</f>
        <v>-99285178.310000002</v>
      </c>
      <c r="D418" s="1082">
        <v>-99285178.310000002</v>
      </c>
    </row>
    <row r="419" spans="1:4" s="122" customFormat="1">
      <c r="A419" s="1084">
        <v>2107101000</v>
      </c>
      <c r="B419" s="1081" t="s">
        <v>848</v>
      </c>
      <c r="C419" s="1214">
        <f>IFERROR(VLOOKUP(A419,'SAP '!$A$3:$C$14709,3,0),0)</f>
        <v>0</v>
      </c>
      <c r="D419" s="1082">
        <v>0</v>
      </c>
    </row>
    <row r="420" spans="1:4" s="122" customFormat="1">
      <c r="A420" s="1084">
        <v>2107101001</v>
      </c>
      <c r="B420" s="1081" t="s">
        <v>1051</v>
      </c>
      <c r="C420" s="1214">
        <f>IFERROR(VLOOKUP(A420,'SAP '!$A$3:$C$14709,3,0),0)</f>
        <v>-31357034</v>
      </c>
      <c r="D420" s="1082">
        <v>-31357034</v>
      </c>
    </row>
    <row r="421" spans="1:4" s="122" customFormat="1">
      <c r="A421" s="1367">
        <v>2108101000</v>
      </c>
      <c r="B421" s="1368" t="s">
        <v>997</v>
      </c>
      <c r="C421" s="1369">
        <f>IFERROR(VLOOKUP(A421,'SAP '!$A$3:$C$14709,3,0),0)</f>
        <v>-24469.919999999998</v>
      </c>
      <c r="D421" s="1369">
        <v>-221601524.08000001</v>
      </c>
    </row>
    <row r="422" spans="1:4" s="122" customFormat="1">
      <c r="A422" s="1084">
        <v>2108201000</v>
      </c>
      <c r="B422" s="1081" t="s">
        <v>995</v>
      </c>
      <c r="C422" s="1214">
        <f>IFERROR(VLOOKUP(A422,'SAP '!$A$3:$C$14709,3,0),0)</f>
        <v>0</v>
      </c>
      <c r="D422" s="1082">
        <v>0</v>
      </c>
    </row>
    <row r="423" spans="1:4" s="122" customFormat="1">
      <c r="A423" s="903">
        <v>2108600001</v>
      </c>
      <c r="B423" s="904" t="s">
        <v>1128</v>
      </c>
      <c r="C423" s="1214">
        <f>IFERROR(VLOOKUP(A423,'SAP '!$A$3:$C$14709,3,0),0)</f>
        <v>-44914640.189999998</v>
      </c>
      <c r="D423" s="1082">
        <v>-44914640.189999998</v>
      </c>
    </row>
    <row r="424" spans="1:4" s="122" customFormat="1">
      <c r="A424" s="1083">
        <v>2108701001</v>
      </c>
      <c r="B424" s="1081" t="s">
        <v>1460</v>
      </c>
      <c r="C424" s="1214">
        <f>IFERROR(VLOOKUP(A424,'SAP '!$A$3:$C$14709,3,0),0)</f>
        <v>-19194172</v>
      </c>
      <c r="D424" s="1082">
        <v>-19194172</v>
      </c>
    </row>
    <row r="425" spans="1:4" s="122" customFormat="1">
      <c r="A425" s="1084">
        <v>2201101000</v>
      </c>
      <c r="B425" s="1081" t="s">
        <v>849</v>
      </c>
      <c r="C425" s="1214">
        <f>IFERROR(VLOOKUP(A425,'SAP '!$A$3:$C$14709,3,0),0)</f>
        <v>-62515838.659999996</v>
      </c>
      <c r="D425" s="1082">
        <v>-62515838.659999996</v>
      </c>
    </row>
    <row r="426" spans="1:4" s="122" customFormat="1">
      <c r="A426" s="1084">
        <v>2201101001</v>
      </c>
      <c r="B426" s="1081" t="s">
        <v>850</v>
      </c>
      <c r="C426" s="1214">
        <f>IFERROR(VLOOKUP(A426,'SAP '!$A$3:$C$14709,3,0),0)</f>
        <v>0</v>
      </c>
      <c r="D426" s="1082">
        <v>0</v>
      </c>
    </row>
    <row r="427" spans="1:4" s="122" customFormat="1">
      <c r="A427" s="1084">
        <v>2201101002</v>
      </c>
      <c r="B427" s="1081" t="s">
        <v>851</v>
      </c>
      <c r="C427" s="1214">
        <f>IFERROR(VLOOKUP(A427,'SAP '!$A$3:$C$14709,3,0),0)</f>
        <v>-4261530.72</v>
      </c>
      <c r="D427" s="1082">
        <v>-4261530.72</v>
      </c>
    </row>
    <row r="428" spans="1:4" s="122" customFormat="1">
      <c r="A428" s="1084">
        <v>2201101003</v>
      </c>
      <c r="B428" s="1081" t="s">
        <v>1045</v>
      </c>
      <c r="C428" s="1214">
        <f>IFERROR(VLOOKUP(A428,'SAP '!$A$3:$C$14709,3,0),0)</f>
        <v>0</v>
      </c>
      <c r="D428" s="1082">
        <v>0</v>
      </c>
    </row>
    <row r="429" spans="1:4" s="122" customFormat="1">
      <c r="A429" s="1083">
        <v>2203101000</v>
      </c>
      <c r="B429" s="1083" t="s">
        <v>182</v>
      </c>
      <c r="C429" s="1214">
        <f>IFERROR(VLOOKUP(A429,'SAP '!$A$3:$C$14709,3,0),0)</f>
        <v>0</v>
      </c>
      <c r="D429" s="1082">
        <v>0</v>
      </c>
    </row>
    <row r="430" spans="1:4" s="122" customFormat="1">
      <c r="A430" s="1083">
        <v>2203102000</v>
      </c>
      <c r="B430" s="1083" t="s">
        <v>183</v>
      </c>
      <c r="C430" s="1214">
        <f>IFERROR(VLOOKUP(A430,'SAP '!$A$3:$C$14709,3,0),0)</f>
        <v>0</v>
      </c>
      <c r="D430" s="1082">
        <v>0</v>
      </c>
    </row>
    <row r="431" spans="1:4" s="122" customFormat="1">
      <c r="A431" s="1083">
        <v>2203103000</v>
      </c>
      <c r="B431" s="1083" t="s">
        <v>184</v>
      </c>
      <c r="C431" s="1214">
        <f>IFERROR(VLOOKUP(A431,'SAP '!$A$3:$C$14709,3,0),0)</f>
        <v>0</v>
      </c>
      <c r="D431" s="1082">
        <v>0</v>
      </c>
    </row>
    <row r="432" spans="1:4" s="122" customFormat="1">
      <c r="A432" s="1083">
        <v>2203301000</v>
      </c>
      <c r="B432" s="1089" t="s">
        <v>209</v>
      </c>
      <c r="C432" s="1214">
        <f>IFERROR(VLOOKUP(A432,'SAP '!$A$3:$C$14709,3,0),0)</f>
        <v>0</v>
      </c>
      <c r="D432" s="1082">
        <v>0</v>
      </c>
    </row>
    <row r="433" spans="1:5" s="122" customFormat="1">
      <c r="A433" s="1084">
        <v>2204201000</v>
      </c>
      <c r="B433" s="1081" t="s">
        <v>852</v>
      </c>
      <c r="C433" s="1214">
        <f>IFERROR(VLOOKUP(A433,'SAP '!$A$3:$C$14709,3,0),0)</f>
        <v>-302627143.24000001</v>
      </c>
      <c r="D433" s="1082">
        <v>-302627143.24000001</v>
      </c>
    </row>
    <row r="434" spans="1:5" s="122" customFormat="1">
      <c r="A434" s="1084">
        <v>2204203000</v>
      </c>
      <c r="B434" s="1081" t="s">
        <v>853</v>
      </c>
      <c r="C434" s="1214">
        <f>IFERROR(VLOOKUP(A434,'SAP '!$A$3:$C$14709,3,0),0)</f>
        <v>-300000000</v>
      </c>
      <c r="D434" s="1082">
        <v>-300000000</v>
      </c>
    </row>
    <row r="435" spans="1:5" s="122" customFormat="1">
      <c r="A435" s="1084">
        <v>2205103000</v>
      </c>
      <c r="B435" s="1081" t="s">
        <v>996</v>
      </c>
      <c r="C435" s="1214">
        <f>IFERROR(VLOOKUP(A435,'SAP '!$A$3:$C$14709,3,0),0)</f>
        <v>0</v>
      </c>
      <c r="D435" s="1082">
        <v>0</v>
      </c>
    </row>
    <row r="436" spans="1:5" s="122" customFormat="1">
      <c r="A436" s="903">
        <v>2205401001</v>
      </c>
      <c r="B436" s="904" t="s">
        <v>1463</v>
      </c>
      <c r="C436" s="1214">
        <f>IFERROR(VLOOKUP(A436,'SAP '!$A$3:$C$14709,3,0),0)</f>
        <v>-155400000</v>
      </c>
      <c r="D436" s="1082">
        <v>-194250000</v>
      </c>
    </row>
    <row r="437" spans="1:5" s="122" customFormat="1">
      <c r="A437" s="1083">
        <v>2207101000</v>
      </c>
      <c r="B437" s="1081" t="s">
        <v>854</v>
      </c>
      <c r="C437" s="1214">
        <f>IFERROR(VLOOKUP(A437,'SAP '!$A$3:$C$14709,3,0),0)</f>
        <v>-26450209.940000001</v>
      </c>
      <c r="D437" s="1082">
        <v>-26450209.940000001</v>
      </c>
    </row>
    <row r="438" spans="1:5" s="122" customFormat="1">
      <c r="A438" s="1084">
        <v>2207101001</v>
      </c>
      <c r="B438" s="1081" t="s">
        <v>855</v>
      </c>
      <c r="C438" s="1214">
        <f>IFERROR(VLOOKUP(A438,'SAP '!$A$3:$C$14709,3,0),0)</f>
        <v>-14379000.460000001</v>
      </c>
      <c r="D438" s="1082">
        <v>-14379000.460000001</v>
      </c>
    </row>
    <row r="439" spans="1:5">
      <c r="A439" s="62">
        <v>3101101000</v>
      </c>
      <c r="B439" s="50" t="s">
        <v>856</v>
      </c>
      <c r="C439" s="1215">
        <f>IFERROR(VLOOKUP(A439,'SAP '!$A$3:$C$14709,3,0),0)</f>
        <v>-854082000</v>
      </c>
      <c r="D439" s="1082">
        <f>IFERROR(VLOOKUP(A439,'SAP '!A:D,4,0),0)</f>
        <v>-854082000</v>
      </c>
    </row>
    <row r="440" spans="1:5">
      <c r="A440" s="62">
        <v>3103101000</v>
      </c>
      <c r="B440" s="50" t="s">
        <v>857</v>
      </c>
      <c r="C440" s="1215">
        <f>IFERROR(VLOOKUP(A440,'SAP '!$A$3:$C$14709,3,0),0)</f>
        <v>-3700746116.46</v>
      </c>
      <c r="D440" s="1082">
        <f>IFERROR(VLOOKUP(A440,'SAP '!A:D,4,0),0)</f>
        <v>-2792658246.6999998</v>
      </c>
    </row>
    <row r="441" spans="1:5">
      <c r="A441" s="51">
        <v>3103105000</v>
      </c>
      <c r="B441" s="51" t="s">
        <v>858</v>
      </c>
      <c r="C441" s="1215">
        <f>IFERROR(VLOOKUP(A441,'SAP '!$A$3:$C$14709,3,0),0)</f>
        <v>751592160</v>
      </c>
      <c r="D441" s="1082">
        <f>IFERROR(VLOOKUP(A441,'SAP '!A:D,4,0),0)</f>
        <v>751592160</v>
      </c>
    </row>
    <row r="442" spans="1:5">
      <c r="A442" s="62">
        <v>3104104000</v>
      </c>
      <c r="B442" s="50" t="s">
        <v>68</v>
      </c>
      <c r="C442" s="39">
        <f>IFERROR(VLOOKUP(A442,'SAP '!$A$3:$C$14709,3,0),0)</f>
        <v>0</v>
      </c>
      <c r="D442" s="1082">
        <f>IFERROR(VLOOKUP(A442,'SAP '!A:D,4,0),0)</f>
        <v>0</v>
      </c>
    </row>
    <row r="443" spans="1:5">
      <c r="A443" s="62">
        <v>3104105000</v>
      </c>
      <c r="B443" s="50" t="s">
        <v>994</v>
      </c>
      <c r="C443" s="39">
        <f>IFERROR(VLOOKUP(A443,'SAP '!$A$3:$C$14709,3,0),0)</f>
        <v>0</v>
      </c>
      <c r="D443" s="1082">
        <f>IFERROR(VLOOKUP(A443,'SAP '!A:D,4,0),0)</f>
        <v>0</v>
      </c>
      <c r="E443" s="1012"/>
    </row>
    <row r="444" spans="1:5">
      <c r="A444" s="1046">
        <v>4101101000</v>
      </c>
      <c r="B444" s="1047" t="s">
        <v>596</v>
      </c>
      <c r="C444" s="1214">
        <f>IFERROR(VLOOKUP(A444,'SAP '!$A$3:$C$14709,3,0),0)</f>
        <v>-1837737.17</v>
      </c>
      <c r="D444" s="1082">
        <f>IFERROR(VLOOKUP(A444,'SAP '!A:D,4,0),0)</f>
        <v>-1341824.8600000001</v>
      </c>
      <c r="E444" s="1013"/>
    </row>
    <row r="445" spans="1:5">
      <c r="A445" s="1048">
        <v>4101102000</v>
      </c>
      <c r="B445" s="1049" t="s">
        <v>576</v>
      </c>
      <c r="C445" s="1214">
        <f>IFERROR(VLOOKUP(A445,'SAP '!$A$3:$C$14709,3,0),0)</f>
        <v>-19218019.43</v>
      </c>
      <c r="D445" s="1082">
        <f>IFERROR(VLOOKUP(A445,'SAP '!A:D,4,0),0)</f>
        <v>-22170028.280000001</v>
      </c>
      <c r="E445" s="1012"/>
    </row>
    <row r="446" spans="1:5">
      <c r="A446" s="1046">
        <v>4101102001</v>
      </c>
      <c r="B446" s="1047" t="s">
        <v>577</v>
      </c>
      <c r="C446" s="1214">
        <f>IFERROR(VLOOKUP(A446,'SAP '!$A$3:$C$14709,3,0),0)</f>
        <v>-290798</v>
      </c>
      <c r="D446" s="1082">
        <f>IFERROR(VLOOKUP(A446,'SAP '!A:D,4,0),0)</f>
        <v>-489783.5</v>
      </c>
    </row>
    <row r="447" spans="1:5">
      <c r="A447" s="1046">
        <v>4101103000</v>
      </c>
      <c r="B447" s="1047" t="s">
        <v>597</v>
      </c>
      <c r="C447" s="1214">
        <f>IFERROR(VLOOKUP(A447,'SAP '!$A$3:$C$14709,3,0),0)</f>
        <v>-6436236.6100000003</v>
      </c>
      <c r="D447" s="1082">
        <f>IFERROR(VLOOKUP(A447,'SAP '!A:D,4,0),0)</f>
        <v>-4098598.6</v>
      </c>
    </row>
    <row r="448" spans="1:5">
      <c r="A448" s="1048">
        <v>4101103001</v>
      </c>
      <c r="B448" s="1049" t="s">
        <v>1018</v>
      </c>
      <c r="C448" s="1214">
        <f>IFERROR(VLOOKUP(A448,'SAP '!$A$3:$C$14709,3,0),0)</f>
        <v>-1064880.68</v>
      </c>
      <c r="D448" s="1082">
        <f>IFERROR(VLOOKUP(A448,'SAP '!A:D,4,0),0)</f>
        <v>-511960.4</v>
      </c>
    </row>
    <row r="449" spans="1:4">
      <c r="A449" s="1046">
        <v>4101104000</v>
      </c>
      <c r="B449" s="1047" t="s">
        <v>578</v>
      </c>
      <c r="C449" s="1214">
        <f>IFERROR(VLOOKUP(A449,'SAP '!$A$3:$C$14709,3,0),0)</f>
        <v>-4579300</v>
      </c>
      <c r="D449" s="1082">
        <f>IFERROR(VLOOKUP(A449,'SAP '!A:D,4,0),0)</f>
        <v>-3340350</v>
      </c>
    </row>
    <row r="450" spans="1:4">
      <c r="A450" s="1046">
        <v>4101104001</v>
      </c>
      <c r="B450" s="1047" t="s">
        <v>579</v>
      </c>
      <c r="C450" s="1214">
        <f>IFERROR(VLOOKUP(A450,'SAP '!$A$3:$C$14709,3,0),0)</f>
        <v>-339038313.55000001</v>
      </c>
      <c r="D450" s="1082">
        <f>IFERROR(VLOOKUP(A450,'SAP '!A:D,4,0),0)</f>
        <v>-229402002.34</v>
      </c>
    </row>
    <row r="451" spans="1:4">
      <c r="A451" s="1046">
        <v>4101104002</v>
      </c>
      <c r="B451" s="1047" t="s">
        <v>580</v>
      </c>
      <c r="C451" s="1214">
        <f>IFERROR(VLOOKUP(A451,'SAP '!$A$3:$C$14709,3,0),0)</f>
        <v>-38332060.640000001</v>
      </c>
      <c r="D451" s="1082">
        <f>IFERROR(VLOOKUP(A451,'SAP '!A:D,4,0),0)</f>
        <v>-41978138.469999999</v>
      </c>
    </row>
    <row r="452" spans="1:4">
      <c r="A452" s="1046">
        <v>4101104003</v>
      </c>
      <c r="B452" s="1047" t="s">
        <v>581</v>
      </c>
      <c r="C452" s="1214">
        <f>IFERROR(VLOOKUP(A452,'SAP '!$A$3:$C$14709,3,0),0)</f>
        <v>-155595794.65000001</v>
      </c>
      <c r="D452" s="1082">
        <f>IFERROR(VLOOKUP(A452,'SAP '!A:D,4,0),0)</f>
        <v>-207938219.97</v>
      </c>
    </row>
    <row r="453" spans="1:4">
      <c r="A453" s="1046">
        <v>4101104004</v>
      </c>
      <c r="B453" s="1047" t="s">
        <v>582</v>
      </c>
      <c r="C453" s="1214">
        <f>IFERROR(VLOOKUP(A453,'SAP '!$A$3:$C$14709,3,0),0)</f>
        <v>-1100896.6399999999</v>
      </c>
      <c r="D453" s="1082">
        <f>IFERROR(VLOOKUP(A453,'SAP '!A:D,4,0),0)</f>
        <v>-1103909.31</v>
      </c>
    </row>
    <row r="454" spans="1:4">
      <c r="A454" s="1046">
        <v>4101104005</v>
      </c>
      <c r="B454" s="1047" t="s">
        <v>583</v>
      </c>
      <c r="C454" s="1214">
        <f>IFERROR(VLOOKUP(A454,'SAP '!$A$3:$C$14709,3,0),0)</f>
        <v>-19408.37</v>
      </c>
      <c r="D454" s="1082">
        <f>IFERROR(VLOOKUP(A454,'SAP '!A:D,4,0),0)</f>
        <v>-209327.61</v>
      </c>
    </row>
    <row r="455" spans="1:4">
      <c r="A455" s="1046">
        <v>4101104006</v>
      </c>
      <c r="B455" s="1047" t="s">
        <v>584</v>
      </c>
      <c r="C455" s="1214">
        <f>IFERROR(VLOOKUP(A455,'SAP '!$A$3:$C$14709,3,0),0)</f>
        <v>-469725</v>
      </c>
      <c r="D455" s="1082">
        <f>IFERROR(VLOOKUP(A455,'SAP '!A:D,4,0),0)</f>
        <v>-310525</v>
      </c>
    </row>
    <row r="456" spans="1:4">
      <c r="A456" s="1050">
        <v>4101104007</v>
      </c>
      <c r="B456" s="1050" t="s">
        <v>531</v>
      </c>
      <c r="C456" s="1214">
        <f>IFERROR(VLOOKUP(A456,'SAP '!$A$3:$C$14709,3,0),0)</f>
        <v>-267137974.97999999</v>
      </c>
      <c r="D456" s="1082">
        <f>IFERROR(VLOOKUP(A456,'SAP '!A:D,4,0),0)</f>
        <v>-198911334.53</v>
      </c>
    </row>
    <row r="457" spans="1:4">
      <c r="A457" s="1046">
        <v>4101105000</v>
      </c>
      <c r="B457" s="1047" t="s">
        <v>585</v>
      </c>
      <c r="C457" s="1214">
        <f>IFERROR(VLOOKUP(A457,'SAP '!$A$3:$C$14709,3,0),0)</f>
        <v>-4549371.87</v>
      </c>
      <c r="D457" s="1082">
        <f>IFERROR(VLOOKUP(A457,'SAP '!A:D,4,0),0)</f>
        <v>-13582363.84</v>
      </c>
    </row>
    <row r="458" spans="1:4">
      <c r="A458" s="1046">
        <v>4101105001</v>
      </c>
      <c r="B458" s="1047" t="s">
        <v>586</v>
      </c>
      <c r="C458" s="1214">
        <f>IFERROR(VLOOKUP(A458,'SAP '!$A$3:$C$14709,3,0),0)</f>
        <v>-14448684.640000001</v>
      </c>
      <c r="D458" s="1082">
        <f>IFERROR(VLOOKUP(A458,'SAP '!A:D,4,0),0)</f>
        <v>-12124999.550000001</v>
      </c>
    </row>
    <row r="459" spans="1:4">
      <c r="A459" s="1046">
        <v>4101105002</v>
      </c>
      <c r="B459" s="1047" t="s">
        <v>587</v>
      </c>
      <c r="C459" s="1214">
        <f>IFERROR(VLOOKUP(A459,'SAP '!$A$3:$C$14709,3,0),0)</f>
        <v>-67572737.310000002</v>
      </c>
      <c r="D459" s="1082">
        <f>IFERROR(VLOOKUP(A459,'SAP '!A:D,4,0),0)</f>
        <v>-73082052.640000001</v>
      </c>
    </row>
    <row r="460" spans="1:4">
      <c r="A460" s="1046">
        <v>4101105003</v>
      </c>
      <c r="B460" s="1047" t="s">
        <v>588</v>
      </c>
      <c r="C460" s="1214">
        <f>IFERROR(VLOOKUP(A460,'SAP '!$A$3:$C$14709,3,0),0)</f>
        <v>-613408.44999999995</v>
      </c>
      <c r="D460" s="1082">
        <f>IFERROR(VLOOKUP(A460,'SAP '!A:D,4,0),0)</f>
        <v>-392222.6</v>
      </c>
    </row>
    <row r="461" spans="1:4">
      <c r="A461" s="1046">
        <v>4101105004</v>
      </c>
      <c r="B461" s="1047" t="s">
        <v>589</v>
      </c>
      <c r="C461" s="1214">
        <f>IFERROR(VLOOKUP(A461,'SAP '!$A$3:$C$14709,3,0),0)</f>
        <v>0</v>
      </c>
      <c r="D461" s="1082">
        <f>IFERROR(VLOOKUP(A461,'SAP '!A:D,4,0),0)</f>
        <v>-262544</v>
      </c>
    </row>
    <row r="462" spans="1:4">
      <c r="A462" s="1046">
        <v>4101105005</v>
      </c>
      <c r="B462" s="1047" t="s">
        <v>590</v>
      </c>
      <c r="C462" s="1214">
        <f>IFERROR(VLOOKUP(A462,'SAP '!$A$3:$C$14709,3,0),0)</f>
        <v>-382567.41</v>
      </c>
      <c r="D462" s="1082">
        <f>IFERROR(VLOOKUP(A462,'SAP '!A:D,4,0),0)</f>
        <v>-559411.65</v>
      </c>
    </row>
    <row r="463" spans="1:4">
      <c r="A463" s="1051">
        <v>4101105006</v>
      </c>
      <c r="B463" s="1051" t="s">
        <v>156</v>
      </c>
      <c r="C463" s="1214">
        <f>IFERROR(VLOOKUP(A463,'SAP '!$A$3:$C$14709,3,0),0)</f>
        <v>0</v>
      </c>
      <c r="D463" s="1082">
        <f>IFERROR(VLOOKUP(A463,'SAP '!A:D,4,0),0)</f>
        <v>0</v>
      </c>
    </row>
    <row r="464" spans="1:4">
      <c r="A464" s="1046">
        <v>4101105007</v>
      </c>
      <c r="B464" s="1047" t="s">
        <v>591</v>
      </c>
      <c r="C464" s="1214">
        <f>IFERROR(VLOOKUP(A464,'SAP '!$A$3:$C$14709,3,0),0)</f>
        <v>-345785</v>
      </c>
      <c r="D464" s="1082">
        <f>IFERROR(VLOOKUP(A464,'SAP '!A:D,4,0),0)</f>
        <v>-390670</v>
      </c>
    </row>
    <row r="465" spans="1:4">
      <c r="A465" s="1046">
        <v>4101105008</v>
      </c>
      <c r="B465" s="1047" t="s">
        <v>592</v>
      </c>
      <c r="C465" s="1214">
        <f>IFERROR(VLOOKUP(A465,'SAP '!$A$3:$C$14709,3,0),0)</f>
        <v>-1188425.3</v>
      </c>
      <c r="D465" s="1082">
        <f>IFERROR(VLOOKUP(A465,'SAP '!A:D,4,0),0)</f>
        <v>-2236688.5499999998</v>
      </c>
    </row>
    <row r="466" spans="1:4">
      <c r="A466" s="1046">
        <v>4101105009</v>
      </c>
      <c r="B466" s="1047" t="s">
        <v>593</v>
      </c>
      <c r="C466" s="1214">
        <f>IFERROR(VLOOKUP(A466,'SAP '!$A$3:$C$14709,3,0),0)</f>
        <v>-95</v>
      </c>
      <c r="D466" s="1082">
        <f>IFERROR(VLOOKUP(A466,'SAP '!A:D,4,0),0)</f>
        <v>-4693</v>
      </c>
    </row>
    <row r="467" spans="1:4">
      <c r="A467" s="1046">
        <v>4101105011</v>
      </c>
      <c r="B467" s="1047" t="s">
        <v>594</v>
      </c>
      <c r="C467" s="1214">
        <f>IFERROR(VLOOKUP(A467,'SAP '!$A$3:$C$14709,3,0),0)</f>
        <v>-1618742.34</v>
      </c>
      <c r="D467" s="1082">
        <f>IFERROR(VLOOKUP(A467,'SAP '!A:D,4,0),0)</f>
        <v>-2054305.69</v>
      </c>
    </row>
    <row r="468" spans="1:4">
      <c r="A468" s="1046">
        <v>4101105012</v>
      </c>
      <c r="B468" s="1047" t="s">
        <v>212</v>
      </c>
      <c r="C468" s="1214">
        <f>IFERROR(VLOOKUP(A468,'SAP '!$A$3:$C$14709,3,0),0)</f>
        <v>0</v>
      </c>
      <c r="D468" s="1082">
        <f>IFERROR(VLOOKUP(A468,'SAP '!A:D,4,0),0)</f>
        <v>0</v>
      </c>
    </row>
    <row r="469" spans="1:4">
      <c r="A469" s="1046">
        <v>4101105013</v>
      </c>
      <c r="B469" s="1047" t="s">
        <v>595</v>
      </c>
      <c r="C469" s="1214">
        <f>IFERROR(VLOOKUP(A469,'SAP '!$A$3:$C$14709,3,0),0)</f>
        <v>-21964437.789999999</v>
      </c>
      <c r="D469" s="1082">
        <f>IFERROR(VLOOKUP(A469,'SAP '!A:D,4,0),0)</f>
        <v>-23579791.609999999</v>
      </c>
    </row>
    <row r="470" spans="1:4">
      <c r="A470" s="1046">
        <v>4101105014</v>
      </c>
      <c r="B470" s="1047" t="s">
        <v>215</v>
      </c>
      <c r="C470" s="1214">
        <f>IFERROR(VLOOKUP(A470,'SAP '!$A$3:$C$14709,3,0),0)</f>
        <v>-2332711.16</v>
      </c>
      <c r="D470" s="1082">
        <f>IFERROR(VLOOKUP(A470,'SAP '!A:D,4,0),0)</f>
        <v>-4907003.74</v>
      </c>
    </row>
    <row r="471" spans="1:4">
      <c r="A471" s="1046">
        <v>4101105015</v>
      </c>
      <c r="B471" s="1047" t="s">
        <v>213</v>
      </c>
      <c r="C471" s="1214">
        <f>IFERROR(VLOOKUP(A471,'SAP '!$A$3:$C$14709,3,0),0)</f>
        <v>-582942</v>
      </c>
      <c r="D471" s="1082">
        <f>IFERROR(VLOOKUP(A471,'SAP '!A:D,4,0),0)</f>
        <v>0</v>
      </c>
    </row>
    <row r="472" spans="1:4">
      <c r="A472" s="1046">
        <v>4101106000</v>
      </c>
      <c r="B472" s="1047" t="s">
        <v>598</v>
      </c>
      <c r="C472" s="1214">
        <f>IFERROR(VLOOKUP(A472,'SAP '!$A$3:$C$14709,3,0),0)</f>
        <v>0</v>
      </c>
      <c r="D472" s="1082">
        <f>IFERROR(VLOOKUP(A472,'SAP '!A:D,4,0),0)</f>
        <v>-880041.89</v>
      </c>
    </row>
    <row r="473" spans="1:4">
      <c r="A473" s="1046">
        <v>4101106001</v>
      </c>
      <c r="B473" s="1047" t="s">
        <v>599</v>
      </c>
      <c r="C473" s="1214">
        <f>IFERROR(VLOOKUP(A473,'SAP '!$A$3:$C$14709,3,0),0)</f>
        <v>-193344.36</v>
      </c>
      <c r="D473" s="1082">
        <f>IFERROR(VLOOKUP(A473,'SAP '!A:D,4,0),0)</f>
        <v>-190184.04</v>
      </c>
    </row>
    <row r="474" spans="1:4">
      <c r="A474" s="1046">
        <v>4101106002</v>
      </c>
      <c r="B474" s="1047" t="s">
        <v>600</v>
      </c>
      <c r="C474" s="1214">
        <f>IFERROR(VLOOKUP(A474,'SAP '!$A$3:$C$14709,3,0),0)</f>
        <v>0</v>
      </c>
      <c r="D474" s="1082">
        <f>IFERROR(VLOOKUP(A474,'SAP '!A:D,4,0),0)</f>
        <v>-85010.1</v>
      </c>
    </row>
    <row r="475" spans="1:4">
      <c r="A475" s="1050">
        <v>4101108001</v>
      </c>
      <c r="B475" s="1050" t="s">
        <v>533</v>
      </c>
      <c r="C475" s="1214">
        <f>IFERROR(VLOOKUP(A475,'SAP '!$A$3:$C$14709,3,0),0)</f>
        <v>-164598</v>
      </c>
      <c r="D475" s="1082">
        <f>IFERROR(VLOOKUP(A475,'SAP '!A:D,4,0),0)</f>
        <v>-468398</v>
      </c>
    </row>
    <row r="476" spans="1:4">
      <c r="A476" s="1051">
        <v>4102101000</v>
      </c>
      <c r="B476" s="1051" t="s">
        <v>157</v>
      </c>
      <c r="C476" s="1214">
        <f>IFERROR(VLOOKUP(A476,'SAP '!$A$3:$C$14709,3,0),0)</f>
        <v>0</v>
      </c>
      <c r="D476" s="1082">
        <f>IFERROR(VLOOKUP(A476,'SAP '!A:D,4,0),0)</f>
        <v>0</v>
      </c>
    </row>
    <row r="477" spans="1:4">
      <c r="A477" s="1046">
        <v>4102102000</v>
      </c>
      <c r="B477" s="1047" t="s">
        <v>601</v>
      </c>
      <c r="C477" s="1214">
        <f>IFERROR(VLOOKUP(A477,'SAP '!$A$3:$C$14709,3,0),0)</f>
        <v>-697015</v>
      </c>
      <c r="D477" s="1082">
        <f>IFERROR(VLOOKUP(A477,'SAP '!A:D,4,0),0)</f>
        <v>-1194542.82</v>
      </c>
    </row>
    <row r="478" spans="1:4">
      <c r="A478" s="1046">
        <v>4102102001</v>
      </c>
      <c r="B478" s="1047" t="s">
        <v>1468</v>
      </c>
      <c r="C478" s="1214">
        <f>IFERROR(VLOOKUP(A478,'SAP '!$A$3:$C$14709,3,0),0)</f>
        <v>-49800</v>
      </c>
      <c r="D478" s="1082">
        <f>IFERROR(VLOOKUP(A478,'SAP '!A:D,4,0),0)</f>
        <v>0</v>
      </c>
    </row>
    <row r="479" spans="1:4">
      <c r="A479" s="1046">
        <v>4102102002</v>
      </c>
      <c r="B479" s="1047" t="s">
        <v>1474</v>
      </c>
      <c r="C479" s="1214">
        <f>IFERROR(VLOOKUP(A479,'SAP '!$A$3:$C$14709,3,0),0)</f>
        <v>-89560</v>
      </c>
      <c r="D479" s="1082">
        <v>0</v>
      </c>
    </row>
    <row r="480" spans="1:4">
      <c r="A480" s="1046">
        <v>4102102003</v>
      </c>
      <c r="B480" s="1047" t="s">
        <v>1475</v>
      </c>
      <c r="C480" s="1214">
        <f>IFERROR(VLOOKUP(A480,'SAP '!$A$3:$C$14709,3,0),0)</f>
        <v>-99700</v>
      </c>
      <c r="D480" s="1082">
        <v>0</v>
      </c>
    </row>
    <row r="481" spans="1:4">
      <c r="A481" s="1046">
        <v>4102103000</v>
      </c>
      <c r="B481" s="1047" t="s">
        <v>602</v>
      </c>
      <c r="C481" s="1214">
        <f>IFERROR(VLOOKUP(A481,'SAP '!$A$3:$C$14709,3,0),0)</f>
        <v>-59504</v>
      </c>
      <c r="D481" s="1082">
        <f>IFERROR(VLOOKUP(A481,'SAP '!A:D,4,0),0)</f>
        <v>-3640</v>
      </c>
    </row>
    <row r="482" spans="1:4">
      <c r="A482" s="1046">
        <v>4102103001</v>
      </c>
      <c r="B482" s="1047" t="s">
        <v>603</v>
      </c>
      <c r="C482" s="1214">
        <f>IFERROR(VLOOKUP(A482,'SAP '!$A$3:$C$14709,3,0),0)</f>
        <v>0</v>
      </c>
      <c r="D482" s="1082">
        <f>IFERROR(VLOOKUP(A482,'SAP '!A:D,4,0),0)</f>
        <v>0</v>
      </c>
    </row>
    <row r="483" spans="1:4">
      <c r="A483" s="1046">
        <v>4102103002</v>
      </c>
      <c r="B483" s="1047" t="s">
        <v>604</v>
      </c>
      <c r="C483" s="1214">
        <f>IFERROR(VLOOKUP(A483,'SAP '!$A$3:$C$14709,3,0),0)</f>
        <v>-12550</v>
      </c>
      <c r="D483" s="1082">
        <f>IFERROR(VLOOKUP(A483,'SAP '!A:D,4,0),0)</f>
        <v>-1397916</v>
      </c>
    </row>
    <row r="484" spans="1:4">
      <c r="A484" s="1046">
        <v>4102103003</v>
      </c>
      <c r="B484" s="1047" t="s">
        <v>605</v>
      </c>
      <c r="C484" s="1214">
        <f>IFERROR(VLOOKUP(A484,'SAP '!$A$3:$C$14709,3,0),0)</f>
        <v>-13698</v>
      </c>
      <c r="D484" s="1082">
        <f>IFERROR(VLOOKUP(A484,'SAP '!A:D,4,0),0)</f>
        <v>-10629</v>
      </c>
    </row>
    <row r="485" spans="1:4">
      <c r="A485" s="1046">
        <v>4102105000</v>
      </c>
      <c r="B485" s="1047" t="s">
        <v>606</v>
      </c>
      <c r="C485" s="1214">
        <f>IFERROR(VLOOKUP(A485,'SAP '!$A$3:$C$14709,3,0),0)</f>
        <v>-232211.52</v>
      </c>
      <c r="D485" s="1082">
        <f>IFERROR(VLOOKUP(A485,'SAP '!A:D,4,0),0)</f>
        <v>-252784.5</v>
      </c>
    </row>
    <row r="486" spans="1:4">
      <c r="A486" s="1051">
        <v>4102105001</v>
      </c>
      <c r="B486" s="1051" t="s">
        <v>158</v>
      </c>
      <c r="C486" s="1214">
        <f>IFERROR(VLOOKUP(A486,'SAP '!$A$3:$C$14709,3,0),0)</f>
        <v>0</v>
      </c>
      <c r="D486" s="1082">
        <f>IFERROR(VLOOKUP(A486,'SAP '!A:D,4,0),0)</f>
        <v>-1227863.3999999999</v>
      </c>
    </row>
    <row r="487" spans="1:4">
      <c r="A487" s="1046">
        <v>4102105002</v>
      </c>
      <c r="B487" s="1047" t="s">
        <v>607</v>
      </c>
      <c r="C487" s="1214">
        <f>IFERROR(VLOOKUP(A487,'SAP '!$A$3:$C$14709,3,0),0)</f>
        <v>-767923.8</v>
      </c>
      <c r="D487" s="1082">
        <f>IFERROR(VLOOKUP(A487,'SAP '!A:D,4,0),0)</f>
        <v>0</v>
      </c>
    </row>
    <row r="488" spans="1:4">
      <c r="A488" s="1046">
        <v>4102106000</v>
      </c>
      <c r="B488" s="1047" t="s">
        <v>608</v>
      </c>
      <c r="C488" s="1214">
        <f>IFERROR(VLOOKUP(A488,'SAP '!$A$3:$C$14709,3,0),0)</f>
        <v>-1098311.6299999999</v>
      </c>
      <c r="D488" s="1082">
        <f>IFERROR(VLOOKUP(A488,'SAP '!A:D,4,0),0)</f>
        <v>-254594.26</v>
      </c>
    </row>
    <row r="489" spans="1:4">
      <c r="A489" s="1052">
        <v>4102108000</v>
      </c>
      <c r="B489" s="1053" t="s">
        <v>1019</v>
      </c>
      <c r="C489" s="1214">
        <f>IFERROR(VLOOKUP(A489,'SAP '!$A$3:$C$14709,3,0),0)</f>
        <v>0</v>
      </c>
      <c r="D489" s="1082">
        <f>IFERROR(VLOOKUP(A489,'SAP '!A:D,4,0),0)</f>
        <v>0</v>
      </c>
    </row>
    <row r="490" spans="1:4">
      <c r="A490" s="1054">
        <v>4102108001</v>
      </c>
      <c r="B490" s="1047" t="s">
        <v>609</v>
      </c>
      <c r="C490" s="1214">
        <f>IFERROR(VLOOKUP(A490,'SAP '!$A$3:$C$14709,3,0),0)</f>
        <v>0</v>
      </c>
      <c r="D490" s="1082">
        <f>IFERROR(VLOOKUP(A490,'SAP '!A:D,4,0),0)</f>
        <v>0</v>
      </c>
    </row>
    <row r="491" spans="1:4">
      <c r="A491" s="1054">
        <v>4102109000</v>
      </c>
      <c r="B491" s="1055" t="s">
        <v>1020</v>
      </c>
      <c r="C491" s="1214">
        <f>IFERROR(VLOOKUP(A491,'SAP '!$A$3:$C$14709,3,0),0)</f>
        <v>0</v>
      </c>
      <c r="D491" s="1082">
        <f>IFERROR(VLOOKUP(A491,'SAP '!A:D,4,0),0)</f>
        <v>0</v>
      </c>
    </row>
    <row r="492" spans="1:4">
      <c r="A492" s="1051">
        <v>4102110000</v>
      </c>
      <c r="B492" s="1051" t="s">
        <v>159</v>
      </c>
      <c r="C492" s="1214">
        <f>IFERROR(VLOOKUP(A492,'SAP '!$A$3:$C$14709,3,0),0)</f>
        <v>0</v>
      </c>
      <c r="D492" s="1082">
        <f>IFERROR(VLOOKUP(A492,'SAP '!A:D,4,0),0)</f>
        <v>0</v>
      </c>
    </row>
    <row r="493" spans="1:4">
      <c r="A493" s="1046">
        <v>4102110001</v>
      </c>
      <c r="B493" s="1047" t="s">
        <v>1021</v>
      </c>
      <c r="C493" s="1214">
        <f>IFERROR(VLOOKUP(A493,'SAP '!$A$3:$C$14709,3,0),0)</f>
        <v>0</v>
      </c>
      <c r="D493" s="1082">
        <f>IFERROR(VLOOKUP(A493,'SAP '!A:D,4,0),0)</f>
        <v>0</v>
      </c>
    </row>
    <row r="494" spans="1:4">
      <c r="A494" s="1051">
        <v>4102110002</v>
      </c>
      <c r="B494" s="1051" t="s">
        <v>160</v>
      </c>
      <c r="C494" s="1214">
        <f>IFERROR(VLOOKUP(A494,'SAP '!$A$3:$C$14709,3,0),0)</f>
        <v>0</v>
      </c>
      <c r="D494" s="1082">
        <f>IFERROR(VLOOKUP(A494,'SAP '!A:D,4,0),0)</f>
        <v>-215653.88</v>
      </c>
    </row>
    <row r="495" spans="1:4">
      <c r="A495" s="1046">
        <v>4102110003</v>
      </c>
      <c r="B495" s="1047" t="s">
        <v>610</v>
      </c>
      <c r="C495" s="1214">
        <f>IFERROR(VLOOKUP(A495,'SAP '!$A$3:$C$14709,3,0),0)</f>
        <v>-2295.48</v>
      </c>
      <c r="D495" s="1082">
        <f>IFERROR(VLOOKUP(A495,'SAP '!A:D,4,0),0)</f>
        <v>-87701.29</v>
      </c>
    </row>
    <row r="496" spans="1:4">
      <c r="A496" s="1046">
        <v>4102110005</v>
      </c>
      <c r="B496" s="1047" t="s">
        <v>1022</v>
      </c>
      <c r="C496" s="1214">
        <f>IFERROR(VLOOKUP(A496,'SAP '!$A$3:$C$14709,3,0),0)</f>
        <v>0</v>
      </c>
      <c r="D496" s="1082">
        <f>IFERROR(VLOOKUP(A496,'SAP '!A:D,4,0),0)</f>
        <v>0</v>
      </c>
    </row>
    <row r="497" spans="1:16375">
      <c r="A497" s="1046">
        <v>4102110006</v>
      </c>
      <c r="B497" s="1047" t="s">
        <v>611</v>
      </c>
      <c r="C497" s="1214">
        <f>IFERROR(VLOOKUP(A497,'SAP '!$A$3:$C$14709,3,0),0)</f>
        <v>-3.61</v>
      </c>
      <c r="D497" s="1082">
        <f>IFERROR(VLOOKUP(A497,'SAP '!A:D,4,0),0)</f>
        <v>-1.08</v>
      </c>
    </row>
    <row r="498" spans="1:16375">
      <c r="A498" s="1047">
        <v>4102110008</v>
      </c>
      <c r="B498" s="1047" t="s">
        <v>1476</v>
      </c>
      <c r="C498" s="1214">
        <f>IFERROR(VLOOKUP(A498,'SAP '!$A$3:$C$14709,3,0),0)</f>
        <v>-90703</v>
      </c>
      <c r="D498" s="1082"/>
    </row>
    <row r="499" spans="1:16375">
      <c r="A499" s="1056">
        <v>4102110007</v>
      </c>
      <c r="B499" s="1056" t="s">
        <v>612</v>
      </c>
      <c r="C499" s="1214">
        <f>IFERROR(VLOOKUP(A499,'SAP '!$A$3:$C$14709,3,0),0)</f>
        <v>-180457</v>
      </c>
      <c r="D499" s="1082">
        <f>IFERROR(VLOOKUP(A499,'SAP '!A:D,4,0),0)</f>
        <v>0</v>
      </c>
    </row>
    <row r="500" spans="1:16375">
      <c r="A500" s="1046">
        <v>4102119999</v>
      </c>
      <c r="B500" s="1047" t="s">
        <v>613</v>
      </c>
      <c r="C500" s="1214">
        <f>IFERROR(VLOOKUP(A500,'SAP '!$A$3:$C$14709,3,0),0)</f>
        <v>-117963</v>
      </c>
      <c r="D500" s="1082">
        <f>IFERROR(VLOOKUP(A500,'SAP '!A:D,4,0),0)</f>
        <v>-8956649.1899999995</v>
      </c>
    </row>
    <row r="501" spans="1:16375">
      <c r="A501" s="1046">
        <v>4103501000</v>
      </c>
      <c r="B501" s="1047" t="s">
        <v>615</v>
      </c>
      <c r="C501" s="1214">
        <f>IFERROR(VLOOKUP(A501,'SAP '!$A$3:$C$14709,3,0),0)</f>
        <v>-332148.43</v>
      </c>
      <c r="D501" s="1082">
        <f>IFERROR(VLOOKUP(A501,'SAP '!A:D,4,0),0)</f>
        <v>-1627401.15</v>
      </c>
    </row>
    <row r="502" spans="1:16375">
      <c r="A502" s="1046">
        <v>4104102000</v>
      </c>
      <c r="B502" s="1047" t="s">
        <v>614</v>
      </c>
      <c r="C502" s="1214">
        <f>IFERROR(VLOOKUP(A502,'SAP '!$A$3:$C$14709,3,0),0)</f>
        <v>-334557.40999999997</v>
      </c>
      <c r="D502" s="1082">
        <f>IFERROR(VLOOKUP(A502,'SAP '!A:D,4,0),0)</f>
        <v>-246451.79</v>
      </c>
    </row>
    <row r="503" spans="1:16375">
      <c r="A503" s="1046">
        <v>5102101000</v>
      </c>
      <c r="B503" s="1047" t="s">
        <v>616</v>
      </c>
      <c r="C503" s="1214">
        <f>IFERROR(VLOOKUP(A503,'SAP '!$A$3:$C$14709,3,0),0)</f>
        <v>229199.16</v>
      </c>
      <c r="D503" s="1082">
        <f>IFERROR(VLOOKUP(A503,'SAP '!A:D,4,0),0)</f>
        <v>442536.47</v>
      </c>
    </row>
    <row r="504" spans="1:16375">
      <c r="A504" s="1046">
        <v>5102102000</v>
      </c>
      <c r="B504" s="1047" t="s">
        <v>617</v>
      </c>
      <c r="C504" s="1214">
        <f>IFERROR(VLOOKUP(A504,'SAP '!$A$3:$C$14709,3,0),0)</f>
        <v>476883.53</v>
      </c>
      <c r="D504" s="1082">
        <f>IFERROR(VLOOKUP(A504,'SAP '!A:D,4,0),0)</f>
        <v>273652.37</v>
      </c>
    </row>
    <row r="505" spans="1:16375">
      <c r="A505" s="1046">
        <v>5102103000</v>
      </c>
      <c r="B505" s="1047" t="s">
        <v>618</v>
      </c>
      <c r="C505" s="1214">
        <f>IFERROR(VLOOKUP(A505,'SAP '!$A$3:$C$14709,3,0),0)</f>
        <v>8410041.7899999991</v>
      </c>
      <c r="D505" s="1082">
        <f>IFERROR(VLOOKUP(A505,'SAP '!A:D,4,0),0)</f>
        <v>6918357.3499999996</v>
      </c>
    </row>
    <row r="506" spans="1:16375">
      <c r="A506" s="1046">
        <v>5102104000</v>
      </c>
      <c r="B506" s="1047" t="s">
        <v>619</v>
      </c>
      <c r="C506" s="1214">
        <f>IFERROR(VLOOKUP(A506,'SAP '!$A$3:$C$14709,3,0),0)</f>
        <v>0</v>
      </c>
      <c r="D506" s="1082">
        <f>IFERROR(VLOOKUP(A506,'SAP '!A:D,4,0),0)</f>
        <v>147390.5</v>
      </c>
    </row>
    <row r="507" spans="1:16375">
      <c r="A507" s="1048">
        <v>5102105000</v>
      </c>
      <c r="B507" s="1049" t="s">
        <v>620</v>
      </c>
      <c r="C507" s="1214">
        <f>IFERROR(VLOOKUP(A507,'SAP '!$A$3:$C$14709,3,0),0)</f>
        <v>1194012.48</v>
      </c>
      <c r="D507" s="1082">
        <f>IFERROR(VLOOKUP(A507,'SAP '!A:D,4,0),0)</f>
        <v>370314.11</v>
      </c>
      <c r="E507" s="44"/>
      <c r="F507" s="44"/>
      <c r="G507" s="44"/>
      <c r="H507" s="44"/>
      <c r="I507" s="44"/>
      <c r="J507" s="44"/>
      <c r="K507" s="44"/>
      <c r="L507" s="44"/>
      <c r="M507" s="44"/>
      <c r="N507" s="44"/>
      <c r="O507" s="44"/>
      <c r="P507" s="44"/>
      <c r="Q507" s="44"/>
      <c r="R507" s="44"/>
      <c r="S507" s="44"/>
      <c r="T507" s="44"/>
      <c r="U507" s="44"/>
      <c r="V507" s="44"/>
      <c r="W507" s="44"/>
      <c r="X507" s="44"/>
      <c r="Y507" s="44"/>
      <c r="Z507" s="44"/>
      <c r="AA507" s="44"/>
      <c r="AB507" s="44"/>
      <c r="AC507" s="44"/>
      <c r="AD507" s="44"/>
      <c r="AE507" s="44"/>
      <c r="AF507" s="44"/>
      <c r="AG507" s="44"/>
      <c r="AH507" s="44"/>
      <c r="AI507" s="44"/>
      <c r="AJ507" s="44"/>
      <c r="AK507" s="44"/>
      <c r="AL507" s="44"/>
      <c r="AM507" s="44"/>
      <c r="AN507" s="44"/>
      <c r="AO507" s="44"/>
      <c r="AP507" s="44"/>
      <c r="AQ507" s="44"/>
      <c r="AR507" s="44"/>
      <c r="AS507" s="44"/>
      <c r="AT507" s="44"/>
      <c r="AU507" s="44"/>
      <c r="AV507" s="44"/>
      <c r="AW507" s="44"/>
      <c r="AX507" s="44"/>
      <c r="AY507" s="44"/>
      <c r="AZ507" s="44"/>
      <c r="BA507" s="44"/>
      <c r="BB507" s="44"/>
      <c r="BC507" s="44"/>
      <c r="BD507" s="44"/>
      <c r="BE507" s="44"/>
      <c r="BF507" s="44"/>
      <c r="BG507" s="44"/>
      <c r="BH507" s="44"/>
      <c r="BI507" s="44"/>
      <c r="BJ507" s="44"/>
      <c r="BK507" s="44"/>
      <c r="BL507" s="44"/>
      <c r="BM507" s="44"/>
      <c r="BN507" s="44"/>
      <c r="BO507" s="44"/>
      <c r="BP507" s="44"/>
      <c r="BQ507" s="44"/>
      <c r="BR507" s="44"/>
      <c r="BS507" s="44"/>
      <c r="BT507" s="44"/>
      <c r="BU507" s="44"/>
      <c r="BV507" s="44"/>
      <c r="BW507" s="44"/>
      <c r="BX507" s="44"/>
      <c r="BY507" s="44"/>
      <c r="BZ507" s="44"/>
      <c r="CA507" s="44"/>
      <c r="CB507" s="44"/>
      <c r="CC507" s="44"/>
      <c r="CD507" s="44"/>
      <c r="CE507" s="44"/>
      <c r="CF507" s="44"/>
      <c r="CG507" s="44"/>
      <c r="CH507" s="44"/>
      <c r="CI507" s="44"/>
      <c r="CJ507" s="44"/>
      <c r="CK507" s="44"/>
      <c r="CL507" s="44"/>
      <c r="CM507" s="44"/>
      <c r="CN507" s="44"/>
      <c r="CO507" s="44"/>
      <c r="CP507" s="44"/>
      <c r="CQ507" s="44"/>
      <c r="CR507" s="44"/>
      <c r="CS507" s="44"/>
      <c r="CT507" s="44"/>
      <c r="CU507" s="44"/>
      <c r="CV507" s="44"/>
      <c r="CW507" s="44"/>
      <c r="CX507" s="44"/>
      <c r="CY507" s="44"/>
      <c r="CZ507" s="44"/>
      <c r="DA507" s="44"/>
      <c r="DB507" s="44"/>
      <c r="DC507" s="44"/>
      <c r="DD507" s="44"/>
      <c r="DE507" s="44"/>
      <c r="DF507" s="44"/>
      <c r="DG507" s="44"/>
      <c r="DH507" s="44"/>
      <c r="DI507" s="44"/>
      <c r="DJ507" s="44"/>
      <c r="DK507" s="44"/>
      <c r="DL507" s="44"/>
      <c r="DM507" s="44"/>
      <c r="DN507" s="44"/>
      <c r="DO507" s="44"/>
      <c r="DP507" s="44"/>
      <c r="DQ507" s="44"/>
      <c r="DR507" s="44"/>
      <c r="DS507" s="44"/>
      <c r="DT507" s="44"/>
      <c r="DU507" s="44"/>
      <c r="DV507" s="44"/>
      <c r="DW507" s="44"/>
      <c r="DX507" s="44"/>
      <c r="DY507" s="44"/>
      <c r="DZ507" s="44"/>
      <c r="EA507" s="44"/>
      <c r="EB507" s="44"/>
      <c r="EC507" s="44"/>
      <c r="ED507" s="44"/>
      <c r="EE507" s="44"/>
      <c r="EF507" s="44"/>
      <c r="EG507" s="44"/>
      <c r="EH507" s="44"/>
      <c r="EI507" s="44"/>
      <c r="EJ507" s="44"/>
      <c r="EK507" s="44"/>
      <c r="EL507" s="44"/>
      <c r="EM507" s="44"/>
      <c r="EN507" s="44"/>
      <c r="EO507" s="44"/>
      <c r="EP507" s="44"/>
      <c r="EQ507" s="44"/>
      <c r="ER507" s="44"/>
      <c r="ES507" s="44"/>
      <c r="ET507" s="44"/>
      <c r="EU507" s="44"/>
      <c r="EV507" s="44"/>
      <c r="EW507" s="44"/>
      <c r="EX507" s="44"/>
      <c r="EY507" s="44"/>
      <c r="EZ507" s="44"/>
      <c r="FA507" s="44"/>
      <c r="FB507" s="44"/>
      <c r="FC507" s="44"/>
      <c r="FD507" s="44"/>
      <c r="FE507" s="44"/>
      <c r="FF507" s="44"/>
      <c r="FG507" s="44"/>
      <c r="FH507" s="44"/>
      <c r="FI507" s="44"/>
      <c r="FJ507" s="44"/>
      <c r="FK507" s="44"/>
      <c r="FL507" s="44"/>
      <c r="FM507" s="44"/>
      <c r="FN507" s="44"/>
      <c r="FO507" s="44"/>
      <c r="FP507" s="44"/>
      <c r="FQ507" s="44"/>
      <c r="FR507" s="44"/>
      <c r="FS507" s="44"/>
      <c r="FT507" s="44"/>
      <c r="FU507" s="44"/>
      <c r="FV507" s="44"/>
      <c r="FW507" s="44"/>
      <c r="FX507" s="44"/>
      <c r="FY507" s="44"/>
      <c r="FZ507" s="44"/>
      <c r="GA507" s="44"/>
      <c r="GB507" s="44"/>
      <c r="GC507" s="44"/>
      <c r="GD507" s="44"/>
      <c r="GE507" s="44"/>
      <c r="GF507" s="44"/>
      <c r="GG507" s="44"/>
      <c r="GH507" s="44"/>
      <c r="GI507" s="44"/>
      <c r="GJ507" s="44"/>
      <c r="GK507" s="44"/>
      <c r="GL507" s="44"/>
      <c r="GM507" s="44"/>
      <c r="GN507" s="44"/>
      <c r="GO507" s="44"/>
      <c r="GP507" s="44"/>
      <c r="GQ507" s="44"/>
      <c r="GR507" s="44"/>
      <c r="GS507" s="44"/>
      <c r="GT507" s="44"/>
      <c r="GU507" s="44"/>
      <c r="GV507" s="44"/>
      <c r="GW507" s="44"/>
      <c r="GX507" s="44"/>
      <c r="GY507" s="44"/>
      <c r="GZ507" s="44"/>
      <c r="HA507" s="44"/>
      <c r="HB507" s="44"/>
      <c r="HC507" s="44"/>
      <c r="HD507" s="44"/>
      <c r="HE507" s="44"/>
      <c r="HF507" s="44"/>
      <c r="HG507" s="44"/>
      <c r="HH507" s="44"/>
      <c r="HI507" s="44"/>
      <c r="HJ507" s="44"/>
      <c r="HK507" s="44"/>
      <c r="HL507" s="44"/>
      <c r="HM507" s="44"/>
      <c r="HN507" s="44"/>
      <c r="HO507" s="44"/>
      <c r="HP507" s="44"/>
      <c r="HQ507" s="44"/>
      <c r="HR507" s="44"/>
      <c r="HS507" s="44"/>
      <c r="HT507" s="44"/>
      <c r="HU507" s="44"/>
      <c r="HV507" s="44"/>
      <c r="HW507" s="44"/>
      <c r="HX507" s="44"/>
      <c r="HY507" s="44"/>
      <c r="HZ507" s="44"/>
      <c r="IA507" s="44"/>
      <c r="IB507" s="44"/>
      <c r="IC507" s="44"/>
      <c r="ID507" s="44"/>
      <c r="IE507" s="44"/>
      <c r="IF507" s="44"/>
      <c r="IG507" s="44"/>
      <c r="IH507" s="44"/>
      <c r="II507" s="44"/>
      <c r="IJ507" s="44"/>
      <c r="IK507" s="44"/>
      <c r="IL507" s="44"/>
      <c r="IM507" s="44"/>
      <c r="IN507" s="44"/>
      <c r="IO507" s="44"/>
      <c r="IP507" s="44"/>
      <c r="IQ507" s="44"/>
      <c r="IR507" s="44"/>
      <c r="IS507" s="44"/>
      <c r="IT507" s="44"/>
      <c r="IU507" s="44"/>
      <c r="IV507" s="44"/>
      <c r="IW507" s="44"/>
      <c r="IX507" s="44"/>
      <c r="IY507" s="44"/>
      <c r="IZ507" s="44"/>
      <c r="JA507" s="44"/>
      <c r="JB507" s="44"/>
      <c r="JC507" s="44"/>
      <c r="JD507" s="44"/>
      <c r="JE507" s="44"/>
      <c r="JF507" s="44"/>
      <c r="JG507" s="44"/>
      <c r="JH507" s="44"/>
      <c r="JI507" s="44"/>
      <c r="JJ507" s="44"/>
      <c r="JK507" s="44"/>
      <c r="JL507" s="44"/>
      <c r="JM507" s="44"/>
      <c r="JN507" s="44"/>
      <c r="JO507" s="44"/>
      <c r="JP507" s="44"/>
      <c r="JQ507" s="44"/>
      <c r="JR507" s="44"/>
      <c r="JS507" s="44"/>
      <c r="JT507" s="44"/>
      <c r="JU507" s="44"/>
      <c r="JV507" s="44"/>
      <c r="JW507" s="44"/>
      <c r="JX507" s="44"/>
      <c r="JY507" s="44"/>
      <c r="JZ507" s="44"/>
      <c r="KA507" s="44"/>
      <c r="KB507" s="44"/>
      <c r="KC507" s="44"/>
      <c r="KD507" s="44"/>
      <c r="KE507" s="44"/>
      <c r="KF507" s="44"/>
      <c r="KG507" s="44"/>
      <c r="KH507" s="44"/>
      <c r="KI507" s="44"/>
      <c r="KJ507" s="44"/>
      <c r="KK507" s="44"/>
      <c r="KL507" s="44"/>
      <c r="KM507" s="44"/>
      <c r="KN507" s="44"/>
      <c r="KO507" s="44"/>
      <c r="KP507" s="44"/>
      <c r="KQ507" s="44"/>
      <c r="KR507" s="44"/>
      <c r="KS507" s="44"/>
      <c r="KT507" s="44"/>
      <c r="KU507" s="44"/>
      <c r="KV507" s="44"/>
      <c r="KW507" s="44"/>
      <c r="KX507" s="44"/>
      <c r="KY507" s="44"/>
      <c r="KZ507" s="44"/>
      <c r="LA507" s="44"/>
      <c r="LB507" s="44"/>
      <c r="LC507" s="44"/>
      <c r="LD507" s="44"/>
      <c r="LE507" s="44"/>
      <c r="LF507" s="44"/>
      <c r="LG507" s="44"/>
      <c r="LH507" s="44"/>
      <c r="LI507" s="44"/>
      <c r="LJ507" s="44"/>
      <c r="LK507" s="44"/>
      <c r="LL507" s="44"/>
      <c r="LM507" s="44"/>
      <c r="LN507" s="44"/>
      <c r="LO507" s="44"/>
      <c r="LP507" s="44"/>
      <c r="LQ507" s="44"/>
      <c r="LR507" s="44"/>
      <c r="LS507" s="44"/>
      <c r="LT507" s="44"/>
      <c r="LU507" s="44"/>
      <c r="LV507" s="44"/>
      <c r="LW507" s="44"/>
      <c r="LX507" s="44"/>
      <c r="LY507" s="44"/>
      <c r="LZ507" s="44"/>
      <c r="MA507" s="44"/>
      <c r="MB507" s="44"/>
      <c r="MC507" s="44"/>
      <c r="MD507" s="44"/>
      <c r="ME507" s="44"/>
      <c r="MF507" s="44"/>
      <c r="MG507" s="44"/>
      <c r="MH507" s="44"/>
      <c r="MI507" s="44"/>
      <c r="MJ507" s="44"/>
      <c r="MK507" s="44"/>
      <c r="ML507" s="44"/>
      <c r="MM507" s="44"/>
      <c r="MN507" s="44"/>
      <c r="MO507" s="44"/>
      <c r="MP507" s="44"/>
      <c r="MQ507" s="44"/>
      <c r="MR507" s="44"/>
      <c r="MS507" s="44"/>
      <c r="MT507" s="44"/>
      <c r="MU507" s="44"/>
      <c r="MV507" s="44"/>
      <c r="MW507" s="44"/>
      <c r="MX507" s="44"/>
      <c r="MY507" s="44"/>
      <c r="MZ507" s="44"/>
      <c r="NA507" s="44"/>
      <c r="NB507" s="44"/>
      <c r="NC507" s="44"/>
      <c r="ND507" s="44"/>
      <c r="NE507" s="44"/>
      <c r="NF507" s="44"/>
      <c r="NG507" s="44"/>
      <c r="NH507" s="44"/>
      <c r="NI507" s="44"/>
      <c r="NJ507" s="44"/>
      <c r="NK507" s="44"/>
      <c r="NL507" s="44"/>
      <c r="NM507" s="44"/>
      <c r="NN507" s="44"/>
      <c r="NO507" s="44"/>
      <c r="NP507" s="44"/>
      <c r="NQ507" s="44"/>
      <c r="NR507" s="44"/>
      <c r="NS507" s="44"/>
      <c r="NT507" s="44"/>
      <c r="NU507" s="44"/>
      <c r="NV507" s="44"/>
      <c r="NW507" s="44"/>
      <c r="NX507" s="44"/>
      <c r="NY507" s="44"/>
      <c r="NZ507" s="44"/>
      <c r="OA507" s="44"/>
      <c r="OB507" s="44"/>
      <c r="OC507" s="44"/>
      <c r="OD507" s="44"/>
      <c r="OE507" s="44"/>
      <c r="OF507" s="44"/>
      <c r="OG507" s="44"/>
      <c r="OH507" s="44"/>
      <c r="OI507" s="44"/>
      <c r="OJ507" s="44"/>
      <c r="OK507" s="44"/>
      <c r="OL507" s="44"/>
      <c r="OM507" s="44"/>
      <c r="ON507" s="44"/>
      <c r="OO507" s="44"/>
      <c r="OP507" s="44"/>
      <c r="OQ507" s="44"/>
      <c r="OR507" s="44"/>
      <c r="OS507" s="44"/>
      <c r="OT507" s="44"/>
      <c r="OU507" s="44"/>
      <c r="OV507" s="44"/>
      <c r="OW507" s="44"/>
      <c r="OX507" s="44"/>
      <c r="OY507" s="44"/>
      <c r="OZ507" s="44"/>
      <c r="PA507" s="44"/>
      <c r="PB507" s="44"/>
      <c r="PC507" s="44"/>
      <c r="PD507" s="44"/>
      <c r="PE507" s="44"/>
      <c r="PF507" s="44"/>
      <c r="PG507" s="44"/>
      <c r="PH507" s="44"/>
      <c r="PI507" s="44"/>
      <c r="PJ507" s="44"/>
      <c r="PK507" s="44"/>
      <c r="PL507" s="44"/>
      <c r="PM507" s="44"/>
      <c r="PN507" s="44"/>
      <c r="PO507" s="44"/>
      <c r="PP507" s="44"/>
      <c r="PQ507" s="44"/>
      <c r="PR507" s="44"/>
      <c r="PS507" s="44"/>
      <c r="PT507" s="44"/>
      <c r="PU507" s="44"/>
      <c r="PV507" s="44"/>
      <c r="PW507" s="44"/>
      <c r="PX507" s="44"/>
      <c r="PY507" s="44"/>
      <c r="PZ507" s="44"/>
      <c r="QA507" s="44"/>
      <c r="QB507" s="44"/>
      <c r="QC507" s="44"/>
      <c r="QD507" s="44"/>
      <c r="QE507" s="44"/>
      <c r="QF507" s="44"/>
      <c r="QG507" s="44"/>
      <c r="QH507" s="44"/>
      <c r="QI507" s="44"/>
      <c r="QJ507" s="44"/>
      <c r="QK507" s="44"/>
      <c r="QL507" s="44"/>
      <c r="QM507" s="44"/>
      <c r="QN507" s="44"/>
      <c r="QO507" s="44"/>
      <c r="QP507" s="44"/>
      <c r="QQ507" s="44"/>
      <c r="QR507" s="44"/>
      <c r="QS507" s="44"/>
      <c r="QT507" s="44"/>
      <c r="QU507" s="44"/>
      <c r="QV507" s="44"/>
      <c r="QW507" s="44"/>
      <c r="QX507" s="44"/>
      <c r="QY507" s="44"/>
      <c r="QZ507" s="44"/>
      <c r="RA507" s="44"/>
      <c r="RB507" s="44"/>
      <c r="RC507" s="44"/>
      <c r="RD507" s="44"/>
      <c r="RE507" s="44"/>
      <c r="RF507" s="44"/>
      <c r="RG507" s="44"/>
      <c r="RH507" s="44"/>
      <c r="RI507" s="44"/>
      <c r="RJ507" s="44"/>
      <c r="RK507" s="44"/>
      <c r="RL507" s="44"/>
      <c r="RM507" s="44"/>
      <c r="RN507" s="44"/>
      <c r="RO507" s="44"/>
      <c r="RP507" s="44"/>
      <c r="RQ507" s="44"/>
      <c r="RR507" s="44"/>
      <c r="RS507" s="44"/>
      <c r="RT507" s="44"/>
      <c r="RU507" s="44"/>
      <c r="RV507" s="44"/>
      <c r="RW507" s="44"/>
      <c r="RX507" s="44"/>
      <c r="RY507" s="44"/>
      <c r="RZ507" s="44"/>
      <c r="SA507" s="44"/>
      <c r="SB507" s="44"/>
      <c r="SC507" s="44"/>
      <c r="SD507" s="44"/>
      <c r="SE507" s="44"/>
      <c r="SF507" s="44"/>
      <c r="SG507" s="44"/>
      <c r="SH507" s="44"/>
      <c r="SI507" s="44"/>
      <c r="SJ507" s="44"/>
      <c r="SK507" s="44"/>
      <c r="SL507" s="44"/>
      <c r="SM507" s="44"/>
      <c r="SN507" s="44"/>
      <c r="SO507" s="44"/>
      <c r="SP507" s="44"/>
      <c r="SQ507" s="44"/>
      <c r="SR507" s="44"/>
      <c r="SS507" s="44"/>
      <c r="ST507" s="44"/>
      <c r="SU507" s="44"/>
      <c r="SV507" s="44"/>
      <c r="SW507" s="44"/>
      <c r="SX507" s="44"/>
      <c r="SY507" s="44"/>
      <c r="SZ507" s="44"/>
      <c r="TA507" s="44"/>
      <c r="TB507" s="44"/>
      <c r="TC507" s="44"/>
      <c r="TD507" s="44"/>
      <c r="TE507" s="44"/>
      <c r="TF507" s="44"/>
      <c r="TG507" s="44"/>
      <c r="TH507" s="44"/>
      <c r="TI507" s="44"/>
      <c r="TJ507" s="44"/>
      <c r="TK507" s="44"/>
      <c r="TL507" s="44"/>
      <c r="TM507" s="44"/>
      <c r="TN507" s="44"/>
      <c r="TO507" s="44"/>
      <c r="TP507" s="44"/>
      <c r="TQ507" s="44"/>
      <c r="TR507" s="44"/>
      <c r="TS507" s="44"/>
      <c r="TT507" s="44"/>
      <c r="TU507" s="44"/>
      <c r="TV507" s="44"/>
      <c r="TW507" s="44"/>
      <c r="TX507" s="44"/>
      <c r="TY507" s="44"/>
      <c r="TZ507" s="44"/>
      <c r="UA507" s="44"/>
      <c r="UB507" s="44"/>
      <c r="UC507" s="44"/>
      <c r="UD507" s="44"/>
      <c r="UE507" s="44"/>
      <c r="UF507" s="44"/>
      <c r="UG507" s="44"/>
      <c r="UH507" s="44"/>
      <c r="UI507" s="44"/>
      <c r="UJ507" s="44"/>
      <c r="UK507" s="44"/>
      <c r="UL507" s="44"/>
      <c r="UM507" s="44"/>
      <c r="UN507" s="44"/>
      <c r="UO507" s="44"/>
      <c r="UP507" s="44"/>
      <c r="UQ507" s="44"/>
      <c r="UR507" s="44"/>
      <c r="US507" s="44"/>
      <c r="UT507" s="44"/>
      <c r="UU507" s="44"/>
      <c r="UV507" s="44"/>
      <c r="UW507" s="44"/>
      <c r="UX507" s="44"/>
      <c r="UY507" s="44"/>
      <c r="UZ507" s="44"/>
      <c r="VA507" s="44"/>
      <c r="VB507" s="44"/>
      <c r="VC507" s="44"/>
      <c r="VD507" s="44"/>
      <c r="VE507" s="44"/>
      <c r="VF507" s="44"/>
      <c r="VG507" s="44"/>
      <c r="VH507" s="44"/>
      <c r="VI507" s="44"/>
      <c r="VJ507" s="44"/>
      <c r="VK507" s="44"/>
      <c r="VL507" s="44"/>
      <c r="VM507" s="44"/>
      <c r="VN507" s="44"/>
      <c r="VO507" s="44"/>
      <c r="VP507" s="44"/>
      <c r="VQ507" s="44"/>
      <c r="VR507" s="44"/>
      <c r="VS507" s="44"/>
      <c r="VT507" s="44"/>
      <c r="VU507" s="44"/>
      <c r="VV507" s="44"/>
      <c r="VW507" s="44"/>
      <c r="VX507" s="44"/>
      <c r="VY507" s="44"/>
      <c r="VZ507" s="44"/>
      <c r="WA507" s="44"/>
      <c r="WB507" s="44"/>
      <c r="WC507" s="44"/>
      <c r="WD507" s="44"/>
      <c r="WE507" s="44"/>
      <c r="WF507" s="44"/>
      <c r="WG507" s="44"/>
      <c r="WH507" s="44"/>
      <c r="WI507" s="44"/>
      <c r="WJ507" s="44"/>
      <c r="WK507" s="44"/>
      <c r="WL507" s="44"/>
      <c r="WM507" s="44"/>
      <c r="WN507" s="44"/>
      <c r="WO507" s="44"/>
      <c r="WP507" s="44"/>
      <c r="WQ507" s="44"/>
      <c r="WR507" s="44"/>
      <c r="WS507" s="44"/>
      <c r="WT507" s="44"/>
      <c r="WU507" s="44"/>
      <c r="WV507" s="44"/>
      <c r="WW507" s="44"/>
      <c r="WX507" s="44"/>
      <c r="WY507" s="44"/>
      <c r="WZ507" s="44"/>
      <c r="XA507" s="44"/>
      <c r="XB507" s="44"/>
      <c r="XC507" s="44"/>
      <c r="XD507" s="44"/>
      <c r="XE507" s="44"/>
      <c r="XF507" s="44"/>
      <c r="XG507" s="44"/>
      <c r="XH507" s="44"/>
      <c r="XI507" s="44"/>
      <c r="XJ507" s="44"/>
      <c r="XK507" s="44"/>
      <c r="XL507" s="44"/>
      <c r="XM507" s="44"/>
      <c r="XN507" s="44"/>
      <c r="XO507" s="44"/>
      <c r="XP507" s="44"/>
      <c r="XQ507" s="44"/>
      <c r="XR507" s="44"/>
      <c r="XS507" s="44"/>
      <c r="XT507" s="44"/>
      <c r="XU507" s="44"/>
      <c r="XV507" s="44"/>
      <c r="XW507" s="44"/>
      <c r="XX507" s="44"/>
      <c r="XY507" s="44"/>
      <c r="XZ507" s="44"/>
      <c r="YA507" s="44"/>
      <c r="YB507" s="44"/>
      <c r="YC507" s="44"/>
      <c r="YD507" s="44"/>
      <c r="YE507" s="44"/>
      <c r="YF507" s="44"/>
      <c r="YG507" s="44"/>
      <c r="YH507" s="44"/>
      <c r="YI507" s="44"/>
      <c r="YJ507" s="44"/>
      <c r="YK507" s="44"/>
      <c r="YL507" s="44"/>
      <c r="YM507" s="44"/>
      <c r="YN507" s="44"/>
      <c r="YO507" s="44"/>
      <c r="YP507" s="44"/>
      <c r="YQ507" s="44"/>
      <c r="YR507" s="44"/>
      <c r="YS507" s="44"/>
      <c r="YT507" s="44"/>
      <c r="YU507" s="44"/>
      <c r="YV507" s="44"/>
      <c r="YW507" s="44"/>
      <c r="YX507" s="44"/>
      <c r="YY507" s="44"/>
      <c r="YZ507" s="44"/>
      <c r="ZA507" s="44"/>
      <c r="ZB507" s="44"/>
      <c r="ZC507" s="44"/>
      <c r="ZD507" s="44"/>
      <c r="ZE507" s="44"/>
      <c r="ZF507" s="44"/>
      <c r="ZG507" s="44"/>
      <c r="ZH507" s="44"/>
      <c r="ZI507" s="44"/>
      <c r="ZJ507" s="44"/>
      <c r="ZK507" s="44"/>
      <c r="ZL507" s="44"/>
      <c r="ZM507" s="44"/>
      <c r="ZN507" s="44"/>
      <c r="ZO507" s="44"/>
      <c r="ZP507" s="44"/>
      <c r="ZQ507" s="44"/>
      <c r="ZR507" s="44"/>
      <c r="ZS507" s="44"/>
      <c r="ZT507" s="44"/>
      <c r="ZU507" s="44"/>
      <c r="ZV507" s="44"/>
      <c r="ZW507" s="44"/>
      <c r="ZX507" s="44"/>
      <c r="ZY507" s="44"/>
      <c r="ZZ507" s="44"/>
      <c r="AAA507" s="44"/>
      <c r="AAB507" s="44"/>
      <c r="AAC507" s="44"/>
      <c r="AAD507" s="44"/>
      <c r="AAE507" s="44"/>
      <c r="AAF507" s="44"/>
      <c r="AAG507" s="44"/>
      <c r="AAH507" s="44"/>
      <c r="AAI507" s="44"/>
      <c r="AAJ507" s="44"/>
      <c r="AAK507" s="44"/>
      <c r="AAL507" s="44"/>
      <c r="AAM507" s="44"/>
      <c r="AAN507" s="44"/>
      <c r="AAO507" s="44"/>
      <c r="AAP507" s="44"/>
      <c r="AAQ507" s="44"/>
      <c r="AAR507" s="44"/>
      <c r="AAS507" s="44"/>
      <c r="AAT507" s="44"/>
      <c r="AAU507" s="44"/>
      <c r="AAV507" s="44"/>
      <c r="AAW507" s="44"/>
      <c r="AAX507" s="44"/>
      <c r="AAY507" s="44"/>
      <c r="AAZ507" s="44"/>
      <c r="ABA507" s="44"/>
      <c r="ABB507" s="44"/>
      <c r="ABC507" s="44"/>
      <c r="ABD507" s="44"/>
      <c r="ABE507" s="44"/>
      <c r="ABF507" s="44"/>
      <c r="ABG507" s="44"/>
      <c r="ABH507" s="44"/>
      <c r="ABI507" s="44"/>
      <c r="ABJ507" s="44"/>
      <c r="ABK507" s="44"/>
      <c r="ABL507" s="44"/>
      <c r="ABM507" s="44"/>
      <c r="ABN507" s="44"/>
      <c r="ABO507" s="44"/>
      <c r="ABP507" s="44"/>
      <c r="ABQ507" s="44"/>
      <c r="ABR507" s="44"/>
      <c r="ABS507" s="44"/>
      <c r="ABT507" s="44"/>
      <c r="ABU507" s="44"/>
      <c r="ABV507" s="44"/>
      <c r="ABW507" s="44"/>
      <c r="ABX507" s="44"/>
      <c r="ABY507" s="44"/>
      <c r="ABZ507" s="44"/>
      <c r="ACA507" s="44"/>
      <c r="ACB507" s="44"/>
      <c r="ACC507" s="44"/>
      <c r="ACD507" s="44"/>
      <c r="ACE507" s="44"/>
      <c r="ACF507" s="44"/>
      <c r="ACG507" s="44"/>
      <c r="ACH507" s="44"/>
      <c r="ACI507" s="44"/>
      <c r="ACJ507" s="44"/>
      <c r="ACK507" s="44"/>
      <c r="ACL507" s="44"/>
      <c r="ACM507" s="44"/>
      <c r="ACN507" s="44"/>
      <c r="ACO507" s="44"/>
      <c r="ACP507" s="44"/>
      <c r="ACQ507" s="44"/>
      <c r="ACR507" s="44"/>
      <c r="ACS507" s="44"/>
      <c r="ACT507" s="44"/>
      <c r="ACU507" s="44"/>
      <c r="ACV507" s="44"/>
      <c r="ACW507" s="44"/>
      <c r="ACX507" s="44"/>
      <c r="ACY507" s="44"/>
      <c r="ACZ507" s="44"/>
      <c r="ADA507" s="44"/>
      <c r="ADB507" s="44"/>
      <c r="ADC507" s="44"/>
      <c r="ADD507" s="44"/>
      <c r="ADE507" s="44"/>
      <c r="ADF507" s="44"/>
      <c r="ADG507" s="44"/>
      <c r="ADH507" s="44"/>
      <c r="ADI507" s="44"/>
      <c r="ADJ507" s="44"/>
      <c r="ADK507" s="44"/>
      <c r="ADL507" s="44"/>
      <c r="ADM507" s="44"/>
      <c r="ADN507" s="44"/>
      <c r="ADO507" s="44"/>
      <c r="ADP507" s="44"/>
      <c r="ADQ507" s="44"/>
      <c r="ADR507" s="44"/>
      <c r="ADS507" s="44"/>
      <c r="ADT507" s="44"/>
      <c r="ADU507" s="44"/>
      <c r="ADV507" s="44"/>
      <c r="ADW507" s="44"/>
      <c r="ADX507" s="44"/>
      <c r="ADY507" s="44"/>
      <c r="ADZ507" s="44"/>
      <c r="AEA507" s="44"/>
      <c r="AEB507" s="44"/>
      <c r="AEC507" s="44"/>
      <c r="AED507" s="44"/>
      <c r="AEE507" s="44"/>
      <c r="AEF507" s="44"/>
      <c r="AEG507" s="44"/>
      <c r="AEH507" s="44"/>
      <c r="AEI507" s="44"/>
      <c r="AEJ507" s="44"/>
      <c r="AEK507" s="44"/>
      <c r="AEL507" s="44"/>
      <c r="AEM507" s="44"/>
      <c r="AEN507" s="44"/>
      <c r="AEO507" s="44"/>
      <c r="AEP507" s="44"/>
      <c r="AEQ507" s="44"/>
      <c r="AER507" s="44"/>
      <c r="AES507" s="44"/>
      <c r="AET507" s="44"/>
      <c r="AEU507" s="44"/>
      <c r="AEV507" s="44"/>
      <c r="AEW507" s="44"/>
      <c r="AEX507" s="44"/>
      <c r="AEY507" s="44"/>
      <c r="AEZ507" s="44"/>
      <c r="AFA507" s="44"/>
      <c r="AFB507" s="44"/>
      <c r="AFC507" s="44"/>
      <c r="AFD507" s="44"/>
      <c r="AFE507" s="44"/>
      <c r="AFF507" s="44"/>
      <c r="AFG507" s="44"/>
      <c r="AFH507" s="44"/>
      <c r="AFI507" s="44"/>
      <c r="AFJ507" s="44"/>
      <c r="AFK507" s="44"/>
      <c r="AFL507" s="44"/>
      <c r="AFM507" s="44"/>
      <c r="AFN507" s="44"/>
      <c r="AFO507" s="44"/>
      <c r="AFP507" s="44"/>
      <c r="AFQ507" s="44"/>
      <c r="AFR507" s="44"/>
      <c r="AFS507" s="44"/>
      <c r="AFT507" s="44"/>
      <c r="AFU507" s="44"/>
      <c r="AFV507" s="44"/>
      <c r="AFW507" s="44"/>
      <c r="AFX507" s="44"/>
      <c r="AFY507" s="44"/>
      <c r="AFZ507" s="44"/>
      <c r="AGA507" s="44"/>
      <c r="AGB507" s="44"/>
      <c r="AGC507" s="44"/>
      <c r="AGD507" s="44"/>
      <c r="AGE507" s="44"/>
      <c r="AGF507" s="44"/>
      <c r="AGG507" s="44"/>
      <c r="AGH507" s="44"/>
      <c r="AGI507" s="44"/>
      <c r="AGJ507" s="44"/>
      <c r="AGK507" s="44"/>
      <c r="AGL507" s="44"/>
      <c r="AGM507" s="44"/>
      <c r="AGN507" s="44"/>
      <c r="AGO507" s="44"/>
      <c r="AGP507" s="44"/>
      <c r="AGQ507" s="44"/>
      <c r="AGR507" s="44"/>
      <c r="AGS507" s="44"/>
      <c r="AGT507" s="44"/>
      <c r="AGU507" s="44"/>
      <c r="AGV507" s="44"/>
      <c r="AGW507" s="44"/>
      <c r="AGX507" s="44"/>
      <c r="AGY507" s="44"/>
      <c r="AGZ507" s="44"/>
      <c r="AHA507" s="44"/>
      <c r="AHB507" s="44"/>
      <c r="AHC507" s="44"/>
      <c r="AHD507" s="44"/>
      <c r="AHE507" s="44"/>
      <c r="AHF507" s="44"/>
      <c r="AHG507" s="44"/>
      <c r="AHH507" s="44"/>
      <c r="AHI507" s="44"/>
      <c r="AHJ507" s="44"/>
      <c r="AHK507" s="44"/>
      <c r="AHL507" s="44"/>
      <c r="AHM507" s="44"/>
      <c r="AHN507" s="44"/>
      <c r="AHO507" s="44"/>
      <c r="AHP507" s="44"/>
      <c r="AHQ507" s="44"/>
      <c r="AHR507" s="44"/>
      <c r="AHS507" s="44"/>
      <c r="AHT507" s="44"/>
      <c r="AHU507" s="44"/>
      <c r="AHV507" s="44"/>
      <c r="AHW507" s="44"/>
      <c r="AHX507" s="44"/>
      <c r="AHY507" s="44"/>
      <c r="AHZ507" s="44"/>
      <c r="AIA507" s="44"/>
      <c r="AIB507" s="44"/>
      <c r="AIC507" s="44"/>
      <c r="AID507" s="44"/>
      <c r="AIE507" s="44"/>
      <c r="AIF507" s="44"/>
      <c r="AIG507" s="44"/>
      <c r="AIH507" s="44"/>
      <c r="AII507" s="44"/>
      <c r="AIJ507" s="44"/>
      <c r="AIK507" s="44"/>
      <c r="AIL507" s="44"/>
      <c r="AIM507" s="44"/>
      <c r="AIN507" s="44"/>
      <c r="AIO507" s="44"/>
      <c r="AIP507" s="44"/>
      <c r="AIQ507" s="44"/>
      <c r="AIR507" s="44"/>
      <c r="AIS507" s="44"/>
      <c r="AIT507" s="44"/>
      <c r="AIU507" s="44"/>
      <c r="AIV507" s="44"/>
      <c r="AIW507" s="44"/>
      <c r="AIX507" s="44"/>
      <c r="AIY507" s="44"/>
      <c r="AIZ507" s="44"/>
      <c r="AJA507" s="44"/>
      <c r="AJB507" s="44"/>
      <c r="AJC507" s="44"/>
      <c r="AJD507" s="44"/>
      <c r="AJE507" s="44"/>
      <c r="AJF507" s="44"/>
      <c r="AJG507" s="44"/>
      <c r="AJH507" s="44"/>
      <c r="AJI507" s="44"/>
      <c r="AJJ507" s="44"/>
      <c r="AJK507" s="44"/>
      <c r="AJL507" s="44"/>
      <c r="AJM507" s="44"/>
      <c r="AJN507" s="44"/>
      <c r="AJO507" s="44"/>
      <c r="AJP507" s="44"/>
      <c r="AJQ507" s="44"/>
      <c r="AJR507" s="44"/>
      <c r="AJS507" s="44"/>
      <c r="AJT507" s="44"/>
      <c r="AJU507" s="44"/>
      <c r="AJV507" s="44"/>
      <c r="AJW507" s="44"/>
      <c r="AJX507" s="44"/>
      <c r="AJY507" s="44"/>
      <c r="AJZ507" s="44"/>
      <c r="AKA507" s="44"/>
      <c r="AKB507" s="44"/>
      <c r="AKC507" s="44"/>
      <c r="AKD507" s="44"/>
      <c r="AKE507" s="44"/>
      <c r="AKF507" s="44"/>
      <c r="AKG507" s="44"/>
      <c r="AKH507" s="44"/>
      <c r="AKI507" s="44"/>
      <c r="AKJ507" s="44"/>
      <c r="AKK507" s="44"/>
      <c r="AKL507" s="44"/>
      <c r="AKM507" s="44"/>
      <c r="AKN507" s="44"/>
      <c r="AKO507" s="44"/>
      <c r="AKP507" s="44"/>
      <c r="AKQ507" s="44"/>
      <c r="AKR507" s="44"/>
      <c r="AKS507" s="44"/>
      <c r="AKT507" s="44"/>
      <c r="AKU507" s="44"/>
      <c r="AKV507" s="44"/>
      <c r="AKW507" s="44"/>
      <c r="AKX507" s="44"/>
      <c r="AKY507" s="44"/>
      <c r="AKZ507" s="44"/>
      <c r="ALA507" s="44"/>
      <c r="ALB507" s="44"/>
      <c r="ALC507" s="44"/>
      <c r="ALD507" s="44"/>
      <c r="ALE507" s="44"/>
      <c r="ALF507" s="44"/>
      <c r="ALG507" s="44"/>
      <c r="ALH507" s="44"/>
      <c r="ALI507" s="44"/>
      <c r="ALJ507" s="44"/>
      <c r="ALK507" s="44"/>
      <c r="ALL507" s="44"/>
      <c r="ALM507" s="44"/>
      <c r="ALN507" s="44"/>
      <c r="ALO507" s="44"/>
      <c r="ALP507" s="44"/>
      <c r="ALQ507" s="44"/>
      <c r="ALR507" s="44"/>
      <c r="ALS507" s="44"/>
      <c r="ALT507" s="44"/>
      <c r="ALU507" s="44"/>
      <c r="ALV507" s="44"/>
      <c r="ALW507" s="44"/>
      <c r="ALX507" s="44"/>
      <c r="ALY507" s="44"/>
      <c r="ALZ507" s="44"/>
      <c r="AMA507" s="44"/>
      <c r="AMB507" s="44"/>
      <c r="AMC507" s="44"/>
      <c r="AMD507" s="44"/>
      <c r="AME507" s="44"/>
      <c r="AMF507" s="44"/>
      <c r="AMG507" s="44"/>
      <c r="AMH507" s="44"/>
      <c r="AMI507" s="44"/>
      <c r="AMJ507" s="44"/>
      <c r="AMK507" s="44"/>
      <c r="AML507" s="44"/>
      <c r="AMM507" s="44"/>
      <c r="AMN507" s="44"/>
      <c r="AMO507" s="44"/>
      <c r="AMP507" s="44"/>
      <c r="AMQ507" s="44"/>
      <c r="AMR507" s="44"/>
      <c r="AMS507" s="44"/>
      <c r="AMT507" s="44"/>
      <c r="AMU507" s="44"/>
      <c r="AMV507" s="44"/>
      <c r="AMW507" s="44"/>
      <c r="AMX507" s="44"/>
      <c r="AMY507" s="44"/>
      <c r="AMZ507" s="44"/>
      <c r="ANA507" s="44"/>
      <c r="ANB507" s="44"/>
      <c r="ANC507" s="44"/>
      <c r="AND507" s="44"/>
      <c r="ANE507" s="44"/>
      <c r="ANF507" s="44"/>
      <c r="ANG507" s="44"/>
      <c r="ANH507" s="44"/>
      <c r="ANI507" s="44"/>
      <c r="ANJ507" s="44"/>
      <c r="ANK507" s="44"/>
      <c r="ANL507" s="44"/>
      <c r="ANM507" s="44"/>
      <c r="ANN507" s="44"/>
      <c r="ANO507" s="44"/>
      <c r="ANP507" s="44"/>
      <c r="ANQ507" s="44"/>
      <c r="ANR507" s="44"/>
      <c r="ANS507" s="44"/>
      <c r="ANT507" s="44"/>
      <c r="ANU507" s="44"/>
      <c r="ANV507" s="44"/>
      <c r="ANW507" s="44"/>
      <c r="ANX507" s="44"/>
      <c r="ANY507" s="44"/>
      <c r="ANZ507" s="44"/>
      <c r="AOA507" s="44"/>
      <c r="AOB507" s="44"/>
      <c r="AOC507" s="44"/>
      <c r="AOD507" s="44"/>
      <c r="AOE507" s="44"/>
      <c r="AOF507" s="44"/>
      <c r="AOG507" s="44"/>
      <c r="AOH507" s="44"/>
      <c r="AOI507" s="44"/>
      <c r="AOJ507" s="44"/>
      <c r="AOK507" s="44"/>
      <c r="AOL507" s="44"/>
      <c r="AOM507" s="44"/>
      <c r="AON507" s="44"/>
      <c r="AOO507" s="44"/>
      <c r="AOP507" s="44"/>
      <c r="AOQ507" s="44"/>
      <c r="AOR507" s="44"/>
      <c r="AOS507" s="44"/>
      <c r="AOT507" s="44"/>
      <c r="AOU507" s="44"/>
      <c r="AOV507" s="44"/>
      <c r="AOW507" s="44"/>
      <c r="AOX507" s="44"/>
      <c r="AOY507" s="44"/>
      <c r="AOZ507" s="44"/>
      <c r="APA507" s="44"/>
      <c r="APB507" s="44"/>
      <c r="APC507" s="44"/>
      <c r="APD507" s="44"/>
      <c r="APE507" s="44"/>
      <c r="APF507" s="44"/>
      <c r="APG507" s="44"/>
      <c r="APH507" s="44"/>
      <c r="API507" s="44"/>
      <c r="APJ507" s="44"/>
      <c r="APK507" s="44"/>
      <c r="APL507" s="44"/>
      <c r="APM507" s="44"/>
      <c r="APN507" s="44"/>
      <c r="APO507" s="44"/>
      <c r="APP507" s="44"/>
      <c r="APQ507" s="44"/>
      <c r="APR507" s="44"/>
      <c r="APS507" s="44"/>
      <c r="APT507" s="44"/>
      <c r="APU507" s="44"/>
      <c r="APV507" s="44"/>
      <c r="APW507" s="44"/>
      <c r="APX507" s="44"/>
      <c r="APY507" s="44"/>
      <c r="APZ507" s="44"/>
      <c r="AQA507" s="44"/>
      <c r="AQB507" s="44"/>
      <c r="AQC507" s="44"/>
      <c r="AQD507" s="44"/>
      <c r="AQE507" s="44"/>
      <c r="AQF507" s="44"/>
      <c r="AQG507" s="44"/>
      <c r="AQH507" s="44"/>
      <c r="AQI507" s="44"/>
      <c r="AQJ507" s="44"/>
      <c r="AQK507" s="44"/>
      <c r="AQL507" s="44"/>
      <c r="AQM507" s="44"/>
      <c r="AQN507" s="44"/>
      <c r="AQO507" s="44"/>
      <c r="AQP507" s="44"/>
      <c r="AQQ507" s="44"/>
      <c r="AQR507" s="44"/>
      <c r="AQS507" s="44"/>
      <c r="AQT507" s="44"/>
      <c r="AQU507" s="44"/>
      <c r="AQV507" s="44"/>
      <c r="AQW507" s="44"/>
      <c r="AQX507" s="44"/>
      <c r="AQY507" s="44"/>
      <c r="AQZ507" s="44"/>
      <c r="ARA507" s="44"/>
      <c r="ARB507" s="44"/>
      <c r="ARC507" s="44"/>
      <c r="ARD507" s="44"/>
      <c r="ARE507" s="44"/>
      <c r="ARF507" s="44"/>
      <c r="ARG507" s="44"/>
      <c r="ARH507" s="44"/>
      <c r="ARI507" s="44"/>
      <c r="ARJ507" s="44"/>
      <c r="ARK507" s="44"/>
      <c r="ARL507" s="44"/>
      <c r="ARM507" s="44"/>
      <c r="ARN507" s="44"/>
      <c r="ARO507" s="44"/>
      <c r="ARP507" s="44"/>
      <c r="ARQ507" s="44"/>
      <c r="ARR507" s="44"/>
      <c r="ARS507" s="44"/>
      <c r="ART507" s="44"/>
      <c r="ARU507" s="44"/>
      <c r="ARV507" s="44"/>
      <c r="ARW507" s="44"/>
      <c r="ARX507" s="44"/>
      <c r="ARY507" s="44"/>
      <c r="ARZ507" s="44"/>
      <c r="ASA507" s="44"/>
      <c r="ASB507" s="44"/>
      <c r="ASC507" s="44"/>
      <c r="ASD507" s="44"/>
      <c r="ASE507" s="44"/>
      <c r="ASF507" s="44"/>
      <c r="ASG507" s="44"/>
      <c r="ASH507" s="44"/>
      <c r="ASI507" s="44"/>
      <c r="ASJ507" s="44"/>
      <c r="ASK507" s="44"/>
      <c r="ASL507" s="44"/>
      <c r="ASM507" s="44"/>
      <c r="ASN507" s="44"/>
      <c r="ASO507" s="44"/>
      <c r="ASP507" s="44"/>
      <c r="ASQ507" s="44"/>
      <c r="ASR507" s="44"/>
      <c r="ASS507" s="44"/>
      <c r="AST507" s="44"/>
      <c r="ASU507" s="44"/>
      <c r="ASV507" s="44"/>
      <c r="ASW507" s="44"/>
      <c r="ASX507" s="44"/>
      <c r="ASY507" s="44"/>
      <c r="ASZ507" s="44"/>
      <c r="ATA507" s="44"/>
      <c r="ATB507" s="44"/>
      <c r="ATC507" s="44"/>
      <c r="ATD507" s="44"/>
      <c r="ATE507" s="44"/>
      <c r="ATF507" s="44"/>
      <c r="ATG507" s="44"/>
      <c r="ATH507" s="44"/>
      <c r="ATI507" s="44"/>
      <c r="ATJ507" s="44"/>
      <c r="ATK507" s="44"/>
      <c r="ATL507" s="44"/>
      <c r="ATM507" s="44"/>
      <c r="ATN507" s="44"/>
      <c r="ATO507" s="44"/>
      <c r="ATP507" s="44"/>
      <c r="ATQ507" s="44"/>
      <c r="ATR507" s="44"/>
      <c r="ATS507" s="44"/>
      <c r="ATT507" s="44"/>
      <c r="ATU507" s="44"/>
      <c r="ATV507" s="44"/>
      <c r="ATW507" s="44"/>
      <c r="ATX507" s="44"/>
      <c r="ATY507" s="44"/>
      <c r="ATZ507" s="44"/>
      <c r="AUA507" s="44"/>
      <c r="AUB507" s="44"/>
      <c r="AUC507" s="44"/>
      <c r="AUD507" s="44"/>
      <c r="AUE507" s="44"/>
      <c r="AUF507" s="44"/>
      <c r="AUG507" s="44"/>
      <c r="AUH507" s="44"/>
      <c r="AUI507" s="44"/>
      <c r="AUJ507" s="44"/>
      <c r="AUK507" s="44"/>
      <c r="AUL507" s="44"/>
      <c r="AUM507" s="44"/>
      <c r="AUN507" s="44"/>
      <c r="AUO507" s="44"/>
      <c r="AUP507" s="44"/>
      <c r="AUQ507" s="44"/>
      <c r="AUR507" s="44"/>
      <c r="AUS507" s="44"/>
      <c r="AUT507" s="44"/>
      <c r="AUU507" s="44"/>
      <c r="AUV507" s="44"/>
      <c r="AUW507" s="44"/>
      <c r="AUX507" s="44"/>
      <c r="AUY507" s="44"/>
      <c r="AUZ507" s="44"/>
      <c r="AVA507" s="44"/>
      <c r="AVB507" s="44"/>
      <c r="AVC507" s="44"/>
      <c r="AVD507" s="44"/>
      <c r="AVE507" s="44"/>
      <c r="AVF507" s="44"/>
      <c r="AVG507" s="44"/>
      <c r="AVH507" s="44"/>
      <c r="AVI507" s="44"/>
      <c r="AVJ507" s="44"/>
      <c r="AVK507" s="44"/>
      <c r="AVL507" s="44"/>
      <c r="AVM507" s="44"/>
      <c r="AVN507" s="44"/>
      <c r="AVO507" s="44"/>
      <c r="AVP507" s="44"/>
      <c r="AVQ507" s="44"/>
      <c r="AVR507" s="44"/>
      <c r="AVS507" s="44"/>
      <c r="AVT507" s="44"/>
      <c r="AVU507" s="44"/>
      <c r="AVV507" s="44"/>
      <c r="AVW507" s="44"/>
      <c r="AVX507" s="44"/>
      <c r="AVY507" s="44"/>
      <c r="AVZ507" s="44"/>
      <c r="AWA507" s="44"/>
      <c r="AWB507" s="44"/>
      <c r="AWC507" s="44"/>
      <c r="AWD507" s="44"/>
      <c r="AWE507" s="44"/>
      <c r="AWF507" s="44"/>
      <c r="AWG507" s="44"/>
      <c r="AWH507" s="44"/>
      <c r="AWI507" s="44"/>
      <c r="AWJ507" s="44"/>
      <c r="AWK507" s="44"/>
      <c r="AWL507" s="44"/>
      <c r="AWM507" s="44"/>
      <c r="AWN507" s="44"/>
      <c r="AWO507" s="44"/>
      <c r="AWP507" s="44"/>
      <c r="AWQ507" s="44"/>
      <c r="AWR507" s="44"/>
      <c r="AWS507" s="44"/>
      <c r="AWT507" s="44"/>
      <c r="AWU507" s="44"/>
      <c r="AWV507" s="44"/>
      <c r="AWW507" s="44"/>
      <c r="AWX507" s="44"/>
      <c r="AWY507" s="44"/>
      <c r="AWZ507" s="44"/>
      <c r="AXA507" s="44"/>
      <c r="AXB507" s="44"/>
      <c r="AXC507" s="44"/>
      <c r="AXD507" s="44"/>
      <c r="AXE507" s="44"/>
      <c r="AXF507" s="44"/>
      <c r="AXG507" s="44"/>
      <c r="AXH507" s="44"/>
      <c r="AXI507" s="44"/>
      <c r="AXJ507" s="44"/>
      <c r="AXK507" s="44"/>
      <c r="AXL507" s="44"/>
      <c r="AXM507" s="44"/>
      <c r="AXN507" s="44"/>
      <c r="AXO507" s="44"/>
      <c r="AXP507" s="44"/>
      <c r="AXQ507" s="44"/>
      <c r="AXR507" s="44"/>
      <c r="AXS507" s="44"/>
      <c r="AXT507" s="44"/>
      <c r="AXU507" s="44"/>
      <c r="AXV507" s="44"/>
      <c r="AXW507" s="44"/>
      <c r="AXX507" s="44"/>
      <c r="AXY507" s="44"/>
      <c r="AXZ507" s="44"/>
      <c r="AYA507" s="44"/>
      <c r="AYB507" s="44"/>
      <c r="AYC507" s="44"/>
      <c r="AYD507" s="44"/>
      <c r="AYE507" s="44"/>
      <c r="AYF507" s="44"/>
      <c r="AYG507" s="44"/>
      <c r="AYH507" s="44"/>
      <c r="AYI507" s="44"/>
      <c r="AYJ507" s="44"/>
      <c r="AYK507" s="44"/>
      <c r="AYL507" s="44"/>
      <c r="AYM507" s="44"/>
      <c r="AYN507" s="44"/>
      <c r="AYO507" s="44"/>
      <c r="AYP507" s="44"/>
      <c r="AYQ507" s="44"/>
      <c r="AYR507" s="44"/>
      <c r="AYS507" s="44"/>
      <c r="AYT507" s="44"/>
      <c r="AYU507" s="44"/>
      <c r="AYV507" s="44"/>
      <c r="AYW507" s="44"/>
      <c r="AYX507" s="44"/>
      <c r="AYY507" s="44"/>
      <c r="AYZ507" s="44"/>
      <c r="AZA507" s="44"/>
      <c r="AZB507" s="44"/>
      <c r="AZC507" s="44"/>
      <c r="AZD507" s="44"/>
      <c r="AZE507" s="44"/>
      <c r="AZF507" s="44"/>
      <c r="AZG507" s="44"/>
      <c r="AZH507" s="44"/>
      <c r="AZI507" s="44"/>
      <c r="AZJ507" s="44"/>
      <c r="AZK507" s="44"/>
      <c r="AZL507" s="44"/>
      <c r="AZM507" s="44"/>
      <c r="AZN507" s="44"/>
      <c r="AZO507" s="44"/>
      <c r="AZP507" s="44"/>
      <c r="AZQ507" s="44"/>
      <c r="AZR507" s="44"/>
      <c r="AZS507" s="44"/>
      <c r="AZT507" s="44"/>
      <c r="AZU507" s="44"/>
      <c r="AZV507" s="44"/>
      <c r="AZW507" s="44"/>
      <c r="AZX507" s="44"/>
      <c r="AZY507" s="44"/>
      <c r="AZZ507" s="44"/>
      <c r="BAA507" s="44"/>
      <c r="BAB507" s="44"/>
      <c r="BAC507" s="44"/>
      <c r="BAD507" s="44"/>
      <c r="BAE507" s="44"/>
      <c r="BAF507" s="44"/>
      <c r="BAG507" s="44"/>
      <c r="BAH507" s="44"/>
      <c r="BAI507" s="44"/>
      <c r="BAJ507" s="44"/>
      <c r="BAK507" s="44"/>
      <c r="BAL507" s="44"/>
      <c r="BAM507" s="44"/>
      <c r="BAN507" s="44"/>
      <c r="BAO507" s="44"/>
      <c r="BAP507" s="44"/>
      <c r="BAQ507" s="44"/>
      <c r="BAR507" s="44"/>
      <c r="BAS507" s="44"/>
      <c r="BAT507" s="44"/>
      <c r="BAU507" s="44"/>
      <c r="BAV507" s="44"/>
      <c r="BAW507" s="44"/>
      <c r="BAX507" s="44"/>
      <c r="BAY507" s="44"/>
      <c r="BAZ507" s="44"/>
      <c r="BBA507" s="44"/>
      <c r="BBB507" s="44"/>
      <c r="BBC507" s="44"/>
      <c r="BBD507" s="44"/>
      <c r="BBE507" s="44"/>
      <c r="BBF507" s="44"/>
      <c r="BBG507" s="44"/>
      <c r="BBH507" s="44"/>
      <c r="BBI507" s="44"/>
      <c r="BBJ507" s="44"/>
      <c r="BBK507" s="44"/>
      <c r="BBL507" s="44"/>
      <c r="BBM507" s="44"/>
      <c r="BBN507" s="44"/>
      <c r="BBO507" s="44"/>
      <c r="BBP507" s="44"/>
      <c r="BBQ507" s="44"/>
      <c r="BBR507" s="44"/>
      <c r="BBS507" s="44"/>
      <c r="BBT507" s="44"/>
      <c r="BBU507" s="44"/>
      <c r="BBV507" s="44"/>
      <c r="BBW507" s="44"/>
      <c r="BBX507" s="44"/>
      <c r="BBY507" s="44"/>
      <c r="BBZ507" s="44"/>
      <c r="BCA507" s="44"/>
      <c r="BCB507" s="44"/>
      <c r="BCC507" s="44"/>
      <c r="BCD507" s="44"/>
      <c r="BCE507" s="44"/>
      <c r="BCF507" s="44"/>
      <c r="BCG507" s="44"/>
      <c r="BCH507" s="44"/>
      <c r="BCI507" s="44"/>
      <c r="BCJ507" s="44"/>
      <c r="BCK507" s="44"/>
      <c r="BCL507" s="44"/>
      <c r="BCM507" s="44"/>
      <c r="BCN507" s="44"/>
      <c r="BCO507" s="44"/>
      <c r="BCP507" s="44"/>
      <c r="BCQ507" s="44"/>
      <c r="BCR507" s="44"/>
      <c r="BCS507" s="44"/>
      <c r="BCT507" s="44"/>
      <c r="BCU507" s="44"/>
      <c r="BCV507" s="44"/>
      <c r="BCW507" s="44"/>
      <c r="BCX507" s="44"/>
      <c r="BCY507" s="44"/>
      <c r="BCZ507" s="44"/>
      <c r="BDA507" s="44"/>
      <c r="BDB507" s="44"/>
      <c r="BDC507" s="44"/>
      <c r="BDD507" s="44"/>
      <c r="BDE507" s="44"/>
      <c r="BDF507" s="44"/>
      <c r="BDG507" s="44"/>
      <c r="BDH507" s="44"/>
      <c r="BDI507" s="44"/>
      <c r="BDJ507" s="44"/>
      <c r="BDK507" s="44"/>
      <c r="BDL507" s="44"/>
      <c r="BDM507" s="44"/>
      <c r="BDN507" s="44"/>
      <c r="BDO507" s="44"/>
      <c r="BDP507" s="44"/>
      <c r="BDQ507" s="44"/>
      <c r="BDR507" s="44"/>
      <c r="BDS507" s="44"/>
      <c r="BDT507" s="44"/>
      <c r="BDU507" s="44"/>
      <c r="BDV507" s="44"/>
      <c r="BDW507" s="44"/>
      <c r="BDX507" s="44"/>
      <c r="BDY507" s="44"/>
      <c r="BDZ507" s="44"/>
      <c r="BEA507" s="44"/>
      <c r="BEB507" s="44"/>
      <c r="BEC507" s="44"/>
      <c r="BED507" s="44"/>
      <c r="BEE507" s="44"/>
      <c r="BEF507" s="44"/>
      <c r="BEG507" s="44"/>
      <c r="BEH507" s="44"/>
      <c r="BEI507" s="44"/>
      <c r="BEJ507" s="44"/>
      <c r="BEK507" s="44"/>
      <c r="BEL507" s="44"/>
      <c r="BEM507" s="44"/>
      <c r="BEN507" s="44"/>
      <c r="BEO507" s="44"/>
      <c r="BEP507" s="44"/>
      <c r="BEQ507" s="44"/>
      <c r="BER507" s="44"/>
      <c r="BES507" s="44"/>
      <c r="BET507" s="44"/>
      <c r="BEU507" s="44"/>
      <c r="BEV507" s="44"/>
      <c r="BEW507" s="44"/>
      <c r="BEX507" s="44"/>
      <c r="BEY507" s="44"/>
      <c r="BEZ507" s="44"/>
      <c r="BFA507" s="44"/>
      <c r="BFB507" s="44"/>
      <c r="BFC507" s="44"/>
      <c r="BFD507" s="44"/>
      <c r="BFE507" s="44"/>
      <c r="BFF507" s="44"/>
      <c r="BFG507" s="44"/>
      <c r="BFH507" s="44"/>
      <c r="BFI507" s="44"/>
      <c r="BFJ507" s="44"/>
      <c r="BFK507" s="44"/>
      <c r="BFL507" s="44"/>
      <c r="BFM507" s="44"/>
      <c r="BFN507" s="44"/>
      <c r="BFO507" s="44"/>
      <c r="BFP507" s="44"/>
      <c r="BFQ507" s="44"/>
      <c r="BFR507" s="44"/>
      <c r="BFS507" s="44"/>
      <c r="BFT507" s="44"/>
      <c r="BFU507" s="44"/>
      <c r="BFV507" s="44"/>
      <c r="BFW507" s="44"/>
      <c r="BFX507" s="44"/>
      <c r="BFY507" s="44"/>
      <c r="BFZ507" s="44"/>
      <c r="BGA507" s="44"/>
      <c r="BGB507" s="44"/>
      <c r="BGC507" s="44"/>
      <c r="BGD507" s="44"/>
      <c r="BGE507" s="44"/>
      <c r="BGF507" s="44"/>
      <c r="BGG507" s="44"/>
      <c r="BGH507" s="44"/>
      <c r="BGI507" s="44"/>
      <c r="BGJ507" s="44"/>
      <c r="BGK507" s="44"/>
      <c r="BGL507" s="44"/>
      <c r="BGM507" s="44"/>
      <c r="BGN507" s="44"/>
      <c r="BGO507" s="44"/>
      <c r="BGP507" s="44"/>
      <c r="BGQ507" s="44"/>
      <c r="BGR507" s="44"/>
      <c r="BGS507" s="44"/>
      <c r="BGT507" s="44"/>
      <c r="BGU507" s="44"/>
      <c r="BGV507" s="44"/>
      <c r="BGW507" s="44"/>
      <c r="BGX507" s="44"/>
      <c r="BGY507" s="44"/>
      <c r="BGZ507" s="44"/>
      <c r="BHA507" s="44"/>
      <c r="BHB507" s="44"/>
      <c r="BHC507" s="44"/>
      <c r="BHD507" s="44"/>
      <c r="BHE507" s="44"/>
      <c r="BHF507" s="44"/>
      <c r="BHG507" s="44"/>
      <c r="BHH507" s="44"/>
      <c r="BHI507" s="44"/>
      <c r="BHJ507" s="44"/>
      <c r="BHK507" s="44"/>
      <c r="BHL507" s="44"/>
      <c r="BHM507" s="44"/>
      <c r="BHN507" s="44"/>
      <c r="BHO507" s="44"/>
      <c r="BHP507" s="44"/>
      <c r="BHQ507" s="44"/>
      <c r="BHR507" s="44"/>
      <c r="BHS507" s="44"/>
      <c r="BHT507" s="44"/>
      <c r="BHU507" s="44"/>
      <c r="BHV507" s="44"/>
      <c r="BHW507" s="44"/>
      <c r="BHX507" s="44"/>
      <c r="BHY507" s="44"/>
      <c r="BHZ507" s="44"/>
      <c r="BIA507" s="44"/>
      <c r="BIB507" s="44"/>
      <c r="BIC507" s="44"/>
      <c r="BID507" s="44"/>
      <c r="BIE507" s="44"/>
      <c r="BIF507" s="44"/>
      <c r="BIG507" s="44"/>
      <c r="BIH507" s="44"/>
      <c r="BII507" s="44"/>
      <c r="BIJ507" s="44"/>
      <c r="BIK507" s="44"/>
      <c r="BIL507" s="44"/>
      <c r="BIM507" s="44"/>
      <c r="BIN507" s="44"/>
      <c r="BIO507" s="44"/>
      <c r="BIP507" s="44"/>
      <c r="BIQ507" s="44"/>
      <c r="BIR507" s="44"/>
      <c r="BIS507" s="44"/>
      <c r="BIT507" s="44"/>
      <c r="BIU507" s="44"/>
      <c r="BIV507" s="44"/>
      <c r="BIW507" s="44"/>
      <c r="BIX507" s="44"/>
      <c r="BIY507" s="44"/>
      <c r="BIZ507" s="44"/>
      <c r="BJA507" s="44"/>
      <c r="BJB507" s="44"/>
      <c r="BJC507" s="44"/>
      <c r="BJD507" s="44"/>
      <c r="BJE507" s="44"/>
      <c r="BJF507" s="44"/>
      <c r="BJG507" s="44"/>
      <c r="BJH507" s="44"/>
      <c r="BJI507" s="44"/>
      <c r="BJJ507" s="44"/>
      <c r="BJK507" s="44"/>
      <c r="BJL507" s="44"/>
      <c r="BJM507" s="44"/>
      <c r="BJN507" s="44"/>
      <c r="BJO507" s="44"/>
      <c r="BJP507" s="44"/>
      <c r="BJQ507" s="44"/>
      <c r="BJR507" s="44"/>
      <c r="BJS507" s="44"/>
      <c r="BJT507" s="44"/>
      <c r="BJU507" s="44"/>
      <c r="BJV507" s="44"/>
      <c r="BJW507" s="44"/>
      <c r="BJX507" s="44"/>
      <c r="BJY507" s="44"/>
      <c r="BJZ507" s="44"/>
      <c r="BKA507" s="44"/>
      <c r="BKB507" s="44"/>
      <c r="BKC507" s="44"/>
      <c r="BKD507" s="44"/>
      <c r="BKE507" s="44"/>
      <c r="BKF507" s="44"/>
      <c r="BKG507" s="44"/>
      <c r="BKH507" s="44"/>
      <c r="BKI507" s="44"/>
      <c r="BKJ507" s="44"/>
      <c r="BKK507" s="44"/>
      <c r="BKL507" s="44"/>
      <c r="BKM507" s="44"/>
      <c r="BKN507" s="44"/>
      <c r="BKO507" s="44"/>
      <c r="BKP507" s="44"/>
      <c r="BKQ507" s="44"/>
      <c r="BKR507" s="44"/>
      <c r="BKS507" s="44"/>
      <c r="BKT507" s="44"/>
      <c r="BKU507" s="44"/>
      <c r="BKV507" s="44"/>
      <c r="BKW507" s="44"/>
      <c r="BKX507" s="44"/>
      <c r="BKY507" s="44"/>
      <c r="BKZ507" s="44"/>
      <c r="BLA507" s="44"/>
      <c r="BLB507" s="44"/>
      <c r="BLC507" s="44"/>
      <c r="BLD507" s="44"/>
      <c r="BLE507" s="44"/>
      <c r="BLF507" s="44"/>
      <c r="BLG507" s="44"/>
      <c r="BLH507" s="44"/>
      <c r="BLI507" s="44"/>
      <c r="BLJ507" s="44"/>
      <c r="BLK507" s="44"/>
      <c r="BLL507" s="44"/>
      <c r="BLM507" s="44"/>
      <c r="BLN507" s="44"/>
      <c r="BLO507" s="44"/>
      <c r="BLP507" s="44"/>
      <c r="BLQ507" s="44"/>
      <c r="BLR507" s="44"/>
      <c r="BLS507" s="44"/>
      <c r="BLT507" s="44"/>
      <c r="BLU507" s="44"/>
      <c r="BLV507" s="44"/>
      <c r="BLW507" s="44"/>
      <c r="BLX507" s="44"/>
      <c r="BLY507" s="44"/>
      <c r="BLZ507" s="44"/>
      <c r="BMA507" s="44"/>
      <c r="BMB507" s="44"/>
      <c r="BMC507" s="44"/>
      <c r="BMD507" s="44"/>
      <c r="BME507" s="44"/>
      <c r="BMF507" s="44"/>
      <c r="BMG507" s="44"/>
      <c r="BMH507" s="44"/>
      <c r="BMI507" s="44"/>
      <c r="BMJ507" s="44"/>
      <c r="BMK507" s="44"/>
      <c r="BML507" s="44"/>
      <c r="BMM507" s="44"/>
      <c r="BMN507" s="44"/>
      <c r="BMO507" s="44"/>
      <c r="BMP507" s="44"/>
      <c r="BMQ507" s="44"/>
      <c r="BMR507" s="44"/>
      <c r="BMS507" s="44"/>
      <c r="BMT507" s="44"/>
      <c r="BMU507" s="44"/>
      <c r="BMV507" s="44"/>
      <c r="BMW507" s="44"/>
      <c r="BMX507" s="44"/>
      <c r="BMY507" s="44"/>
      <c r="BMZ507" s="44"/>
      <c r="BNA507" s="44"/>
      <c r="BNB507" s="44"/>
      <c r="BNC507" s="44"/>
      <c r="BND507" s="44"/>
      <c r="BNE507" s="44"/>
      <c r="BNF507" s="44"/>
      <c r="BNG507" s="44"/>
      <c r="BNH507" s="44"/>
      <c r="BNI507" s="44"/>
      <c r="BNJ507" s="44"/>
      <c r="BNK507" s="44"/>
      <c r="BNL507" s="44"/>
      <c r="BNM507" s="44"/>
      <c r="BNN507" s="44"/>
      <c r="BNO507" s="44"/>
      <c r="BNP507" s="44"/>
      <c r="BNQ507" s="44"/>
      <c r="BNR507" s="44"/>
      <c r="BNS507" s="44"/>
      <c r="BNT507" s="44"/>
      <c r="BNU507" s="44"/>
      <c r="BNV507" s="44"/>
      <c r="BNW507" s="44"/>
      <c r="BNX507" s="44"/>
      <c r="BNY507" s="44"/>
      <c r="BNZ507" s="44"/>
      <c r="BOA507" s="44"/>
      <c r="BOB507" s="44"/>
      <c r="BOC507" s="44"/>
      <c r="BOD507" s="44"/>
      <c r="BOE507" s="44"/>
      <c r="BOF507" s="44"/>
      <c r="BOG507" s="44"/>
      <c r="BOH507" s="44"/>
      <c r="BOI507" s="44"/>
      <c r="BOJ507" s="44"/>
      <c r="BOK507" s="44"/>
      <c r="BOL507" s="44"/>
      <c r="BOM507" s="44"/>
      <c r="BON507" s="44"/>
      <c r="BOO507" s="44"/>
      <c r="BOP507" s="44"/>
      <c r="BOQ507" s="44"/>
      <c r="BOR507" s="44"/>
      <c r="BOS507" s="44"/>
      <c r="BOT507" s="44"/>
      <c r="BOU507" s="44"/>
      <c r="BOV507" s="44"/>
      <c r="BOW507" s="44"/>
      <c r="BOX507" s="44"/>
      <c r="BOY507" s="44"/>
      <c r="BOZ507" s="44"/>
      <c r="BPA507" s="44"/>
      <c r="BPB507" s="44"/>
      <c r="BPC507" s="44"/>
      <c r="BPD507" s="44"/>
      <c r="BPE507" s="44"/>
      <c r="BPF507" s="44"/>
      <c r="BPG507" s="44"/>
      <c r="BPH507" s="44"/>
      <c r="BPI507" s="44"/>
      <c r="BPJ507" s="44"/>
      <c r="BPK507" s="44"/>
      <c r="BPL507" s="44"/>
      <c r="BPM507" s="44"/>
      <c r="BPN507" s="44"/>
      <c r="BPO507" s="44"/>
      <c r="BPP507" s="44"/>
      <c r="BPQ507" s="44"/>
      <c r="BPR507" s="44"/>
      <c r="BPS507" s="44"/>
      <c r="BPT507" s="44"/>
      <c r="BPU507" s="44"/>
      <c r="BPV507" s="44"/>
      <c r="BPW507" s="44"/>
      <c r="BPX507" s="44"/>
      <c r="BPY507" s="44"/>
      <c r="BPZ507" s="44"/>
      <c r="BQA507" s="44"/>
      <c r="BQB507" s="44"/>
      <c r="BQC507" s="44"/>
      <c r="BQD507" s="44"/>
      <c r="BQE507" s="44"/>
      <c r="BQF507" s="44"/>
      <c r="BQG507" s="44"/>
      <c r="BQH507" s="44"/>
      <c r="BQI507" s="44"/>
      <c r="BQJ507" s="44"/>
      <c r="BQK507" s="44"/>
      <c r="BQL507" s="44"/>
      <c r="BQM507" s="44"/>
      <c r="BQN507" s="44"/>
      <c r="BQO507" s="44"/>
      <c r="BQP507" s="44"/>
      <c r="BQQ507" s="44"/>
      <c r="BQR507" s="44"/>
      <c r="BQS507" s="44"/>
      <c r="BQT507" s="44"/>
      <c r="BQU507" s="44"/>
      <c r="BQV507" s="44"/>
      <c r="BQW507" s="44"/>
      <c r="BQX507" s="44"/>
      <c r="BQY507" s="44"/>
      <c r="BQZ507" s="44"/>
      <c r="BRA507" s="44"/>
      <c r="BRB507" s="44"/>
      <c r="BRC507" s="44"/>
      <c r="BRD507" s="44"/>
      <c r="BRE507" s="44"/>
      <c r="BRF507" s="44"/>
      <c r="BRG507" s="44"/>
      <c r="BRH507" s="44"/>
      <c r="BRI507" s="44"/>
      <c r="BRJ507" s="44"/>
      <c r="BRK507" s="44"/>
      <c r="BRL507" s="44"/>
      <c r="BRM507" s="44"/>
      <c r="BRN507" s="44"/>
      <c r="BRO507" s="44"/>
      <c r="BRP507" s="44"/>
      <c r="BRQ507" s="44"/>
      <c r="BRR507" s="44"/>
      <c r="BRS507" s="44"/>
      <c r="BRT507" s="44"/>
      <c r="BRU507" s="44"/>
      <c r="BRV507" s="44"/>
      <c r="BRW507" s="44"/>
      <c r="BRX507" s="44"/>
      <c r="BRY507" s="44"/>
      <c r="BRZ507" s="44"/>
      <c r="BSA507" s="44"/>
      <c r="BSB507" s="44"/>
      <c r="BSC507" s="44"/>
      <c r="BSD507" s="44"/>
      <c r="BSE507" s="44"/>
      <c r="BSF507" s="44"/>
      <c r="BSG507" s="44"/>
      <c r="BSH507" s="44"/>
      <c r="BSI507" s="44"/>
      <c r="BSJ507" s="44"/>
      <c r="BSK507" s="44"/>
      <c r="BSL507" s="44"/>
      <c r="BSM507" s="44"/>
      <c r="BSN507" s="44"/>
      <c r="BSO507" s="44"/>
      <c r="BSP507" s="44"/>
      <c r="BSQ507" s="44"/>
      <c r="BSR507" s="44"/>
      <c r="BSS507" s="44"/>
      <c r="BST507" s="44"/>
      <c r="BSU507" s="44"/>
      <c r="BSV507" s="44"/>
      <c r="BSW507" s="44"/>
      <c r="BSX507" s="44"/>
      <c r="BSY507" s="44"/>
      <c r="BSZ507" s="44"/>
      <c r="BTA507" s="44"/>
      <c r="BTB507" s="44"/>
      <c r="BTC507" s="44"/>
      <c r="BTD507" s="44"/>
      <c r="BTE507" s="44"/>
      <c r="BTF507" s="44"/>
      <c r="BTG507" s="44"/>
      <c r="BTH507" s="44"/>
      <c r="BTI507" s="44"/>
      <c r="BTJ507" s="44"/>
      <c r="BTK507" s="44"/>
      <c r="BTL507" s="44"/>
      <c r="BTM507" s="44"/>
      <c r="BTN507" s="44"/>
      <c r="BTO507" s="44"/>
      <c r="BTP507" s="44"/>
      <c r="BTQ507" s="44"/>
      <c r="BTR507" s="44"/>
      <c r="BTS507" s="44"/>
      <c r="BTT507" s="44"/>
      <c r="BTU507" s="44"/>
      <c r="BTV507" s="44"/>
      <c r="BTW507" s="44"/>
      <c r="BTX507" s="44"/>
      <c r="BTY507" s="44"/>
      <c r="BTZ507" s="44"/>
      <c r="BUA507" s="44"/>
      <c r="BUB507" s="44"/>
      <c r="BUC507" s="44"/>
      <c r="BUD507" s="44"/>
      <c r="BUE507" s="44"/>
      <c r="BUF507" s="44"/>
      <c r="BUG507" s="44"/>
      <c r="BUH507" s="44"/>
      <c r="BUI507" s="44"/>
      <c r="BUJ507" s="44"/>
      <c r="BUK507" s="44"/>
      <c r="BUL507" s="44"/>
      <c r="BUM507" s="44"/>
      <c r="BUN507" s="44"/>
      <c r="BUO507" s="44"/>
      <c r="BUP507" s="44"/>
      <c r="BUQ507" s="44"/>
      <c r="BUR507" s="44"/>
      <c r="BUS507" s="44"/>
      <c r="BUT507" s="44"/>
      <c r="BUU507" s="44"/>
      <c r="BUV507" s="44"/>
      <c r="BUW507" s="44"/>
      <c r="BUX507" s="44"/>
      <c r="BUY507" s="44"/>
      <c r="BUZ507" s="44"/>
      <c r="BVA507" s="44"/>
      <c r="BVB507" s="44"/>
      <c r="BVC507" s="44"/>
      <c r="BVD507" s="44"/>
      <c r="BVE507" s="44"/>
      <c r="BVF507" s="44"/>
      <c r="BVG507" s="44"/>
      <c r="BVH507" s="44"/>
      <c r="BVI507" s="44"/>
      <c r="BVJ507" s="44"/>
      <c r="BVK507" s="44"/>
      <c r="BVL507" s="44"/>
      <c r="BVM507" s="44"/>
      <c r="BVN507" s="44"/>
      <c r="BVO507" s="44"/>
      <c r="BVP507" s="44"/>
      <c r="BVQ507" s="44"/>
      <c r="BVR507" s="44"/>
      <c r="BVS507" s="44"/>
      <c r="BVT507" s="44"/>
      <c r="BVU507" s="44"/>
      <c r="BVV507" s="44"/>
      <c r="BVW507" s="44"/>
      <c r="BVX507" s="44"/>
      <c r="BVY507" s="44"/>
      <c r="BVZ507" s="44"/>
      <c r="BWA507" s="44"/>
      <c r="BWB507" s="44"/>
      <c r="BWC507" s="44"/>
      <c r="BWD507" s="44"/>
      <c r="BWE507" s="44"/>
      <c r="BWF507" s="44"/>
      <c r="BWG507" s="44"/>
      <c r="BWH507" s="44"/>
      <c r="BWI507" s="44"/>
      <c r="BWJ507" s="44"/>
      <c r="BWK507" s="44"/>
      <c r="BWL507" s="44"/>
      <c r="BWM507" s="44"/>
      <c r="BWN507" s="44"/>
      <c r="BWO507" s="44"/>
      <c r="BWP507" s="44"/>
      <c r="BWQ507" s="44"/>
      <c r="BWR507" s="44"/>
      <c r="BWS507" s="44"/>
      <c r="BWT507" s="44"/>
      <c r="BWU507" s="44"/>
      <c r="BWV507" s="44"/>
      <c r="BWW507" s="44"/>
      <c r="BWX507" s="44"/>
      <c r="BWY507" s="44"/>
      <c r="BWZ507" s="44"/>
      <c r="BXA507" s="44"/>
      <c r="BXB507" s="44"/>
      <c r="BXC507" s="44"/>
      <c r="BXD507" s="44"/>
      <c r="BXE507" s="44"/>
      <c r="BXF507" s="44"/>
      <c r="BXG507" s="44"/>
      <c r="BXH507" s="44"/>
      <c r="BXI507" s="44"/>
      <c r="BXJ507" s="44"/>
      <c r="BXK507" s="44"/>
      <c r="BXL507" s="44"/>
      <c r="BXM507" s="44"/>
      <c r="BXN507" s="44"/>
      <c r="BXO507" s="44"/>
      <c r="BXP507" s="44"/>
      <c r="BXQ507" s="44"/>
      <c r="BXR507" s="44"/>
      <c r="BXS507" s="44"/>
      <c r="BXT507" s="44"/>
      <c r="BXU507" s="44"/>
      <c r="BXV507" s="44"/>
      <c r="BXW507" s="44"/>
      <c r="BXX507" s="44"/>
      <c r="BXY507" s="44"/>
      <c r="BXZ507" s="44"/>
      <c r="BYA507" s="44"/>
      <c r="BYB507" s="44"/>
      <c r="BYC507" s="44"/>
      <c r="BYD507" s="44"/>
      <c r="BYE507" s="44"/>
      <c r="BYF507" s="44"/>
      <c r="BYG507" s="44"/>
      <c r="BYH507" s="44"/>
      <c r="BYI507" s="44"/>
      <c r="BYJ507" s="44"/>
      <c r="BYK507" s="44"/>
      <c r="BYL507" s="44"/>
      <c r="BYM507" s="44"/>
      <c r="BYN507" s="44"/>
      <c r="BYO507" s="44"/>
      <c r="BYP507" s="44"/>
      <c r="BYQ507" s="44"/>
      <c r="BYR507" s="44"/>
      <c r="BYS507" s="44"/>
      <c r="BYT507" s="44"/>
      <c r="BYU507" s="44"/>
      <c r="BYV507" s="44"/>
      <c r="BYW507" s="44"/>
      <c r="BYX507" s="44"/>
      <c r="BYY507" s="44"/>
      <c r="BYZ507" s="44"/>
      <c r="BZA507" s="44"/>
      <c r="BZB507" s="44"/>
      <c r="BZC507" s="44"/>
      <c r="BZD507" s="44"/>
      <c r="BZE507" s="44"/>
      <c r="BZF507" s="44"/>
      <c r="BZG507" s="44"/>
      <c r="BZH507" s="44"/>
      <c r="BZI507" s="44"/>
      <c r="BZJ507" s="44"/>
      <c r="BZK507" s="44"/>
      <c r="BZL507" s="44"/>
      <c r="BZM507" s="44"/>
      <c r="BZN507" s="44"/>
      <c r="BZO507" s="44"/>
      <c r="BZP507" s="44"/>
      <c r="BZQ507" s="44"/>
      <c r="BZR507" s="44"/>
      <c r="BZS507" s="44"/>
      <c r="BZT507" s="44"/>
      <c r="BZU507" s="44"/>
      <c r="BZV507" s="44"/>
      <c r="BZW507" s="44"/>
      <c r="BZX507" s="44"/>
      <c r="BZY507" s="44"/>
      <c r="BZZ507" s="44"/>
      <c r="CAA507" s="44"/>
      <c r="CAB507" s="44"/>
      <c r="CAC507" s="44"/>
      <c r="CAD507" s="44"/>
      <c r="CAE507" s="44"/>
      <c r="CAF507" s="44"/>
      <c r="CAG507" s="44"/>
      <c r="CAH507" s="44"/>
      <c r="CAI507" s="44"/>
      <c r="CAJ507" s="44"/>
      <c r="CAK507" s="44"/>
      <c r="CAL507" s="44"/>
      <c r="CAM507" s="44"/>
      <c r="CAN507" s="44"/>
      <c r="CAO507" s="44"/>
      <c r="CAP507" s="44"/>
      <c r="CAQ507" s="44"/>
      <c r="CAR507" s="44"/>
      <c r="CAS507" s="44"/>
      <c r="CAT507" s="44"/>
      <c r="CAU507" s="44"/>
      <c r="CAV507" s="44"/>
      <c r="CAW507" s="44"/>
      <c r="CAX507" s="44"/>
      <c r="CAY507" s="44"/>
      <c r="CAZ507" s="44"/>
      <c r="CBA507" s="44"/>
      <c r="CBB507" s="44"/>
      <c r="CBC507" s="44"/>
      <c r="CBD507" s="44"/>
      <c r="CBE507" s="44"/>
      <c r="CBF507" s="44"/>
      <c r="CBG507" s="44"/>
      <c r="CBH507" s="44"/>
      <c r="CBI507" s="44"/>
      <c r="CBJ507" s="44"/>
      <c r="CBK507" s="44"/>
      <c r="CBL507" s="44"/>
      <c r="CBM507" s="44"/>
      <c r="CBN507" s="44"/>
      <c r="CBO507" s="44"/>
      <c r="CBP507" s="44"/>
      <c r="CBQ507" s="44"/>
      <c r="CBR507" s="44"/>
      <c r="CBS507" s="44"/>
      <c r="CBT507" s="44"/>
      <c r="CBU507" s="44"/>
      <c r="CBV507" s="44"/>
      <c r="CBW507" s="44"/>
      <c r="CBX507" s="44"/>
      <c r="CBY507" s="44"/>
      <c r="CBZ507" s="44"/>
      <c r="CCA507" s="44"/>
      <c r="CCB507" s="44"/>
      <c r="CCC507" s="44"/>
      <c r="CCD507" s="44"/>
      <c r="CCE507" s="44"/>
      <c r="CCF507" s="44"/>
      <c r="CCG507" s="44"/>
      <c r="CCH507" s="44"/>
      <c r="CCI507" s="44"/>
      <c r="CCJ507" s="44"/>
      <c r="CCK507" s="44"/>
      <c r="CCL507" s="44"/>
      <c r="CCM507" s="44"/>
      <c r="CCN507" s="44"/>
      <c r="CCO507" s="44"/>
      <c r="CCP507" s="44"/>
      <c r="CCQ507" s="44"/>
      <c r="CCR507" s="44"/>
      <c r="CCS507" s="44"/>
      <c r="CCT507" s="44"/>
      <c r="CCU507" s="44"/>
      <c r="CCV507" s="44"/>
      <c r="CCW507" s="44"/>
      <c r="CCX507" s="44"/>
      <c r="CCY507" s="44"/>
      <c r="CCZ507" s="44"/>
      <c r="CDA507" s="44"/>
      <c r="CDB507" s="44"/>
      <c r="CDC507" s="44"/>
      <c r="CDD507" s="44"/>
      <c r="CDE507" s="44"/>
      <c r="CDF507" s="44"/>
      <c r="CDG507" s="44"/>
      <c r="CDH507" s="44"/>
      <c r="CDI507" s="44"/>
      <c r="CDJ507" s="44"/>
      <c r="CDK507" s="44"/>
      <c r="CDL507" s="44"/>
      <c r="CDM507" s="44"/>
      <c r="CDN507" s="44"/>
      <c r="CDO507" s="44"/>
      <c r="CDP507" s="44"/>
      <c r="CDQ507" s="44"/>
      <c r="CDR507" s="44"/>
      <c r="CDS507" s="44"/>
      <c r="CDT507" s="44"/>
      <c r="CDU507" s="44"/>
      <c r="CDV507" s="44"/>
      <c r="CDW507" s="44"/>
      <c r="CDX507" s="44"/>
      <c r="CDY507" s="44"/>
      <c r="CDZ507" s="44"/>
      <c r="CEA507" s="44"/>
      <c r="CEB507" s="44"/>
      <c r="CEC507" s="44"/>
      <c r="CED507" s="44"/>
      <c r="CEE507" s="44"/>
      <c r="CEF507" s="44"/>
      <c r="CEG507" s="44"/>
      <c r="CEH507" s="44"/>
      <c r="CEI507" s="44"/>
      <c r="CEJ507" s="44"/>
      <c r="CEK507" s="44"/>
      <c r="CEL507" s="44"/>
      <c r="CEM507" s="44"/>
      <c r="CEN507" s="44"/>
      <c r="CEO507" s="44"/>
      <c r="CEP507" s="44"/>
      <c r="CEQ507" s="44"/>
      <c r="CER507" s="44"/>
      <c r="CES507" s="44"/>
      <c r="CET507" s="44"/>
      <c r="CEU507" s="44"/>
      <c r="CEV507" s="44"/>
      <c r="CEW507" s="44"/>
      <c r="CEX507" s="44"/>
      <c r="CEY507" s="44"/>
      <c r="CEZ507" s="44"/>
      <c r="CFA507" s="44"/>
      <c r="CFB507" s="44"/>
      <c r="CFC507" s="44"/>
      <c r="CFD507" s="44"/>
      <c r="CFE507" s="44"/>
      <c r="CFF507" s="44"/>
      <c r="CFG507" s="44"/>
      <c r="CFH507" s="44"/>
      <c r="CFI507" s="44"/>
      <c r="CFJ507" s="44"/>
      <c r="CFK507" s="44"/>
      <c r="CFL507" s="44"/>
      <c r="CFM507" s="44"/>
      <c r="CFN507" s="44"/>
      <c r="CFO507" s="44"/>
      <c r="CFP507" s="44"/>
      <c r="CFQ507" s="44"/>
      <c r="CFR507" s="44"/>
      <c r="CFS507" s="44"/>
      <c r="CFT507" s="44"/>
      <c r="CFU507" s="44"/>
      <c r="CFV507" s="44"/>
      <c r="CFW507" s="44"/>
      <c r="CFX507" s="44"/>
      <c r="CFY507" s="44"/>
      <c r="CFZ507" s="44"/>
      <c r="CGA507" s="44"/>
      <c r="CGB507" s="44"/>
      <c r="CGC507" s="44"/>
      <c r="CGD507" s="44"/>
      <c r="CGE507" s="44"/>
      <c r="CGF507" s="44"/>
      <c r="CGG507" s="44"/>
      <c r="CGH507" s="44"/>
      <c r="CGI507" s="44"/>
      <c r="CGJ507" s="44"/>
      <c r="CGK507" s="44"/>
      <c r="CGL507" s="44"/>
      <c r="CGM507" s="44"/>
      <c r="CGN507" s="44"/>
      <c r="CGO507" s="44"/>
      <c r="CGP507" s="44"/>
      <c r="CGQ507" s="44"/>
      <c r="CGR507" s="44"/>
      <c r="CGS507" s="44"/>
      <c r="CGT507" s="44"/>
      <c r="CGU507" s="44"/>
      <c r="CGV507" s="44"/>
      <c r="CGW507" s="44"/>
      <c r="CGX507" s="44"/>
      <c r="CGY507" s="44"/>
      <c r="CGZ507" s="44"/>
      <c r="CHA507" s="44"/>
      <c r="CHB507" s="44"/>
      <c r="CHC507" s="44"/>
      <c r="CHD507" s="44"/>
      <c r="CHE507" s="44"/>
      <c r="CHF507" s="44"/>
      <c r="CHG507" s="44"/>
      <c r="CHH507" s="44"/>
      <c r="CHI507" s="44"/>
      <c r="CHJ507" s="44"/>
      <c r="CHK507" s="44"/>
      <c r="CHL507" s="44"/>
      <c r="CHM507" s="44"/>
      <c r="CHN507" s="44"/>
      <c r="CHO507" s="44"/>
      <c r="CHP507" s="44"/>
      <c r="CHQ507" s="44"/>
      <c r="CHR507" s="44"/>
      <c r="CHS507" s="44"/>
      <c r="CHT507" s="44"/>
      <c r="CHU507" s="44"/>
      <c r="CHV507" s="44"/>
      <c r="CHW507" s="44"/>
      <c r="CHX507" s="44"/>
      <c r="CHY507" s="44"/>
      <c r="CHZ507" s="44"/>
      <c r="CIA507" s="44"/>
      <c r="CIB507" s="44"/>
      <c r="CIC507" s="44"/>
      <c r="CID507" s="44"/>
      <c r="CIE507" s="44"/>
      <c r="CIF507" s="44"/>
      <c r="CIG507" s="44"/>
      <c r="CIH507" s="44"/>
      <c r="CII507" s="44"/>
      <c r="CIJ507" s="44"/>
      <c r="CIK507" s="44"/>
      <c r="CIL507" s="44"/>
      <c r="CIM507" s="44"/>
      <c r="CIN507" s="44"/>
      <c r="CIO507" s="44"/>
      <c r="CIP507" s="44"/>
      <c r="CIQ507" s="44"/>
      <c r="CIR507" s="44"/>
      <c r="CIS507" s="44"/>
      <c r="CIT507" s="44"/>
      <c r="CIU507" s="44"/>
      <c r="CIV507" s="44"/>
      <c r="CIW507" s="44"/>
      <c r="CIX507" s="44"/>
      <c r="CIY507" s="44"/>
      <c r="CIZ507" s="44"/>
      <c r="CJA507" s="44"/>
      <c r="CJB507" s="44"/>
      <c r="CJC507" s="44"/>
      <c r="CJD507" s="44"/>
      <c r="CJE507" s="44"/>
      <c r="CJF507" s="44"/>
      <c r="CJG507" s="44"/>
      <c r="CJH507" s="44"/>
      <c r="CJI507" s="44"/>
      <c r="CJJ507" s="44"/>
      <c r="CJK507" s="44"/>
      <c r="CJL507" s="44"/>
      <c r="CJM507" s="44"/>
      <c r="CJN507" s="44"/>
      <c r="CJO507" s="44"/>
      <c r="CJP507" s="44"/>
      <c r="CJQ507" s="44"/>
      <c r="CJR507" s="44"/>
      <c r="CJS507" s="44"/>
      <c r="CJT507" s="44"/>
      <c r="CJU507" s="44"/>
      <c r="CJV507" s="44"/>
      <c r="CJW507" s="44"/>
      <c r="CJX507" s="44"/>
      <c r="CJY507" s="44"/>
      <c r="CJZ507" s="44"/>
      <c r="CKA507" s="44"/>
      <c r="CKB507" s="44"/>
      <c r="CKC507" s="44"/>
      <c r="CKD507" s="44"/>
      <c r="CKE507" s="44"/>
      <c r="CKF507" s="44"/>
      <c r="CKG507" s="44"/>
      <c r="CKH507" s="44"/>
      <c r="CKI507" s="44"/>
      <c r="CKJ507" s="44"/>
      <c r="CKK507" s="44"/>
      <c r="CKL507" s="44"/>
      <c r="CKM507" s="44"/>
      <c r="CKN507" s="44"/>
      <c r="CKO507" s="44"/>
      <c r="CKP507" s="44"/>
      <c r="CKQ507" s="44"/>
      <c r="CKR507" s="44"/>
      <c r="CKS507" s="44"/>
      <c r="CKT507" s="44"/>
      <c r="CKU507" s="44"/>
      <c r="CKV507" s="44"/>
      <c r="CKW507" s="44"/>
      <c r="CKX507" s="44"/>
      <c r="CKY507" s="44"/>
      <c r="CKZ507" s="44"/>
      <c r="CLA507" s="44"/>
      <c r="CLB507" s="44"/>
      <c r="CLC507" s="44"/>
      <c r="CLD507" s="44"/>
      <c r="CLE507" s="44"/>
      <c r="CLF507" s="44"/>
      <c r="CLG507" s="44"/>
      <c r="CLH507" s="44"/>
      <c r="CLI507" s="44"/>
      <c r="CLJ507" s="44"/>
      <c r="CLK507" s="44"/>
      <c r="CLL507" s="44"/>
      <c r="CLM507" s="44"/>
      <c r="CLN507" s="44"/>
      <c r="CLO507" s="44"/>
      <c r="CLP507" s="44"/>
      <c r="CLQ507" s="44"/>
      <c r="CLR507" s="44"/>
      <c r="CLS507" s="44"/>
      <c r="CLT507" s="44"/>
      <c r="CLU507" s="44"/>
      <c r="CLV507" s="44"/>
      <c r="CLW507" s="44"/>
      <c r="CLX507" s="44"/>
      <c r="CLY507" s="44"/>
      <c r="CLZ507" s="44"/>
      <c r="CMA507" s="44"/>
      <c r="CMB507" s="44"/>
      <c r="CMC507" s="44"/>
      <c r="CMD507" s="44"/>
      <c r="CME507" s="44"/>
      <c r="CMF507" s="44"/>
      <c r="CMG507" s="44"/>
      <c r="CMH507" s="44"/>
      <c r="CMI507" s="44"/>
      <c r="CMJ507" s="44"/>
      <c r="CMK507" s="44"/>
      <c r="CML507" s="44"/>
      <c r="CMM507" s="44"/>
      <c r="CMN507" s="44"/>
      <c r="CMO507" s="44"/>
      <c r="CMP507" s="44"/>
      <c r="CMQ507" s="44"/>
      <c r="CMR507" s="44"/>
      <c r="CMS507" s="44"/>
      <c r="CMT507" s="44"/>
      <c r="CMU507" s="44"/>
      <c r="CMV507" s="44"/>
      <c r="CMW507" s="44"/>
      <c r="CMX507" s="44"/>
      <c r="CMY507" s="44"/>
      <c r="CMZ507" s="44"/>
      <c r="CNA507" s="44"/>
      <c r="CNB507" s="44"/>
      <c r="CNC507" s="44"/>
      <c r="CND507" s="44"/>
      <c r="CNE507" s="44"/>
      <c r="CNF507" s="44"/>
      <c r="CNG507" s="44"/>
      <c r="CNH507" s="44"/>
      <c r="CNI507" s="44"/>
      <c r="CNJ507" s="44"/>
      <c r="CNK507" s="44"/>
      <c r="CNL507" s="44"/>
      <c r="CNM507" s="44"/>
      <c r="CNN507" s="44"/>
      <c r="CNO507" s="44"/>
      <c r="CNP507" s="44"/>
      <c r="CNQ507" s="44"/>
      <c r="CNR507" s="44"/>
      <c r="CNS507" s="44"/>
      <c r="CNT507" s="44"/>
      <c r="CNU507" s="44"/>
      <c r="CNV507" s="44"/>
      <c r="CNW507" s="44"/>
      <c r="CNX507" s="44"/>
      <c r="CNY507" s="44"/>
      <c r="CNZ507" s="44"/>
      <c r="COA507" s="44"/>
      <c r="COB507" s="44"/>
      <c r="COC507" s="44"/>
      <c r="COD507" s="44"/>
      <c r="COE507" s="44"/>
      <c r="COF507" s="44"/>
      <c r="COG507" s="44"/>
      <c r="COH507" s="44"/>
      <c r="COI507" s="44"/>
      <c r="COJ507" s="44"/>
      <c r="COK507" s="44"/>
      <c r="COL507" s="44"/>
      <c r="COM507" s="44"/>
      <c r="CON507" s="44"/>
      <c r="COO507" s="44"/>
      <c r="COP507" s="44"/>
      <c r="COQ507" s="44"/>
      <c r="COR507" s="44"/>
      <c r="COS507" s="44"/>
      <c r="COT507" s="44"/>
      <c r="COU507" s="44"/>
      <c r="COV507" s="44"/>
      <c r="COW507" s="44"/>
      <c r="COX507" s="44"/>
      <c r="COY507" s="44"/>
      <c r="COZ507" s="44"/>
      <c r="CPA507" s="44"/>
      <c r="CPB507" s="44"/>
      <c r="CPC507" s="44"/>
      <c r="CPD507" s="44"/>
      <c r="CPE507" s="44"/>
      <c r="CPF507" s="44"/>
      <c r="CPG507" s="44"/>
      <c r="CPH507" s="44"/>
      <c r="CPI507" s="44"/>
      <c r="CPJ507" s="44"/>
      <c r="CPK507" s="44"/>
      <c r="CPL507" s="44"/>
      <c r="CPM507" s="44"/>
      <c r="CPN507" s="44"/>
      <c r="CPO507" s="44"/>
      <c r="CPP507" s="44"/>
      <c r="CPQ507" s="44"/>
      <c r="CPR507" s="44"/>
      <c r="CPS507" s="44"/>
      <c r="CPT507" s="44"/>
      <c r="CPU507" s="44"/>
      <c r="CPV507" s="44"/>
      <c r="CPW507" s="44"/>
      <c r="CPX507" s="44"/>
      <c r="CPY507" s="44"/>
      <c r="CPZ507" s="44"/>
      <c r="CQA507" s="44"/>
      <c r="CQB507" s="44"/>
      <c r="CQC507" s="44"/>
      <c r="CQD507" s="44"/>
      <c r="CQE507" s="44"/>
      <c r="CQF507" s="44"/>
      <c r="CQG507" s="44"/>
      <c r="CQH507" s="44"/>
      <c r="CQI507" s="44"/>
      <c r="CQJ507" s="44"/>
      <c r="CQK507" s="44"/>
      <c r="CQL507" s="44"/>
      <c r="CQM507" s="44"/>
      <c r="CQN507" s="44"/>
      <c r="CQO507" s="44"/>
      <c r="CQP507" s="44"/>
      <c r="CQQ507" s="44"/>
      <c r="CQR507" s="44"/>
      <c r="CQS507" s="44"/>
      <c r="CQT507" s="44"/>
      <c r="CQU507" s="44"/>
      <c r="CQV507" s="44"/>
      <c r="CQW507" s="44"/>
      <c r="CQX507" s="44"/>
      <c r="CQY507" s="44"/>
      <c r="CQZ507" s="44"/>
      <c r="CRA507" s="44"/>
      <c r="CRB507" s="44"/>
      <c r="CRC507" s="44"/>
      <c r="CRD507" s="44"/>
      <c r="CRE507" s="44"/>
      <c r="CRF507" s="44"/>
      <c r="CRG507" s="44"/>
      <c r="CRH507" s="44"/>
      <c r="CRI507" s="44"/>
      <c r="CRJ507" s="44"/>
      <c r="CRK507" s="44"/>
      <c r="CRL507" s="44"/>
      <c r="CRM507" s="44"/>
      <c r="CRN507" s="44"/>
      <c r="CRO507" s="44"/>
      <c r="CRP507" s="44"/>
      <c r="CRQ507" s="44"/>
      <c r="CRR507" s="44"/>
      <c r="CRS507" s="44"/>
      <c r="CRT507" s="44"/>
      <c r="CRU507" s="44"/>
      <c r="CRV507" s="44"/>
      <c r="CRW507" s="44"/>
      <c r="CRX507" s="44"/>
      <c r="CRY507" s="44"/>
      <c r="CRZ507" s="44"/>
      <c r="CSA507" s="44"/>
      <c r="CSB507" s="44"/>
      <c r="CSC507" s="44"/>
      <c r="CSD507" s="44"/>
      <c r="CSE507" s="44"/>
      <c r="CSF507" s="44"/>
      <c r="CSG507" s="44"/>
      <c r="CSH507" s="44"/>
      <c r="CSI507" s="44"/>
      <c r="CSJ507" s="44"/>
      <c r="CSK507" s="44"/>
      <c r="CSL507" s="44"/>
      <c r="CSM507" s="44"/>
      <c r="CSN507" s="44"/>
      <c r="CSO507" s="44"/>
      <c r="CSP507" s="44"/>
      <c r="CSQ507" s="44"/>
      <c r="CSR507" s="44"/>
      <c r="CSS507" s="44"/>
      <c r="CST507" s="44"/>
      <c r="CSU507" s="44"/>
      <c r="CSV507" s="44"/>
      <c r="CSW507" s="44"/>
      <c r="CSX507" s="44"/>
      <c r="CSY507" s="44"/>
      <c r="CSZ507" s="44"/>
      <c r="CTA507" s="44"/>
      <c r="CTB507" s="44"/>
      <c r="CTC507" s="44"/>
      <c r="CTD507" s="44"/>
      <c r="CTE507" s="44"/>
      <c r="CTF507" s="44"/>
      <c r="CTG507" s="44"/>
      <c r="CTH507" s="44"/>
      <c r="CTI507" s="44"/>
      <c r="CTJ507" s="44"/>
      <c r="CTK507" s="44"/>
      <c r="CTL507" s="44"/>
      <c r="CTM507" s="44"/>
      <c r="CTN507" s="44"/>
      <c r="CTO507" s="44"/>
      <c r="CTP507" s="44"/>
      <c r="CTQ507" s="44"/>
      <c r="CTR507" s="44"/>
      <c r="CTS507" s="44"/>
      <c r="CTT507" s="44"/>
      <c r="CTU507" s="44"/>
      <c r="CTV507" s="44"/>
      <c r="CTW507" s="44"/>
      <c r="CTX507" s="44"/>
      <c r="CTY507" s="44"/>
      <c r="CTZ507" s="44"/>
      <c r="CUA507" s="44"/>
      <c r="CUB507" s="44"/>
      <c r="CUC507" s="44"/>
      <c r="CUD507" s="44"/>
      <c r="CUE507" s="44"/>
      <c r="CUF507" s="44"/>
      <c r="CUG507" s="44"/>
      <c r="CUH507" s="44"/>
      <c r="CUI507" s="44"/>
      <c r="CUJ507" s="44"/>
      <c r="CUK507" s="44"/>
      <c r="CUL507" s="44"/>
      <c r="CUM507" s="44"/>
      <c r="CUN507" s="44"/>
      <c r="CUO507" s="44"/>
      <c r="CUP507" s="44"/>
      <c r="CUQ507" s="44"/>
      <c r="CUR507" s="44"/>
      <c r="CUS507" s="44"/>
      <c r="CUT507" s="44"/>
      <c r="CUU507" s="44"/>
      <c r="CUV507" s="44"/>
      <c r="CUW507" s="44"/>
      <c r="CUX507" s="44"/>
      <c r="CUY507" s="44"/>
      <c r="CUZ507" s="44"/>
      <c r="CVA507" s="44"/>
      <c r="CVB507" s="44"/>
      <c r="CVC507" s="44"/>
      <c r="CVD507" s="44"/>
      <c r="CVE507" s="44"/>
      <c r="CVF507" s="44"/>
      <c r="CVG507" s="44"/>
      <c r="CVH507" s="44"/>
      <c r="CVI507" s="44"/>
      <c r="CVJ507" s="44"/>
      <c r="CVK507" s="44"/>
      <c r="CVL507" s="44"/>
      <c r="CVM507" s="44"/>
      <c r="CVN507" s="44"/>
      <c r="CVO507" s="44"/>
      <c r="CVP507" s="44"/>
      <c r="CVQ507" s="44"/>
      <c r="CVR507" s="44"/>
      <c r="CVS507" s="44"/>
      <c r="CVT507" s="44"/>
      <c r="CVU507" s="44"/>
      <c r="CVV507" s="44"/>
      <c r="CVW507" s="44"/>
      <c r="CVX507" s="44"/>
      <c r="CVY507" s="44"/>
      <c r="CVZ507" s="44"/>
      <c r="CWA507" s="44"/>
      <c r="CWB507" s="44"/>
      <c r="CWC507" s="44"/>
      <c r="CWD507" s="44"/>
      <c r="CWE507" s="44"/>
      <c r="CWF507" s="44"/>
      <c r="CWG507" s="44"/>
      <c r="CWH507" s="44"/>
      <c r="CWI507" s="44"/>
      <c r="CWJ507" s="44"/>
      <c r="CWK507" s="44"/>
      <c r="CWL507" s="44"/>
      <c r="CWM507" s="44"/>
      <c r="CWN507" s="44"/>
      <c r="CWO507" s="44"/>
      <c r="CWP507" s="44"/>
      <c r="CWQ507" s="44"/>
      <c r="CWR507" s="44"/>
      <c r="CWS507" s="44"/>
      <c r="CWT507" s="44"/>
      <c r="CWU507" s="44"/>
      <c r="CWV507" s="44"/>
      <c r="CWW507" s="44"/>
      <c r="CWX507" s="44"/>
      <c r="CWY507" s="44"/>
      <c r="CWZ507" s="44"/>
      <c r="CXA507" s="44"/>
      <c r="CXB507" s="44"/>
      <c r="CXC507" s="44"/>
      <c r="CXD507" s="44"/>
      <c r="CXE507" s="44"/>
      <c r="CXF507" s="44"/>
      <c r="CXG507" s="44"/>
      <c r="CXH507" s="44"/>
      <c r="CXI507" s="44"/>
      <c r="CXJ507" s="44"/>
      <c r="CXK507" s="44"/>
      <c r="CXL507" s="44"/>
      <c r="CXM507" s="44"/>
      <c r="CXN507" s="44"/>
      <c r="CXO507" s="44"/>
      <c r="CXP507" s="44"/>
      <c r="CXQ507" s="44"/>
      <c r="CXR507" s="44"/>
      <c r="CXS507" s="44"/>
      <c r="CXT507" s="44"/>
      <c r="CXU507" s="44"/>
      <c r="CXV507" s="44"/>
      <c r="CXW507" s="44"/>
      <c r="CXX507" s="44"/>
      <c r="CXY507" s="44"/>
      <c r="CXZ507" s="44"/>
      <c r="CYA507" s="44"/>
      <c r="CYB507" s="44"/>
      <c r="CYC507" s="44"/>
      <c r="CYD507" s="44"/>
      <c r="CYE507" s="44"/>
      <c r="CYF507" s="44"/>
      <c r="CYG507" s="44"/>
      <c r="CYH507" s="44"/>
      <c r="CYI507" s="44"/>
      <c r="CYJ507" s="44"/>
      <c r="CYK507" s="44"/>
      <c r="CYL507" s="44"/>
      <c r="CYM507" s="44"/>
      <c r="CYN507" s="44"/>
      <c r="CYO507" s="44"/>
      <c r="CYP507" s="44"/>
      <c r="CYQ507" s="44"/>
      <c r="CYR507" s="44"/>
      <c r="CYS507" s="44"/>
      <c r="CYT507" s="44"/>
      <c r="CYU507" s="44"/>
      <c r="CYV507" s="44"/>
      <c r="CYW507" s="44"/>
      <c r="CYX507" s="44"/>
      <c r="CYY507" s="44"/>
      <c r="CYZ507" s="44"/>
      <c r="CZA507" s="44"/>
      <c r="CZB507" s="44"/>
      <c r="CZC507" s="44"/>
      <c r="CZD507" s="44"/>
      <c r="CZE507" s="44"/>
      <c r="CZF507" s="44"/>
      <c r="CZG507" s="44"/>
      <c r="CZH507" s="44"/>
      <c r="CZI507" s="44"/>
      <c r="CZJ507" s="44"/>
      <c r="CZK507" s="44"/>
      <c r="CZL507" s="44"/>
      <c r="CZM507" s="44"/>
      <c r="CZN507" s="44"/>
      <c r="CZO507" s="44"/>
      <c r="CZP507" s="44"/>
      <c r="CZQ507" s="44"/>
      <c r="CZR507" s="44"/>
      <c r="CZS507" s="44"/>
      <c r="CZT507" s="44"/>
      <c r="CZU507" s="44"/>
      <c r="CZV507" s="44"/>
      <c r="CZW507" s="44"/>
      <c r="CZX507" s="44"/>
      <c r="CZY507" s="44"/>
      <c r="CZZ507" s="44"/>
      <c r="DAA507" s="44"/>
      <c r="DAB507" s="44"/>
      <c r="DAC507" s="44"/>
      <c r="DAD507" s="44"/>
      <c r="DAE507" s="44"/>
      <c r="DAF507" s="44"/>
      <c r="DAG507" s="44"/>
      <c r="DAH507" s="44"/>
      <c r="DAI507" s="44"/>
      <c r="DAJ507" s="44"/>
      <c r="DAK507" s="44"/>
      <c r="DAL507" s="44"/>
      <c r="DAM507" s="44"/>
      <c r="DAN507" s="44"/>
      <c r="DAO507" s="44"/>
      <c r="DAP507" s="44"/>
      <c r="DAQ507" s="44"/>
      <c r="DAR507" s="44"/>
      <c r="DAS507" s="44"/>
      <c r="DAT507" s="44"/>
      <c r="DAU507" s="44"/>
      <c r="DAV507" s="44"/>
      <c r="DAW507" s="44"/>
      <c r="DAX507" s="44"/>
      <c r="DAY507" s="44"/>
      <c r="DAZ507" s="44"/>
      <c r="DBA507" s="44"/>
      <c r="DBB507" s="44"/>
      <c r="DBC507" s="44"/>
      <c r="DBD507" s="44"/>
      <c r="DBE507" s="44"/>
      <c r="DBF507" s="44"/>
      <c r="DBG507" s="44"/>
      <c r="DBH507" s="44"/>
      <c r="DBI507" s="44"/>
      <c r="DBJ507" s="44"/>
      <c r="DBK507" s="44"/>
      <c r="DBL507" s="44"/>
      <c r="DBM507" s="44"/>
      <c r="DBN507" s="44"/>
      <c r="DBO507" s="44"/>
      <c r="DBP507" s="44"/>
      <c r="DBQ507" s="44"/>
      <c r="DBR507" s="44"/>
      <c r="DBS507" s="44"/>
      <c r="DBT507" s="44"/>
      <c r="DBU507" s="44"/>
      <c r="DBV507" s="44"/>
      <c r="DBW507" s="44"/>
      <c r="DBX507" s="44"/>
      <c r="DBY507" s="44"/>
      <c r="DBZ507" s="44"/>
      <c r="DCA507" s="44"/>
      <c r="DCB507" s="44"/>
      <c r="DCC507" s="44"/>
      <c r="DCD507" s="44"/>
      <c r="DCE507" s="44"/>
      <c r="DCF507" s="44"/>
      <c r="DCG507" s="44"/>
      <c r="DCH507" s="44"/>
      <c r="DCI507" s="44"/>
      <c r="DCJ507" s="44"/>
      <c r="DCK507" s="44"/>
      <c r="DCL507" s="44"/>
      <c r="DCM507" s="44"/>
      <c r="DCN507" s="44"/>
      <c r="DCO507" s="44"/>
      <c r="DCP507" s="44"/>
      <c r="DCQ507" s="44"/>
      <c r="DCR507" s="44"/>
      <c r="DCS507" s="44"/>
      <c r="DCT507" s="44"/>
      <c r="DCU507" s="44"/>
      <c r="DCV507" s="44"/>
      <c r="DCW507" s="44"/>
      <c r="DCX507" s="44"/>
      <c r="DCY507" s="44"/>
      <c r="DCZ507" s="44"/>
      <c r="DDA507" s="44"/>
      <c r="DDB507" s="44"/>
      <c r="DDC507" s="44"/>
      <c r="DDD507" s="44"/>
      <c r="DDE507" s="44"/>
      <c r="DDF507" s="44"/>
      <c r="DDG507" s="44"/>
      <c r="DDH507" s="44"/>
      <c r="DDI507" s="44"/>
      <c r="DDJ507" s="44"/>
      <c r="DDK507" s="44"/>
      <c r="DDL507" s="44"/>
      <c r="DDM507" s="44"/>
      <c r="DDN507" s="44"/>
      <c r="DDO507" s="44"/>
      <c r="DDP507" s="44"/>
      <c r="DDQ507" s="44"/>
      <c r="DDR507" s="44"/>
      <c r="DDS507" s="44"/>
      <c r="DDT507" s="44"/>
      <c r="DDU507" s="44"/>
      <c r="DDV507" s="44"/>
      <c r="DDW507" s="44"/>
      <c r="DDX507" s="44"/>
      <c r="DDY507" s="44"/>
      <c r="DDZ507" s="44"/>
      <c r="DEA507" s="44"/>
      <c r="DEB507" s="44"/>
      <c r="DEC507" s="44"/>
      <c r="DED507" s="44"/>
      <c r="DEE507" s="44"/>
      <c r="DEF507" s="44"/>
      <c r="DEG507" s="44"/>
      <c r="DEH507" s="44"/>
      <c r="DEI507" s="44"/>
      <c r="DEJ507" s="44"/>
      <c r="DEK507" s="44"/>
      <c r="DEL507" s="44"/>
      <c r="DEM507" s="44"/>
      <c r="DEN507" s="44"/>
      <c r="DEO507" s="44"/>
      <c r="DEP507" s="44"/>
      <c r="DEQ507" s="44"/>
      <c r="DER507" s="44"/>
      <c r="DES507" s="44"/>
      <c r="DET507" s="44"/>
      <c r="DEU507" s="44"/>
      <c r="DEV507" s="44"/>
      <c r="DEW507" s="44"/>
      <c r="DEX507" s="44"/>
      <c r="DEY507" s="44"/>
      <c r="DEZ507" s="44"/>
      <c r="DFA507" s="44"/>
      <c r="DFB507" s="44"/>
      <c r="DFC507" s="44"/>
      <c r="DFD507" s="44"/>
      <c r="DFE507" s="44"/>
      <c r="DFF507" s="44"/>
      <c r="DFG507" s="44"/>
      <c r="DFH507" s="44"/>
      <c r="DFI507" s="44"/>
      <c r="DFJ507" s="44"/>
      <c r="DFK507" s="44"/>
      <c r="DFL507" s="44"/>
      <c r="DFM507" s="44"/>
      <c r="DFN507" s="44"/>
      <c r="DFO507" s="44"/>
      <c r="DFP507" s="44"/>
      <c r="DFQ507" s="44"/>
      <c r="DFR507" s="44"/>
      <c r="DFS507" s="44"/>
      <c r="DFT507" s="44"/>
      <c r="DFU507" s="44"/>
      <c r="DFV507" s="44"/>
      <c r="DFW507" s="44"/>
      <c r="DFX507" s="44"/>
      <c r="DFY507" s="44"/>
      <c r="DFZ507" s="44"/>
      <c r="DGA507" s="44"/>
      <c r="DGB507" s="44"/>
      <c r="DGC507" s="44"/>
      <c r="DGD507" s="44"/>
      <c r="DGE507" s="44"/>
      <c r="DGF507" s="44"/>
      <c r="DGG507" s="44"/>
      <c r="DGH507" s="44"/>
      <c r="DGI507" s="44"/>
      <c r="DGJ507" s="44"/>
      <c r="DGK507" s="44"/>
      <c r="DGL507" s="44"/>
      <c r="DGM507" s="44"/>
      <c r="DGN507" s="44"/>
      <c r="DGO507" s="44"/>
      <c r="DGP507" s="44"/>
      <c r="DGQ507" s="44"/>
      <c r="DGR507" s="44"/>
      <c r="DGS507" s="44"/>
      <c r="DGT507" s="44"/>
      <c r="DGU507" s="44"/>
      <c r="DGV507" s="44"/>
      <c r="DGW507" s="44"/>
      <c r="DGX507" s="44"/>
      <c r="DGY507" s="44"/>
      <c r="DGZ507" s="44"/>
      <c r="DHA507" s="44"/>
      <c r="DHB507" s="44"/>
      <c r="DHC507" s="44"/>
      <c r="DHD507" s="44"/>
      <c r="DHE507" s="44"/>
      <c r="DHF507" s="44"/>
      <c r="DHG507" s="44"/>
      <c r="DHH507" s="44"/>
      <c r="DHI507" s="44"/>
      <c r="DHJ507" s="44"/>
      <c r="DHK507" s="44"/>
      <c r="DHL507" s="44"/>
      <c r="DHM507" s="44"/>
      <c r="DHN507" s="44"/>
      <c r="DHO507" s="44"/>
      <c r="DHP507" s="44"/>
      <c r="DHQ507" s="44"/>
      <c r="DHR507" s="44"/>
      <c r="DHS507" s="44"/>
      <c r="DHT507" s="44"/>
      <c r="DHU507" s="44"/>
      <c r="DHV507" s="44"/>
      <c r="DHW507" s="44"/>
      <c r="DHX507" s="44"/>
      <c r="DHY507" s="44"/>
      <c r="DHZ507" s="44"/>
      <c r="DIA507" s="44"/>
      <c r="DIB507" s="44"/>
      <c r="DIC507" s="44"/>
      <c r="DID507" s="44"/>
      <c r="DIE507" s="44"/>
      <c r="DIF507" s="44"/>
      <c r="DIG507" s="44"/>
      <c r="DIH507" s="44"/>
      <c r="DII507" s="44"/>
      <c r="DIJ507" s="44"/>
      <c r="DIK507" s="44"/>
      <c r="DIL507" s="44"/>
      <c r="DIM507" s="44"/>
      <c r="DIN507" s="44"/>
      <c r="DIO507" s="44"/>
      <c r="DIP507" s="44"/>
      <c r="DIQ507" s="44"/>
      <c r="DIR507" s="44"/>
      <c r="DIS507" s="44"/>
      <c r="DIT507" s="44"/>
      <c r="DIU507" s="44"/>
      <c r="DIV507" s="44"/>
      <c r="DIW507" s="44"/>
      <c r="DIX507" s="44"/>
      <c r="DIY507" s="44"/>
      <c r="DIZ507" s="44"/>
      <c r="DJA507" s="44"/>
      <c r="DJB507" s="44"/>
      <c r="DJC507" s="44"/>
      <c r="DJD507" s="44"/>
      <c r="DJE507" s="44"/>
      <c r="DJF507" s="44"/>
      <c r="DJG507" s="44"/>
      <c r="DJH507" s="44"/>
      <c r="DJI507" s="44"/>
      <c r="DJJ507" s="44"/>
      <c r="DJK507" s="44"/>
      <c r="DJL507" s="44"/>
      <c r="DJM507" s="44"/>
      <c r="DJN507" s="44"/>
      <c r="DJO507" s="44"/>
      <c r="DJP507" s="44"/>
      <c r="DJQ507" s="44"/>
      <c r="DJR507" s="44"/>
      <c r="DJS507" s="44"/>
      <c r="DJT507" s="44"/>
      <c r="DJU507" s="44"/>
      <c r="DJV507" s="44"/>
      <c r="DJW507" s="44"/>
      <c r="DJX507" s="44"/>
      <c r="DJY507" s="44"/>
      <c r="DJZ507" s="44"/>
      <c r="DKA507" s="44"/>
      <c r="DKB507" s="44"/>
      <c r="DKC507" s="44"/>
      <c r="DKD507" s="44"/>
      <c r="DKE507" s="44"/>
      <c r="DKF507" s="44"/>
      <c r="DKG507" s="44"/>
      <c r="DKH507" s="44"/>
      <c r="DKI507" s="44"/>
      <c r="DKJ507" s="44"/>
      <c r="DKK507" s="44"/>
      <c r="DKL507" s="44"/>
      <c r="DKM507" s="44"/>
      <c r="DKN507" s="44"/>
      <c r="DKO507" s="44"/>
      <c r="DKP507" s="44"/>
      <c r="DKQ507" s="44"/>
      <c r="DKR507" s="44"/>
      <c r="DKS507" s="44"/>
      <c r="DKT507" s="44"/>
      <c r="DKU507" s="44"/>
      <c r="DKV507" s="44"/>
      <c r="DKW507" s="44"/>
      <c r="DKX507" s="44"/>
      <c r="DKY507" s="44"/>
      <c r="DKZ507" s="44"/>
      <c r="DLA507" s="44"/>
      <c r="DLB507" s="44"/>
      <c r="DLC507" s="44"/>
      <c r="DLD507" s="44"/>
      <c r="DLE507" s="44"/>
      <c r="DLF507" s="44"/>
      <c r="DLG507" s="44"/>
      <c r="DLH507" s="44"/>
      <c r="DLI507" s="44"/>
      <c r="DLJ507" s="44"/>
      <c r="DLK507" s="44"/>
      <c r="DLL507" s="44"/>
      <c r="DLM507" s="44"/>
      <c r="DLN507" s="44"/>
      <c r="DLO507" s="44"/>
      <c r="DLP507" s="44"/>
      <c r="DLQ507" s="44"/>
      <c r="DLR507" s="44"/>
      <c r="DLS507" s="44"/>
      <c r="DLT507" s="44"/>
      <c r="DLU507" s="44"/>
      <c r="DLV507" s="44"/>
      <c r="DLW507" s="44"/>
      <c r="DLX507" s="44"/>
      <c r="DLY507" s="44"/>
      <c r="DLZ507" s="44"/>
      <c r="DMA507" s="44"/>
      <c r="DMB507" s="44"/>
      <c r="DMC507" s="44"/>
      <c r="DMD507" s="44"/>
      <c r="DME507" s="44"/>
      <c r="DMF507" s="44"/>
      <c r="DMG507" s="44"/>
      <c r="DMH507" s="44"/>
      <c r="DMI507" s="44"/>
      <c r="DMJ507" s="44"/>
      <c r="DMK507" s="44"/>
      <c r="DML507" s="44"/>
      <c r="DMM507" s="44"/>
      <c r="DMN507" s="44"/>
      <c r="DMO507" s="44"/>
      <c r="DMP507" s="44"/>
      <c r="DMQ507" s="44"/>
      <c r="DMR507" s="44"/>
      <c r="DMS507" s="44"/>
      <c r="DMT507" s="44"/>
      <c r="DMU507" s="44"/>
      <c r="DMV507" s="44"/>
      <c r="DMW507" s="44"/>
      <c r="DMX507" s="44"/>
      <c r="DMY507" s="44"/>
      <c r="DMZ507" s="44"/>
      <c r="DNA507" s="44"/>
      <c r="DNB507" s="44"/>
      <c r="DNC507" s="44"/>
      <c r="DND507" s="44"/>
      <c r="DNE507" s="44"/>
      <c r="DNF507" s="44"/>
      <c r="DNG507" s="44"/>
      <c r="DNH507" s="44"/>
      <c r="DNI507" s="44"/>
      <c r="DNJ507" s="44"/>
      <c r="DNK507" s="44"/>
      <c r="DNL507" s="44"/>
      <c r="DNM507" s="44"/>
      <c r="DNN507" s="44"/>
      <c r="DNO507" s="44"/>
      <c r="DNP507" s="44"/>
      <c r="DNQ507" s="44"/>
      <c r="DNR507" s="44"/>
      <c r="DNS507" s="44"/>
      <c r="DNT507" s="44"/>
      <c r="DNU507" s="44"/>
      <c r="DNV507" s="44"/>
      <c r="DNW507" s="44"/>
      <c r="DNX507" s="44"/>
      <c r="DNY507" s="44"/>
      <c r="DNZ507" s="44"/>
      <c r="DOA507" s="44"/>
      <c r="DOB507" s="44"/>
      <c r="DOC507" s="44"/>
      <c r="DOD507" s="44"/>
      <c r="DOE507" s="44"/>
      <c r="DOF507" s="44"/>
      <c r="DOG507" s="44"/>
      <c r="DOH507" s="44"/>
      <c r="DOI507" s="44"/>
      <c r="DOJ507" s="44"/>
      <c r="DOK507" s="44"/>
      <c r="DOL507" s="44"/>
      <c r="DOM507" s="44"/>
      <c r="DON507" s="44"/>
      <c r="DOO507" s="44"/>
      <c r="DOP507" s="44"/>
      <c r="DOQ507" s="44"/>
      <c r="DOR507" s="44"/>
      <c r="DOS507" s="44"/>
      <c r="DOT507" s="44"/>
      <c r="DOU507" s="44"/>
      <c r="DOV507" s="44"/>
      <c r="DOW507" s="44"/>
      <c r="DOX507" s="44"/>
      <c r="DOY507" s="44"/>
      <c r="DOZ507" s="44"/>
      <c r="DPA507" s="44"/>
      <c r="DPB507" s="44"/>
      <c r="DPC507" s="44"/>
      <c r="DPD507" s="44"/>
      <c r="DPE507" s="44"/>
      <c r="DPF507" s="44"/>
      <c r="DPG507" s="44"/>
      <c r="DPH507" s="44"/>
      <c r="DPI507" s="44"/>
      <c r="DPJ507" s="44"/>
      <c r="DPK507" s="44"/>
      <c r="DPL507" s="44"/>
      <c r="DPM507" s="44"/>
      <c r="DPN507" s="44"/>
      <c r="DPO507" s="44"/>
      <c r="DPP507" s="44"/>
      <c r="DPQ507" s="44"/>
      <c r="DPR507" s="44"/>
      <c r="DPS507" s="44"/>
      <c r="DPT507" s="44"/>
      <c r="DPU507" s="44"/>
      <c r="DPV507" s="44"/>
      <c r="DPW507" s="44"/>
      <c r="DPX507" s="44"/>
      <c r="DPY507" s="44"/>
      <c r="DPZ507" s="44"/>
      <c r="DQA507" s="44"/>
      <c r="DQB507" s="44"/>
      <c r="DQC507" s="44"/>
      <c r="DQD507" s="44"/>
      <c r="DQE507" s="44"/>
      <c r="DQF507" s="44"/>
      <c r="DQG507" s="44"/>
      <c r="DQH507" s="44"/>
      <c r="DQI507" s="44"/>
      <c r="DQJ507" s="44"/>
      <c r="DQK507" s="44"/>
      <c r="DQL507" s="44"/>
      <c r="DQM507" s="44"/>
      <c r="DQN507" s="44"/>
      <c r="DQO507" s="44"/>
      <c r="DQP507" s="44"/>
      <c r="DQQ507" s="44"/>
      <c r="DQR507" s="44"/>
      <c r="DQS507" s="44"/>
      <c r="DQT507" s="44"/>
      <c r="DQU507" s="44"/>
      <c r="DQV507" s="44"/>
      <c r="DQW507" s="44"/>
      <c r="DQX507" s="44"/>
      <c r="DQY507" s="44"/>
      <c r="DQZ507" s="44"/>
      <c r="DRA507" s="44"/>
      <c r="DRB507" s="44"/>
      <c r="DRC507" s="44"/>
      <c r="DRD507" s="44"/>
      <c r="DRE507" s="44"/>
      <c r="DRF507" s="44"/>
      <c r="DRG507" s="44"/>
      <c r="DRH507" s="44"/>
      <c r="DRI507" s="44"/>
      <c r="DRJ507" s="44"/>
      <c r="DRK507" s="44"/>
      <c r="DRL507" s="44"/>
      <c r="DRM507" s="44"/>
      <c r="DRN507" s="44"/>
      <c r="DRO507" s="44"/>
      <c r="DRP507" s="44"/>
      <c r="DRQ507" s="44"/>
      <c r="DRR507" s="44"/>
      <c r="DRS507" s="44"/>
      <c r="DRT507" s="44"/>
      <c r="DRU507" s="44"/>
      <c r="DRV507" s="44"/>
      <c r="DRW507" s="44"/>
      <c r="DRX507" s="44"/>
      <c r="DRY507" s="44"/>
      <c r="DRZ507" s="44"/>
      <c r="DSA507" s="44"/>
      <c r="DSB507" s="44"/>
      <c r="DSC507" s="44"/>
      <c r="DSD507" s="44"/>
      <c r="DSE507" s="44"/>
      <c r="DSF507" s="44"/>
      <c r="DSG507" s="44"/>
      <c r="DSH507" s="44"/>
      <c r="DSI507" s="44"/>
      <c r="DSJ507" s="44"/>
      <c r="DSK507" s="44"/>
      <c r="DSL507" s="44"/>
      <c r="DSM507" s="44"/>
      <c r="DSN507" s="44"/>
      <c r="DSO507" s="44"/>
      <c r="DSP507" s="44"/>
      <c r="DSQ507" s="44"/>
      <c r="DSR507" s="44"/>
      <c r="DSS507" s="44"/>
      <c r="DST507" s="44"/>
      <c r="DSU507" s="44"/>
      <c r="DSV507" s="44"/>
      <c r="DSW507" s="44"/>
      <c r="DSX507" s="44"/>
      <c r="DSY507" s="44"/>
      <c r="DSZ507" s="44"/>
      <c r="DTA507" s="44"/>
      <c r="DTB507" s="44"/>
      <c r="DTC507" s="44"/>
      <c r="DTD507" s="44"/>
      <c r="DTE507" s="44"/>
      <c r="DTF507" s="44"/>
      <c r="DTG507" s="44"/>
      <c r="DTH507" s="44"/>
      <c r="DTI507" s="44"/>
      <c r="DTJ507" s="44"/>
      <c r="DTK507" s="44"/>
      <c r="DTL507" s="44"/>
      <c r="DTM507" s="44"/>
      <c r="DTN507" s="44"/>
      <c r="DTO507" s="44"/>
      <c r="DTP507" s="44"/>
      <c r="DTQ507" s="44"/>
      <c r="DTR507" s="44"/>
      <c r="DTS507" s="44"/>
      <c r="DTT507" s="44"/>
      <c r="DTU507" s="44"/>
      <c r="DTV507" s="44"/>
      <c r="DTW507" s="44"/>
      <c r="DTX507" s="44"/>
      <c r="DTY507" s="44"/>
      <c r="DTZ507" s="44"/>
      <c r="DUA507" s="44"/>
      <c r="DUB507" s="44"/>
      <c r="DUC507" s="44"/>
      <c r="DUD507" s="44"/>
      <c r="DUE507" s="44"/>
      <c r="DUF507" s="44"/>
      <c r="DUG507" s="44"/>
      <c r="DUH507" s="44"/>
      <c r="DUI507" s="44"/>
      <c r="DUJ507" s="44"/>
      <c r="DUK507" s="44"/>
      <c r="DUL507" s="44"/>
      <c r="DUM507" s="44"/>
      <c r="DUN507" s="44"/>
      <c r="DUO507" s="44"/>
      <c r="DUP507" s="44"/>
      <c r="DUQ507" s="44"/>
      <c r="DUR507" s="44"/>
      <c r="DUS507" s="44"/>
      <c r="DUT507" s="44"/>
      <c r="DUU507" s="44"/>
      <c r="DUV507" s="44"/>
      <c r="DUW507" s="44"/>
      <c r="DUX507" s="44"/>
      <c r="DUY507" s="44"/>
      <c r="DUZ507" s="44"/>
      <c r="DVA507" s="44"/>
      <c r="DVB507" s="44"/>
      <c r="DVC507" s="44"/>
      <c r="DVD507" s="44"/>
      <c r="DVE507" s="44"/>
      <c r="DVF507" s="44"/>
      <c r="DVG507" s="44"/>
      <c r="DVH507" s="44"/>
      <c r="DVI507" s="44"/>
      <c r="DVJ507" s="44"/>
      <c r="DVK507" s="44"/>
      <c r="DVL507" s="44"/>
      <c r="DVM507" s="44"/>
      <c r="DVN507" s="44"/>
      <c r="DVO507" s="44"/>
      <c r="DVP507" s="44"/>
      <c r="DVQ507" s="44"/>
      <c r="DVR507" s="44"/>
      <c r="DVS507" s="44"/>
      <c r="DVT507" s="44"/>
      <c r="DVU507" s="44"/>
      <c r="DVV507" s="44"/>
      <c r="DVW507" s="44"/>
      <c r="DVX507" s="44"/>
      <c r="DVY507" s="44"/>
      <c r="DVZ507" s="44"/>
      <c r="DWA507" s="44"/>
      <c r="DWB507" s="44"/>
      <c r="DWC507" s="44"/>
      <c r="DWD507" s="44"/>
      <c r="DWE507" s="44"/>
      <c r="DWF507" s="44"/>
      <c r="DWG507" s="44"/>
      <c r="DWH507" s="44"/>
      <c r="DWI507" s="44"/>
      <c r="DWJ507" s="44"/>
      <c r="DWK507" s="44"/>
      <c r="DWL507" s="44"/>
      <c r="DWM507" s="44"/>
      <c r="DWN507" s="44"/>
      <c r="DWO507" s="44"/>
      <c r="DWP507" s="44"/>
      <c r="DWQ507" s="44"/>
      <c r="DWR507" s="44"/>
      <c r="DWS507" s="44"/>
      <c r="DWT507" s="44"/>
      <c r="DWU507" s="44"/>
      <c r="DWV507" s="44"/>
      <c r="DWW507" s="44"/>
      <c r="DWX507" s="44"/>
      <c r="DWY507" s="44"/>
      <c r="DWZ507" s="44"/>
      <c r="DXA507" s="44"/>
      <c r="DXB507" s="44"/>
      <c r="DXC507" s="44"/>
      <c r="DXD507" s="44"/>
      <c r="DXE507" s="44"/>
      <c r="DXF507" s="44"/>
      <c r="DXG507" s="44"/>
      <c r="DXH507" s="44"/>
      <c r="DXI507" s="44"/>
      <c r="DXJ507" s="44"/>
      <c r="DXK507" s="44"/>
      <c r="DXL507" s="44"/>
      <c r="DXM507" s="44"/>
      <c r="DXN507" s="44"/>
      <c r="DXO507" s="44"/>
      <c r="DXP507" s="44"/>
      <c r="DXQ507" s="44"/>
      <c r="DXR507" s="44"/>
      <c r="DXS507" s="44"/>
      <c r="DXT507" s="44"/>
      <c r="DXU507" s="44"/>
      <c r="DXV507" s="44"/>
      <c r="DXW507" s="44"/>
      <c r="DXX507" s="44"/>
      <c r="DXY507" s="44"/>
      <c r="DXZ507" s="44"/>
      <c r="DYA507" s="44"/>
      <c r="DYB507" s="44"/>
      <c r="DYC507" s="44"/>
      <c r="DYD507" s="44"/>
      <c r="DYE507" s="44"/>
      <c r="DYF507" s="44"/>
      <c r="DYG507" s="44"/>
      <c r="DYH507" s="44"/>
      <c r="DYI507" s="44"/>
      <c r="DYJ507" s="44"/>
      <c r="DYK507" s="44"/>
      <c r="DYL507" s="44"/>
      <c r="DYM507" s="44"/>
      <c r="DYN507" s="44"/>
      <c r="DYO507" s="44"/>
      <c r="DYP507" s="44"/>
      <c r="DYQ507" s="44"/>
      <c r="DYR507" s="44"/>
      <c r="DYS507" s="44"/>
      <c r="DYT507" s="44"/>
      <c r="DYU507" s="44"/>
      <c r="DYV507" s="44"/>
      <c r="DYW507" s="44"/>
      <c r="DYX507" s="44"/>
      <c r="DYY507" s="44"/>
      <c r="DYZ507" s="44"/>
      <c r="DZA507" s="44"/>
      <c r="DZB507" s="44"/>
      <c r="DZC507" s="44"/>
      <c r="DZD507" s="44"/>
      <c r="DZE507" s="44"/>
      <c r="DZF507" s="44"/>
      <c r="DZG507" s="44"/>
      <c r="DZH507" s="44"/>
      <c r="DZI507" s="44"/>
      <c r="DZJ507" s="44"/>
      <c r="DZK507" s="44"/>
      <c r="DZL507" s="44"/>
      <c r="DZM507" s="44"/>
      <c r="DZN507" s="44"/>
      <c r="DZO507" s="44"/>
      <c r="DZP507" s="44"/>
      <c r="DZQ507" s="44"/>
      <c r="DZR507" s="44"/>
      <c r="DZS507" s="44"/>
      <c r="DZT507" s="44"/>
      <c r="DZU507" s="44"/>
      <c r="DZV507" s="44"/>
      <c r="DZW507" s="44"/>
      <c r="DZX507" s="44"/>
      <c r="DZY507" s="44"/>
      <c r="DZZ507" s="44"/>
      <c r="EAA507" s="44"/>
      <c r="EAB507" s="44"/>
      <c r="EAC507" s="44"/>
      <c r="EAD507" s="44"/>
      <c r="EAE507" s="44"/>
      <c r="EAF507" s="44"/>
      <c r="EAG507" s="44"/>
      <c r="EAH507" s="44"/>
      <c r="EAI507" s="44"/>
      <c r="EAJ507" s="44"/>
      <c r="EAK507" s="44"/>
      <c r="EAL507" s="44"/>
      <c r="EAM507" s="44"/>
      <c r="EAN507" s="44"/>
      <c r="EAO507" s="44"/>
      <c r="EAP507" s="44"/>
      <c r="EAQ507" s="44"/>
      <c r="EAR507" s="44"/>
      <c r="EAS507" s="44"/>
      <c r="EAT507" s="44"/>
      <c r="EAU507" s="44"/>
      <c r="EAV507" s="44"/>
      <c r="EAW507" s="44"/>
      <c r="EAX507" s="44"/>
      <c r="EAY507" s="44"/>
      <c r="EAZ507" s="44"/>
      <c r="EBA507" s="44"/>
      <c r="EBB507" s="44"/>
      <c r="EBC507" s="44"/>
      <c r="EBD507" s="44"/>
      <c r="EBE507" s="44"/>
      <c r="EBF507" s="44"/>
      <c r="EBG507" s="44"/>
      <c r="EBH507" s="44"/>
      <c r="EBI507" s="44"/>
      <c r="EBJ507" s="44"/>
      <c r="EBK507" s="44"/>
      <c r="EBL507" s="44"/>
      <c r="EBM507" s="44"/>
      <c r="EBN507" s="44"/>
      <c r="EBO507" s="44"/>
      <c r="EBP507" s="44"/>
      <c r="EBQ507" s="44"/>
      <c r="EBR507" s="44"/>
      <c r="EBS507" s="44"/>
      <c r="EBT507" s="44"/>
      <c r="EBU507" s="44"/>
      <c r="EBV507" s="44"/>
      <c r="EBW507" s="44"/>
      <c r="EBX507" s="44"/>
      <c r="EBY507" s="44"/>
      <c r="EBZ507" s="44"/>
      <c r="ECA507" s="44"/>
      <c r="ECB507" s="44"/>
      <c r="ECC507" s="44"/>
      <c r="ECD507" s="44"/>
      <c r="ECE507" s="44"/>
      <c r="ECF507" s="44"/>
      <c r="ECG507" s="44"/>
      <c r="ECH507" s="44"/>
      <c r="ECI507" s="44"/>
      <c r="ECJ507" s="44"/>
      <c r="ECK507" s="44"/>
      <c r="ECL507" s="44"/>
      <c r="ECM507" s="44"/>
      <c r="ECN507" s="44"/>
      <c r="ECO507" s="44"/>
      <c r="ECP507" s="44"/>
      <c r="ECQ507" s="44"/>
      <c r="ECR507" s="44"/>
      <c r="ECS507" s="44"/>
      <c r="ECT507" s="44"/>
      <c r="ECU507" s="44"/>
      <c r="ECV507" s="44"/>
      <c r="ECW507" s="44"/>
      <c r="ECX507" s="44"/>
      <c r="ECY507" s="44"/>
      <c r="ECZ507" s="44"/>
      <c r="EDA507" s="44"/>
      <c r="EDB507" s="44"/>
      <c r="EDC507" s="44"/>
      <c r="EDD507" s="44"/>
      <c r="EDE507" s="44"/>
      <c r="EDF507" s="44"/>
      <c r="EDG507" s="44"/>
      <c r="EDH507" s="44"/>
      <c r="EDI507" s="44"/>
      <c r="EDJ507" s="44"/>
      <c r="EDK507" s="44"/>
      <c r="EDL507" s="44"/>
      <c r="EDM507" s="44"/>
      <c r="EDN507" s="44"/>
      <c r="EDO507" s="44"/>
      <c r="EDP507" s="44"/>
      <c r="EDQ507" s="44"/>
      <c r="EDR507" s="44"/>
      <c r="EDS507" s="44"/>
      <c r="EDT507" s="44"/>
      <c r="EDU507" s="44"/>
      <c r="EDV507" s="44"/>
      <c r="EDW507" s="44"/>
      <c r="EDX507" s="44"/>
      <c r="EDY507" s="44"/>
      <c r="EDZ507" s="44"/>
      <c r="EEA507" s="44"/>
      <c r="EEB507" s="44"/>
      <c r="EEC507" s="44"/>
      <c r="EED507" s="44"/>
      <c r="EEE507" s="44"/>
      <c r="EEF507" s="44"/>
      <c r="EEG507" s="44"/>
      <c r="EEH507" s="44"/>
      <c r="EEI507" s="44"/>
      <c r="EEJ507" s="44"/>
      <c r="EEK507" s="44"/>
      <c r="EEL507" s="44"/>
      <c r="EEM507" s="44"/>
      <c r="EEN507" s="44"/>
      <c r="EEO507" s="44"/>
      <c r="EEP507" s="44"/>
      <c r="EEQ507" s="44"/>
      <c r="EER507" s="44"/>
      <c r="EES507" s="44"/>
      <c r="EET507" s="44"/>
      <c r="EEU507" s="44"/>
      <c r="EEV507" s="44"/>
      <c r="EEW507" s="44"/>
      <c r="EEX507" s="44"/>
      <c r="EEY507" s="44"/>
      <c r="EEZ507" s="44"/>
      <c r="EFA507" s="44"/>
      <c r="EFB507" s="44"/>
      <c r="EFC507" s="44"/>
      <c r="EFD507" s="44"/>
      <c r="EFE507" s="44"/>
      <c r="EFF507" s="44"/>
      <c r="EFG507" s="44"/>
      <c r="EFH507" s="44"/>
      <c r="EFI507" s="44"/>
      <c r="EFJ507" s="44"/>
      <c r="EFK507" s="44"/>
      <c r="EFL507" s="44"/>
      <c r="EFM507" s="44"/>
      <c r="EFN507" s="44"/>
      <c r="EFO507" s="44"/>
      <c r="EFP507" s="44"/>
      <c r="EFQ507" s="44"/>
      <c r="EFR507" s="44"/>
      <c r="EFS507" s="44"/>
      <c r="EFT507" s="44"/>
      <c r="EFU507" s="44"/>
      <c r="EFV507" s="44"/>
      <c r="EFW507" s="44"/>
      <c r="EFX507" s="44"/>
      <c r="EFY507" s="44"/>
      <c r="EFZ507" s="44"/>
      <c r="EGA507" s="44"/>
      <c r="EGB507" s="44"/>
      <c r="EGC507" s="44"/>
      <c r="EGD507" s="44"/>
      <c r="EGE507" s="44"/>
      <c r="EGF507" s="44"/>
      <c r="EGG507" s="44"/>
      <c r="EGH507" s="44"/>
      <c r="EGI507" s="44"/>
      <c r="EGJ507" s="44"/>
      <c r="EGK507" s="44"/>
      <c r="EGL507" s="44"/>
      <c r="EGM507" s="44"/>
      <c r="EGN507" s="44"/>
      <c r="EGO507" s="44"/>
      <c r="EGP507" s="44"/>
      <c r="EGQ507" s="44"/>
      <c r="EGR507" s="44"/>
      <c r="EGS507" s="44"/>
      <c r="EGT507" s="44"/>
      <c r="EGU507" s="44"/>
      <c r="EGV507" s="44"/>
      <c r="EGW507" s="44"/>
      <c r="EGX507" s="44"/>
      <c r="EGY507" s="44"/>
      <c r="EGZ507" s="44"/>
      <c r="EHA507" s="44"/>
      <c r="EHB507" s="44"/>
      <c r="EHC507" s="44"/>
      <c r="EHD507" s="44"/>
      <c r="EHE507" s="44"/>
      <c r="EHF507" s="44"/>
      <c r="EHG507" s="44"/>
      <c r="EHH507" s="44"/>
      <c r="EHI507" s="44"/>
      <c r="EHJ507" s="44"/>
      <c r="EHK507" s="44"/>
      <c r="EHL507" s="44"/>
      <c r="EHM507" s="44"/>
      <c r="EHN507" s="44"/>
      <c r="EHO507" s="44"/>
      <c r="EHP507" s="44"/>
      <c r="EHQ507" s="44"/>
      <c r="EHR507" s="44"/>
      <c r="EHS507" s="44"/>
      <c r="EHT507" s="44"/>
      <c r="EHU507" s="44"/>
      <c r="EHV507" s="44"/>
      <c r="EHW507" s="44"/>
      <c r="EHX507" s="44"/>
      <c r="EHY507" s="44"/>
      <c r="EHZ507" s="44"/>
      <c r="EIA507" s="44"/>
      <c r="EIB507" s="44"/>
      <c r="EIC507" s="44"/>
      <c r="EID507" s="44"/>
      <c r="EIE507" s="44"/>
      <c r="EIF507" s="44"/>
      <c r="EIG507" s="44"/>
      <c r="EIH507" s="44"/>
      <c r="EII507" s="44"/>
      <c r="EIJ507" s="44"/>
      <c r="EIK507" s="44"/>
      <c r="EIL507" s="44"/>
      <c r="EIM507" s="44"/>
      <c r="EIN507" s="44"/>
      <c r="EIO507" s="44"/>
      <c r="EIP507" s="44"/>
      <c r="EIQ507" s="44"/>
      <c r="EIR507" s="44"/>
      <c r="EIS507" s="44"/>
      <c r="EIT507" s="44"/>
      <c r="EIU507" s="44"/>
      <c r="EIV507" s="44"/>
      <c r="EIW507" s="44"/>
      <c r="EIX507" s="44"/>
      <c r="EIY507" s="44"/>
      <c r="EIZ507" s="44"/>
      <c r="EJA507" s="44"/>
      <c r="EJB507" s="44"/>
      <c r="EJC507" s="44"/>
      <c r="EJD507" s="44"/>
      <c r="EJE507" s="44"/>
      <c r="EJF507" s="44"/>
      <c r="EJG507" s="44"/>
      <c r="EJH507" s="44"/>
      <c r="EJI507" s="44"/>
      <c r="EJJ507" s="44"/>
      <c r="EJK507" s="44"/>
      <c r="EJL507" s="44"/>
      <c r="EJM507" s="44"/>
      <c r="EJN507" s="44"/>
      <c r="EJO507" s="44"/>
      <c r="EJP507" s="44"/>
      <c r="EJQ507" s="44"/>
      <c r="EJR507" s="44"/>
      <c r="EJS507" s="44"/>
      <c r="EJT507" s="44"/>
      <c r="EJU507" s="44"/>
      <c r="EJV507" s="44"/>
      <c r="EJW507" s="44"/>
      <c r="EJX507" s="44"/>
      <c r="EJY507" s="44"/>
      <c r="EJZ507" s="44"/>
      <c r="EKA507" s="44"/>
      <c r="EKB507" s="44"/>
      <c r="EKC507" s="44"/>
      <c r="EKD507" s="44"/>
      <c r="EKE507" s="44"/>
      <c r="EKF507" s="44"/>
      <c r="EKG507" s="44"/>
      <c r="EKH507" s="44"/>
      <c r="EKI507" s="44"/>
      <c r="EKJ507" s="44"/>
      <c r="EKK507" s="44"/>
      <c r="EKL507" s="44"/>
      <c r="EKM507" s="44"/>
      <c r="EKN507" s="44"/>
      <c r="EKO507" s="44"/>
      <c r="EKP507" s="44"/>
      <c r="EKQ507" s="44"/>
      <c r="EKR507" s="44"/>
      <c r="EKS507" s="44"/>
      <c r="EKT507" s="44"/>
      <c r="EKU507" s="44"/>
      <c r="EKV507" s="44"/>
      <c r="EKW507" s="44"/>
      <c r="EKX507" s="44"/>
      <c r="EKY507" s="44"/>
      <c r="EKZ507" s="44"/>
      <c r="ELA507" s="44"/>
      <c r="ELB507" s="44"/>
      <c r="ELC507" s="44"/>
      <c r="ELD507" s="44"/>
      <c r="ELE507" s="44"/>
      <c r="ELF507" s="44"/>
      <c r="ELG507" s="44"/>
      <c r="ELH507" s="44"/>
      <c r="ELI507" s="44"/>
      <c r="ELJ507" s="44"/>
      <c r="ELK507" s="44"/>
      <c r="ELL507" s="44"/>
      <c r="ELM507" s="44"/>
      <c r="ELN507" s="44"/>
      <c r="ELO507" s="44"/>
      <c r="ELP507" s="44"/>
      <c r="ELQ507" s="44"/>
      <c r="ELR507" s="44"/>
      <c r="ELS507" s="44"/>
      <c r="ELT507" s="44"/>
      <c r="ELU507" s="44"/>
      <c r="ELV507" s="44"/>
      <c r="ELW507" s="44"/>
      <c r="ELX507" s="44"/>
      <c r="ELY507" s="44"/>
      <c r="ELZ507" s="44"/>
      <c r="EMA507" s="44"/>
      <c r="EMB507" s="44"/>
      <c r="EMC507" s="44"/>
      <c r="EMD507" s="44"/>
      <c r="EME507" s="44"/>
      <c r="EMF507" s="44"/>
      <c r="EMG507" s="44"/>
      <c r="EMH507" s="44"/>
      <c r="EMI507" s="44"/>
      <c r="EMJ507" s="44"/>
      <c r="EMK507" s="44"/>
      <c r="EML507" s="44"/>
      <c r="EMM507" s="44"/>
      <c r="EMN507" s="44"/>
      <c r="EMO507" s="44"/>
      <c r="EMP507" s="44"/>
      <c r="EMQ507" s="44"/>
      <c r="EMR507" s="44"/>
      <c r="EMS507" s="44"/>
      <c r="EMT507" s="44"/>
      <c r="EMU507" s="44"/>
      <c r="EMV507" s="44"/>
      <c r="EMW507" s="44"/>
      <c r="EMX507" s="44"/>
      <c r="EMY507" s="44"/>
      <c r="EMZ507" s="44"/>
      <c r="ENA507" s="44"/>
      <c r="ENB507" s="44"/>
      <c r="ENC507" s="44"/>
      <c r="END507" s="44"/>
      <c r="ENE507" s="44"/>
      <c r="ENF507" s="44"/>
      <c r="ENG507" s="44"/>
      <c r="ENH507" s="44"/>
      <c r="ENI507" s="44"/>
      <c r="ENJ507" s="44"/>
      <c r="ENK507" s="44"/>
      <c r="ENL507" s="44"/>
      <c r="ENM507" s="44"/>
      <c r="ENN507" s="44"/>
      <c r="ENO507" s="44"/>
      <c r="ENP507" s="44"/>
      <c r="ENQ507" s="44"/>
      <c r="ENR507" s="44"/>
      <c r="ENS507" s="44"/>
      <c r="ENT507" s="44"/>
      <c r="ENU507" s="44"/>
      <c r="ENV507" s="44"/>
      <c r="ENW507" s="44"/>
      <c r="ENX507" s="44"/>
      <c r="ENY507" s="44"/>
      <c r="ENZ507" s="44"/>
      <c r="EOA507" s="44"/>
      <c r="EOB507" s="44"/>
      <c r="EOC507" s="44"/>
      <c r="EOD507" s="44"/>
      <c r="EOE507" s="44"/>
      <c r="EOF507" s="44"/>
      <c r="EOG507" s="44"/>
      <c r="EOH507" s="44"/>
      <c r="EOI507" s="44"/>
      <c r="EOJ507" s="44"/>
      <c r="EOK507" s="44"/>
      <c r="EOL507" s="44"/>
      <c r="EOM507" s="44"/>
      <c r="EON507" s="44"/>
      <c r="EOO507" s="44"/>
      <c r="EOP507" s="44"/>
      <c r="EOQ507" s="44"/>
      <c r="EOR507" s="44"/>
      <c r="EOS507" s="44"/>
      <c r="EOT507" s="44"/>
      <c r="EOU507" s="44"/>
      <c r="EOV507" s="44"/>
      <c r="EOW507" s="44"/>
      <c r="EOX507" s="44"/>
      <c r="EOY507" s="44"/>
      <c r="EOZ507" s="44"/>
      <c r="EPA507" s="44"/>
      <c r="EPB507" s="44"/>
      <c r="EPC507" s="44"/>
      <c r="EPD507" s="44"/>
      <c r="EPE507" s="44"/>
      <c r="EPF507" s="44"/>
      <c r="EPG507" s="44"/>
      <c r="EPH507" s="44"/>
      <c r="EPI507" s="44"/>
      <c r="EPJ507" s="44"/>
      <c r="EPK507" s="44"/>
      <c r="EPL507" s="44"/>
      <c r="EPM507" s="44"/>
      <c r="EPN507" s="44"/>
      <c r="EPO507" s="44"/>
      <c r="EPP507" s="44"/>
      <c r="EPQ507" s="44"/>
      <c r="EPR507" s="44"/>
      <c r="EPS507" s="44"/>
      <c r="EPT507" s="44"/>
      <c r="EPU507" s="44"/>
      <c r="EPV507" s="44"/>
      <c r="EPW507" s="44"/>
      <c r="EPX507" s="44"/>
      <c r="EPY507" s="44"/>
      <c r="EPZ507" s="44"/>
      <c r="EQA507" s="44"/>
      <c r="EQB507" s="44"/>
      <c r="EQC507" s="44"/>
      <c r="EQD507" s="44"/>
      <c r="EQE507" s="44"/>
      <c r="EQF507" s="44"/>
      <c r="EQG507" s="44"/>
      <c r="EQH507" s="44"/>
      <c r="EQI507" s="44"/>
      <c r="EQJ507" s="44"/>
      <c r="EQK507" s="44"/>
      <c r="EQL507" s="44"/>
      <c r="EQM507" s="44"/>
      <c r="EQN507" s="44"/>
      <c r="EQO507" s="44"/>
      <c r="EQP507" s="44"/>
      <c r="EQQ507" s="44"/>
      <c r="EQR507" s="44"/>
      <c r="EQS507" s="44"/>
      <c r="EQT507" s="44"/>
      <c r="EQU507" s="44"/>
      <c r="EQV507" s="44"/>
      <c r="EQW507" s="44"/>
      <c r="EQX507" s="44"/>
      <c r="EQY507" s="44"/>
      <c r="EQZ507" s="44"/>
      <c r="ERA507" s="44"/>
      <c r="ERB507" s="44"/>
      <c r="ERC507" s="44"/>
      <c r="ERD507" s="44"/>
      <c r="ERE507" s="44"/>
      <c r="ERF507" s="44"/>
      <c r="ERG507" s="44"/>
      <c r="ERH507" s="44"/>
      <c r="ERI507" s="44"/>
      <c r="ERJ507" s="44"/>
      <c r="ERK507" s="44"/>
      <c r="ERL507" s="44"/>
      <c r="ERM507" s="44"/>
      <c r="ERN507" s="44"/>
      <c r="ERO507" s="44"/>
      <c r="ERP507" s="44"/>
      <c r="ERQ507" s="44"/>
      <c r="ERR507" s="44"/>
      <c r="ERS507" s="44"/>
      <c r="ERT507" s="44"/>
      <c r="ERU507" s="44"/>
      <c r="ERV507" s="44"/>
      <c r="ERW507" s="44"/>
      <c r="ERX507" s="44"/>
      <c r="ERY507" s="44"/>
      <c r="ERZ507" s="44"/>
      <c r="ESA507" s="44"/>
      <c r="ESB507" s="44"/>
      <c r="ESC507" s="44"/>
      <c r="ESD507" s="44"/>
      <c r="ESE507" s="44"/>
      <c r="ESF507" s="44"/>
      <c r="ESG507" s="44"/>
      <c r="ESH507" s="44"/>
      <c r="ESI507" s="44"/>
      <c r="ESJ507" s="44"/>
      <c r="ESK507" s="44"/>
      <c r="ESL507" s="44"/>
      <c r="ESM507" s="44"/>
      <c r="ESN507" s="44"/>
      <c r="ESO507" s="44"/>
      <c r="ESP507" s="44"/>
      <c r="ESQ507" s="44"/>
      <c r="ESR507" s="44"/>
      <c r="ESS507" s="44"/>
      <c r="EST507" s="44"/>
      <c r="ESU507" s="44"/>
      <c r="ESV507" s="44"/>
      <c r="ESW507" s="44"/>
      <c r="ESX507" s="44"/>
      <c r="ESY507" s="44"/>
      <c r="ESZ507" s="44"/>
      <c r="ETA507" s="44"/>
      <c r="ETB507" s="44"/>
      <c r="ETC507" s="44"/>
      <c r="ETD507" s="44"/>
      <c r="ETE507" s="44"/>
      <c r="ETF507" s="44"/>
      <c r="ETG507" s="44"/>
      <c r="ETH507" s="44"/>
      <c r="ETI507" s="44"/>
      <c r="ETJ507" s="44"/>
      <c r="ETK507" s="44"/>
      <c r="ETL507" s="44"/>
      <c r="ETM507" s="44"/>
      <c r="ETN507" s="44"/>
      <c r="ETO507" s="44"/>
      <c r="ETP507" s="44"/>
      <c r="ETQ507" s="44"/>
      <c r="ETR507" s="44"/>
      <c r="ETS507" s="44"/>
      <c r="ETT507" s="44"/>
      <c r="ETU507" s="44"/>
      <c r="ETV507" s="44"/>
      <c r="ETW507" s="44"/>
      <c r="ETX507" s="44"/>
      <c r="ETY507" s="44"/>
      <c r="ETZ507" s="44"/>
      <c r="EUA507" s="44"/>
      <c r="EUB507" s="44"/>
      <c r="EUC507" s="44"/>
      <c r="EUD507" s="44"/>
      <c r="EUE507" s="44"/>
      <c r="EUF507" s="44"/>
      <c r="EUG507" s="44"/>
      <c r="EUH507" s="44"/>
      <c r="EUI507" s="44"/>
      <c r="EUJ507" s="44"/>
      <c r="EUK507" s="44"/>
      <c r="EUL507" s="44"/>
      <c r="EUM507" s="44"/>
      <c r="EUN507" s="44"/>
      <c r="EUO507" s="44"/>
      <c r="EUP507" s="44"/>
      <c r="EUQ507" s="44"/>
      <c r="EUR507" s="44"/>
      <c r="EUS507" s="44"/>
      <c r="EUT507" s="44"/>
      <c r="EUU507" s="44"/>
      <c r="EUV507" s="44"/>
      <c r="EUW507" s="44"/>
      <c r="EUX507" s="44"/>
      <c r="EUY507" s="44"/>
      <c r="EUZ507" s="44"/>
      <c r="EVA507" s="44"/>
      <c r="EVB507" s="44"/>
      <c r="EVC507" s="44"/>
      <c r="EVD507" s="44"/>
      <c r="EVE507" s="44"/>
      <c r="EVF507" s="44"/>
      <c r="EVG507" s="44"/>
      <c r="EVH507" s="44"/>
      <c r="EVI507" s="44"/>
      <c r="EVJ507" s="44"/>
      <c r="EVK507" s="44"/>
      <c r="EVL507" s="44"/>
      <c r="EVM507" s="44"/>
      <c r="EVN507" s="44"/>
      <c r="EVO507" s="44"/>
      <c r="EVP507" s="44"/>
      <c r="EVQ507" s="44"/>
      <c r="EVR507" s="44"/>
      <c r="EVS507" s="44"/>
      <c r="EVT507" s="44"/>
      <c r="EVU507" s="44"/>
      <c r="EVV507" s="44"/>
      <c r="EVW507" s="44"/>
      <c r="EVX507" s="44"/>
      <c r="EVY507" s="44"/>
      <c r="EVZ507" s="44"/>
      <c r="EWA507" s="44"/>
      <c r="EWB507" s="44"/>
      <c r="EWC507" s="44"/>
      <c r="EWD507" s="44"/>
      <c r="EWE507" s="44"/>
      <c r="EWF507" s="44"/>
      <c r="EWG507" s="44"/>
      <c r="EWH507" s="44"/>
      <c r="EWI507" s="44"/>
      <c r="EWJ507" s="44"/>
      <c r="EWK507" s="44"/>
      <c r="EWL507" s="44"/>
      <c r="EWM507" s="44"/>
      <c r="EWN507" s="44"/>
      <c r="EWO507" s="44"/>
      <c r="EWP507" s="44"/>
      <c r="EWQ507" s="44"/>
      <c r="EWR507" s="44"/>
      <c r="EWS507" s="44"/>
      <c r="EWT507" s="44"/>
      <c r="EWU507" s="44"/>
      <c r="EWV507" s="44"/>
      <c r="EWW507" s="44"/>
      <c r="EWX507" s="44"/>
      <c r="EWY507" s="44"/>
      <c r="EWZ507" s="44"/>
      <c r="EXA507" s="44"/>
      <c r="EXB507" s="44"/>
      <c r="EXC507" s="44"/>
      <c r="EXD507" s="44"/>
      <c r="EXE507" s="44"/>
      <c r="EXF507" s="44"/>
      <c r="EXG507" s="44"/>
      <c r="EXH507" s="44"/>
      <c r="EXI507" s="44"/>
      <c r="EXJ507" s="44"/>
      <c r="EXK507" s="44"/>
      <c r="EXL507" s="44"/>
      <c r="EXM507" s="44"/>
      <c r="EXN507" s="44"/>
      <c r="EXO507" s="44"/>
      <c r="EXP507" s="44"/>
      <c r="EXQ507" s="44"/>
      <c r="EXR507" s="44"/>
      <c r="EXS507" s="44"/>
      <c r="EXT507" s="44"/>
      <c r="EXU507" s="44"/>
      <c r="EXV507" s="44"/>
      <c r="EXW507" s="44"/>
      <c r="EXX507" s="44"/>
      <c r="EXY507" s="44"/>
      <c r="EXZ507" s="44"/>
      <c r="EYA507" s="44"/>
      <c r="EYB507" s="44"/>
      <c r="EYC507" s="44"/>
      <c r="EYD507" s="44"/>
      <c r="EYE507" s="44"/>
      <c r="EYF507" s="44"/>
      <c r="EYG507" s="44"/>
      <c r="EYH507" s="44"/>
      <c r="EYI507" s="44"/>
      <c r="EYJ507" s="44"/>
      <c r="EYK507" s="44"/>
      <c r="EYL507" s="44"/>
      <c r="EYM507" s="44"/>
      <c r="EYN507" s="44"/>
      <c r="EYO507" s="44"/>
      <c r="EYP507" s="44"/>
      <c r="EYQ507" s="44"/>
      <c r="EYR507" s="44"/>
      <c r="EYS507" s="44"/>
      <c r="EYT507" s="44"/>
      <c r="EYU507" s="44"/>
      <c r="EYV507" s="44"/>
      <c r="EYW507" s="44"/>
      <c r="EYX507" s="44"/>
      <c r="EYY507" s="44"/>
      <c r="EYZ507" s="44"/>
      <c r="EZA507" s="44"/>
      <c r="EZB507" s="44"/>
      <c r="EZC507" s="44"/>
      <c r="EZD507" s="44"/>
      <c r="EZE507" s="44"/>
      <c r="EZF507" s="44"/>
      <c r="EZG507" s="44"/>
      <c r="EZH507" s="44"/>
      <c r="EZI507" s="44"/>
      <c r="EZJ507" s="44"/>
      <c r="EZK507" s="44"/>
      <c r="EZL507" s="44"/>
      <c r="EZM507" s="44"/>
      <c r="EZN507" s="44"/>
      <c r="EZO507" s="44"/>
      <c r="EZP507" s="44"/>
      <c r="EZQ507" s="44"/>
      <c r="EZR507" s="44"/>
      <c r="EZS507" s="44"/>
      <c r="EZT507" s="44"/>
      <c r="EZU507" s="44"/>
      <c r="EZV507" s="44"/>
      <c r="EZW507" s="44"/>
      <c r="EZX507" s="44"/>
      <c r="EZY507" s="44"/>
      <c r="EZZ507" s="44"/>
      <c r="FAA507" s="44"/>
      <c r="FAB507" s="44"/>
      <c r="FAC507" s="44"/>
      <c r="FAD507" s="44"/>
      <c r="FAE507" s="44"/>
      <c r="FAF507" s="44"/>
      <c r="FAG507" s="44"/>
      <c r="FAH507" s="44"/>
      <c r="FAI507" s="44"/>
      <c r="FAJ507" s="44"/>
      <c r="FAK507" s="44"/>
      <c r="FAL507" s="44"/>
      <c r="FAM507" s="44"/>
      <c r="FAN507" s="44"/>
      <c r="FAO507" s="44"/>
      <c r="FAP507" s="44"/>
      <c r="FAQ507" s="44"/>
      <c r="FAR507" s="44"/>
      <c r="FAS507" s="44"/>
      <c r="FAT507" s="44"/>
      <c r="FAU507" s="44"/>
      <c r="FAV507" s="44"/>
      <c r="FAW507" s="44"/>
      <c r="FAX507" s="44"/>
      <c r="FAY507" s="44"/>
      <c r="FAZ507" s="44"/>
      <c r="FBA507" s="44"/>
      <c r="FBB507" s="44"/>
      <c r="FBC507" s="44"/>
      <c r="FBD507" s="44"/>
      <c r="FBE507" s="44"/>
      <c r="FBF507" s="44"/>
      <c r="FBG507" s="44"/>
      <c r="FBH507" s="44"/>
      <c r="FBI507" s="44"/>
      <c r="FBJ507" s="44"/>
      <c r="FBK507" s="44"/>
      <c r="FBL507" s="44"/>
      <c r="FBM507" s="44"/>
      <c r="FBN507" s="44"/>
      <c r="FBO507" s="44"/>
      <c r="FBP507" s="44"/>
      <c r="FBQ507" s="44"/>
      <c r="FBR507" s="44"/>
      <c r="FBS507" s="44"/>
      <c r="FBT507" s="44"/>
      <c r="FBU507" s="44"/>
      <c r="FBV507" s="44"/>
      <c r="FBW507" s="44"/>
      <c r="FBX507" s="44"/>
      <c r="FBY507" s="44"/>
      <c r="FBZ507" s="44"/>
      <c r="FCA507" s="44"/>
      <c r="FCB507" s="44"/>
      <c r="FCC507" s="44"/>
      <c r="FCD507" s="44"/>
      <c r="FCE507" s="44"/>
      <c r="FCF507" s="44"/>
      <c r="FCG507" s="44"/>
      <c r="FCH507" s="44"/>
      <c r="FCI507" s="44"/>
      <c r="FCJ507" s="44"/>
      <c r="FCK507" s="44"/>
      <c r="FCL507" s="44"/>
      <c r="FCM507" s="44"/>
      <c r="FCN507" s="44"/>
      <c r="FCO507" s="44"/>
      <c r="FCP507" s="44"/>
      <c r="FCQ507" s="44"/>
      <c r="FCR507" s="44"/>
      <c r="FCS507" s="44"/>
      <c r="FCT507" s="44"/>
      <c r="FCU507" s="44"/>
      <c r="FCV507" s="44"/>
      <c r="FCW507" s="44"/>
      <c r="FCX507" s="44"/>
      <c r="FCY507" s="44"/>
      <c r="FCZ507" s="44"/>
      <c r="FDA507" s="44"/>
      <c r="FDB507" s="44"/>
      <c r="FDC507" s="44"/>
      <c r="FDD507" s="44"/>
      <c r="FDE507" s="44"/>
      <c r="FDF507" s="44"/>
      <c r="FDG507" s="44"/>
      <c r="FDH507" s="44"/>
      <c r="FDI507" s="44"/>
      <c r="FDJ507" s="44"/>
      <c r="FDK507" s="44"/>
      <c r="FDL507" s="44"/>
      <c r="FDM507" s="44"/>
      <c r="FDN507" s="44"/>
      <c r="FDO507" s="44"/>
      <c r="FDP507" s="44"/>
      <c r="FDQ507" s="44"/>
      <c r="FDR507" s="44"/>
      <c r="FDS507" s="44"/>
      <c r="FDT507" s="44"/>
      <c r="FDU507" s="44"/>
      <c r="FDV507" s="44"/>
      <c r="FDW507" s="44"/>
      <c r="FDX507" s="44"/>
      <c r="FDY507" s="44"/>
      <c r="FDZ507" s="44"/>
      <c r="FEA507" s="44"/>
      <c r="FEB507" s="44"/>
      <c r="FEC507" s="44"/>
      <c r="FED507" s="44"/>
      <c r="FEE507" s="44"/>
      <c r="FEF507" s="44"/>
      <c r="FEG507" s="44"/>
      <c r="FEH507" s="44"/>
      <c r="FEI507" s="44"/>
      <c r="FEJ507" s="44"/>
      <c r="FEK507" s="44"/>
      <c r="FEL507" s="44"/>
      <c r="FEM507" s="44"/>
      <c r="FEN507" s="44"/>
      <c r="FEO507" s="44"/>
      <c r="FEP507" s="44"/>
      <c r="FEQ507" s="44"/>
      <c r="FER507" s="44"/>
      <c r="FES507" s="44"/>
      <c r="FET507" s="44"/>
      <c r="FEU507" s="44"/>
      <c r="FEV507" s="44"/>
      <c r="FEW507" s="44"/>
      <c r="FEX507" s="44"/>
      <c r="FEY507" s="44"/>
      <c r="FEZ507" s="44"/>
      <c r="FFA507" s="44"/>
      <c r="FFB507" s="44"/>
      <c r="FFC507" s="44"/>
      <c r="FFD507" s="44"/>
      <c r="FFE507" s="44"/>
      <c r="FFF507" s="44"/>
      <c r="FFG507" s="44"/>
      <c r="FFH507" s="44"/>
      <c r="FFI507" s="44"/>
      <c r="FFJ507" s="44"/>
      <c r="FFK507" s="44"/>
      <c r="FFL507" s="44"/>
      <c r="FFM507" s="44"/>
      <c r="FFN507" s="44"/>
      <c r="FFO507" s="44"/>
      <c r="FFP507" s="44"/>
      <c r="FFQ507" s="44"/>
      <c r="FFR507" s="44"/>
      <c r="FFS507" s="44"/>
      <c r="FFT507" s="44"/>
      <c r="FFU507" s="44"/>
      <c r="FFV507" s="44"/>
      <c r="FFW507" s="44"/>
      <c r="FFX507" s="44"/>
      <c r="FFY507" s="44"/>
      <c r="FFZ507" s="44"/>
      <c r="FGA507" s="44"/>
      <c r="FGB507" s="44"/>
      <c r="FGC507" s="44"/>
      <c r="FGD507" s="44"/>
      <c r="FGE507" s="44"/>
      <c r="FGF507" s="44"/>
      <c r="FGG507" s="44"/>
      <c r="FGH507" s="44"/>
      <c r="FGI507" s="44"/>
      <c r="FGJ507" s="44"/>
      <c r="FGK507" s="44"/>
      <c r="FGL507" s="44"/>
      <c r="FGM507" s="44"/>
      <c r="FGN507" s="44"/>
      <c r="FGO507" s="44"/>
      <c r="FGP507" s="44"/>
      <c r="FGQ507" s="44"/>
      <c r="FGR507" s="44"/>
      <c r="FGS507" s="44"/>
      <c r="FGT507" s="44"/>
      <c r="FGU507" s="44"/>
      <c r="FGV507" s="44"/>
      <c r="FGW507" s="44"/>
      <c r="FGX507" s="44"/>
      <c r="FGY507" s="44"/>
      <c r="FGZ507" s="44"/>
      <c r="FHA507" s="44"/>
      <c r="FHB507" s="44"/>
      <c r="FHC507" s="44"/>
      <c r="FHD507" s="44"/>
      <c r="FHE507" s="44"/>
      <c r="FHF507" s="44"/>
      <c r="FHG507" s="44"/>
      <c r="FHH507" s="44"/>
      <c r="FHI507" s="44"/>
      <c r="FHJ507" s="44"/>
      <c r="FHK507" s="44"/>
      <c r="FHL507" s="44"/>
      <c r="FHM507" s="44"/>
      <c r="FHN507" s="44"/>
      <c r="FHO507" s="44"/>
      <c r="FHP507" s="44"/>
      <c r="FHQ507" s="44"/>
      <c r="FHR507" s="44"/>
      <c r="FHS507" s="44"/>
      <c r="FHT507" s="44"/>
      <c r="FHU507" s="44"/>
      <c r="FHV507" s="44"/>
      <c r="FHW507" s="44"/>
      <c r="FHX507" s="44"/>
      <c r="FHY507" s="44"/>
      <c r="FHZ507" s="44"/>
      <c r="FIA507" s="44"/>
      <c r="FIB507" s="44"/>
      <c r="FIC507" s="44"/>
      <c r="FID507" s="44"/>
      <c r="FIE507" s="44"/>
      <c r="FIF507" s="44"/>
      <c r="FIG507" s="44"/>
      <c r="FIH507" s="44"/>
      <c r="FII507" s="44"/>
      <c r="FIJ507" s="44"/>
      <c r="FIK507" s="44"/>
      <c r="FIL507" s="44"/>
      <c r="FIM507" s="44"/>
      <c r="FIN507" s="44"/>
      <c r="FIO507" s="44"/>
      <c r="FIP507" s="44"/>
      <c r="FIQ507" s="44"/>
      <c r="FIR507" s="44"/>
      <c r="FIS507" s="44"/>
      <c r="FIT507" s="44"/>
      <c r="FIU507" s="44"/>
      <c r="FIV507" s="44"/>
      <c r="FIW507" s="44"/>
      <c r="FIX507" s="44"/>
      <c r="FIY507" s="44"/>
      <c r="FIZ507" s="44"/>
      <c r="FJA507" s="44"/>
      <c r="FJB507" s="44"/>
      <c r="FJC507" s="44"/>
      <c r="FJD507" s="44"/>
      <c r="FJE507" s="44"/>
      <c r="FJF507" s="44"/>
      <c r="FJG507" s="44"/>
      <c r="FJH507" s="44"/>
      <c r="FJI507" s="44"/>
      <c r="FJJ507" s="44"/>
      <c r="FJK507" s="44"/>
      <c r="FJL507" s="44"/>
      <c r="FJM507" s="44"/>
      <c r="FJN507" s="44"/>
      <c r="FJO507" s="44"/>
      <c r="FJP507" s="44"/>
      <c r="FJQ507" s="44"/>
      <c r="FJR507" s="44"/>
      <c r="FJS507" s="44"/>
      <c r="FJT507" s="44"/>
      <c r="FJU507" s="44"/>
      <c r="FJV507" s="44"/>
      <c r="FJW507" s="44"/>
      <c r="FJX507" s="44"/>
      <c r="FJY507" s="44"/>
      <c r="FJZ507" s="44"/>
      <c r="FKA507" s="44"/>
      <c r="FKB507" s="44"/>
      <c r="FKC507" s="44"/>
      <c r="FKD507" s="44"/>
      <c r="FKE507" s="44"/>
      <c r="FKF507" s="44"/>
      <c r="FKG507" s="44"/>
      <c r="FKH507" s="44"/>
      <c r="FKI507" s="44"/>
      <c r="FKJ507" s="44"/>
      <c r="FKK507" s="44"/>
      <c r="FKL507" s="44"/>
      <c r="FKM507" s="44"/>
      <c r="FKN507" s="44"/>
      <c r="FKO507" s="44"/>
      <c r="FKP507" s="44"/>
      <c r="FKQ507" s="44"/>
      <c r="FKR507" s="44"/>
      <c r="FKS507" s="44"/>
      <c r="FKT507" s="44"/>
      <c r="FKU507" s="44"/>
      <c r="FKV507" s="44"/>
      <c r="FKW507" s="44"/>
      <c r="FKX507" s="44"/>
      <c r="FKY507" s="44"/>
      <c r="FKZ507" s="44"/>
      <c r="FLA507" s="44"/>
      <c r="FLB507" s="44"/>
      <c r="FLC507" s="44"/>
      <c r="FLD507" s="44"/>
      <c r="FLE507" s="44"/>
      <c r="FLF507" s="44"/>
      <c r="FLG507" s="44"/>
      <c r="FLH507" s="44"/>
      <c r="FLI507" s="44"/>
      <c r="FLJ507" s="44"/>
      <c r="FLK507" s="44"/>
      <c r="FLL507" s="44"/>
      <c r="FLM507" s="44"/>
      <c r="FLN507" s="44"/>
      <c r="FLO507" s="44"/>
      <c r="FLP507" s="44"/>
      <c r="FLQ507" s="44"/>
      <c r="FLR507" s="44"/>
      <c r="FLS507" s="44"/>
      <c r="FLT507" s="44"/>
      <c r="FLU507" s="44"/>
      <c r="FLV507" s="44"/>
      <c r="FLW507" s="44"/>
      <c r="FLX507" s="44"/>
      <c r="FLY507" s="44"/>
      <c r="FLZ507" s="44"/>
      <c r="FMA507" s="44"/>
      <c r="FMB507" s="44"/>
      <c r="FMC507" s="44"/>
      <c r="FMD507" s="44"/>
      <c r="FME507" s="44"/>
      <c r="FMF507" s="44"/>
      <c r="FMG507" s="44"/>
      <c r="FMH507" s="44"/>
      <c r="FMI507" s="44"/>
      <c r="FMJ507" s="44"/>
      <c r="FMK507" s="44"/>
      <c r="FML507" s="44"/>
      <c r="FMM507" s="44"/>
      <c r="FMN507" s="44"/>
      <c r="FMO507" s="44"/>
      <c r="FMP507" s="44"/>
      <c r="FMQ507" s="44"/>
      <c r="FMR507" s="44"/>
      <c r="FMS507" s="44"/>
      <c r="FMT507" s="44"/>
      <c r="FMU507" s="44"/>
      <c r="FMV507" s="44"/>
      <c r="FMW507" s="44"/>
      <c r="FMX507" s="44"/>
      <c r="FMY507" s="44"/>
      <c r="FMZ507" s="44"/>
      <c r="FNA507" s="44"/>
      <c r="FNB507" s="44"/>
      <c r="FNC507" s="44"/>
      <c r="FND507" s="44"/>
      <c r="FNE507" s="44"/>
      <c r="FNF507" s="44"/>
      <c r="FNG507" s="44"/>
      <c r="FNH507" s="44"/>
      <c r="FNI507" s="44"/>
      <c r="FNJ507" s="44"/>
      <c r="FNK507" s="44"/>
      <c r="FNL507" s="44"/>
      <c r="FNM507" s="44"/>
      <c r="FNN507" s="44"/>
      <c r="FNO507" s="44"/>
      <c r="FNP507" s="44"/>
      <c r="FNQ507" s="44"/>
      <c r="FNR507" s="44"/>
      <c r="FNS507" s="44"/>
      <c r="FNT507" s="44"/>
      <c r="FNU507" s="44"/>
      <c r="FNV507" s="44"/>
      <c r="FNW507" s="44"/>
      <c r="FNX507" s="44"/>
      <c r="FNY507" s="44"/>
      <c r="FNZ507" s="44"/>
      <c r="FOA507" s="44"/>
      <c r="FOB507" s="44"/>
      <c r="FOC507" s="44"/>
      <c r="FOD507" s="44"/>
      <c r="FOE507" s="44"/>
      <c r="FOF507" s="44"/>
      <c r="FOG507" s="44"/>
      <c r="FOH507" s="44"/>
      <c r="FOI507" s="44"/>
      <c r="FOJ507" s="44"/>
      <c r="FOK507" s="44"/>
      <c r="FOL507" s="44"/>
      <c r="FOM507" s="44"/>
      <c r="FON507" s="44"/>
      <c r="FOO507" s="44"/>
      <c r="FOP507" s="44"/>
      <c r="FOQ507" s="44"/>
      <c r="FOR507" s="44"/>
      <c r="FOS507" s="44"/>
      <c r="FOT507" s="44"/>
      <c r="FOU507" s="44"/>
      <c r="FOV507" s="44"/>
      <c r="FOW507" s="44"/>
      <c r="FOX507" s="44"/>
      <c r="FOY507" s="44"/>
      <c r="FOZ507" s="44"/>
      <c r="FPA507" s="44"/>
      <c r="FPB507" s="44"/>
      <c r="FPC507" s="44"/>
      <c r="FPD507" s="44"/>
      <c r="FPE507" s="44"/>
      <c r="FPF507" s="44"/>
      <c r="FPG507" s="44"/>
      <c r="FPH507" s="44"/>
      <c r="FPI507" s="44"/>
      <c r="FPJ507" s="44"/>
      <c r="FPK507" s="44"/>
      <c r="FPL507" s="44"/>
      <c r="FPM507" s="44"/>
      <c r="FPN507" s="44"/>
      <c r="FPO507" s="44"/>
      <c r="FPP507" s="44"/>
      <c r="FPQ507" s="44"/>
      <c r="FPR507" s="44"/>
      <c r="FPS507" s="44"/>
      <c r="FPT507" s="44"/>
      <c r="FPU507" s="44"/>
      <c r="FPV507" s="44"/>
      <c r="FPW507" s="44"/>
      <c r="FPX507" s="44"/>
      <c r="FPY507" s="44"/>
      <c r="FPZ507" s="44"/>
      <c r="FQA507" s="44"/>
      <c r="FQB507" s="44"/>
      <c r="FQC507" s="44"/>
      <c r="FQD507" s="44"/>
      <c r="FQE507" s="44"/>
      <c r="FQF507" s="44"/>
      <c r="FQG507" s="44"/>
      <c r="FQH507" s="44"/>
      <c r="FQI507" s="44"/>
      <c r="FQJ507" s="44"/>
      <c r="FQK507" s="44"/>
      <c r="FQL507" s="44"/>
      <c r="FQM507" s="44"/>
      <c r="FQN507" s="44"/>
      <c r="FQO507" s="44"/>
      <c r="FQP507" s="44"/>
      <c r="FQQ507" s="44"/>
      <c r="FQR507" s="44"/>
      <c r="FQS507" s="44"/>
      <c r="FQT507" s="44"/>
      <c r="FQU507" s="44"/>
      <c r="FQV507" s="44"/>
      <c r="FQW507" s="44"/>
      <c r="FQX507" s="44"/>
      <c r="FQY507" s="44"/>
      <c r="FQZ507" s="44"/>
      <c r="FRA507" s="44"/>
      <c r="FRB507" s="44"/>
      <c r="FRC507" s="44"/>
      <c r="FRD507" s="44"/>
      <c r="FRE507" s="44"/>
      <c r="FRF507" s="44"/>
      <c r="FRG507" s="44"/>
      <c r="FRH507" s="44"/>
      <c r="FRI507" s="44"/>
      <c r="FRJ507" s="44"/>
      <c r="FRK507" s="44"/>
      <c r="FRL507" s="44"/>
      <c r="FRM507" s="44"/>
      <c r="FRN507" s="44"/>
      <c r="FRO507" s="44"/>
      <c r="FRP507" s="44"/>
      <c r="FRQ507" s="44"/>
      <c r="FRR507" s="44"/>
      <c r="FRS507" s="44"/>
      <c r="FRT507" s="44"/>
      <c r="FRU507" s="44"/>
      <c r="FRV507" s="44"/>
      <c r="FRW507" s="44"/>
      <c r="FRX507" s="44"/>
      <c r="FRY507" s="44"/>
      <c r="FRZ507" s="44"/>
      <c r="FSA507" s="44"/>
      <c r="FSB507" s="44"/>
      <c r="FSC507" s="44"/>
      <c r="FSD507" s="44"/>
      <c r="FSE507" s="44"/>
      <c r="FSF507" s="44"/>
      <c r="FSG507" s="44"/>
      <c r="FSH507" s="44"/>
      <c r="FSI507" s="44"/>
      <c r="FSJ507" s="44"/>
      <c r="FSK507" s="44"/>
      <c r="FSL507" s="44"/>
      <c r="FSM507" s="44"/>
      <c r="FSN507" s="44"/>
      <c r="FSO507" s="44"/>
      <c r="FSP507" s="44"/>
      <c r="FSQ507" s="44"/>
      <c r="FSR507" s="44"/>
      <c r="FSS507" s="44"/>
      <c r="FST507" s="44"/>
      <c r="FSU507" s="44"/>
      <c r="FSV507" s="44"/>
      <c r="FSW507" s="44"/>
      <c r="FSX507" s="44"/>
      <c r="FSY507" s="44"/>
      <c r="FSZ507" s="44"/>
      <c r="FTA507" s="44"/>
      <c r="FTB507" s="44"/>
      <c r="FTC507" s="44"/>
      <c r="FTD507" s="44"/>
      <c r="FTE507" s="44"/>
      <c r="FTF507" s="44"/>
      <c r="FTG507" s="44"/>
      <c r="FTH507" s="44"/>
      <c r="FTI507" s="44"/>
      <c r="FTJ507" s="44"/>
      <c r="FTK507" s="44"/>
      <c r="FTL507" s="44"/>
      <c r="FTM507" s="44"/>
      <c r="FTN507" s="44"/>
      <c r="FTO507" s="44"/>
      <c r="FTP507" s="44"/>
      <c r="FTQ507" s="44"/>
      <c r="FTR507" s="44"/>
      <c r="FTS507" s="44"/>
      <c r="FTT507" s="44"/>
      <c r="FTU507" s="44"/>
      <c r="FTV507" s="44"/>
      <c r="FTW507" s="44"/>
      <c r="FTX507" s="44"/>
      <c r="FTY507" s="44"/>
      <c r="FTZ507" s="44"/>
      <c r="FUA507" s="44"/>
      <c r="FUB507" s="44"/>
      <c r="FUC507" s="44"/>
      <c r="FUD507" s="44"/>
      <c r="FUE507" s="44"/>
      <c r="FUF507" s="44"/>
      <c r="FUG507" s="44"/>
      <c r="FUH507" s="44"/>
      <c r="FUI507" s="44"/>
      <c r="FUJ507" s="44"/>
      <c r="FUK507" s="44"/>
      <c r="FUL507" s="44"/>
      <c r="FUM507" s="44"/>
      <c r="FUN507" s="44"/>
      <c r="FUO507" s="44"/>
      <c r="FUP507" s="44"/>
      <c r="FUQ507" s="44"/>
      <c r="FUR507" s="44"/>
      <c r="FUS507" s="44"/>
      <c r="FUT507" s="44"/>
      <c r="FUU507" s="44"/>
      <c r="FUV507" s="44"/>
      <c r="FUW507" s="44"/>
      <c r="FUX507" s="44"/>
      <c r="FUY507" s="44"/>
      <c r="FUZ507" s="44"/>
      <c r="FVA507" s="44"/>
      <c r="FVB507" s="44"/>
      <c r="FVC507" s="44"/>
      <c r="FVD507" s="44"/>
      <c r="FVE507" s="44"/>
      <c r="FVF507" s="44"/>
      <c r="FVG507" s="44"/>
      <c r="FVH507" s="44"/>
      <c r="FVI507" s="44"/>
      <c r="FVJ507" s="44"/>
      <c r="FVK507" s="44"/>
      <c r="FVL507" s="44"/>
      <c r="FVM507" s="44"/>
      <c r="FVN507" s="44"/>
      <c r="FVO507" s="44"/>
      <c r="FVP507" s="44"/>
      <c r="FVQ507" s="44"/>
      <c r="FVR507" s="44"/>
      <c r="FVS507" s="44"/>
      <c r="FVT507" s="44"/>
      <c r="FVU507" s="44"/>
      <c r="FVV507" s="44"/>
      <c r="FVW507" s="44"/>
      <c r="FVX507" s="44"/>
      <c r="FVY507" s="44"/>
      <c r="FVZ507" s="44"/>
      <c r="FWA507" s="44"/>
      <c r="FWB507" s="44"/>
      <c r="FWC507" s="44"/>
      <c r="FWD507" s="44"/>
      <c r="FWE507" s="44"/>
      <c r="FWF507" s="44"/>
      <c r="FWG507" s="44"/>
      <c r="FWH507" s="44"/>
      <c r="FWI507" s="44"/>
      <c r="FWJ507" s="44"/>
      <c r="FWK507" s="44"/>
      <c r="FWL507" s="44"/>
      <c r="FWM507" s="44"/>
      <c r="FWN507" s="44"/>
      <c r="FWO507" s="44"/>
      <c r="FWP507" s="44"/>
      <c r="FWQ507" s="44"/>
      <c r="FWR507" s="44"/>
      <c r="FWS507" s="44"/>
      <c r="FWT507" s="44"/>
      <c r="FWU507" s="44"/>
      <c r="FWV507" s="44"/>
      <c r="FWW507" s="44"/>
      <c r="FWX507" s="44"/>
      <c r="FWY507" s="44"/>
      <c r="FWZ507" s="44"/>
      <c r="FXA507" s="44"/>
      <c r="FXB507" s="44"/>
      <c r="FXC507" s="44"/>
      <c r="FXD507" s="44"/>
      <c r="FXE507" s="44"/>
      <c r="FXF507" s="44"/>
      <c r="FXG507" s="44"/>
      <c r="FXH507" s="44"/>
      <c r="FXI507" s="44"/>
      <c r="FXJ507" s="44"/>
      <c r="FXK507" s="44"/>
      <c r="FXL507" s="44"/>
      <c r="FXM507" s="44"/>
      <c r="FXN507" s="44"/>
      <c r="FXO507" s="44"/>
      <c r="FXP507" s="44"/>
      <c r="FXQ507" s="44"/>
      <c r="FXR507" s="44"/>
      <c r="FXS507" s="44"/>
      <c r="FXT507" s="44"/>
      <c r="FXU507" s="44"/>
      <c r="FXV507" s="44"/>
      <c r="FXW507" s="44"/>
      <c r="FXX507" s="44"/>
      <c r="FXY507" s="44"/>
      <c r="FXZ507" s="44"/>
      <c r="FYA507" s="44"/>
      <c r="FYB507" s="44"/>
      <c r="FYC507" s="44"/>
      <c r="FYD507" s="44"/>
      <c r="FYE507" s="44"/>
      <c r="FYF507" s="44"/>
      <c r="FYG507" s="44"/>
      <c r="FYH507" s="44"/>
      <c r="FYI507" s="44"/>
      <c r="FYJ507" s="44"/>
      <c r="FYK507" s="44"/>
      <c r="FYL507" s="44"/>
      <c r="FYM507" s="44"/>
      <c r="FYN507" s="44"/>
      <c r="FYO507" s="44"/>
      <c r="FYP507" s="44"/>
      <c r="FYQ507" s="44"/>
      <c r="FYR507" s="44"/>
      <c r="FYS507" s="44"/>
      <c r="FYT507" s="44"/>
      <c r="FYU507" s="44"/>
      <c r="FYV507" s="44"/>
      <c r="FYW507" s="44"/>
      <c r="FYX507" s="44"/>
      <c r="FYY507" s="44"/>
      <c r="FYZ507" s="44"/>
      <c r="FZA507" s="44"/>
      <c r="FZB507" s="44"/>
      <c r="FZC507" s="44"/>
      <c r="FZD507" s="44"/>
      <c r="FZE507" s="44"/>
      <c r="FZF507" s="44"/>
      <c r="FZG507" s="44"/>
      <c r="FZH507" s="44"/>
      <c r="FZI507" s="44"/>
      <c r="FZJ507" s="44"/>
      <c r="FZK507" s="44"/>
      <c r="FZL507" s="44"/>
      <c r="FZM507" s="44"/>
      <c r="FZN507" s="44"/>
      <c r="FZO507" s="44"/>
      <c r="FZP507" s="44"/>
      <c r="FZQ507" s="44"/>
      <c r="FZR507" s="44"/>
      <c r="FZS507" s="44"/>
      <c r="FZT507" s="44"/>
      <c r="FZU507" s="44"/>
      <c r="FZV507" s="44"/>
      <c r="FZW507" s="44"/>
      <c r="FZX507" s="44"/>
      <c r="FZY507" s="44"/>
      <c r="FZZ507" s="44"/>
      <c r="GAA507" s="44"/>
      <c r="GAB507" s="44"/>
      <c r="GAC507" s="44"/>
      <c r="GAD507" s="44"/>
      <c r="GAE507" s="44"/>
      <c r="GAF507" s="44"/>
      <c r="GAG507" s="44"/>
      <c r="GAH507" s="44"/>
      <c r="GAI507" s="44"/>
      <c r="GAJ507" s="44"/>
      <c r="GAK507" s="44"/>
      <c r="GAL507" s="44"/>
      <c r="GAM507" s="44"/>
      <c r="GAN507" s="44"/>
      <c r="GAO507" s="44"/>
      <c r="GAP507" s="44"/>
      <c r="GAQ507" s="44"/>
      <c r="GAR507" s="44"/>
      <c r="GAS507" s="44"/>
      <c r="GAT507" s="44"/>
      <c r="GAU507" s="44"/>
      <c r="GAV507" s="44"/>
      <c r="GAW507" s="44"/>
      <c r="GAX507" s="44"/>
      <c r="GAY507" s="44"/>
      <c r="GAZ507" s="44"/>
      <c r="GBA507" s="44"/>
      <c r="GBB507" s="44"/>
      <c r="GBC507" s="44"/>
      <c r="GBD507" s="44"/>
      <c r="GBE507" s="44"/>
      <c r="GBF507" s="44"/>
      <c r="GBG507" s="44"/>
      <c r="GBH507" s="44"/>
      <c r="GBI507" s="44"/>
      <c r="GBJ507" s="44"/>
      <c r="GBK507" s="44"/>
      <c r="GBL507" s="44"/>
      <c r="GBM507" s="44"/>
      <c r="GBN507" s="44"/>
      <c r="GBO507" s="44"/>
      <c r="GBP507" s="44"/>
      <c r="GBQ507" s="44"/>
      <c r="GBR507" s="44"/>
      <c r="GBS507" s="44"/>
      <c r="GBT507" s="44"/>
      <c r="GBU507" s="44"/>
      <c r="GBV507" s="44"/>
      <c r="GBW507" s="44"/>
      <c r="GBX507" s="44"/>
      <c r="GBY507" s="44"/>
      <c r="GBZ507" s="44"/>
      <c r="GCA507" s="44"/>
      <c r="GCB507" s="44"/>
      <c r="GCC507" s="44"/>
      <c r="GCD507" s="44"/>
      <c r="GCE507" s="44"/>
      <c r="GCF507" s="44"/>
      <c r="GCG507" s="44"/>
      <c r="GCH507" s="44"/>
      <c r="GCI507" s="44"/>
      <c r="GCJ507" s="44"/>
      <c r="GCK507" s="44"/>
      <c r="GCL507" s="44"/>
      <c r="GCM507" s="44"/>
      <c r="GCN507" s="44"/>
      <c r="GCO507" s="44"/>
      <c r="GCP507" s="44"/>
      <c r="GCQ507" s="44"/>
      <c r="GCR507" s="44"/>
      <c r="GCS507" s="44"/>
      <c r="GCT507" s="44"/>
      <c r="GCU507" s="44"/>
      <c r="GCV507" s="44"/>
      <c r="GCW507" s="44"/>
      <c r="GCX507" s="44"/>
      <c r="GCY507" s="44"/>
      <c r="GCZ507" s="44"/>
      <c r="GDA507" s="44"/>
      <c r="GDB507" s="44"/>
      <c r="GDC507" s="44"/>
      <c r="GDD507" s="44"/>
      <c r="GDE507" s="44"/>
      <c r="GDF507" s="44"/>
      <c r="GDG507" s="44"/>
      <c r="GDH507" s="44"/>
      <c r="GDI507" s="44"/>
      <c r="GDJ507" s="44"/>
      <c r="GDK507" s="44"/>
      <c r="GDL507" s="44"/>
      <c r="GDM507" s="44"/>
      <c r="GDN507" s="44"/>
      <c r="GDO507" s="44"/>
      <c r="GDP507" s="44"/>
      <c r="GDQ507" s="44"/>
      <c r="GDR507" s="44"/>
      <c r="GDS507" s="44"/>
      <c r="GDT507" s="44"/>
      <c r="GDU507" s="44"/>
      <c r="GDV507" s="44"/>
      <c r="GDW507" s="44"/>
      <c r="GDX507" s="44"/>
      <c r="GDY507" s="44"/>
      <c r="GDZ507" s="44"/>
      <c r="GEA507" s="44"/>
      <c r="GEB507" s="44"/>
      <c r="GEC507" s="44"/>
      <c r="GED507" s="44"/>
      <c r="GEE507" s="44"/>
      <c r="GEF507" s="44"/>
      <c r="GEG507" s="44"/>
      <c r="GEH507" s="44"/>
      <c r="GEI507" s="44"/>
      <c r="GEJ507" s="44"/>
      <c r="GEK507" s="44"/>
      <c r="GEL507" s="44"/>
      <c r="GEM507" s="44"/>
      <c r="GEN507" s="44"/>
      <c r="GEO507" s="44"/>
      <c r="GEP507" s="44"/>
      <c r="GEQ507" s="44"/>
      <c r="GER507" s="44"/>
      <c r="GES507" s="44"/>
      <c r="GET507" s="44"/>
      <c r="GEU507" s="44"/>
      <c r="GEV507" s="44"/>
      <c r="GEW507" s="44"/>
      <c r="GEX507" s="44"/>
      <c r="GEY507" s="44"/>
      <c r="GEZ507" s="44"/>
      <c r="GFA507" s="44"/>
      <c r="GFB507" s="44"/>
      <c r="GFC507" s="44"/>
      <c r="GFD507" s="44"/>
      <c r="GFE507" s="44"/>
      <c r="GFF507" s="44"/>
      <c r="GFG507" s="44"/>
      <c r="GFH507" s="44"/>
      <c r="GFI507" s="44"/>
      <c r="GFJ507" s="44"/>
      <c r="GFK507" s="44"/>
      <c r="GFL507" s="44"/>
      <c r="GFM507" s="44"/>
      <c r="GFN507" s="44"/>
      <c r="GFO507" s="44"/>
      <c r="GFP507" s="44"/>
      <c r="GFQ507" s="44"/>
      <c r="GFR507" s="44"/>
      <c r="GFS507" s="44"/>
      <c r="GFT507" s="44"/>
      <c r="GFU507" s="44"/>
      <c r="GFV507" s="44"/>
      <c r="GFW507" s="44"/>
      <c r="GFX507" s="44"/>
      <c r="GFY507" s="44"/>
      <c r="GFZ507" s="44"/>
      <c r="GGA507" s="44"/>
      <c r="GGB507" s="44"/>
      <c r="GGC507" s="44"/>
      <c r="GGD507" s="44"/>
      <c r="GGE507" s="44"/>
      <c r="GGF507" s="44"/>
      <c r="GGG507" s="44"/>
      <c r="GGH507" s="44"/>
      <c r="GGI507" s="44"/>
      <c r="GGJ507" s="44"/>
      <c r="GGK507" s="44"/>
      <c r="GGL507" s="44"/>
      <c r="GGM507" s="44"/>
      <c r="GGN507" s="44"/>
      <c r="GGO507" s="44"/>
      <c r="GGP507" s="44"/>
      <c r="GGQ507" s="44"/>
      <c r="GGR507" s="44"/>
      <c r="GGS507" s="44"/>
      <c r="GGT507" s="44"/>
      <c r="GGU507" s="44"/>
      <c r="GGV507" s="44"/>
      <c r="GGW507" s="44"/>
      <c r="GGX507" s="44"/>
      <c r="GGY507" s="44"/>
      <c r="GGZ507" s="44"/>
      <c r="GHA507" s="44"/>
      <c r="GHB507" s="44"/>
      <c r="GHC507" s="44"/>
      <c r="GHD507" s="44"/>
      <c r="GHE507" s="44"/>
      <c r="GHF507" s="44"/>
      <c r="GHG507" s="44"/>
      <c r="GHH507" s="44"/>
      <c r="GHI507" s="44"/>
      <c r="GHJ507" s="44"/>
      <c r="GHK507" s="44"/>
      <c r="GHL507" s="44"/>
      <c r="GHM507" s="44"/>
      <c r="GHN507" s="44"/>
      <c r="GHO507" s="44"/>
      <c r="GHP507" s="44"/>
      <c r="GHQ507" s="44"/>
      <c r="GHR507" s="44"/>
      <c r="GHS507" s="44"/>
      <c r="GHT507" s="44"/>
      <c r="GHU507" s="44"/>
      <c r="GHV507" s="44"/>
      <c r="GHW507" s="44"/>
      <c r="GHX507" s="44"/>
      <c r="GHY507" s="44"/>
      <c r="GHZ507" s="44"/>
      <c r="GIA507" s="44"/>
      <c r="GIB507" s="44"/>
      <c r="GIC507" s="44"/>
      <c r="GID507" s="44"/>
      <c r="GIE507" s="44"/>
      <c r="GIF507" s="44"/>
      <c r="GIG507" s="44"/>
      <c r="GIH507" s="44"/>
      <c r="GII507" s="44"/>
      <c r="GIJ507" s="44"/>
      <c r="GIK507" s="44"/>
      <c r="GIL507" s="44"/>
      <c r="GIM507" s="44"/>
      <c r="GIN507" s="44"/>
      <c r="GIO507" s="44"/>
      <c r="GIP507" s="44"/>
      <c r="GIQ507" s="44"/>
      <c r="GIR507" s="44"/>
      <c r="GIS507" s="44"/>
      <c r="GIT507" s="44"/>
      <c r="GIU507" s="44"/>
      <c r="GIV507" s="44"/>
      <c r="GIW507" s="44"/>
      <c r="GIX507" s="44"/>
      <c r="GIY507" s="44"/>
      <c r="GIZ507" s="44"/>
      <c r="GJA507" s="44"/>
      <c r="GJB507" s="44"/>
      <c r="GJC507" s="44"/>
      <c r="GJD507" s="44"/>
      <c r="GJE507" s="44"/>
      <c r="GJF507" s="44"/>
      <c r="GJG507" s="44"/>
      <c r="GJH507" s="44"/>
      <c r="GJI507" s="44"/>
      <c r="GJJ507" s="44"/>
      <c r="GJK507" s="44"/>
      <c r="GJL507" s="44"/>
      <c r="GJM507" s="44"/>
      <c r="GJN507" s="44"/>
      <c r="GJO507" s="44"/>
      <c r="GJP507" s="44"/>
      <c r="GJQ507" s="44"/>
      <c r="GJR507" s="44"/>
      <c r="GJS507" s="44"/>
      <c r="GJT507" s="44"/>
      <c r="GJU507" s="44"/>
      <c r="GJV507" s="44"/>
      <c r="GJW507" s="44"/>
      <c r="GJX507" s="44"/>
      <c r="GJY507" s="44"/>
      <c r="GJZ507" s="44"/>
      <c r="GKA507" s="44"/>
      <c r="GKB507" s="44"/>
      <c r="GKC507" s="44"/>
      <c r="GKD507" s="44"/>
      <c r="GKE507" s="44"/>
      <c r="GKF507" s="44"/>
      <c r="GKG507" s="44"/>
      <c r="GKH507" s="44"/>
      <c r="GKI507" s="44"/>
      <c r="GKJ507" s="44"/>
      <c r="GKK507" s="44"/>
      <c r="GKL507" s="44"/>
      <c r="GKM507" s="44"/>
      <c r="GKN507" s="44"/>
      <c r="GKO507" s="44"/>
      <c r="GKP507" s="44"/>
      <c r="GKQ507" s="44"/>
      <c r="GKR507" s="44"/>
      <c r="GKS507" s="44"/>
      <c r="GKT507" s="44"/>
      <c r="GKU507" s="44"/>
      <c r="GKV507" s="44"/>
      <c r="GKW507" s="44"/>
      <c r="GKX507" s="44"/>
      <c r="GKY507" s="44"/>
      <c r="GKZ507" s="44"/>
      <c r="GLA507" s="44"/>
      <c r="GLB507" s="44"/>
      <c r="GLC507" s="44"/>
      <c r="GLD507" s="44"/>
      <c r="GLE507" s="44"/>
      <c r="GLF507" s="44"/>
      <c r="GLG507" s="44"/>
      <c r="GLH507" s="44"/>
      <c r="GLI507" s="44"/>
      <c r="GLJ507" s="44"/>
      <c r="GLK507" s="44"/>
      <c r="GLL507" s="44"/>
      <c r="GLM507" s="44"/>
      <c r="GLN507" s="44"/>
      <c r="GLO507" s="44"/>
      <c r="GLP507" s="44"/>
      <c r="GLQ507" s="44"/>
      <c r="GLR507" s="44"/>
      <c r="GLS507" s="44"/>
      <c r="GLT507" s="44"/>
      <c r="GLU507" s="44"/>
      <c r="GLV507" s="44"/>
      <c r="GLW507" s="44"/>
      <c r="GLX507" s="44"/>
      <c r="GLY507" s="44"/>
      <c r="GLZ507" s="44"/>
      <c r="GMA507" s="44"/>
      <c r="GMB507" s="44"/>
      <c r="GMC507" s="44"/>
      <c r="GMD507" s="44"/>
      <c r="GME507" s="44"/>
      <c r="GMF507" s="44"/>
      <c r="GMG507" s="44"/>
      <c r="GMH507" s="44"/>
      <c r="GMI507" s="44"/>
      <c r="GMJ507" s="44"/>
      <c r="GMK507" s="44"/>
      <c r="GML507" s="44"/>
      <c r="GMM507" s="44"/>
      <c r="GMN507" s="44"/>
      <c r="GMO507" s="44"/>
      <c r="GMP507" s="44"/>
      <c r="GMQ507" s="44"/>
      <c r="GMR507" s="44"/>
      <c r="GMS507" s="44"/>
      <c r="GMT507" s="44"/>
      <c r="GMU507" s="44"/>
      <c r="GMV507" s="44"/>
      <c r="GMW507" s="44"/>
      <c r="GMX507" s="44"/>
      <c r="GMY507" s="44"/>
      <c r="GMZ507" s="44"/>
      <c r="GNA507" s="44"/>
      <c r="GNB507" s="44"/>
      <c r="GNC507" s="44"/>
      <c r="GND507" s="44"/>
      <c r="GNE507" s="44"/>
      <c r="GNF507" s="44"/>
      <c r="GNG507" s="44"/>
      <c r="GNH507" s="44"/>
      <c r="GNI507" s="44"/>
      <c r="GNJ507" s="44"/>
      <c r="GNK507" s="44"/>
      <c r="GNL507" s="44"/>
      <c r="GNM507" s="44"/>
      <c r="GNN507" s="44"/>
      <c r="GNO507" s="44"/>
      <c r="GNP507" s="44"/>
      <c r="GNQ507" s="44"/>
      <c r="GNR507" s="44"/>
      <c r="GNS507" s="44"/>
      <c r="GNT507" s="44"/>
      <c r="GNU507" s="44"/>
      <c r="GNV507" s="44"/>
      <c r="GNW507" s="44"/>
      <c r="GNX507" s="44"/>
      <c r="GNY507" s="44"/>
      <c r="GNZ507" s="44"/>
      <c r="GOA507" s="44"/>
      <c r="GOB507" s="44"/>
      <c r="GOC507" s="44"/>
      <c r="GOD507" s="44"/>
      <c r="GOE507" s="44"/>
      <c r="GOF507" s="44"/>
      <c r="GOG507" s="44"/>
      <c r="GOH507" s="44"/>
      <c r="GOI507" s="44"/>
      <c r="GOJ507" s="44"/>
      <c r="GOK507" s="44"/>
      <c r="GOL507" s="44"/>
      <c r="GOM507" s="44"/>
      <c r="GON507" s="44"/>
      <c r="GOO507" s="44"/>
      <c r="GOP507" s="44"/>
      <c r="GOQ507" s="44"/>
      <c r="GOR507" s="44"/>
      <c r="GOS507" s="44"/>
      <c r="GOT507" s="44"/>
      <c r="GOU507" s="44"/>
      <c r="GOV507" s="44"/>
      <c r="GOW507" s="44"/>
      <c r="GOX507" s="44"/>
      <c r="GOY507" s="44"/>
      <c r="GOZ507" s="44"/>
      <c r="GPA507" s="44"/>
      <c r="GPB507" s="44"/>
      <c r="GPC507" s="44"/>
      <c r="GPD507" s="44"/>
      <c r="GPE507" s="44"/>
      <c r="GPF507" s="44"/>
      <c r="GPG507" s="44"/>
      <c r="GPH507" s="44"/>
      <c r="GPI507" s="44"/>
      <c r="GPJ507" s="44"/>
      <c r="GPK507" s="44"/>
      <c r="GPL507" s="44"/>
      <c r="GPM507" s="44"/>
      <c r="GPN507" s="44"/>
      <c r="GPO507" s="44"/>
      <c r="GPP507" s="44"/>
      <c r="GPQ507" s="44"/>
      <c r="GPR507" s="44"/>
      <c r="GPS507" s="44"/>
      <c r="GPT507" s="44"/>
      <c r="GPU507" s="44"/>
      <c r="GPV507" s="44"/>
      <c r="GPW507" s="44"/>
      <c r="GPX507" s="44"/>
      <c r="GPY507" s="44"/>
      <c r="GPZ507" s="44"/>
      <c r="GQA507" s="44"/>
      <c r="GQB507" s="44"/>
      <c r="GQC507" s="44"/>
      <c r="GQD507" s="44"/>
      <c r="GQE507" s="44"/>
      <c r="GQF507" s="44"/>
      <c r="GQG507" s="44"/>
      <c r="GQH507" s="44"/>
      <c r="GQI507" s="44"/>
      <c r="GQJ507" s="44"/>
      <c r="GQK507" s="44"/>
      <c r="GQL507" s="44"/>
      <c r="GQM507" s="44"/>
      <c r="GQN507" s="44"/>
      <c r="GQO507" s="44"/>
      <c r="GQP507" s="44"/>
      <c r="GQQ507" s="44"/>
      <c r="GQR507" s="44"/>
      <c r="GQS507" s="44"/>
      <c r="GQT507" s="44"/>
      <c r="GQU507" s="44"/>
      <c r="GQV507" s="44"/>
      <c r="GQW507" s="44"/>
      <c r="GQX507" s="44"/>
      <c r="GQY507" s="44"/>
      <c r="GQZ507" s="44"/>
      <c r="GRA507" s="44"/>
      <c r="GRB507" s="44"/>
      <c r="GRC507" s="44"/>
      <c r="GRD507" s="44"/>
      <c r="GRE507" s="44"/>
      <c r="GRF507" s="44"/>
      <c r="GRG507" s="44"/>
      <c r="GRH507" s="44"/>
      <c r="GRI507" s="44"/>
      <c r="GRJ507" s="44"/>
      <c r="GRK507" s="44"/>
      <c r="GRL507" s="44"/>
      <c r="GRM507" s="44"/>
      <c r="GRN507" s="44"/>
      <c r="GRO507" s="44"/>
      <c r="GRP507" s="44"/>
      <c r="GRQ507" s="44"/>
      <c r="GRR507" s="44"/>
      <c r="GRS507" s="44"/>
      <c r="GRT507" s="44"/>
      <c r="GRU507" s="44"/>
      <c r="GRV507" s="44"/>
      <c r="GRW507" s="44"/>
      <c r="GRX507" s="44"/>
      <c r="GRY507" s="44"/>
      <c r="GRZ507" s="44"/>
      <c r="GSA507" s="44"/>
      <c r="GSB507" s="44"/>
      <c r="GSC507" s="44"/>
      <c r="GSD507" s="44"/>
      <c r="GSE507" s="44"/>
      <c r="GSF507" s="44"/>
      <c r="GSG507" s="44"/>
      <c r="GSH507" s="44"/>
      <c r="GSI507" s="44"/>
      <c r="GSJ507" s="44"/>
      <c r="GSK507" s="44"/>
      <c r="GSL507" s="44"/>
      <c r="GSM507" s="44"/>
      <c r="GSN507" s="44"/>
      <c r="GSO507" s="44"/>
      <c r="GSP507" s="44"/>
      <c r="GSQ507" s="44"/>
      <c r="GSR507" s="44"/>
      <c r="GSS507" s="44"/>
      <c r="GST507" s="44"/>
      <c r="GSU507" s="44"/>
      <c r="GSV507" s="44"/>
      <c r="GSW507" s="44"/>
      <c r="GSX507" s="44"/>
      <c r="GSY507" s="44"/>
      <c r="GSZ507" s="44"/>
      <c r="GTA507" s="44"/>
      <c r="GTB507" s="44"/>
      <c r="GTC507" s="44"/>
      <c r="GTD507" s="44"/>
      <c r="GTE507" s="44"/>
      <c r="GTF507" s="44"/>
      <c r="GTG507" s="44"/>
      <c r="GTH507" s="44"/>
      <c r="GTI507" s="44"/>
      <c r="GTJ507" s="44"/>
      <c r="GTK507" s="44"/>
      <c r="GTL507" s="44"/>
      <c r="GTM507" s="44"/>
      <c r="GTN507" s="44"/>
      <c r="GTO507" s="44"/>
      <c r="GTP507" s="44"/>
      <c r="GTQ507" s="44"/>
      <c r="GTR507" s="44"/>
      <c r="GTS507" s="44"/>
      <c r="GTT507" s="44"/>
      <c r="GTU507" s="44"/>
      <c r="GTV507" s="44"/>
      <c r="GTW507" s="44"/>
      <c r="GTX507" s="44"/>
      <c r="GTY507" s="44"/>
      <c r="GTZ507" s="44"/>
      <c r="GUA507" s="44"/>
      <c r="GUB507" s="44"/>
      <c r="GUC507" s="44"/>
      <c r="GUD507" s="44"/>
      <c r="GUE507" s="44"/>
      <c r="GUF507" s="44"/>
      <c r="GUG507" s="44"/>
      <c r="GUH507" s="44"/>
      <c r="GUI507" s="44"/>
      <c r="GUJ507" s="44"/>
      <c r="GUK507" s="44"/>
      <c r="GUL507" s="44"/>
      <c r="GUM507" s="44"/>
      <c r="GUN507" s="44"/>
      <c r="GUO507" s="44"/>
      <c r="GUP507" s="44"/>
      <c r="GUQ507" s="44"/>
      <c r="GUR507" s="44"/>
      <c r="GUS507" s="44"/>
      <c r="GUT507" s="44"/>
      <c r="GUU507" s="44"/>
      <c r="GUV507" s="44"/>
      <c r="GUW507" s="44"/>
      <c r="GUX507" s="44"/>
      <c r="GUY507" s="44"/>
      <c r="GUZ507" s="44"/>
      <c r="GVA507" s="44"/>
      <c r="GVB507" s="44"/>
      <c r="GVC507" s="44"/>
      <c r="GVD507" s="44"/>
      <c r="GVE507" s="44"/>
      <c r="GVF507" s="44"/>
      <c r="GVG507" s="44"/>
      <c r="GVH507" s="44"/>
      <c r="GVI507" s="44"/>
      <c r="GVJ507" s="44"/>
      <c r="GVK507" s="44"/>
      <c r="GVL507" s="44"/>
      <c r="GVM507" s="44"/>
      <c r="GVN507" s="44"/>
      <c r="GVO507" s="44"/>
      <c r="GVP507" s="44"/>
      <c r="GVQ507" s="44"/>
      <c r="GVR507" s="44"/>
      <c r="GVS507" s="44"/>
      <c r="GVT507" s="44"/>
      <c r="GVU507" s="44"/>
      <c r="GVV507" s="44"/>
      <c r="GVW507" s="44"/>
      <c r="GVX507" s="44"/>
      <c r="GVY507" s="44"/>
      <c r="GVZ507" s="44"/>
      <c r="GWA507" s="44"/>
      <c r="GWB507" s="44"/>
      <c r="GWC507" s="44"/>
      <c r="GWD507" s="44"/>
      <c r="GWE507" s="44"/>
      <c r="GWF507" s="44"/>
      <c r="GWG507" s="44"/>
      <c r="GWH507" s="44"/>
      <c r="GWI507" s="44"/>
      <c r="GWJ507" s="44"/>
      <c r="GWK507" s="44"/>
      <c r="GWL507" s="44"/>
      <c r="GWM507" s="44"/>
      <c r="GWN507" s="44"/>
      <c r="GWO507" s="44"/>
      <c r="GWP507" s="44"/>
      <c r="GWQ507" s="44"/>
      <c r="GWR507" s="44"/>
      <c r="GWS507" s="44"/>
      <c r="GWT507" s="44"/>
      <c r="GWU507" s="44"/>
      <c r="GWV507" s="44"/>
      <c r="GWW507" s="44"/>
      <c r="GWX507" s="44"/>
      <c r="GWY507" s="44"/>
      <c r="GWZ507" s="44"/>
      <c r="GXA507" s="44"/>
      <c r="GXB507" s="44"/>
      <c r="GXC507" s="44"/>
      <c r="GXD507" s="44"/>
      <c r="GXE507" s="44"/>
      <c r="GXF507" s="44"/>
      <c r="GXG507" s="44"/>
      <c r="GXH507" s="44"/>
      <c r="GXI507" s="44"/>
      <c r="GXJ507" s="44"/>
      <c r="GXK507" s="44"/>
      <c r="GXL507" s="44"/>
      <c r="GXM507" s="44"/>
      <c r="GXN507" s="44"/>
      <c r="GXO507" s="44"/>
      <c r="GXP507" s="44"/>
      <c r="GXQ507" s="44"/>
      <c r="GXR507" s="44"/>
      <c r="GXS507" s="44"/>
      <c r="GXT507" s="44"/>
      <c r="GXU507" s="44"/>
      <c r="GXV507" s="44"/>
      <c r="GXW507" s="44"/>
      <c r="GXX507" s="44"/>
      <c r="GXY507" s="44"/>
      <c r="GXZ507" s="44"/>
      <c r="GYA507" s="44"/>
      <c r="GYB507" s="44"/>
      <c r="GYC507" s="44"/>
      <c r="GYD507" s="44"/>
      <c r="GYE507" s="44"/>
      <c r="GYF507" s="44"/>
      <c r="GYG507" s="44"/>
      <c r="GYH507" s="44"/>
      <c r="GYI507" s="44"/>
      <c r="GYJ507" s="44"/>
      <c r="GYK507" s="44"/>
      <c r="GYL507" s="44"/>
      <c r="GYM507" s="44"/>
      <c r="GYN507" s="44"/>
      <c r="GYO507" s="44"/>
      <c r="GYP507" s="44"/>
      <c r="GYQ507" s="44"/>
      <c r="GYR507" s="44"/>
      <c r="GYS507" s="44"/>
      <c r="GYT507" s="44"/>
      <c r="GYU507" s="44"/>
      <c r="GYV507" s="44"/>
      <c r="GYW507" s="44"/>
      <c r="GYX507" s="44"/>
      <c r="GYY507" s="44"/>
      <c r="GYZ507" s="44"/>
      <c r="GZA507" s="44"/>
      <c r="GZB507" s="44"/>
      <c r="GZC507" s="44"/>
      <c r="GZD507" s="44"/>
      <c r="GZE507" s="44"/>
      <c r="GZF507" s="44"/>
      <c r="GZG507" s="44"/>
      <c r="GZH507" s="44"/>
      <c r="GZI507" s="44"/>
      <c r="GZJ507" s="44"/>
      <c r="GZK507" s="44"/>
      <c r="GZL507" s="44"/>
      <c r="GZM507" s="44"/>
      <c r="GZN507" s="44"/>
      <c r="GZO507" s="44"/>
      <c r="GZP507" s="44"/>
      <c r="GZQ507" s="44"/>
      <c r="GZR507" s="44"/>
      <c r="GZS507" s="44"/>
      <c r="GZT507" s="44"/>
      <c r="GZU507" s="44"/>
      <c r="GZV507" s="44"/>
      <c r="GZW507" s="44"/>
      <c r="GZX507" s="44"/>
      <c r="GZY507" s="44"/>
      <c r="GZZ507" s="44"/>
      <c r="HAA507" s="44"/>
      <c r="HAB507" s="44"/>
      <c r="HAC507" s="44"/>
      <c r="HAD507" s="44"/>
      <c r="HAE507" s="44"/>
      <c r="HAF507" s="44"/>
      <c r="HAG507" s="44"/>
      <c r="HAH507" s="44"/>
      <c r="HAI507" s="44"/>
      <c r="HAJ507" s="44"/>
      <c r="HAK507" s="44"/>
      <c r="HAL507" s="44"/>
      <c r="HAM507" s="44"/>
      <c r="HAN507" s="44"/>
      <c r="HAO507" s="44"/>
      <c r="HAP507" s="44"/>
      <c r="HAQ507" s="44"/>
      <c r="HAR507" s="44"/>
      <c r="HAS507" s="44"/>
      <c r="HAT507" s="44"/>
      <c r="HAU507" s="44"/>
      <c r="HAV507" s="44"/>
      <c r="HAW507" s="44"/>
      <c r="HAX507" s="44"/>
      <c r="HAY507" s="44"/>
      <c r="HAZ507" s="44"/>
      <c r="HBA507" s="44"/>
      <c r="HBB507" s="44"/>
      <c r="HBC507" s="44"/>
      <c r="HBD507" s="44"/>
      <c r="HBE507" s="44"/>
      <c r="HBF507" s="44"/>
      <c r="HBG507" s="44"/>
      <c r="HBH507" s="44"/>
      <c r="HBI507" s="44"/>
      <c r="HBJ507" s="44"/>
      <c r="HBK507" s="44"/>
      <c r="HBL507" s="44"/>
      <c r="HBM507" s="44"/>
      <c r="HBN507" s="44"/>
      <c r="HBO507" s="44"/>
      <c r="HBP507" s="44"/>
      <c r="HBQ507" s="44"/>
      <c r="HBR507" s="44"/>
      <c r="HBS507" s="44"/>
      <c r="HBT507" s="44"/>
      <c r="HBU507" s="44"/>
      <c r="HBV507" s="44"/>
      <c r="HBW507" s="44"/>
      <c r="HBX507" s="44"/>
      <c r="HBY507" s="44"/>
      <c r="HBZ507" s="44"/>
      <c r="HCA507" s="44"/>
      <c r="HCB507" s="44"/>
      <c r="HCC507" s="44"/>
      <c r="HCD507" s="44"/>
      <c r="HCE507" s="44"/>
      <c r="HCF507" s="44"/>
      <c r="HCG507" s="44"/>
      <c r="HCH507" s="44"/>
      <c r="HCI507" s="44"/>
      <c r="HCJ507" s="44"/>
      <c r="HCK507" s="44"/>
      <c r="HCL507" s="44"/>
      <c r="HCM507" s="44"/>
      <c r="HCN507" s="44"/>
      <c r="HCO507" s="44"/>
      <c r="HCP507" s="44"/>
      <c r="HCQ507" s="44"/>
      <c r="HCR507" s="44"/>
      <c r="HCS507" s="44"/>
      <c r="HCT507" s="44"/>
      <c r="HCU507" s="44"/>
      <c r="HCV507" s="44"/>
      <c r="HCW507" s="44"/>
      <c r="HCX507" s="44"/>
      <c r="HCY507" s="44"/>
      <c r="HCZ507" s="44"/>
      <c r="HDA507" s="44"/>
      <c r="HDB507" s="44"/>
      <c r="HDC507" s="44"/>
      <c r="HDD507" s="44"/>
      <c r="HDE507" s="44"/>
      <c r="HDF507" s="44"/>
      <c r="HDG507" s="44"/>
      <c r="HDH507" s="44"/>
      <c r="HDI507" s="44"/>
      <c r="HDJ507" s="44"/>
      <c r="HDK507" s="44"/>
      <c r="HDL507" s="44"/>
      <c r="HDM507" s="44"/>
      <c r="HDN507" s="44"/>
      <c r="HDO507" s="44"/>
      <c r="HDP507" s="44"/>
      <c r="HDQ507" s="44"/>
      <c r="HDR507" s="44"/>
      <c r="HDS507" s="44"/>
      <c r="HDT507" s="44"/>
      <c r="HDU507" s="44"/>
      <c r="HDV507" s="44"/>
      <c r="HDW507" s="44"/>
      <c r="HDX507" s="44"/>
      <c r="HDY507" s="44"/>
      <c r="HDZ507" s="44"/>
      <c r="HEA507" s="44"/>
      <c r="HEB507" s="44"/>
      <c r="HEC507" s="44"/>
      <c r="HED507" s="44"/>
      <c r="HEE507" s="44"/>
      <c r="HEF507" s="44"/>
      <c r="HEG507" s="44"/>
      <c r="HEH507" s="44"/>
      <c r="HEI507" s="44"/>
      <c r="HEJ507" s="44"/>
      <c r="HEK507" s="44"/>
      <c r="HEL507" s="44"/>
      <c r="HEM507" s="44"/>
      <c r="HEN507" s="44"/>
      <c r="HEO507" s="44"/>
      <c r="HEP507" s="44"/>
      <c r="HEQ507" s="44"/>
      <c r="HER507" s="44"/>
      <c r="HES507" s="44"/>
      <c r="HET507" s="44"/>
      <c r="HEU507" s="44"/>
      <c r="HEV507" s="44"/>
      <c r="HEW507" s="44"/>
      <c r="HEX507" s="44"/>
      <c r="HEY507" s="44"/>
      <c r="HEZ507" s="44"/>
      <c r="HFA507" s="44"/>
      <c r="HFB507" s="44"/>
      <c r="HFC507" s="44"/>
      <c r="HFD507" s="44"/>
      <c r="HFE507" s="44"/>
      <c r="HFF507" s="44"/>
      <c r="HFG507" s="44"/>
      <c r="HFH507" s="44"/>
      <c r="HFI507" s="44"/>
      <c r="HFJ507" s="44"/>
      <c r="HFK507" s="44"/>
      <c r="HFL507" s="44"/>
      <c r="HFM507" s="44"/>
      <c r="HFN507" s="44"/>
      <c r="HFO507" s="44"/>
      <c r="HFP507" s="44"/>
      <c r="HFQ507" s="44"/>
      <c r="HFR507" s="44"/>
      <c r="HFS507" s="44"/>
      <c r="HFT507" s="44"/>
      <c r="HFU507" s="44"/>
      <c r="HFV507" s="44"/>
      <c r="HFW507" s="44"/>
      <c r="HFX507" s="44"/>
      <c r="HFY507" s="44"/>
      <c r="HFZ507" s="44"/>
      <c r="HGA507" s="44"/>
      <c r="HGB507" s="44"/>
      <c r="HGC507" s="44"/>
      <c r="HGD507" s="44"/>
      <c r="HGE507" s="44"/>
      <c r="HGF507" s="44"/>
      <c r="HGG507" s="44"/>
      <c r="HGH507" s="44"/>
      <c r="HGI507" s="44"/>
      <c r="HGJ507" s="44"/>
      <c r="HGK507" s="44"/>
      <c r="HGL507" s="44"/>
      <c r="HGM507" s="44"/>
      <c r="HGN507" s="44"/>
      <c r="HGO507" s="44"/>
      <c r="HGP507" s="44"/>
      <c r="HGQ507" s="44"/>
      <c r="HGR507" s="44"/>
      <c r="HGS507" s="44"/>
      <c r="HGT507" s="44"/>
      <c r="HGU507" s="44"/>
      <c r="HGV507" s="44"/>
      <c r="HGW507" s="44"/>
      <c r="HGX507" s="44"/>
      <c r="HGY507" s="44"/>
      <c r="HGZ507" s="44"/>
      <c r="HHA507" s="44"/>
      <c r="HHB507" s="44"/>
      <c r="HHC507" s="44"/>
      <c r="HHD507" s="44"/>
      <c r="HHE507" s="44"/>
      <c r="HHF507" s="44"/>
      <c r="HHG507" s="44"/>
      <c r="HHH507" s="44"/>
      <c r="HHI507" s="44"/>
      <c r="HHJ507" s="44"/>
      <c r="HHK507" s="44"/>
      <c r="HHL507" s="44"/>
      <c r="HHM507" s="44"/>
      <c r="HHN507" s="44"/>
      <c r="HHO507" s="44"/>
      <c r="HHP507" s="44"/>
      <c r="HHQ507" s="44"/>
      <c r="HHR507" s="44"/>
      <c r="HHS507" s="44"/>
      <c r="HHT507" s="44"/>
      <c r="HHU507" s="44"/>
      <c r="HHV507" s="44"/>
      <c r="HHW507" s="44"/>
      <c r="HHX507" s="44"/>
      <c r="HHY507" s="44"/>
      <c r="HHZ507" s="44"/>
      <c r="HIA507" s="44"/>
      <c r="HIB507" s="44"/>
      <c r="HIC507" s="44"/>
      <c r="HID507" s="44"/>
      <c r="HIE507" s="44"/>
      <c r="HIF507" s="44"/>
      <c r="HIG507" s="44"/>
      <c r="HIH507" s="44"/>
      <c r="HII507" s="44"/>
      <c r="HIJ507" s="44"/>
      <c r="HIK507" s="44"/>
      <c r="HIL507" s="44"/>
      <c r="HIM507" s="44"/>
      <c r="HIN507" s="44"/>
      <c r="HIO507" s="44"/>
      <c r="HIP507" s="44"/>
      <c r="HIQ507" s="44"/>
      <c r="HIR507" s="44"/>
      <c r="HIS507" s="44"/>
      <c r="HIT507" s="44"/>
      <c r="HIU507" s="44"/>
      <c r="HIV507" s="44"/>
      <c r="HIW507" s="44"/>
      <c r="HIX507" s="44"/>
      <c r="HIY507" s="44"/>
      <c r="HIZ507" s="44"/>
      <c r="HJA507" s="44"/>
      <c r="HJB507" s="44"/>
      <c r="HJC507" s="44"/>
      <c r="HJD507" s="44"/>
      <c r="HJE507" s="44"/>
      <c r="HJF507" s="44"/>
      <c r="HJG507" s="44"/>
      <c r="HJH507" s="44"/>
      <c r="HJI507" s="44"/>
      <c r="HJJ507" s="44"/>
      <c r="HJK507" s="44"/>
      <c r="HJL507" s="44"/>
      <c r="HJM507" s="44"/>
      <c r="HJN507" s="44"/>
      <c r="HJO507" s="44"/>
      <c r="HJP507" s="44"/>
      <c r="HJQ507" s="44"/>
      <c r="HJR507" s="44"/>
      <c r="HJS507" s="44"/>
      <c r="HJT507" s="44"/>
      <c r="HJU507" s="44"/>
      <c r="HJV507" s="44"/>
      <c r="HJW507" s="44"/>
      <c r="HJX507" s="44"/>
      <c r="HJY507" s="44"/>
      <c r="HJZ507" s="44"/>
      <c r="HKA507" s="44"/>
      <c r="HKB507" s="44"/>
      <c r="HKC507" s="44"/>
      <c r="HKD507" s="44"/>
      <c r="HKE507" s="44"/>
      <c r="HKF507" s="44"/>
      <c r="HKG507" s="44"/>
      <c r="HKH507" s="44"/>
      <c r="HKI507" s="44"/>
      <c r="HKJ507" s="44"/>
      <c r="HKK507" s="44"/>
      <c r="HKL507" s="44"/>
      <c r="HKM507" s="44"/>
      <c r="HKN507" s="44"/>
      <c r="HKO507" s="44"/>
      <c r="HKP507" s="44"/>
      <c r="HKQ507" s="44"/>
      <c r="HKR507" s="44"/>
      <c r="HKS507" s="44"/>
      <c r="HKT507" s="44"/>
      <c r="HKU507" s="44"/>
      <c r="HKV507" s="44"/>
      <c r="HKW507" s="44"/>
      <c r="HKX507" s="44"/>
      <c r="HKY507" s="44"/>
      <c r="HKZ507" s="44"/>
      <c r="HLA507" s="44"/>
      <c r="HLB507" s="44"/>
      <c r="HLC507" s="44"/>
      <c r="HLD507" s="44"/>
      <c r="HLE507" s="44"/>
      <c r="HLF507" s="44"/>
      <c r="HLG507" s="44"/>
      <c r="HLH507" s="44"/>
      <c r="HLI507" s="44"/>
      <c r="HLJ507" s="44"/>
      <c r="HLK507" s="44"/>
      <c r="HLL507" s="44"/>
      <c r="HLM507" s="44"/>
      <c r="HLN507" s="44"/>
      <c r="HLO507" s="44"/>
      <c r="HLP507" s="44"/>
      <c r="HLQ507" s="44"/>
      <c r="HLR507" s="44"/>
      <c r="HLS507" s="44"/>
      <c r="HLT507" s="44"/>
      <c r="HLU507" s="44"/>
      <c r="HLV507" s="44"/>
      <c r="HLW507" s="44"/>
      <c r="HLX507" s="44"/>
      <c r="HLY507" s="44"/>
      <c r="HLZ507" s="44"/>
      <c r="HMA507" s="44"/>
      <c r="HMB507" s="44"/>
      <c r="HMC507" s="44"/>
      <c r="HMD507" s="44"/>
      <c r="HME507" s="44"/>
      <c r="HMF507" s="44"/>
      <c r="HMG507" s="44"/>
      <c r="HMH507" s="44"/>
      <c r="HMI507" s="44"/>
      <c r="HMJ507" s="44"/>
      <c r="HMK507" s="44"/>
      <c r="HML507" s="44"/>
      <c r="HMM507" s="44"/>
      <c r="HMN507" s="44"/>
      <c r="HMO507" s="44"/>
      <c r="HMP507" s="44"/>
      <c r="HMQ507" s="44"/>
      <c r="HMR507" s="44"/>
      <c r="HMS507" s="44"/>
      <c r="HMT507" s="44"/>
      <c r="HMU507" s="44"/>
      <c r="HMV507" s="44"/>
      <c r="HMW507" s="44"/>
      <c r="HMX507" s="44"/>
      <c r="HMY507" s="44"/>
      <c r="HMZ507" s="44"/>
      <c r="HNA507" s="44"/>
      <c r="HNB507" s="44"/>
      <c r="HNC507" s="44"/>
      <c r="HND507" s="44"/>
      <c r="HNE507" s="44"/>
      <c r="HNF507" s="44"/>
      <c r="HNG507" s="44"/>
      <c r="HNH507" s="44"/>
      <c r="HNI507" s="44"/>
      <c r="HNJ507" s="44"/>
      <c r="HNK507" s="44"/>
      <c r="HNL507" s="44"/>
      <c r="HNM507" s="44"/>
      <c r="HNN507" s="44"/>
      <c r="HNO507" s="44"/>
      <c r="HNP507" s="44"/>
      <c r="HNQ507" s="44"/>
      <c r="HNR507" s="44"/>
      <c r="HNS507" s="44"/>
      <c r="HNT507" s="44"/>
      <c r="HNU507" s="44"/>
      <c r="HNV507" s="44"/>
      <c r="HNW507" s="44"/>
      <c r="HNX507" s="44"/>
      <c r="HNY507" s="44"/>
      <c r="HNZ507" s="44"/>
      <c r="HOA507" s="44"/>
      <c r="HOB507" s="44"/>
      <c r="HOC507" s="44"/>
      <c r="HOD507" s="44"/>
      <c r="HOE507" s="44"/>
      <c r="HOF507" s="44"/>
      <c r="HOG507" s="44"/>
      <c r="HOH507" s="44"/>
      <c r="HOI507" s="44"/>
      <c r="HOJ507" s="44"/>
      <c r="HOK507" s="44"/>
      <c r="HOL507" s="44"/>
      <c r="HOM507" s="44"/>
      <c r="HON507" s="44"/>
      <c r="HOO507" s="44"/>
      <c r="HOP507" s="44"/>
      <c r="HOQ507" s="44"/>
      <c r="HOR507" s="44"/>
      <c r="HOS507" s="44"/>
      <c r="HOT507" s="44"/>
      <c r="HOU507" s="44"/>
      <c r="HOV507" s="44"/>
      <c r="HOW507" s="44"/>
      <c r="HOX507" s="44"/>
      <c r="HOY507" s="44"/>
      <c r="HOZ507" s="44"/>
      <c r="HPA507" s="44"/>
      <c r="HPB507" s="44"/>
      <c r="HPC507" s="44"/>
      <c r="HPD507" s="44"/>
      <c r="HPE507" s="44"/>
      <c r="HPF507" s="44"/>
      <c r="HPG507" s="44"/>
      <c r="HPH507" s="44"/>
      <c r="HPI507" s="44"/>
      <c r="HPJ507" s="44"/>
      <c r="HPK507" s="44"/>
      <c r="HPL507" s="44"/>
      <c r="HPM507" s="44"/>
      <c r="HPN507" s="44"/>
      <c r="HPO507" s="44"/>
      <c r="HPP507" s="44"/>
      <c r="HPQ507" s="44"/>
      <c r="HPR507" s="44"/>
      <c r="HPS507" s="44"/>
      <c r="HPT507" s="44"/>
      <c r="HPU507" s="44"/>
      <c r="HPV507" s="44"/>
      <c r="HPW507" s="44"/>
      <c r="HPX507" s="44"/>
      <c r="HPY507" s="44"/>
      <c r="HPZ507" s="44"/>
      <c r="HQA507" s="44"/>
      <c r="HQB507" s="44"/>
      <c r="HQC507" s="44"/>
      <c r="HQD507" s="44"/>
      <c r="HQE507" s="44"/>
      <c r="HQF507" s="44"/>
      <c r="HQG507" s="44"/>
      <c r="HQH507" s="44"/>
      <c r="HQI507" s="44"/>
      <c r="HQJ507" s="44"/>
      <c r="HQK507" s="44"/>
      <c r="HQL507" s="44"/>
      <c r="HQM507" s="44"/>
      <c r="HQN507" s="44"/>
      <c r="HQO507" s="44"/>
      <c r="HQP507" s="44"/>
      <c r="HQQ507" s="44"/>
      <c r="HQR507" s="44"/>
      <c r="HQS507" s="44"/>
      <c r="HQT507" s="44"/>
      <c r="HQU507" s="44"/>
      <c r="HQV507" s="44"/>
      <c r="HQW507" s="44"/>
      <c r="HQX507" s="44"/>
      <c r="HQY507" s="44"/>
      <c r="HQZ507" s="44"/>
      <c r="HRA507" s="44"/>
      <c r="HRB507" s="44"/>
      <c r="HRC507" s="44"/>
      <c r="HRD507" s="44"/>
      <c r="HRE507" s="44"/>
      <c r="HRF507" s="44"/>
      <c r="HRG507" s="44"/>
      <c r="HRH507" s="44"/>
      <c r="HRI507" s="44"/>
      <c r="HRJ507" s="44"/>
      <c r="HRK507" s="44"/>
      <c r="HRL507" s="44"/>
      <c r="HRM507" s="44"/>
      <c r="HRN507" s="44"/>
      <c r="HRO507" s="44"/>
      <c r="HRP507" s="44"/>
      <c r="HRQ507" s="44"/>
      <c r="HRR507" s="44"/>
      <c r="HRS507" s="44"/>
      <c r="HRT507" s="44"/>
      <c r="HRU507" s="44"/>
      <c r="HRV507" s="44"/>
      <c r="HRW507" s="44"/>
      <c r="HRX507" s="44"/>
      <c r="HRY507" s="44"/>
      <c r="HRZ507" s="44"/>
      <c r="HSA507" s="44"/>
      <c r="HSB507" s="44"/>
      <c r="HSC507" s="44"/>
      <c r="HSD507" s="44"/>
      <c r="HSE507" s="44"/>
      <c r="HSF507" s="44"/>
      <c r="HSG507" s="44"/>
      <c r="HSH507" s="44"/>
      <c r="HSI507" s="44"/>
      <c r="HSJ507" s="44"/>
      <c r="HSK507" s="44"/>
      <c r="HSL507" s="44"/>
      <c r="HSM507" s="44"/>
      <c r="HSN507" s="44"/>
      <c r="HSO507" s="44"/>
      <c r="HSP507" s="44"/>
      <c r="HSQ507" s="44"/>
      <c r="HSR507" s="44"/>
      <c r="HSS507" s="44"/>
      <c r="HST507" s="44"/>
      <c r="HSU507" s="44"/>
      <c r="HSV507" s="44"/>
      <c r="HSW507" s="44"/>
      <c r="HSX507" s="44"/>
      <c r="HSY507" s="44"/>
      <c r="HSZ507" s="44"/>
      <c r="HTA507" s="44"/>
      <c r="HTB507" s="44"/>
      <c r="HTC507" s="44"/>
      <c r="HTD507" s="44"/>
      <c r="HTE507" s="44"/>
      <c r="HTF507" s="44"/>
      <c r="HTG507" s="44"/>
      <c r="HTH507" s="44"/>
      <c r="HTI507" s="44"/>
      <c r="HTJ507" s="44"/>
      <c r="HTK507" s="44"/>
      <c r="HTL507" s="44"/>
      <c r="HTM507" s="44"/>
      <c r="HTN507" s="44"/>
      <c r="HTO507" s="44"/>
      <c r="HTP507" s="44"/>
      <c r="HTQ507" s="44"/>
      <c r="HTR507" s="44"/>
      <c r="HTS507" s="44"/>
      <c r="HTT507" s="44"/>
      <c r="HTU507" s="44"/>
      <c r="HTV507" s="44"/>
      <c r="HTW507" s="44"/>
      <c r="HTX507" s="44"/>
      <c r="HTY507" s="44"/>
      <c r="HTZ507" s="44"/>
      <c r="HUA507" s="44"/>
      <c r="HUB507" s="44"/>
      <c r="HUC507" s="44"/>
      <c r="HUD507" s="44"/>
      <c r="HUE507" s="44"/>
      <c r="HUF507" s="44"/>
      <c r="HUG507" s="44"/>
      <c r="HUH507" s="44"/>
      <c r="HUI507" s="44"/>
      <c r="HUJ507" s="44"/>
      <c r="HUK507" s="44"/>
      <c r="HUL507" s="44"/>
      <c r="HUM507" s="44"/>
      <c r="HUN507" s="44"/>
      <c r="HUO507" s="44"/>
      <c r="HUP507" s="44"/>
      <c r="HUQ507" s="44"/>
      <c r="HUR507" s="44"/>
      <c r="HUS507" s="44"/>
      <c r="HUT507" s="44"/>
      <c r="HUU507" s="44"/>
      <c r="HUV507" s="44"/>
      <c r="HUW507" s="44"/>
      <c r="HUX507" s="44"/>
      <c r="HUY507" s="44"/>
      <c r="HUZ507" s="44"/>
      <c r="HVA507" s="44"/>
      <c r="HVB507" s="44"/>
      <c r="HVC507" s="44"/>
      <c r="HVD507" s="44"/>
      <c r="HVE507" s="44"/>
      <c r="HVF507" s="44"/>
      <c r="HVG507" s="44"/>
      <c r="HVH507" s="44"/>
      <c r="HVI507" s="44"/>
      <c r="HVJ507" s="44"/>
      <c r="HVK507" s="44"/>
      <c r="HVL507" s="44"/>
      <c r="HVM507" s="44"/>
      <c r="HVN507" s="44"/>
      <c r="HVO507" s="44"/>
      <c r="HVP507" s="44"/>
      <c r="HVQ507" s="44"/>
      <c r="HVR507" s="44"/>
      <c r="HVS507" s="44"/>
      <c r="HVT507" s="44"/>
      <c r="HVU507" s="44"/>
      <c r="HVV507" s="44"/>
      <c r="HVW507" s="44"/>
      <c r="HVX507" s="44"/>
      <c r="HVY507" s="44"/>
      <c r="HVZ507" s="44"/>
      <c r="HWA507" s="44"/>
      <c r="HWB507" s="44"/>
      <c r="HWC507" s="44"/>
      <c r="HWD507" s="44"/>
      <c r="HWE507" s="44"/>
      <c r="HWF507" s="44"/>
      <c r="HWG507" s="44"/>
      <c r="HWH507" s="44"/>
      <c r="HWI507" s="44"/>
      <c r="HWJ507" s="44"/>
      <c r="HWK507" s="44"/>
      <c r="HWL507" s="44"/>
      <c r="HWM507" s="44"/>
      <c r="HWN507" s="44"/>
      <c r="HWO507" s="44"/>
      <c r="HWP507" s="44"/>
      <c r="HWQ507" s="44"/>
      <c r="HWR507" s="44"/>
      <c r="HWS507" s="44"/>
      <c r="HWT507" s="44"/>
      <c r="HWU507" s="44"/>
      <c r="HWV507" s="44"/>
      <c r="HWW507" s="44"/>
      <c r="HWX507" s="44"/>
      <c r="HWY507" s="44"/>
      <c r="HWZ507" s="44"/>
      <c r="HXA507" s="44"/>
      <c r="HXB507" s="44"/>
      <c r="HXC507" s="44"/>
      <c r="HXD507" s="44"/>
      <c r="HXE507" s="44"/>
      <c r="HXF507" s="44"/>
      <c r="HXG507" s="44"/>
      <c r="HXH507" s="44"/>
      <c r="HXI507" s="44"/>
      <c r="HXJ507" s="44"/>
      <c r="HXK507" s="44"/>
      <c r="HXL507" s="44"/>
      <c r="HXM507" s="44"/>
      <c r="HXN507" s="44"/>
      <c r="HXO507" s="44"/>
      <c r="HXP507" s="44"/>
      <c r="HXQ507" s="44"/>
      <c r="HXR507" s="44"/>
      <c r="HXS507" s="44"/>
      <c r="HXT507" s="44"/>
      <c r="HXU507" s="44"/>
      <c r="HXV507" s="44"/>
      <c r="HXW507" s="44"/>
      <c r="HXX507" s="44"/>
      <c r="HXY507" s="44"/>
      <c r="HXZ507" s="44"/>
      <c r="HYA507" s="44"/>
      <c r="HYB507" s="44"/>
      <c r="HYC507" s="44"/>
      <c r="HYD507" s="44"/>
      <c r="HYE507" s="44"/>
      <c r="HYF507" s="44"/>
      <c r="HYG507" s="44"/>
      <c r="HYH507" s="44"/>
      <c r="HYI507" s="44"/>
      <c r="HYJ507" s="44"/>
      <c r="HYK507" s="44"/>
      <c r="HYL507" s="44"/>
      <c r="HYM507" s="44"/>
      <c r="HYN507" s="44"/>
      <c r="HYO507" s="44"/>
      <c r="HYP507" s="44"/>
      <c r="HYQ507" s="44"/>
      <c r="HYR507" s="44"/>
      <c r="HYS507" s="44"/>
      <c r="HYT507" s="44"/>
      <c r="HYU507" s="44"/>
      <c r="HYV507" s="44"/>
      <c r="HYW507" s="44"/>
      <c r="HYX507" s="44"/>
      <c r="HYY507" s="44"/>
      <c r="HYZ507" s="44"/>
      <c r="HZA507" s="44"/>
      <c r="HZB507" s="44"/>
      <c r="HZC507" s="44"/>
      <c r="HZD507" s="44"/>
      <c r="HZE507" s="44"/>
      <c r="HZF507" s="44"/>
      <c r="HZG507" s="44"/>
      <c r="HZH507" s="44"/>
      <c r="HZI507" s="44"/>
      <c r="HZJ507" s="44"/>
      <c r="HZK507" s="44"/>
      <c r="HZL507" s="44"/>
      <c r="HZM507" s="44"/>
      <c r="HZN507" s="44"/>
      <c r="HZO507" s="44"/>
      <c r="HZP507" s="44"/>
      <c r="HZQ507" s="44"/>
      <c r="HZR507" s="44"/>
      <c r="HZS507" s="44"/>
      <c r="HZT507" s="44"/>
      <c r="HZU507" s="44"/>
      <c r="HZV507" s="44"/>
      <c r="HZW507" s="44"/>
      <c r="HZX507" s="44"/>
      <c r="HZY507" s="44"/>
      <c r="HZZ507" s="44"/>
      <c r="IAA507" s="44"/>
      <c r="IAB507" s="44"/>
      <c r="IAC507" s="44"/>
      <c r="IAD507" s="44"/>
      <c r="IAE507" s="44"/>
      <c r="IAF507" s="44"/>
      <c r="IAG507" s="44"/>
      <c r="IAH507" s="44"/>
      <c r="IAI507" s="44"/>
      <c r="IAJ507" s="44"/>
      <c r="IAK507" s="44"/>
      <c r="IAL507" s="44"/>
      <c r="IAM507" s="44"/>
      <c r="IAN507" s="44"/>
      <c r="IAO507" s="44"/>
      <c r="IAP507" s="44"/>
      <c r="IAQ507" s="44"/>
      <c r="IAR507" s="44"/>
      <c r="IAS507" s="44"/>
      <c r="IAT507" s="44"/>
      <c r="IAU507" s="44"/>
      <c r="IAV507" s="44"/>
      <c r="IAW507" s="44"/>
      <c r="IAX507" s="44"/>
      <c r="IAY507" s="44"/>
      <c r="IAZ507" s="44"/>
      <c r="IBA507" s="44"/>
      <c r="IBB507" s="44"/>
      <c r="IBC507" s="44"/>
      <c r="IBD507" s="44"/>
      <c r="IBE507" s="44"/>
      <c r="IBF507" s="44"/>
      <c r="IBG507" s="44"/>
      <c r="IBH507" s="44"/>
      <c r="IBI507" s="44"/>
      <c r="IBJ507" s="44"/>
      <c r="IBK507" s="44"/>
      <c r="IBL507" s="44"/>
      <c r="IBM507" s="44"/>
      <c r="IBN507" s="44"/>
      <c r="IBO507" s="44"/>
      <c r="IBP507" s="44"/>
      <c r="IBQ507" s="44"/>
      <c r="IBR507" s="44"/>
      <c r="IBS507" s="44"/>
      <c r="IBT507" s="44"/>
      <c r="IBU507" s="44"/>
      <c r="IBV507" s="44"/>
      <c r="IBW507" s="44"/>
      <c r="IBX507" s="44"/>
      <c r="IBY507" s="44"/>
      <c r="IBZ507" s="44"/>
      <c r="ICA507" s="44"/>
      <c r="ICB507" s="44"/>
      <c r="ICC507" s="44"/>
      <c r="ICD507" s="44"/>
      <c r="ICE507" s="44"/>
      <c r="ICF507" s="44"/>
      <c r="ICG507" s="44"/>
      <c r="ICH507" s="44"/>
      <c r="ICI507" s="44"/>
      <c r="ICJ507" s="44"/>
      <c r="ICK507" s="44"/>
      <c r="ICL507" s="44"/>
      <c r="ICM507" s="44"/>
      <c r="ICN507" s="44"/>
      <c r="ICO507" s="44"/>
      <c r="ICP507" s="44"/>
      <c r="ICQ507" s="44"/>
      <c r="ICR507" s="44"/>
      <c r="ICS507" s="44"/>
      <c r="ICT507" s="44"/>
      <c r="ICU507" s="44"/>
      <c r="ICV507" s="44"/>
      <c r="ICW507" s="44"/>
      <c r="ICX507" s="44"/>
      <c r="ICY507" s="44"/>
      <c r="ICZ507" s="44"/>
      <c r="IDA507" s="44"/>
      <c r="IDB507" s="44"/>
      <c r="IDC507" s="44"/>
      <c r="IDD507" s="44"/>
      <c r="IDE507" s="44"/>
      <c r="IDF507" s="44"/>
      <c r="IDG507" s="44"/>
      <c r="IDH507" s="44"/>
      <c r="IDI507" s="44"/>
      <c r="IDJ507" s="44"/>
      <c r="IDK507" s="44"/>
      <c r="IDL507" s="44"/>
      <c r="IDM507" s="44"/>
      <c r="IDN507" s="44"/>
      <c r="IDO507" s="44"/>
      <c r="IDP507" s="44"/>
      <c r="IDQ507" s="44"/>
      <c r="IDR507" s="44"/>
      <c r="IDS507" s="44"/>
      <c r="IDT507" s="44"/>
      <c r="IDU507" s="44"/>
      <c r="IDV507" s="44"/>
      <c r="IDW507" s="44"/>
      <c r="IDX507" s="44"/>
      <c r="IDY507" s="44"/>
      <c r="IDZ507" s="44"/>
      <c r="IEA507" s="44"/>
      <c r="IEB507" s="44"/>
      <c r="IEC507" s="44"/>
      <c r="IED507" s="44"/>
      <c r="IEE507" s="44"/>
      <c r="IEF507" s="44"/>
      <c r="IEG507" s="44"/>
      <c r="IEH507" s="44"/>
      <c r="IEI507" s="44"/>
      <c r="IEJ507" s="44"/>
      <c r="IEK507" s="44"/>
      <c r="IEL507" s="44"/>
      <c r="IEM507" s="44"/>
      <c r="IEN507" s="44"/>
      <c r="IEO507" s="44"/>
      <c r="IEP507" s="44"/>
      <c r="IEQ507" s="44"/>
      <c r="IER507" s="44"/>
      <c r="IES507" s="44"/>
      <c r="IET507" s="44"/>
      <c r="IEU507" s="44"/>
      <c r="IEV507" s="44"/>
      <c r="IEW507" s="44"/>
      <c r="IEX507" s="44"/>
      <c r="IEY507" s="44"/>
      <c r="IEZ507" s="44"/>
      <c r="IFA507" s="44"/>
      <c r="IFB507" s="44"/>
      <c r="IFC507" s="44"/>
      <c r="IFD507" s="44"/>
      <c r="IFE507" s="44"/>
      <c r="IFF507" s="44"/>
      <c r="IFG507" s="44"/>
      <c r="IFH507" s="44"/>
      <c r="IFI507" s="44"/>
      <c r="IFJ507" s="44"/>
      <c r="IFK507" s="44"/>
      <c r="IFL507" s="44"/>
      <c r="IFM507" s="44"/>
      <c r="IFN507" s="44"/>
      <c r="IFO507" s="44"/>
      <c r="IFP507" s="44"/>
      <c r="IFQ507" s="44"/>
      <c r="IFR507" s="44"/>
      <c r="IFS507" s="44"/>
      <c r="IFT507" s="44"/>
      <c r="IFU507" s="44"/>
      <c r="IFV507" s="44"/>
      <c r="IFW507" s="44"/>
      <c r="IFX507" s="44"/>
      <c r="IFY507" s="44"/>
      <c r="IFZ507" s="44"/>
      <c r="IGA507" s="44"/>
      <c r="IGB507" s="44"/>
      <c r="IGC507" s="44"/>
      <c r="IGD507" s="44"/>
      <c r="IGE507" s="44"/>
      <c r="IGF507" s="44"/>
      <c r="IGG507" s="44"/>
      <c r="IGH507" s="44"/>
      <c r="IGI507" s="44"/>
      <c r="IGJ507" s="44"/>
      <c r="IGK507" s="44"/>
      <c r="IGL507" s="44"/>
      <c r="IGM507" s="44"/>
      <c r="IGN507" s="44"/>
      <c r="IGO507" s="44"/>
      <c r="IGP507" s="44"/>
      <c r="IGQ507" s="44"/>
      <c r="IGR507" s="44"/>
      <c r="IGS507" s="44"/>
      <c r="IGT507" s="44"/>
      <c r="IGU507" s="44"/>
      <c r="IGV507" s="44"/>
      <c r="IGW507" s="44"/>
      <c r="IGX507" s="44"/>
      <c r="IGY507" s="44"/>
      <c r="IGZ507" s="44"/>
      <c r="IHA507" s="44"/>
      <c r="IHB507" s="44"/>
      <c r="IHC507" s="44"/>
      <c r="IHD507" s="44"/>
      <c r="IHE507" s="44"/>
      <c r="IHF507" s="44"/>
      <c r="IHG507" s="44"/>
      <c r="IHH507" s="44"/>
      <c r="IHI507" s="44"/>
      <c r="IHJ507" s="44"/>
      <c r="IHK507" s="44"/>
      <c r="IHL507" s="44"/>
      <c r="IHM507" s="44"/>
      <c r="IHN507" s="44"/>
      <c r="IHO507" s="44"/>
      <c r="IHP507" s="44"/>
      <c r="IHQ507" s="44"/>
      <c r="IHR507" s="44"/>
      <c r="IHS507" s="44"/>
      <c r="IHT507" s="44"/>
      <c r="IHU507" s="44"/>
      <c r="IHV507" s="44"/>
      <c r="IHW507" s="44"/>
      <c r="IHX507" s="44"/>
      <c r="IHY507" s="44"/>
      <c r="IHZ507" s="44"/>
      <c r="IIA507" s="44"/>
      <c r="IIB507" s="44"/>
      <c r="IIC507" s="44"/>
      <c r="IID507" s="44"/>
      <c r="IIE507" s="44"/>
      <c r="IIF507" s="44"/>
      <c r="IIG507" s="44"/>
      <c r="IIH507" s="44"/>
      <c r="III507" s="44"/>
      <c r="IIJ507" s="44"/>
      <c r="IIK507" s="44"/>
      <c r="IIL507" s="44"/>
      <c r="IIM507" s="44"/>
      <c r="IIN507" s="44"/>
      <c r="IIO507" s="44"/>
      <c r="IIP507" s="44"/>
      <c r="IIQ507" s="44"/>
      <c r="IIR507" s="44"/>
      <c r="IIS507" s="44"/>
      <c r="IIT507" s="44"/>
      <c r="IIU507" s="44"/>
      <c r="IIV507" s="44"/>
      <c r="IIW507" s="44"/>
      <c r="IIX507" s="44"/>
      <c r="IIY507" s="44"/>
      <c r="IIZ507" s="44"/>
      <c r="IJA507" s="44"/>
      <c r="IJB507" s="44"/>
      <c r="IJC507" s="44"/>
      <c r="IJD507" s="44"/>
      <c r="IJE507" s="44"/>
      <c r="IJF507" s="44"/>
      <c r="IJG507" s="44"/>
      <c r="IJH507" s="44"/>
      <c r="IJI507" s="44"/>
      <c r="IJJ507" s="44"/>
      <c r="IJK507" s="44"/>
      <c r="IJL507" s="44"/>
      <c r="IJM507" s="44"/>
      <c r="IJN507" s="44"/>
      <c r="IJO507" s="44"/>
      <c r="IJP507" s="44"/>
      <c r="IJQ507" s="44"/>
      <c r="IJR507" s="44"/>
      <c r="IJS507" s="44"/>
      <c r="IJT507" s="44"/>
      <c r="IJU507" s="44"/>
      <c r="IJV507" s="44"/>
      <c r="IJW507" s="44"/>
      <c r="IJX507" s="44"/>
      <c r="IJY507" s="44"/>
      <c r="IJZ507" s="44"/>
      <c r="IKA507" s="44"/>
      <c r="IKB507" s="44"/>
      <c r="IKC507" s="44"/>
      <c r="IKD507" s="44"/>
      <c r="IKE507" s="44"/>
      <c r="IKF507" s="44"/>
      <c r="IKG507" s="44"/>
      <c r="IKH507" s="44"/>
      <c r="IKI507" s="44"/>
      <c r="IKJ507" s="44"/>
      <c r="IKK507" s="44"/>
      <c r="IKL507" s="44"/>
      <c r="IKM507" s="44"/>
      <c r="IKN507" s="44"/>
      <c r="IKO507" s="44"/>
      <c r="IKP507" s="44"/>
      <c r="IKQ507" s="44"/>
      <c r="IKR507" s="44"/>
      <c r="IKS507" s="44"/>
      <c r="IKT507" s="44"/>
      <c r="IKU507" s="44"/>
      <c r="IKV507" s="44"/>
      <c r="IKW507" s="44"/>
      <c r="IKX507" s="44"/>
      <c r="IKY507" s="44"/>
      <c r="IKZ507" s="44"/>
      <c r="ILA507" s="44"/>
      <c r="ILB507" s="44"/>
      <c r="ILC507" s="44"/>
      <c r="ILD507" s="44"/>
      <c r="ILE507" s="44"/>
      <c r="ILF507" s="44"/>
      <c r="ILG507" s="44"/>
      <c r="ILH507" s="44"/>
      <c r="ILI507" s="44"/>
      <c r="ILJ507" s="44"/>
      <c r="ILK507" s="44"/>
      <c r="ILL507" s="44"/>
      <c r="ILM507" s="44"/>
      <c r="ILN507" s="44"/>
      <c r="ILO507" s="44"/>
      <c r="ILP507" s="44"/>
      <c r="ILQ507" s="44"/>
      <c r="ILR507" s="44"/>
      <c r="ILS507" s="44"/>
      <c r="ILT507" s="44"/>
      <c r="ILU507" s="44"/>
      <c r="ILV507" s="44"/>
      <c r="ILW507" s="44"/>
      <c r="ILX507" s="44"/>
      <c r="ILY507" s="44"/>
      <c r="ILZ507" s="44"/>
      <c r="IMA507" s="44"/>
      <c r="IMB507" s="44"/>
      <c r="IMC507" s="44"/>
      <c r="IMD507" s="44"/>
      <c r="IME507" s="44"/>
      <c r="IMF507" s="44"/>
      <c r="IMG507" s="44"/>
      <c r="IMH507" s="44"/>
      <c r="IMI507" s="44"/>
      <c r="IMJ507" s="44"/>
      <c r="IMK507" s="44"/>
      <c r="IML507" s="44"/>
      <c r="IMM507" s="44"/>
      <c r="IMN507" s="44"/>
      <c r="IMO507" s="44"/>
      <c r="IMP507" s="44"/>
      <c r="IMQ507" s="44"/>
      <c r="IMR507" s="44"/>
      <c r="IMS507" s="44"/>
      <c r="IMT507" s="44"/>
      <c r="IMU507" s="44"/>
      <c r="IMV507" s="44"/>
      <c r="IMW507" s="44"/>
      <c r="IMX507" s="44"/>
      <c r="IMY507" s="44"/>
      <c r="IMZ507" s="44"/>
      <c r="INA507" s="44"/>
      <c r="INB507" s="44"/>
      <c r="INC507" s="44"/>
      <c r="IND507" s="44"/>
      <c r="INE507" s="44"/>
      <c r="INF507" s="44"/>
      <c r="ING507" s="44"/>
      <c r="INH507" s="44"/>
      <c r="INI507" s="44"/>
      <c r="INJ507" s="44"/>
      <c r="INK507" s="44"/>
      <c r="INL507" s="44"/>
      <c r="INM507" s="44"/>
      <c r="INN507" s="44"/>
      <c r="INO507" s="44"/>
      <c r="INP507" s="44"/>
      <c r="INQ507" s="44"/>
      <c r="INR507" s="44"/>
      <c r="INS507" s="44"/>
      <c r="INT507" s="44"/>
      <c r="INU507" s="44"/>
      <c r="INV507" s="44"/>
      <c r="INW507" s="44"/>
      <c r="INX507" s="44"/>
      <c r="INY507" s="44"/>
      <c r="INZ507" s="44"/>
      <c r="IOA507" s="44"/>
      <c r="IOB507" s="44"/>
      <c r="IOC507" s="44"/>
      <c r="IOD507" s="44"/>
      <c r="IOE507" s="44"/>
      <c r="IOF507" s="44"/>
      <c r="IOG507" s="44"/>
      <c r="IOH507" s="44"/>
      <c r="IOI507" s="44"/>
      <c r="IOJ507" s="44"/>
      <c r="IOK507" s="44"/>
      <c r="IOL507" s="44"/>
      <c r="IOM507" s="44"/>
      <c r="ION507" s="44"/>
      <c r="IOO507" s="44"/>
      <c r="IOP507" s="44"/>
      <c r="IOQ507" s="44"/>
      <c r="IOR507" s="44"/>
      <c r="IOS507" s="44"/>
      <c r="IOT507" s="44"/>
      <c r="IOU507" s="44"/>
      <c r="IOV507" s="44"/>
      <c r="IOW507" s="44"/>
      <c r="IOX507" s="44"/>
      <c r="IOY507" s="44"/>
      <c r="IOZ507" s="44"/>
      <c r="IPA507" s="44"/>
      <c r="IPB507" s="44"/>
      <c r="IPC507" s="44"/>
      <c r="IPD507" s="44"/>
      <c r="IPE507" s="44"/>
      <c r="IPF507" s="44"/>
      <c r="IPG507" s="44"/>
      <c r="IPH507" s="44"/>
      <c r="IPI507" s="44"/>
      <c r="IPJ507" s="44"/>
      <c r="IPK507" s="44"/>
      <c r="IPL507" s="44"/>
      <c r="IPM507" s="44"/>
      <c r="IPN507" s="44"/>
      <c r="IPO507" s="44"/>
      <c r="IPP507" s="44"/>
      <c r="IPQ507" s="44"/>
      <c r="IPR507" s="44"/>
      <c r="IPS507" s="44"/>
      <c r="IPT507" s="44"/>
      <c r="IPU507" s="44"/>
      <c r="IPV507" s="44"/>
      <c r="IPW507" s="44"/>
      <c r="IPX507" s="44"/>
      <c r="IPY507" s="44"/>
      <c r="IPZ507" s="44"/>
      <c r="IQA507" s="44"/>
      <c r="IQB507" s="44"/>
      <c r="IQC507" s="44"/>
      <c r="IQD507" s="44"/>
      <c r="IQE507" s="44"/>
      <c r="IQF507" s="44"/>
      <c r="IQG507" s="44"/>
      <c r="IQH507" s="44"/>
      <c r="IQI507" s="44"/>
      <c r="IQJ507" s="44"/>
      <c r="IQK507" s="44"/>
      <c r="IQL507" s="44"/>
      <c r="IQM507" s="44"/>
      <c r="IQN507" s="44"/>
      <c r="IQO507" s="44"/>
      <c r="IQP507" s="44"/>
      <c r="IQQ507" s="44"/>
      <c r="IQR507" s="44"/>
      <c r="IQS507" s="44"/>
      <c r="IQT507" s="44"/>
      <c r="IQU507" s="44"/>
      <c r="IQV507" s="44"/>
      <c r="IQW507" s="44"/>
      <c r="IQX507" s="44"/>
      <c r="IQY507" s="44"/>
      <c r="IQZ507" s="44"/>
      <c r="IRA507" s="44"/>
      <c r="IRB507" s="44"/>
      <c r="IRC507" s="44"/>
      <c r="IRD507" s="44"/>
      <c r="IRE507" s="44"/>
      <c r="IRF507" s="44"/>
      <c r="IRG507" s="44"/>
      <c r="IRH507" s="44"/>
      <c r="IRI507" s="44"/>
      <c r="IRJ507" s="44"/>
      <c r="IRK507" s="44"/>
      <c r="IRL507" s="44"/>
      <c r="IRM507" s="44"/>
      <c r="IRN507" s="44"/>
      <c r="IRO507" s="44"/>
      <c r="IRP507" s="44"/>
      <c r="IRQ507" s="44"/>
      <c r="IRR507" s="44"/>
      <c r="IRS507" s="44"/>
      <c r="IRT507" s="44"/>
      <c r="IRU507" s="44"/>
      <c r="IRV507" s="44"/>
      <c r="IRW507" s="44"/>
      <c r="IRX507" s="44"/>
      <c r="IRY507" s="44"/>
      <c r="IRZ507" s="44"/>
      <c r="ISA507" s="44"/>
      <c r="ISB507" s="44"/>
      <c r="ISC507" s="44"/>
      <c r="ISD507" s="44"/>
      <c r="ISE507" s="44"/>
      <c r="ISF507" s="44"/>
      <c r="ISG507" s="44"/>
      <c r="ISH507" s="44"/>
      <c r="ISI507" s="44"/>
      <c r="ISJ507" s="44"/>
      <c r="ISK507" s="44"/>
      <c r="ISL507" s="44"/>
      <c r="ISM507" s="44"/>
      <c r="ISN507" s="44"/>
      <c r="ISO507" s="44"/>
      <c r="ISP507" s="44"/>
      <c r="ISQ507" s="44"/>
      <c r="ISR507" s="44"/>
      <c r="ISS507" s="44"/>
      <c r="IST507" s="44"/>
      <c r="ISU507" s="44"/>
      <c r="ISV507" s="44"/>
      <c r="ISW507" s="44"/>
      <c r="ISX507" s="44"/>
      <c r="ISY507" s="44"/>
      <c r="ISZ507" s="44"/>
      <c r="ITA507" s="44"/>
      <c r="ITB507" s="44"/>
      <c r="ITC507" s="44"/>
      <c r="ITD507" s="44"/>
      <c r="ITE507" s="44"/>
      <c r="ITF507" s="44"/>
      <c r="ITG507" s="44"/>
      <c r="ITH507" s="44"/>
      <c r="ITI507" s="44"/>
      <c r="ITJ507" s="44"/>
      <c r="ITK507" s="44"/>
      <c r="ITL507" s="44"/>
      <c r="ITM507" s="44"/>
      <c r="ITN507" s="44"/>
      <c r="ITO507" s="44"/>
      <c r="ITP507" s="44"/>
      <c r="ITQ507" s="44"/>
      <c r="ITR507" s="44"/>
      <c r="ITS507" s="44"/>
      <c r="ITT507" s="44"/>
      <c r="ITU507" s="44"/>
      <c r="ITV507" s="44"/>
      <c r="ITW507" s="44"/>
      <c r="ITX507" s="44"/>
      <c r="ITY507" s="44"/>
      <c r="ITZ507" s="44"/>
      <c r="IUA507" s="44"/>
      <c r="IUB507" s="44"/>
      <c r="IUC507" s="44"/>
      <c r="IUD507" s="44"/>
      <c r="IUE507" s="44"/>
      <c r="IUF507" s="44"/>
      <c r="IUG507" s="44"/>
      <c r="IUH507" s="44"/>
      <c r="IUI507" s="44"/>
      <c r="IUJ507" s="44"/>
      <c r="IUK507" s="44"/>
      <c r="IUL507" s="44"/>
      <c r="IUM507" s="44"/>
      <c r="IUN507" s="44"/>
      <c r="IUO507" s="44"/>
      <c r="IUP507" s="44"/>
      <c r="IUQ507" s="44"/>
      <c r="IUR507" s="44"/>
      <c r="IUS507" s="44"/>
      <c r="IUT507" s="44"/>
      <c r="IUU507" s="44"/>
      <c r="IUV507" s="44"/>
      <c r="IUW507" s="44"/>
      <c r="IUX507" s="44"/>
      <c r="IUY507" s="44"/>
      <c r="IUZ507" s="44"/>
      <c r="IVA507" s="44"/>
      <c r="IVB507" s="44"/>
      <c r="IVC507" s="44"/>
      <c r="IVD507" s="44"/>
      <c r="IVE507" s="44"/>
      <c r="IVF507" s="44"/>
      <c r="IVG507" s="44"/>
      <c r="IVH507" s="44"/>
      <c r="IVI507" s="44"/>
      <c r="IVJ507" s="44"/>
      <c r="IVK507" s="44"/>
      <c r="IVL507" s="44"/>
      <c r="IVM507" s="44"/>
      <c r="IVN507" s="44"/>
      <c r="IVO507" s="44"/>
      <c r="IVP507" s="44"/>
      <c r="IVQ507" s="44"/>
      <c r="IVR507" s="44"/>
      <c r="IVS507" s="44"/>
      <c r="IVT507" s="44"/>
      <c r="IVU507" s="44"/>
      <c r="IVV507" s="44"/>
      <c r="IVW507" s="44"/>
      <c r="IVX507" s="44"/>
      <c r="IVY507" s="44"/>
      <c r="IVZ507" s="44"/>
      <c r="IWA507" s="44"/>
      <c r="IWB507" s="44"/>
      <c r="IWC507" s="44"/>
      <c r="IWD507" s="44"/>
      <c r="IWE507" s="44"/>
      <c r="IWF507" s="44"/>
      <c r="IWG507" s="44"/>
      <c r="IWH507" s="44"/>
      <c r="IWI507" s="44"/>
      <c r="IWJ507" s="44"/>
      <c r="IWK507" s="44"/>
      <c r="IWL507" s="44"/>
      <c r="IWM507" s="44"/>
      <c r="IWN507" s="44"/>
      <c r="IWO507" s="44"/>
      <c r="IWP507" s="44"/>
      <c r="IWQ507" s="44"/>
      <c r="IWR507" s="44"/>
      <c r="IWS507" s="44"/>
      <c r="IWT507" s="44"/>
      <c r="IWU507" s="44"/>
      <c r="IWV507" s="44"/>
      <c r="IWW507" s="44"/>
      <c r="IWX507" s="44"/>
      <c r="IWY507" s="44"/>
      <c r="IWZ507" s="44"/>
      <c r="IXA507" s="44"/>
      <c r="IXB507" s="44"/>
      <c r="IXC507" s="44"/>
      <c r="IXD507" s="44"/>
      <c r="IXE507" s="44"/>
      <c r="IXF507" s="44"/>
      <c r="IXG507" s="44"/>
      <c r="IXH507" s="44"/>
      <c r="IXI507" s="44"/>
      <c r="IXJ507" s="44"/>
      <c r="IXK507" s="44"/>
      <c r="IXL507" s="44"/>
      <c r="IXM507" s="44"/>
      <c r="IXN507" s="44"/>
      <c r="IXO507" s="44"/>
      <c r="IXP507" s="44"/>
      <c r="IXQ507" s="44"/>
      <c r="IXR507" s="44"/>
      <c r="IXS507" s="44"/>
      <c r="IXT507" s="44"/>
      <c r="IXU507" s="44"/>
      <c r="IXV507" s="44"/>
      <c r="IXW507" s="44"/>
      <c r="IXX507" s="44"/>
      <c r="IXY507" s="44"/>
      <c r="IXZ507" s="44"/>
      <c r="IYA507" s="44"/>
      <c r="IYB507" s="44"/>
      <c r="IYC507" s="44"/>
      <c r="IYD507" s="44"/>
      <c r="IYE507" s="44"/>
      <c r="IYF507" s="44"/>
      <c r="IYG507" s="44"/>
      <c r="IYH507" s="44"/>
      <c r="IYI507" s="44"/>
      <c r="IYJ507" s="44"/>
      <c r="IYK507" s="44"/>
      <c r="IYL507" s="44"/>
      <c r="IYM507" s="44"/>
      <c r="IYN507" s="44"/>
      <c r="IYO507" s="44"/>
      <c r="IYP507" s="44"/>
      <c r="IYQ507" s="44"/>
      <c r="IYR507" s="44"/>
      <c r="IYS507" s="44"/>
      <c r="IYT507" s="44"/>
      <c r="IYU507" s="44"/>
      <c r="IYV507" s="44"/>
      <c r="IYW507" s="44"/>
      <c r="IYX507" s="44"/>
      <c r="IYY507" s="44"/>
      <c r="IYZ507" s="44"/>
      <c r="IZA507" s="44"/>
      <c r="IZB507" s="44"/>
      <c r="IZC507" s="44"/>
      <c r="IZD507" s="44"/>
      <c r="IZE507" s="44"/>
      <c r="IZF507" s="44"/>
      <c r="IZG507" s="44"/>
      <c r="IZH507" s="44"/>
      <c r="IZI507" s="44"/>
      <c r="IZJ507" s="44"/>
      <c r="IZK507" s="44"/>
      <c r="IZL507" s="44"/>
      <c r="IZM507" s="44"/>
      <c r="IZN507" s="44"/>
      <c r="IZO507" s="44"/>
      <c r="IZP507" s="44"/>
      <c r="IZQ507" s="44"/>
      <c r="IZR507" s="44"/>
      <c r="IZS507" s="44"/>
      <c r="IZT507" s="44"/>
      <c r="IZU507" s="44"/>
      <c r="IZV507" s="44"/>
      <c r="IZW507" s="44"/>
      <c r="IZX507" s="44"/>
      <c r="IZY507" s="44"/>
      <c r="IZZ507" s="44"/>
      <c r="JAA507" s="44"/>
      <c r="JAB507" s="44"/>
      <c r="JAC507" s="44"/>
      <c r="JAD507" s="44"/>
      <c r="JAE507" s="44"/>
      <c r="JAF507" s="44"/>
      <c r="JAG507" s="44"/>
      <c r="JAH507" s="44"/>
      <c r="JAI507" s="44"/>
      <c r="JAJ507" s="44"/>
      <c r="JAK507" s="44"/>
      <c r="JAL507" s="44"/>
      <c r="JAM507" s="44"/>
      <c r="JAN507" s="44"/>
      <c r="JAO507" s="44"/>
      <c r="JAP507" s="44"/>
      <c r="JAQ507" s="44"/>
      <c r="JAR507" s="44"/>
      <c r="JAS507" s="44"/>
      <c r="JAT507" s="44"/>
      <c r="JAU507" s="44"/>
      <c r="JAV507" s="44"/>
      <c r="JAW507" s="44"/>
      <c r="JAX507" s="44"/>
      <c r="JAY507" s="44"/>
      <c r="JAZ507" s="44"/>
      <c r="JBA507" s="44"/>
      <c r="JBB507" s="44"/>
      <c r="JBC507" s="44"/>
      <c r="JBD507" s="44"/>
      <c r="JBE507" s="44"/>
      <c r="JBF507" s="44"/>
      <c r="JBG507" s="44"/>
      <c r="JBH507" s="44"/>
      <c r="JBI507" s="44"/>
      <c r="JBJ507" s="44"/>
      <c r="JBK507" s="44"/>
      <c r="JBL507" s="44"/>
      <c r="JBM507" s="44"/>
      <c r="JBN507" s="44"/>
      <c r="JBO507" s="44"/>
      <c r="JBP507" s="44"/>
      <c r="JBQ507" s="44"/>
      <c r="JBR507" s="44"/>
      <c r="JBS507" s="44"/>
      <c r="JBT507" s="44"/>
      <c r="JBU507" s="44"/>
      <c r="JBV507" s="44"/>
      <c r="JBW507" s="44"/>
      <c r="JBX507" s="44"/>
      <c r="JBY507" s="44"/>
      <c r="JBZ507" s="44"/>
      <c r="JCA507" s="44"/>
      <c r="JCB507" s="44"/>
      <c r="JCC507" s="44"/>
      <c r="JCD507" s="44"/>
      <c r="JCE507" s="44"/>
      <c r="JCF507" s="44"/>
      <c r="JCG507" s="44"/>
      <c r="JCH507" s="44"/>
      <c r="JCI507" s="44"/>
      <c r="JCJ507" s="44"/>
      <c r="JCK507" s="44"/>
      <c r="JCL507" s="44"/>
      <c r="JCM507" s="44"/>
      <c r="JCN507" s="44"/>
      <c r="JCO507" s="44"/>
      <c r="JCP507" s="44"/>
      <c r="JCQ507" s="44"/>
      <c r="JCR507" s="44"/>
      <c r="JCS507" s="44"/>
      <c r="JCT507" s="44"/>
      <c r="JCU507" s="44"/>
      <c r="JCV507" s="44"/>
      <c r="JCW507" s="44"/>
      <c r="JCX507" s="44"/>
      <c r="JCY507" s="44"/>
      <c r="JCZ507" s="44"/>
      <c r="JDA507" s="44"/>
      <c r="JDB507" s="44"/>
      <c r="JDC507" s="44"/>
      <c r="JDD507" s="44"/>
      <c r="JDE507" s="44"/>
      <c r="JDF507" s="44"/>
      <c r="JDG507" s="44"/>
      <c r="JDH507" s="44"/>
      <c r="JDI507" s="44"/>
      <c r="JDJ507" s="44"/>
      <c r="JDK507" s="44"/>
      <c r="JDL507" s="44"/>
      <c r="JDM507" s="44"/>
      <c r="JDN507" s="44"/>
      <c r="JDO507" s="44"/>
      <c r="JDP507" s="44"/>
      <c r="JDQ507" s="44"/>
      <c r="JDR507" s="44"/>
      <c r="JDS507" s="44"/>
      <c r="JDT507" s="44"/>
      <c r="JDU507" s="44"/>
      <c r="JDV507" s="44"/>
      <c r="JDW507" s="44"/>
      <c r="JDX507" s="44"/>
      <c r="JDY507" s="44"/>
      <c r="JDZ507" s="44"/>
      <c r="JEA507" s="44"/>
      <c r="JEB507" s="44"/>
      <c r="JEC507" s="44"/>
      <c r="JED507" s="44"/>
      <c r="JEE507" s="44"/>
      <c r="JEF507" s="44"/>
      <c r="JEG507" s="44"/>
      <c r="JEH507" s="44"/>
      <c r="JEI507" s="44"/>
      <c r="JEJ507" s="44"/>
      <c r="JEK507" s="44"/>
      <c r="JEL507" s="44"/>
      <c r="JEM507" s="44"/>
      <c r="JEN507" s="44"/>
      <c r="JEO507" s="44"/>
      <c r="JEP507" s="44"/>
      <c r="JEQ507" s="44"/>
      <c r="JER507" s="44"/>
      <c r="JES507" s="44"/>
      <c r="JET507" s="44"/>
      <c r="JEU507" s="44"/>
      <c r="JEV507" s="44"/>
      <c r="JEW507" s="44"/>
      <c r="JEX507" s="44"/>
      <c r="JEY507" s="44"/>
      <c r="JEZ507" s="44"/>
      <c r="JFA507" s="44"/>
      <c r="JFB507" s="44"/>
      <c r="JFC507" s="44"/>
      <c r="JFD507" s="44"/>
      <c r="JFE507" s="44"/>
      <c r="JFF507" s="44"/>
      <c r="JFG507" s="44"/>
      <c r="JFH507" s="44"/>
      <c r="JFI507" s="44"/>
      <c r="JFJ507" s="44"/>
      <c r="JFK507" s="44"/>
      <c r="JFL507" s="44"/>
      <c r="JFM507" s="44"/>
      <c r="JFN507" s="44"/>
      <c r="JFO507" s="44"/>
      <c r="JFP507" s="44"/>
      <c r="JFQ507" s="44"/>
      <c r="JFR507" s="44"/>
      <c r="JFS507" s="44"/>
      <c r="JFT507" s="44"/>
      <c r="JFU507" s="44"/>
      <c r="JFV507" s="44"/>
      <c r="JFW507" s="44"/>
      <c r="JFX507" s="44"/>
      <c r="JFY507" s="44"/>
      <c r="JFZ507" s="44"/>
      <c r="JGA507" s="44"/>
      <c r="JGB507" s="44"/>
      <c r="JGC507" s="44"/>
      <c r="JGD507" s="44"/>
      <c r="JGE507" s="44"/>
      <c r="JGF507" s="44"/>
      <c r="JGG507" s="44"/>
      <c r="JGH507" s="44"/>
      <c r="JGI507" s="44"/>
      <c r="JGJ507" s="44"/>
      <c r="JGK507" s="44"/>
      <c r="JGL507" s="44"/>
      <c r="JGM507" s="44"/>
      <c r="JGN507" s="44"/>
      <c r="JGO507" s="44"/>
      <c r="JGP507" s="44"/>
      <c r="JGQ507" s="44"/>
      <c r="JGR507" s="44"/>
      <c r="JGS507" s="44"/>
      <c r="JGT507" s="44"/>
      <c r="JGU507" s="44"/>
      <c r="JGV507" s="44"/>
      <c r="JGW507" s="44"/>
      <c r="JGX507" s="44"/>
      <c r="JGY507" s="44"/>
      <c r="JGZ507" s="44"/>
      <c r="JHA507" s="44"/>
      <c r="JHB507" s="44"/>
      <c r="JHC507" s="44"/>
      <c r="JHD507" s="44"/>
      <c r="JHE507" s="44"/>
      <c r="JHF507" s="44"/>
      <c r="JHG507" s="44"/>
      <c r="JHH507" s="44"/>
      <c r="JHI507" s="44"/>
      <c r="JHJ507" s="44"/>
      <c r="JHK507" s="44"/>
      <c r="JHL507" s="44"/>
      <c r="JHM507" s="44"/>
      <c r="JHN507" s="44"/>
      <c r="JHO507" s="44"/>
      <c r="JHP507" s="44"/>
      <c r="JHQ507" s="44"/>
      <c r="JHR507" s="44"/>
      <c r="JHS507" s="44"/>
      <c r="JHT507" s="44"/>
      <c r="JHU507" s="44"/>
      <c r="JHV507" s="44"/>
      <c r="JHW507" s="44"/>
      <c r="JHX507" s="44"/>
      <c r="JHY507" s="44"/>
      <c r="JHZ507" s="44"/>
      <c r="JIA507" s="44"/>
      <c r="JIB507" s="44"/>
      <c r="JIC507" s="44"/>
      <c r="JID507" s="44"/>
      <c r="JIE507" s="44"/>
      <c r="JIF507" s="44"/>
      <c r="JIG507" s="44"/>
      <c r="JIH507" s="44"/>
      <c r="JII507" s="44"/>
      <c r="JIJ507" s="44"/>
      <c r="JIK507" s="44"/>
      <c r="JIL507" s="44"/>
      <c r="JIM507" s="44"/>
      <c r="JIN507" s="44"/>
      <c r="JIO507" s="44"/>
      <c r="JIP507" s="44"/>
      <c r="JIQ507" s="44"/>
      <c r="JIR507" s="44"/>
      <c r="JIS507" s="44"/>
      <c r="JIT507" s="44"/>
      <c r="JIU507" s="44"/>
      <c r="JIV507" s="44"/>
      <c r="JIW507" s="44"/>
      <c r="JIX507" s="44"/>
      <c r="JIY507" s="44"/>
      <c r="JIZ507" s="44"/>
      <c r="JJA507" s="44"/>
      <c r="JJB507" s="44"/>
      <c r="JJC507" s="44"/>
      <c r="JJD507" s="44"/>
      <c r="JJE507" s="44"/>
      <c r="JJF507" s="44"/>
      <c r="JJG507" s="44"/>
      <c r="JJH507" s="44"/>
      <c r="JJI507" s="44"/>
      <c r="JJJ507" s="44"/>
      <c r="JJK507" s="44"/>
      <c r="JJL507" s="44"/>
      <c r="JJM507" s="44"/>
      <c r="JJN507" s="44"/>
      <c r="JJO507" s="44"/>
      <c r="JJP507" s="44"/>
      <c r="JJQ507" s="44"/>
      <c r="JJR507" s="44"/>
      <c r="JJS507" s="44"/>
      <c r="JJT507" s="44"/>
      <c r="JJU507" s="44"/>
      <c r="JJV507" s="44"/>
      <c r="JJW507" s="44"/>
      <c r="JJX507" s="44"/>
      <c r="JJY507" s="44"/>
      <c r="JJZ507" s="44"/>
      <c r="JKA507" s="44"/>
      <c r="JKB507" s="44"/>
      <c r="JKC507" s="44"/>
      <c r="JKD507" s="44"/>
      <c r="JKE507" s="44"/>
      <c r="JKF507" s="44"/>
      <c r="JKG507" s="44"/>
      <c r="JKH507" s="44"/>
      <c r="JKI507" s="44"/>
      <c r="JKJ507" s="44"/>
      <c r="JKK507" s="44"/>
      <c r="JKL507" s="44"/>
      <c r="JKM507" s="44"/>
      <c r="JKN507" s="44"/>
      <c r="JKO507" s="44"/>
      <c r="JKP507" s="44"/>
      <c r="JKQ507" s="44"/>
      <c r="JKR507" s="44"/>
      <c r="JKS507" s="44"/>
      <c r="JKT507" s="44"/>
      <c r="JKU507" s="44"/>
      <c r="JKV507" s="44"/>
      <c r="JKW507" s="44"/>
      <c r="JKX507" s="44"/>
      <c r="JKY507" s="44"/>
      <c r="JKZ507" s="44"/>
      <c r="JLA507" s="44"/>
      <c r="JLB507" s="44"/>
      <c r="JLC507" s="44"/>
      <c r="JLD507" s="44"/>
      <c r="JLE507" s="44"/>
      <c r="JLF507" s="44"/>
      <c r="JLG507" s="44"/>
      <c r="JLH507" s="44"/>
      <c r="JLI507" s="44"/>
      <c r="JLJ507" s="44"/>
      <c r="JLK507" s="44"/>
      <c r="JLL507" s="44"/>
      <c r="JLM507" s="44"/>
      <c r="JLN507" s="44"/>
      <c r="JLO507" s="44"/>
      <c r="JLP507" s="44"/>
      <c r="JLQ507" s="44"/>
      <c r="JLR507" s="44"/>
      <c r="JLS507" s="44"/>
      <c r="JLT507" s="44"/>
      <c r="JLU507" s="44"/>
      <c r="JLV507" s="44"/>
      <c r="JLW507" s="44"/>
      <c r="JLX507" s="44"/>
      <c r="JLY507" s="44"/>
      <c r="JLZ507" s="44"/>
      <c r="JMA507" s="44"/>
      <c r="JMB507" s="44"/>
      <c r="JMC507" s="44"/>
      <c r="JMD507" s="44"/>
      <c r="JME507" s="44"/>
      <c r="JMF507" s="44"/>
      <c r="JMG507" s="44"/>
      <c r="JMH507" s="44"/>
      <c r="JMI507" s="44"/>
      <c r="JMJ507" s="44"/>
      <c r="JMK507" s="44"/>
      <c r="JML507" s="44"/>
      <c r="JMM507" s="44"/>
      <c r="JMN507" s="44"/>
      <c r="JMO507" s="44"/>
      <c r="JMP507" s="44"/>
      <c r="JMQ507" s="44"/>
      <c r="JMR507" s="44"/>
      <c r="JMS507" s="44"/>
      <c r="JMT507" s="44"/>
      <c r="JMU507" s="44"/>
      <c r="JMV507" s="44"/>
      <c r="JMW507" s="44"/>
      <c r="JMX507" s="44"/>
      <c r="JMY507" s="44"/>
      <c r="JMZ507" s="44"/>
      <c r="JNA507" s="44"/>
      <c r="JNB507" s="44"/>
      <c r="JNC507" s="44"/>
      <c r="JND507" s="44"/>
      <c r="JNE507" s="44"/>
      <c r="JNF507" s="44"/>
      <c r="JNG507" s="44"/>
      <c r="JNH507" s="44"/>
      <c r="JNI507" s="44"/>
      <c r="JNJ507" s="44"/>
      <c r="JNK507" s="44"/>
      <c r="JNL507" s="44"/>
      <c r="JNM507" s="44"/>
      <c r="JNN507" s="44"/>
      <c r="JNO507" s="44"/>
      <c r="JNP507" s="44"/>
      <c r="JNQ507" s="44"/>
      <c r="JNR507" s="44"/>
      <c r="JNS507" s="44"/>
      <c r="JNT507" s="44"/>
      <c r="JNU507" s="44"/>
      <c r="JNV507" s="44"/>
      <c r="JNW507" s="44"/>
      <c r="JNX507" s="44"/>
      <c r="JNY507" s="44"/>
      <c r="JNZ507" s="44"/>
      <c r="JOA507" s="44"/>
      <c r="JOB507" s="44"/>
      <c r="JOC507" s="44"/>
      <c r="JOD507" s="44"/>
      <c r="JOE507" s="44"/>
      <c r="JOF507" s="44"/>
      <c r="JOG507" s="44"/>
      <c r="JOH507" s="44"/>
      <c r="JOI507" s="44"/>
      <c r="JOJ507" s="44"/>
      <c r="JOK507" s="44"/>
      <c r="JOL507" s="44"/>
      <c r="JOM507" s="44"/>
      <c r="JON507" s="44"/>
      <c r="JOO507" s="44"/>
      <c r="JOP507" s="44"/>
      <c r="JOQ507" s="44"/>
      <c r="JOR507" s="44"/>
      <c r="JOS507" s="44"/>
      <c r="JOT507" s="44"/>
      <c r="JOU507" s="44"/>
      <c r="JOV507" s="44"/>
      <c r="JOW507" s="44"/>
      <c r="JOX507" s="44"/>
      <c r="JOY507" s="44"/>
      <c r="JOZ507" s="44"/>
      <c r="JPA507" s="44"/>
      <c r="JPB507" s="44"/>
      <c r="JPC507" s="44"/>
      <c r="JPD507" s="44"/>
      <c r="JPE507" s="44"/>
      <c r="JPF507" s="44"/>
      <c r="JPG507" s="44"/>
      <c r="JPH507" s="44"/>
      <c r="JPI507" s="44"/>
      <c r="JPJ507" s="44"/>
      <c r="JPK507" s="44"/>
      <c r="JPL507" s="44"/>
      <c r="JPM507" s="44"/>
      <c r="JPN507" s="44"/>
      <c r="JPO507" s="44"/>
      <c r="JPP507" s="44"/>
      <c r="JPQ507" s="44"/>
      <c r="JPR507" s="44"/>
      <c r="JPS507" s="44"/>
      <c r="JPT507" s="44"/>
      <c r="JPU507" s="44"/>
      <c r="JPV507" s="44"/>
      <c r="JPW507" s="44"/>
      <c r="JPX507" s="44"/>
      <c r="JPY507" s="44"/>
      <c r="JPZ507" s="44"/>
      <c r="JQA507" s="44"/>
      <c r="JQB507" s="44"/>
      <c r="JQC507" s="44"/>
      <c r="JQD507" s="44"/>
      <c r="JQE507" s="44"/>
      <c r="JQF507" s="44"/>
      <c r="JQG507" s="44"/>
      <c r="JQH507" s="44"/>
      <c r="JQI507" s="44"/>
      <c r="JQJ507" s="44"/>
      <c r="JQK507" s="44"/>
      <c r="JQL507" s="44"/>
      <c r="JQM507" s="44"/>
      <c r="JQN507" s="44"/>
      <c r="JQO507" s="44"/>
      <c r="JQP507" s="44"/>
      <c r="JQQ507" s="44"/>
      <c r="JQR507" s="44"/>
      <c r="JQS507" s="44"/>
      <c r="JQT507" s="44"/>
      <c r="JQU507" s="44"/>
      <c r="JQV507" s="44"/>
      <c r="JQW507" s="44"/>
      <c r="JQX507" s="44"/>
      <c r="JQY507" s="44"/>
      <c r="JQZ507" s="44"/>
      <c r="JRA507" s="44"/>
      <c r="JRB507" s="44"/>
      <c r="JRC507" s="44"/>
      <c r="JRD507" s="44"/>
      <c r="JRE507" s="44"/>
      <c r="JRF507" s="44"/>
      <c r="JRG507" s="44"/>
      <c r="JRH507" s="44"/>
      <c r="JRI507" s="44"/>
      <c r="JRJ507" s="44"/>
      <c r="JRK507" s="44"/>
      <c r="JRL507" s="44"/>
      <c r="JRM507" s="44"/>
      <c r="JRN507" s="44"/>
      <c r="JRO507" s="44"/>
      <c r="JRP507" s="44"/>
      <c r="JRQ507" s="44"/>
      <c r="JRR507" s="44"/>
      <c r="JRS507" s="44"/>
      <c r="JRT507" s="44"/>
      <c r="JRU507" s="44"/>
      <c r="JRV507" s="44"/>
      <c r="JRW507" s="44"/>
      <c r="JRX507" s="44"/>
      <c r="JRY507" s="44"/>
      <c r="JRZ507" s="44"/>
      <c r="JSA507" s="44"/>
      <c r="JSB507" s="44"/>
      <c r="JSC507" s="44"/>
      <c r="JSD507" s="44"/>
      <c r="JSE507" s="44"/>
      <c r="JSF507" s="44"/>
      <c r="JSG507" s="44"/>
      <c r="JSH507" s="44"/>
      <c r="JSI507" s="44"/>
      <c r="JSJ507" s="44"/>
      <c r="JSK507" s="44"/>
      <c r="JSL507" s="44"/>
      <c r="JSM507" s="44"/>
      <c r="JSN507" s="44"/>
      <c r="JSO507" s="44"/>
      <c r="JSP507" s="44"/>
      <c r="JSQ507" s="44"/>
      <c r="JSR507" s="44"/>
      <c r="JSS507" s="44"/>
      <c r="JST507" s="44"/>
      <c r="JSU507" s="44"/>
      <c r="JSV507" s="44"/>
      <c r="JSW507" s="44"/>
      <c r="JSX507" s="44"/>
      <c r="JSY507" s="44"/>
      <c r="JSZ507" s="44"/>
      <c r="JTA507" s="44"/>
      <c r="JTB507" s="44"/>
      <c r="JTC507" s="44"/>
      <c r="JTD507" s="44"/>
      <c r="JTE507" s="44"/>
      <c r="JTF507" s="44"/>
      <c r="JTG507" s="44"/>
      <c r="JTH507" s="44"/>
      <c r="JTI507" s="44"/>
      <c r="JTJ507" s="44"/>
      <c r="JTK507" s="44"/>
      <c r="JTL507" s="44"/>
      <c r="JTM507" s="44"/>
      <c r="JTN507" s="44"/>
      <c r="JTO507" s="44"/>
      <c r="JTP507" s="44"/>
      <c r="JTQ507" s="44"/>
      <c r="JTR507" s="44"/>
      <c r="JTS507" s="44"/>
      <c r="JTT507" s="44"/>
      <c r="JTU507" s="44"/>
      <c r="JTV507" s="44"/>
      <c r="JTW507" s="44"/>
      <c r="JTX507" s="44"/>
      <c r="JTY507" s="44"/>
      <c r="JTZ507" s="44"/>
      <c r="JUA507" s="44"/>
      <c r="JUB507" s="44"/>
      <c r="JUC507" s="44"/>
      <c r="JUD507" s="44"/>
      <c r="JUE507" s="44"/>
      <c r="JUF507" s="44"/>
      <c r="JUG507" s="44"/>
      <c r="JUH507" s="44"/>
      <c r="JUI507" s="44"/>
      <c r="JUJ507" s="44"/>
      <c r="JUK507" s="44"/>
      <c r="JUL507" s="44"/>
      <c r="JUM507" s="44"/>
      <c r="JUN507" s="44"/>
      <c r="JUO507" s="44"/>
      <c r="JUP507" s="44"/>
      <c r="JUQ507" s="44"/>
      <c r="JUR507" s="44"/>
      <c r="JUS507" s="44"/>
      <c r="JUT507" s="44"/>
      <c r="JUU507" s="44"/>
      <c r="JUV507" s="44"/>
      <c r="JUW507" s="44"/>
      <c r="JUX507" s="44"/>
      <c r="JUY507" s="44"/>
      <c r="JUZ507" s="44"/>
      <c r="JVA507" s="44"/>
      <c r="JVB507" s="44"/>
      <c r="JVC507" s="44"/>
      <c r="JVD507" s="44"/>
      <c r="JVE507" s="44"/>
      <c r="JVF507" s="44"/>
      <c r="JVG507" s="44"/>
      <c r="JVH507" s="44"/>
      <c r="JVI507" s="44"/>
      <c r="JVJ507" s="44"/>
      <c r="JVK507" s="44"/>
      <c r="JVL507" s="44"/>
      <c r="JVM507" s="44"/>
      <c r="JVN507" s="44"/>
      <c r="JVO507" s="44"/>
      <c r="JVP507" s="44"/>
      <c r="JVQ507" s="44"/>
      <c r="JVR507" s="44"/>
      <c r="JVS507" s="44"/>
      <c r="JVT507" s="44"/>
      <c r="JVU507" s="44"/>
      <c r="JVV507" s="44"/>
      <c r="JVW507" s="44"/>
      <c r="JVX507" s="44"/>
      <c r="JVY507" s="44"/>
      <c r="JVZ507" s="44"/>
      <c r="JWA507" s="44"/>
      <c r="JWB507" s="44"/>
      <c r="JWC507" s="44"/>
      <c r="JWD507" s="44"/>
      <c r="JWE507" s="44"/>
      <c r="JWF507" s="44"/>
      <c r="JWG507" s="44"/>
      <c r="JWH507" s="44"/>
      <c r="JWI507" s="44"/>
      <c r="JWJ507" s="44"/>
      <c r="JWK507" s="44"/>
      <c r="JWL507" s="44"/>
      <c r="JWM507" s="44"/>
      <c r="JWN507" s="44"/>
      <c r="JWO507" s="44"/>
      <c r="JWP507" s="44"/>
      <c r="JWQ507" s="44"/>
      <c r="JWR507" s="44"/>
      <c r="JWS507" s="44"/>
      <c r="JWT507" s="44"/>
      <c r="JWU507" s="44"/>
      <c r="JWV507" s="44"/>
      <c r="JWW507" s="44"/>
      <c r="JWX507" s="44"/>
      <c r="JWY507" s="44"/>
      <c r="JWZ507" s="44"/>
      <c r="JXA507" s="44"/>
      <c r="JXB507" s="44"/>
      <c r="JXC507" s="44"/>
      <c r="JXD507" s="44"/>
      <c r="JXE507" s="44"/>
      <c r="JXF507" s="44"/>
      <c r="JXG507" s="44"/>
      <c r="JXH507" s="44"/>
      <c r="JXI507" s="44"/>
      <c r="JXJ507" s="44"/>
      <c r="JXK507" s="44"/>
      <c r="JXL507" s="44"/>
      <c r="JXM507" s="44"/>
      <c r="JXN507" s="44"/>
      <c r="JXO507" s="44"/>
      <c r="JXP507" s="44"/>
      <c r="JXQ507" s="44"/>
      <c r="JXR507" s="44"/>
      <c r="JXS507" s="44"/>
      <c r="JXT507" s="44"/>
      <c r="JXU507" s="44"/>
      <c r="JXV507" s="44"/>
      <c r="JXW507" s="44"/>
      <c r="JXX507" s="44"/>
      <c r="JXY507" s="44"/>
      <c r="JXZ507" s="44"/>
      <c r="JYA507" s="44"/>
      <c r="JYB507" s="44"/>
      <c r="JYC507" s="44"/>
      <c r="JYD507" s="44"/>
      <c r="JYE507" s="44"/>
      <c r="JYF507" s="44"/>
      <c r="JYG507" s="44"/>
      <c r="JYH507" s="44"/>
      <c r="JYI507" s="44"/>
      <c r="JYJ507" s="44"/>
      <c r="JYK507" s="44"/>
      <c r="JYL507" s="44"/>
      <c r="JYM507" s="44"/>
      <c r="JYN507" s="44"/>
      <c r="JYO507" s="44"/>
      <c r="JYP507" s="44"/>
      <c r="JYQ507" s="44"/>
      <c r="JYR507" s="44"/>
      <c r="JYS507" s="44"/>
      <c r="JYT507" s="44"/>
      <c r="JYU507" s="44"/>
      <c r="JYV507" s="44"/>
      <c r="JYW507" s="44"/>
      <c r="JYX507" s="44"/>
      <c r="JYY507" s="44"/>
      <c r="JYZ507" s="44"/>
      <c r="JZA507" s="44"/>
      <c r="JZB507" s="44"/>
      <c r="JZC507" s="44"/>
      <c r="JZD507" s="44"/>
      <c r="JZE507" s="44"/>
      <c r="JZF507" s="44"/>
      <c r="JZG507" s="44"/>
      <c r="JZH507" s="44"/>
      <c r="JZI507" s="44"/>
      <c r="JZJ507" s="44"/>
      <c r="JZK507" s="44"/>
      <c r="JZL507" s="44"/>
      <c r="JZM507" s="44"/>
      <c r="JZN507" s="44"/>
      <c r="JZO507" s="44"/>
      <c r="JZP507" s="44"/>
      <c r="JZQ507" s="44"/>
      <c r="JZR507" s="44"/>
      <c r="JZS507" s="44"/>
      <c r="JZT507" s="44"/>
      <c r="JZU507" s="44"/>
      <c r="JZV507" s="44"/>
      <c r="JZW507" s="44"/>
      <c r="JZX507" s="44"/>
      <c r="JZY507" s="44"/>
      <c r="JZZ507" s="44"/>
      <c r="KAA507" s="44"/>
      <c r="KAB507" s="44"/>
      <c r="KAC507" s="44"/>
      <c r="KAD507" s="44"/>
      <c r="KAE507" s="44"/>
      <c r="KAF507" s="44"/>
      <c r="KAG507" s="44"/>
      <c r="KAH507" s="44"/>
      <c r="KAI507" s="44"/>
      <c r="KAJ507" s="44"/>
      <c r="KAK507" s="44"/>
      <c r="KAL507" s="44"/>
      <c r="KAM507" s="44"/>
      <c r="KAN507" s="44"/>
      <c r="KAO507" s="44"/>
      <c r="KAP507" s="44"/>
      <c r="KAQ507" s="44"/>
      <c r="KAR507" s="44"/>
      <c r="KAS507" s="44"/>
      <c r="KAT507" s="44"/>
      <c r="KAU507" s="44"/>
      <c r="KAV507" s="44"/>
      <c r="KAW507" s="44"/>
      <c r="KAX507" s="44"/>
      <c r="KAY507" s="44"/>
      <c r="KAZ507" s="44"/>
      <c r="KBA507" s="44"/>
      <c r="KBB507" s="44"/>
      <c r="KBC507" s="44"/>
      <c r="KBD507" s="44"/>
      <c r="KBE507" s="44"/>
      <c r="KBF507" s="44"/>
      <c r="KBG507" s="44"/>
      <c r="KBH507" s="44"/>
      <c r="KBI507" s="44"/>
      <c r="KBJ507" s="44"/>
      <c r="KBK507" s="44"/>
      <c r="KBL507" s="44"/>
      <c r="KBM507" s="44"/>
      <c r="KBN507" s="44"/>
      <c r="KBO507" s="44"/>
      <c r="KBP507" s="44"/>
      <c r="KBQ507" s="44"/>
      <c r="KBR507" s="44"/>
      <c r="KBS507" s="44"/>
      <c r="KBT507" s="44"/>
      <c r="KBU507" s="44"/>
      <c r="KBV507" s="44"/>
      <c r="KBW507" s="44"/>
      <c r="KBX507" s="44"/>
      <c r="KBY507" s="44"/>
      <c r="KBZ507" s="44"/>
      <c r="KCA507" s="44"/>
      <c r="KCB507" s="44"/>
      <c r="KCC507" s="44"/>
      <c r="KCD507" s="44"/>
      <c r="KCE507" s="44"/>
      <c r="KCF507" s="44"/>
      <c r="KCG507" s="44"/>
      <c r="KCH507" s="44"/>
      <c r="KCI507" s="44"/>
      <c r="KCJ507" s="44"/>
      <c r="KCK507" s="44"/>
      <c r="KCL507" s="44"/>
      <c r="KCM507" s="44"/>
      <c r="KCN507" s="44"/>
      <c r="KCO507" s="44"/>
      <c r="KCP507" s="44"/>
      <c r="KCQ507" s="44"/>
      <c r="KCR507" s="44"/>
      <c r="KCS507" s="44"/>
      <c r="KCT507" s="44"/>
      <c r="KCU507" s="44"/>
      <c r="KCV507" s="44"/>
      <c r="KCW507" s="44"/>
      <c r="KCX507" s="44"/>
      <c r="KCY507" s="44"/>
      <c r="KCZ507" s="44"/>
      <c r="KDA507" s="44"/>
      <c r="KDB507" s="44"/>
      <c r="KDC507" s="44"/>
      <c r="KDD507" s="44"/>
      <c r="KDE507" s="44"/>
      <c r="KDF507" s="44"/>
      <c r="KDG507" s="44"/>
      <c r="KDH507" s="44"/>
      <c r="KDI507" s="44"/>
      <c r="KDJ507" s="44"/>
      <c r="KDK507" s="44"/>
      <c r="KDL507" s="44"/>
      <c r="KDM507" s="44"/>
      <c r="KDN507" s="44"/>
      <c r="KDO507" s="44"/>
      <c r="KDP507" s="44"/>
      <c r="KDQ507" s="44"/>
      <c r="KDR507" s="44"/>
      <c r="KDS507" s="44"/>
      <c r="KDT507" s="44"/>
      <c r="KDU507" s="44"/>
      <c r="KDV507" s="44"/>
      <c r="KDW507" s="44"/>
      <c r="KDX507" s="44"/>
      <c r="KDY507" s="44"/>
      <c r="KDZ507" s="44"/>
      <c r="KEA507" s="44"/>
      <c r="KEB507" s="44"/>
      <c r="KEC507" s="44"/>
      <c r="KED507" s="44"/>
      <c r="KEE507" s="44"/>
      <c r="KEF507" s="44"/>
      <c r="KEG507" s="44"/>
      <c r="KEH507" s="44"/>
      <c r="KEI507" s="44"/>
      <c r="KEJ507" s="44"/>
      <c r="KEK507" s="44"/>
      <c r="KEL507" s="44"/>
      <c r="KEM507" s="44"/>
      <c r="KEN507" s="44"/>
      <c r="KEO507" s="44"/>
      <c r="KEP507" s="44"/>
      <c r="KEQ507" s="44"/>
      <c r="KER507" s="44"/>
      <c r="KES507" s="44"/>
      <c r="KET507" s="44"/>
      <c r="KEU507" s="44"/>
      <c r="KEV507" s="44"/>
      <c r="KEW507" s="44"/>
      <c r="KEX507" s="44"/>
      <c r="KEY507" s="44"/>
      <c r="KEZ507" s="44"/>
      <c r="KFA507" s="44"/>
      <c r="KFB507" s="44"/>
      <c r="KFC507" s="44"/>
      <c r="KFD507" s="44"/>
      <c r="KFE507" s="44"/>
      <c r="KFF507" s="44"/>
      <c r="KFG507" s="44"/>
      <c r="KFH507" s="44"/>
      <c r="KFI507" s="44"/>
      <c r="KFJ507" s="44"/>
      <c r="KFK507" s="44"/>
      <c r="KFL507" s="44"/>
      <c r="KFM507" s="44"/>
      <c r="KFN507" s="44"/>
      <c r="KFO507" s="44"/>
      <c r="KFP507" s="44"/>
      <c r="KFQ507" s="44"/>
      <c r="KFR507" s="44"/>
      <c r="KFS507" s="44"/>
      <c r="KFT507" s="44"/>
      <c r="KFU507" s="44"/>
      <c r="KFV507" s="44"/>
      <c r="KFW507" s="44"/>
      <c r="KFX507" s="44"/>
      <c r="KFY507" s="44"/>
      <c r="KFZ507" s="44"/>
      <c r="KGA507" s="44"/>
      <c r="KGB507" s="44"/>
      <c r="KGC507" s="44"/>
      <c r="KGD507" s="44"/>
      <c r="KGE507" s="44"/>
      <c r="KGF507" s="44"/>
      <c r="KGG507" s="44"/>
      <c r="KGH507" s="44"/>
      <c r="KGI507" s="44"/>
      <c r="KGJ507" s="44"/>
      <c r="KGK507" s="44"/>
      <c r="KGL507" s="44"/>
      <c r="KGM507" s="44"/>
      <c r="KGN507" s="44"/>
      <c r="KGO507" s="44"/>
      <c r="KGP507" s="44"/>
      <c r="KGQ507" s="44"/>
      <c r="KGR507" s="44"/>
      <c r="KGS507" s="44"/>
      <c r="KGT507" s="44"/>
      <c r="KGU507" s="44"/>
      <c r="KGV507" s="44"/>
      <c r="KGW507" s="44"/>
      <c r="KGX507" s="44"/>
      <c r="KGY507" s="44"/>
      <c r="KGZ507" s="44"/>
      <c r="KHA507" s="44"/>
      <c r="KHB507" s="44"/>
      <c r="KHC507" s="44"/>
      <c r="KHD507" s="44"/>
      <c r="KHE507" s="44"/>
      <c r="KHF507" s="44"/>
      <c r="KHG507" s="44"/>
      <c r="KHH507" s="44"/>
      <c r="KHI507" s="44"/>
      <c r="KHJ507" s="44"/>
      <c r="KHK507" s="44"/>
      <c r="KHL507" s="44"/>
      <c r="KHM507" s="44"/>
      <c r="KHN507" s="44"/>
      <c r="KHO507" s="44"/>
      <c r="KHP507" s="44"/>
      <c r="KHQ507" s="44"/>
      <c r="KHR507" s="44"/>
      <c r="KHS507" s="44"/>
      <c r="KHT507" s="44"/>
      <c r="KHU507" s="44"/>
      <c r="KHV507" s="44"/>
      <c r="KHW507" s="44"/>
      <c r="KHX507" s="44"/>
      <c r="KHY507" s="44"/>
      <c r="KHZ507" s="44"/>
      <c r="KIA507" s="44"/>
      <c r="KIB507" s="44"/>
      <c r="KIC507" s="44"/>
      <c r="KID507" s="44"/>
      <c r="KIE507" s="44"/>
      <c r="KIF507" s="44"/>
      <c r="KIG507" s="44"/>
      <c r="KIH507" s="44"/>
      <c r="KII507" s="44"/>
      <c r="KIJ507" s="44"/>
      <c r="KIK507" s="44"/>
      <c r="KIL507" s="44"/>
      <c r="KIM507" s="44"/>
      <c r="KIN507" s="44"/>
      <c r="KIO507" s="44"/>
      <c r="KIP507" s="44"/>
      <c r="KIQ507" s="44"/>
      <c r="KIR507" s="44"/>
      <c r="KIS507" s="44"/>
      <c r="KIT507" s="44"/>
      <c r="KIU507" s="44"/>
      <c r="KIV507" s="44"/>
      <c r="KIW507" s="44"/>
      <c r="KIX507" s="44"/>
      <c r="KIY507" s="44"/>
      <c r="KIZ507" s="44"/>
      <c r="KJA507" s="44"/>
      <c r="KJB507" s="44"/>
      <c r="KJC507" s="44"/>
      <c r="KJD507" s="44"/>
      <c r="KJE507" s="44"/>
      <c r="KJF507" s="44"/>
      <c r="KJG507" s="44"/>
      <c r="KJH507" s="44"/>
      <c r="KJI507" s="44"/>
      <c r="KJJ507" s="44"/>
      <c r="KJK507" s="44"/>
      <c r="KJL507" s="44"/>
      <c r="KJM507" s="44"/>
      <c r="KJN507" s="44"/>
      <c r="KJO507" s="44"/>
      <c r="KJP507" s="44"/>
      <c r="KJQ507" s="44"/>
      <c r="KJR507" s="44"/>
      <c r="KJS507" s="44"/>
      <c r="KJT507" s="44"/>
      <c r="KJU507" s="44"/>
      <c r="KJV507" s="44"/>
      <c r="KJW507" s="44"/>
      <c r="KJX507" s="44"/>
      <c r="KJY507" s="44"/>
      <c r="KJZ507" s="44"/>
      <c r="KKA507" s="44"/>
      <c r="KKB507" s="44"/>
      <c r="KKC507" s="44"/>
      <c r="KKD507" s="44"/>
      <c r="KKE507" s="44"/>
      <c r="KKF507" s="44"/>
      <c r="KKG507" s="44"/>
      <c r="KKH507" s="44"/>
      <c r="KKI507" s="44"/>
      <c r="KKJ507" s="44"/>
      <c r="KKK507" s="44"/>
      <c r="KKL507" s="44"/>
      <c r="KKM507" s="44"/>
      <c r="KKN507" s="44"/>
      <c r="KKO507" s="44"/>
      <c r="KKP507" s="44"/>
      <c r="KKQ507" s="44"/>
      <c r="KKR507" s="44"/>
      <c r="KKS507" s="44"/>
      <c r="KKT507" s="44"/>
      <c r="KKU507" s="44"/>
      <c r="KKV507" s="44"/>
      <c r="KKW507" s="44"/>
      <c r="KKX507" s="44"/>
      <c r="KKY507" s="44"/>
      <c r="KKZ507" s="44"/>
      <c r="KLA507" s="44"/>
      <c r="KLB507" s="44"/>
      <c r="KLC507" s="44"/>
      <c r="KLD507" s="44"/>
      <c r="KLE507" s="44"/>
      <c r="KLF507" s="44"/>
      <c r="KLG507" s="44"/>
      <c r="KLH507" s="44"/>
      <c r="KLI507" s="44"/>
      <c r="KLJ507" s="44"/>
      <c r="KLK507" s="44"/>
      <c r="KLL507" s="44"/>
      <c r="KLM507" s="44"/>
      <c r="KLN507" s="44"/>
      <c r="KLO507" s="44"/>
      <c r="KLP507" s="44"/>
      <c r="KLQ507" s="44"/>
      <c r="KLR507" s="44"/>
      <c r="KLS507" s="44"/>
      <c r="KLT507" s="44"/>
      <c r="KLU507" s="44"/>
      <c r="KLV507" s="44"/>
      <c r="KLW507" s="44"/>
      <c r="KLX507" s="44"/>
      <c r="KLY507" s="44"/>
      <c r="KLZ507" s="44"/>
      <c r="KMA507" s="44"/>
      <c r="KMB507" s="44"/>
      <c r="KMC507" s="44"/>
      <c r="KMD507" s="44"/>
      <c r="KME507" s="44"/>
      <c r="KMF507" s="44"/>
      <c r="KMG507" s="44"/>
      <c r="KMH507" s="44"/>
      <c r="KMI507" s="44"/>
      <c r="KMJ507" s="44"/>
      <c r="KMK507" s="44"/>
      <c r="KML507" s="44"/>
      <c r="KMM507" s="44"/>
      <c r="KMN507" s="44"/>
      <c r="KMO507" s="44"/>
      <c r="KMP507" s="44"/>
      <c r="KMQ507" s="44"/>
      <c r="KMR507" s="44"/>
      <c r="KMS507" s="44"/>
      <c r="KMT507" s="44"/>
      <c r="KMU507" s="44"/>
      <c r="KMV507" s="44"/>
      <c r="KMW507" s="44"/>
      <c r="KMX507" s="44"/>
      <c r="KMY507" s="44"/>
      <c r="KMZ507" s="44"/>
      <c r="KNA507" s="44"/>
      <c r="KNB507" s="44"/>
      <c r="KNC507" s="44"/>
      <c r="KND507" s="44"/>
      <c r="KNE507" s="44"/>
      <c r="KNF507" s="44"/>
      <c r="KNG507" s="44"/>
      <c r="KNH507" s="44"/>
      <c r="KNI507" s="44"/>
      <c r="KNJ507" s="44"/>
      <c r="KNK507" s="44"/>
      <c r="KNL507" s="44"/>
      <c r="KNM507" s="44"/>
      <c r="KNN507" s="44"/>
      <c r="KNO507" s="44"/>
      <c r="KNP507" s="44"/>
      <c r="KNQ507" s="44"/>
      <c r="KNR507" s="44"/>
      <c r="KNS507" s="44"/>
      <c r="KNT507" s="44"/>
      <c r="KNU507" s="44"/>
      <c r="KNV507" s="44"/>
      <c r="KNW507" s="44"/>
      <c r="KNX507" s="44"/>
      <c r="KNY507" s="44"/>
      <c r="KNZ507" s="44"/>
      <c r="KOA507" s="44"/>
      <c r="KOB507" s="44"/>
      <c r="KOC507" s="44"/>
      <c r="KOD507" s="44"/>
      <c r="KOE507" s="44"/>
      <c r="KOF507" s="44"/>
      <c r="KOG507" s="44"/>
      <c r="KOH507" s="44"/>
      <c r="KOI507" s="44"/>
      <c r="KOJ507" s="44"/>
      <c r="KOK507" s="44"/>
      <c r="KOL507" s="44"/>
      <c r="KOM507" s="44"/>
      <c r="KON507" s="44"/>
      <c r="KOO507" s="44"/>
      <c r="KOP507" s="44"/>
      <c r="KOQ507" s="44"/>
      <c r="KOR507" s="44"/>
      <c r="KOS507" s="44"/>
      <c r="KOT507" s="44"/>
      <c r="KOU507" s="44"/>
      <c r="KOV507" s="44"/>
      <c r="KOW507" s="44"/>
      <c r="KOX507" s="44"/>
      <c r="KOY507" s="44"/>
      <c r="KOZ507" s="44"/>
      <c r="KPA507" s="44"/>
      <c r="KPB507" s="44"/>
      <c r="KPC507" s="44"/>
      <c r="KPD507" s="44"/>
      <c r="KPE507" s="44"/>
      <c r="KPF507" s="44"/>
      <c r="KPG507" s="44"/>
      <c r="KPH507" s="44"/>
      <c r="KPI507" s="44"/>
      <c r="KPJ507" s="44"/>
      <c r="KPK507" s="44"/>
      <c r="KPL507" s="44"/>
      <c r="KPM507" s="44"/>
      <c r="KPN507" s="44"/>
      <c r="KPO507" s="44"/>
      <c r="KPP507" s="44"/>
      <c r="KPQ507" s="44"/>
      <c r="KPR507" s="44"/>
      <c r="KPS507" s="44"/>
      <c r="KPT507" s="44"/>
      <c r="KPU507" s="44"/>
      <c r="KPV507" s="44"/>
      <c r="KPW507" s="44"/>
      <c r="KPX507" s="44"/>
      <c r="KPY507" s="44"/>
      <c r="KPZ507" s="44"/>
      <c r="KQA507" s="44"/>
      <c r="KQB507" s="44"/>
      <c r="KQC507" s="44"/>
      <c r="KQD507" s="44"/>
      <c r="KQE507" s="44"/>
      <c r="KQF507" s="44"/>
      <c r="KQG507" s="44"/>
      <c r="KQH507" s="44"/>
      <c r="KQI507" s="44"/>
      <c r="KQJ507" s="44"/>
      <c r="KQK507" s="44"/>
      <c r="KQL507" s="44"/>
      <c r="KQM507" s="44"/>
      <c r="KQN507" s="44"/>
      <c r="KQO507" s="44"/>
      <c r="KQP507" s="44"/>
      <c r="KQQ507" s="44"/>
      <c r="KQR507" s="44"/>
      <c r="KQS507" s="44"/>
      <c r="KQT507" s="44"/>
      <c r="KQU507" s="44"/>
      <c r="KQV507" s="44"/>
      <c r="KQW507" s="44"/>
      <c r="KQX507" s="44"/>
      <c r="KQY507" s="44"/>
      <c r="KQZ507" s="44"/>
      <c r="KRA507" s="44"/>
      <c r="KRB507" s="44"/>
      <c r="KRC507" s="44"/>
      <c r="KRD507" s="44"/>
      <c r="KRE507" s="44"/>
      <c r="KRF507" s="44"/>
      <c r="KRG507" s="44"/>
      <c r="KRH507" s="44"/>
      <c r="KRI507" s="44"/>
      <c r="KRJ507" s="44"/>
      <c r="KRK507" s="44"/>
      <c r="KRL507" s="44"/>
      <c r="KRM507" s="44"/>
      <c r="KRN507" s="44"/>
      <c r="KRO507" s="44"/>
      <c r="KRP507" s="44"/>
      <c r="KRQ507" s="44"/>
      <c r="KRR507" s="44"/>
      <c r="KRS507" s="44"/>
      <c r="KRT507" s="44"/>
      <c r="KRU507" s="44"/>
      <c r="KRV507" s="44"/>
      <c r="KRW507" s="44"/>
      <c r="KRX507" s="44"/>
      <c r="KRY507" s="44"/>
      <c r="KRZ507" s="44"/>
      <c r="KSA507" s="44"/>
      <c r="KSB507" s="44"/>
      <c r="KSC507" s="44"/>
      <c r="KSD507" s="44"/>
      <c r="KSE507" s="44"/>
      <c r="KSF507" s="44"/>
      <c r="KSG507" s="44"/>
      <c r="KSH507" s="44"/>
      <c r="KSI507" s="44"/>
      <c r="KSJ507" s="44"/>
      <c r="KSK507" s="44"/>
      <c r="KSL507" s="44"/>
      <c r="KSM507" s="44"/>
      <c r="KSN507" s="44"/>
      <c r="KSO507" s="44"/>
      <c r="KSP507" s="44"/>
      <c r="KSQ507" s="44"/>
      <c r="KSR507" s="44"/>
      <c r="KSS507" s="44"/>
      <c r="KST507" s="44"/>
      <c r="KSU507" s="44"/>
      <c r="KSV507" s="44"/>
      <c r="KSW507" s="44"/>
      <c r="KSX507" s="44"/>
      <c r="KSY507" s="44"/>
      <c r="KSZ507" s="44"/>
      <c r="KTA507" s="44"/>
      <c r="KTB507" s="44"/>
      <c r="KTC507" s="44"/>
      <c r="KTD507" s="44"/>
      <c r="KTE507" s="44"/>
      <c r="KTF507" s="44"/>
      <c r="KTG507" s="44"/>
      <c r="KTH507" s="44"/>
      <c r="KTI507" s="44"/>
      <c r="KTJ507" s="44"/>
      <c r="KTK507" s="44"/>
      <c r="KTL507" s="44"/>
      <c r="KTM507" s="44"/>
      <c r="KTN507" s="44"/>
      <c r="KTO507" s="44"/>
      <c r="KTP507" s="44"/>
      <c r="KTQ507" s="44"/>
      <c r="KTR507" s="44"/>
      <c r="KTS507" s="44"/>
      <c r="KTT507" s="44"/>
      <c r="KTU507" s="44"/>
      <c r="KTV507" s="44"/>
      <c r="KTW507" s="44"/>
      <c r="KTX507" s="44"/>
      <c r="KTY507" s="44"/>
      <c r="KTZ507" s="44"/>
      <c r="KUA507" s="44"/>
      <c r="KUB507" s="44"/>
      <c r="KUC507" s="44"/>
      <c r="KUD507" s="44"/>
      <c r="KUE507" s="44"/>
      <c r="KUF507" s="44"/>
      <c r="KUG507" s="44"/>
      <c r="KUH507" s="44"/>
      <c r="KUI507" s="44"/>
      <c r="KUJ507" s="44"/>
      <c r="KUK507" s="44"/>
      <c r="KUL507" s="44"/>
      <c r="KUM507" s="44"/>
      <c r="KUN507" s="44"/>
      <c r="KUO507" s="44"/>
      <c r="KUP507" s="44"/>
      <c r="KUQ507" s="44"/>
      <c r="KUR507" s="44"/>
      <c r="KUS507" s="44"/>
      <c r="KUT507" s="44"/>
      <c r="KUU507" s="44"/>
      <c r="KUV507" s="44"/>
      <c r="KUW507" s="44"/>
      <c r="KUX507" s="44"/>
      <c r="KUY507" s="44"/>
      <c r="KUZ507" s="44"/>
      <c r="KVA507" s="44"/>
      <c r="KVB507" s="44"/>
      <c r="KVC507" s="44"/>
      <c r="KVD507" s="44"/>
      <c r="KVE507" s="44"/>
      <c r="KVF507" s="44"/>
      <c r="KVG507" s="44"/>
      <c r="KVH507" s="44"/>
      <c r="KVI507" s="44"/>
      <c r="KVJ507" s="44"/>
      <c r="KVK507" s="44"/>
      <c r="KVL507" s="44"/>
      <c r="KVM507" s="44"/>
      <c r="KVN507" s="44"/>
      <c r="KVO507" s="44"/>
      <c r="KVP507" s="44"/>
      <c r="KVQ507" s="44"/>
      <c r="KVR507" s="44"/>
      <c r="KVS507" s="44"/>
      <c r="KVT507" s="44"/>
      <c r="KVU507" s="44"/>
      <c r="KVV507" s="44"/>
      <c r="KVW507" s="44"/>
      <c r="KVX507" s="44"/>
      <c r="KVY507" s="44"/>
      <c r="KVZ507" s="44"/>
      <c r="KWA507" s="44"/>
      <c r="KWB507" s="44"/>
      <c r="KWC507" s="44"/>
      <c r="KWD507" s="44"/>
      <c r="KWE507" s="44"/>
      <c r="KWF507" s="44"/>
      <c r="KWG507" s="44"/>
      <c r="KWH507" s="44"/>
      <c r="KWI507" s="44"/>
      <c r="KWJ507" s="44"/>
      <c r="KWK507" s="44"/>
      <c r="KWL507" s="44"/>
      <c r="KWM507" s="44"/>
      <c r="KWN507" s="44"/>
      <c r="KWO507" s="44"/>
      <c r="KWP507" s="44"/>
      <c r="KWQ507" s="44"/>
      <c r="KWR507" s="44"/>
      <c r="KWS507" s="44"/>
      <c r="KWT507" s="44"/>
      <c r="KWU507" s="44"/>
      <c r="KWV507" s="44"/>
      <c r="KWW507" s="44"/>
      <c r="KWX507" s="44"/>
      <c r="KWY507" s="44"/>
      <c r="KWZ507" s="44"/>
      <c r="KXA507" s="44"/>
      <c r="KXB507" s="44"/>
      <c r="KXC507" s="44"/>
      <c r="KXD507" s="44"/>
      <c r="KXE507" s="44"/>
      <c r="KXF507" s="44"/>
      <c r="KXG507" s="44"/>
      <c r="KXH507" s="44"/>
      <c r="KXI507" s="44"/>
      <c r="KXJ507" s="44"/>
      <c r="KXK507" s="44"/>
      <c r="KXL507" s="44"/>
      <c r="KXM507" s="44"/>
      <c r="KXN507" s="44"/>
      <c r="KXO507" s="44"/>
      <c r="KXP507" s="44"/>
      <c r="KXQ507" s="44"/>
      <c r="KXR507" s="44"/>
      <c r="KXS507" s="44"/>
      <c r="KXT507" s="44"/>
      <c r="KXU507" s="44"/>
      <c r="KXV507" s="44"/>
      <c r="KXW507" s="44"/>
      <c r="KXX507" s="44"/>
      <c r="KXY507" s="44"/>
      <c r="KXZ507" s="44"/>
      <c r="KYA507" s="44"/>
      <c r="KYB507" s="44"/>
      <c r="KYC507" s="44"/>
      <c r="KYD507" s="44"/>
      <c r="KYE507" s="44"/>
      <c r="KYF507" s="44"/>
      <c r="KYG507" s="44"/>
      <c r="KYH507" s="44"/>
      <c r="KYI507" s="44"/>
      <c r="KYJ507" s="44"/>
      <c r="KYK507" s="44"/>
      <c r="KYL507" s="44"/>
      <c r="KYM507" s="44"/>
      <c r="KYN507" s="44"/>
      <c r="KYO507" s="44"/>
      <c r="KYP507" s="44"/>
      <c r="KYQ507" s="44"/>
      <c r="KYR507" s="44"/>
      <c r="KYS507" s="44"/>
      <c r="KYT507" s="44"/>
      <c r="KYU507" s="44"/>
      <c r="KYV507" s="44"/>
      <c r="KYW507" s="44"/>
      <c r="KYX507" s="44"/>
      <c r="KYY507" s="44"/>
      <c r="KYZ507" s="44"/>
      <c r="KZA507" s="44"/>
      <c r="KZB507" s="44"/>
      <c r="KZC507" s="44"/>
      <c r="KZD507" s="44"/>
      <c r="KZE507" s="44"/>
      <c r="KZF507" s="44"/>
      <c r="KZG507" s="44"/>
      <c r="KZH507" s="44"/>
      <c r="KZI507" s="44"/>
      <c r="KZJ507" s="44"/>
      <c r="KZK507" s="44"/>
      <c r="KZL507" s="44"/>
      <c r="KZM507" s="44"/>
      <c r="KZN507" s="44"/>
      <c r="KZO507" s="44"/>
      <c r="KZP507" s="44"/>
      <c r="KZQ507" s="44"/>
      <c r="KZR507" s="44"/>
      <c r="KZS507" s="44"/>
      <c r="KZT507" s="44"/>
      <c r="KZU507" s="44"/>
      <c r="KZV507" s="44"/>
      <c r="KZW507" s="44"/>
      <c r="KZX507" s="44"/>
      <c r="KZY507" s="44"/>
      <c r="KZZ507" s="44"/>
      <c r="LAA507" s="44"/>
      <c r="LAB507" s="44"/>
      <c r="LAC507" s="44"/>
      <c r="LAD507" s="44"/>
      <c r="LAE507" s="44"/>
      <c r="LAF507" s="44"/>
      <c r="LAG507" s="44"/>
      <c r="LAH507" s="44"/>
      <c r="LAI507" s="44"/>
      <c r="LAJ507" s="44"/>
      <c r="LAK507" s="44"/>
      <c r="LAL507" s="44"/>
      <c r="LAM507" s="44"/>
      <c r="LAN507" s="44"/>
      <c r="LAO507" s="44"/>
      <c r="LAP507" s="44"/>
      <c r="LAQ507" s="44"/>
      <c r="LAR507" s="44"/>
      <c r="LAS507" s="44"/>
      <c r="LAT507" s="44"/>
      <c r="LAU507" s="44"/>
      <c r="LAV507" s="44"/>
      <c r="LAW507" s="44"/>
      <c r="LAX507" s="44"/>
      <c r="LAY507" s="44"/>
      <c r="LAZ507" s="44"/>
      <c r="LBA507" s="44"/>
      <c r="LBB507" s="44"/>
      <c r="LBC507" s="44"/>
      <c r="LBD507" s="44"/>
      <c r="LBE507" s="44"/>
      <c r="LBF507" s="44"/>
      <c r="LBG507" s="44"/>
      <c r="LBH507" s="44"/>
      <c r="LBI507" s="44"/>
      <c r="LBJ507" s="44"/>
      <c r="LBK507" s="44"/>
      <c r="LBL507" s="44"/>
      <c r="LBM507" s="44"/>
      <c r="LBN507" s="44"/>
      <c r="LBO507" s="44"/>
      <c r="LBP507" s="44"/>
      <c r="LBQ507" s="44"/>
      <c r="LBR507" s="44"/>
      <c r="LBS507" s="44"/>
      <c r="LBT507" s="44"/>
      <c r="LBU507" s="44"/>
      <c r="LBV507" s="44"/>
      <c r="LBW507" s="44"/>
      <c r="LBX507" s="44"/>
      <c r="LBY507" s="44"/>
      <c r="LBZ507" s="44"/>
      <c r="LCA507" s="44"/>
      <c r="LCB507" s="44"/>
      <c r="LCC507" s="44"/>
      <c r="LCD507" s="44"/>
      <c r="LCE507" s="44"/>
      <c r="LCF507" s="44"/>
      <c r="LCG507" s="44"/>
      <c r="LCH507" s="44"/>
      <c r="LCI507" s="44"/>
      <c r="LCJ507" s="44"/>
      <c r="LCK507" s="44"/>
      <c r="LCL507" s="44"/>
      <c r="LCM507" s="44"/>
      <c r="LCN507" s="44"/>
      <c r="LCO507" s="44"/>
      <c r="LCP507" s="44"/>
      <c r="LCQ507" s="44"/>
      <c r="LCR507" s="44"/>
      <c r="LCS507" s="44"/>
      <c r="LCT507" s="44"/>
      <c r="LCU507" s="44"/>
      <c r="LCV507" s="44"/>
      <c r="LCW507" s="44"/>
      <c r="LCX507" s="44"/>
      <c r="LCY507" s="44"/>
      <c r="LCZ507" s="44"/>
      <c r="LDA507" s="44"/>
      <c r="LDB507" s="44"/>
      <c r="LDC507" s="44"/>
      <c r="LDD507" s="44"/>
      <c r="LDE507" s="44"/>
      <c r="LDF507" s="44"/>
      <c r="LDG507" s="44"/>
      <c r="LDH507" s="44"/>
      <c r="LDI507" s="44"/>
      <c r="LDJ507" s="44"/>
      <c r="LDK507" s="44"/>
      <c r="LDL507" s="44"/>
      <c r="LDM507" s="44"/>
      <c r="LDN507" s="44"/>
      <c r="LDO507" s="44"/>
      <c r="LDP507" s="44"/>
      <c r="LDQ507" s="44"/>
      <c r="LDR507" s="44"/>
      <c r="LDS507" s="44"/>
      <c r="LDT507" s="44"/>
      <c r="LDU507" s="44"/>
      <c r="LDV507" s="44"/>
      <c r="LDW507" s="44"/>
      <c r="LDX507" s="44"/>
      <c r="LDY507" s="44"/>
      <c r="LDZ507" s="44"/>
      <c r="LEA507" s="44"/>
      <c r="LEB507" s="44"/>
      <c r="LEC507" s="44"/>
      <c r="LED507" s="44"/>
      <c r="LEE507" s="44"/>
      <c r="LEF507" s="44"/>
      <c r="LEG507" s="44"/>
      <c r="LEH507" s="44"/>
      <c r="LEI507" s="44"/>
      <c r="LEJ507" s="44"/>
      <c r="LEK507" s="44"/>
      <c r="LEL507" s="44"/>
      <c r="LEM507" s="44"/>
      <c r="LEN507" s="44"/>
      <c r="LEO507" s="44"/>
      <c r="LEP507" s="44"/>
      <c r="LEQ507" s="44"/>
      <c r="LER507" s="44"/>
      <c r="LES507" s="44"/>
      <c r="LET507" s="44"/>
      <c r="LEU507" s="44"/>
      <c r="LEV507" s="44"/>
      <c r="LEW507" s="44"/>
      <c r="LEX507" s="44"/>
      <c r="LEY507" s="44"/>
      <c r="LEZ507" s="44"/>
      <c r="LFA507" s="44"/>
      <c r="LFB507" s="44"/>
      <c r="LFC507" s="44"/>
      <c r="LFD507" s="44"/>
      <c r="LFE507" s="44"/>
      <c r="LFF507" s="44"/>
      <c r="LFG507" s="44"/>
      <c r="LFH507" s="44"/>
      <c r="LFI507" s="44"/>
      <c r="LFJ507" s="44"/>
      <c r="LFK507" s="44"/>
      <c r="LFL507" s="44"/>
      <c r="LFM507" s="44"/>
      <c r="LFN507" s="44"/>
      <c r="LFO507" s="44"/>
      <c r="LFP507" s="44"/>
      <c r="LFQ507" s="44"/>
      <c r="LFR507" s="44"/>
      <c r="LFS507" s="44"/>
      <c r="LFT507" s="44"/>
      <c r="LFU507" s="44"/>
      <c r="LFV507" s="44"/>
      <c r="LFW507" s="44"/>
      <c r="LFX507" s="44"/>
      <c r="LFY507" s="44"/>
      <c r="LFZ507" s="44"/>
      <c r="LGA507" s="44"/>
      <c r="LGB507" s="44"/>
      <c r="LGC507" s="44"/>
      <c r="LGD507" s="44"/>
      <c r="LGE507" s="44"/>
      <c r="LGF507" s="44"/>
      <c r="LGG507" s="44"/>
      <c r="LGH507" s="44"/>
      <c r="LGI507" s="44"/>
      <c r="LGJ507" s="44"/>
      <c r="LGK507" s="44"/>
      <c r="LGL507" s="44"/>
      <c r="LGM507" s="44"/>
      <c r="LGN507" s="44"/>
      <c r="LGO507" s="44"/>
      <c r="LGP507" s="44"/>
      <c r="LGQ507" s="44"/>
      <c r="LGR507" s="44"/>
      <c r="LGS507" s="44"/>
      <c r="LGT507" s="44"/>
      <c r="LGU507" s="44"/>
      <c r="LGV507" s="44"/>
      <c r="LGW507" s="44"/>
      <c r="LGX507" s="44"/>
      <c r="LGY507" s="44"/>
      <c r="LGZ507" s="44"/>
      <c r="LHA507" s="44"/>
      <c r="LHB507" s="44"/>
      <c r="LHC507" s="44"/>
      <c r="LHD507" s="44"/>
      <c r="LHE507" s="44"/>
      <c r="LHF507" s="44"/>
      <c r="LHG507" s="44"/>
      <c r="LHH507" s="44"/>
      <c r="LHI507" s="44"/>
      <c r="LHJ507" s="44"/>
      <c r="LHK507" s="44"/>
      <c r="LHL507" s="44"/>
      <c r="LHM507" s="44"/>
      <c r="LHN507" s="44"/>
      <c r="LHO507" s="44"/>
      <c r="LHP507" s="44"/>
      <c r="LHQ507" s="44"/>
      <c r="LHR507" s="44"/>
      <c r="LHS507" s="44"/>
      <c r="LHT507" s="44"/>
      <c r="LHU507" s="44"/>
      <c r="LHV507" s="44"/>
      <c r="LHW507" s="44"/>
      <c r="LHX507" s="44"/>
      <c r="LHY507" s="44"/>
      <c r="LHZ507" s="44"/>
      <c r="LIA507" s="44"/>
      <c r="LIB507" s="44"/>
      <c r="LIC507" s="44"/>
      <c r="LID507" s="44"/>
      <c r="LIE507" s="44"/>
      <c r="LIF507" s="44"/>
      <c r="LIG507" s="44"/>
      <c r="LIH507" s="44"/>
      <c r="LII507" s="44"/>
      <c r="LIJ507" s="44"/>
      <c r="LIK507" s="44"/>
      <c r="LIL507" s="44"/>
      <c r="LIM507" s="44"/>
      <c r="LIN507" s="44"/>
      <c r="LIO507" s="44"/>
      <c r="LIP507" s="44"/>
      <c r="LIQ507" s="44"/>
      <c r="LIR507" s="44"/>
      <c r="LIS507" s="44"/>
      <c r="LIT507" s="44"/>
      <c r="LIU507" s="44"/>
      <c r="LIV507" s="44"/>
      <c r="LIW507" s="44"/>
      <c r="LIX507" s="44"/>
      <c r="LIY507" s="44"/>
      <c r="LIZ507" s="44"/>
      <c r="LJA507" s="44"/>
      <c r="LJB507" s="44"/>
      <c r="LJC507" s="44"/>
      <c r="LJD507" s="44"/>
      <c r="LJE507" s="44"/>
      <c r="LJF507" s="44"/>
      <c r="LJG507" s="44"/>
      <c r="LJH507" s="44"/>
      <c r="LJI507" s="44"/>
      <c r="LJJ507" s="44"/>
      <c r="LJK507" s="44"/>
      <c r="LJL507" s="44"/>
      <c r="LJM507" s="44"/>
      <c r="LJN507" s="44"/>
      <c r="LJO507" s="44"/>
      <c r="LJP507" s="44"/>
      <c r="LJQ507" s="44"/>
      <c r="LJR507" s="44"/>
      <c r="LJS507" s="44"/>
      <c r="LJT507" s="44"/>
      <c r="LJU507" s="44"/>
      <c r="LJV507" s="44"/>
      <c r="LJW507" s="44"/>
      <c r="LJX507" s="44"/>
      <c r="LJY507" s="44"/>
      <c r="LJZ507" s="44"/>
      <c r="LKA507" s="44"/>
      <c r="LKB507" s="44"/>
      <c r="LKC507" s="44"/>
      <c r="LKD507" s="44"/>
      <c r="LKE507" s="44"/>
      <c r="LKF507" s="44"/>
      <c r="LKG507" s="44"/>
      <c r="LKH507" s="44"/>
      <c r="LKI507" s="44"/>
      <c r="LKJ507" s="44"/>
      <c r="LKK507" s="44"/>
      <c r="LKL507" s="44"/>
      <c r="LKM507" s="44"/>
      <c r="LKN507" s="44"/>
      <c r="LKO507" s="44"/>
      <c r="LKP507" s="44"/>
      <c r="LKQ507" s="44"/>
      <c r="LKR507" s="44"/>
      <c r="LKS507" s="44"/>
      <c r="LKT507" s="44"/>
      <c r="LKU507" s="44"/>
      <c r="LKV507" s="44"/>
      <c r="LKW507" s="44"/>
      <c r="LKX507" s="44"/>
      <c r="LKY507" s="44"/>
      <c r="LKZ507" s="44"/>
      <c r="LLA507" s="44"/>
      <c r="LLB507" s="44"/>
      <c r="LLC507" s="44"/>
      <c r="LLD507" s="44"/>
      <c r="LLE507" s="44"/>
      <c r="LLF507" s="44"/>
      <c r="LLG507" s="44"/>
      <c r="LLH507" s="44"/>
      <c r="LLI507" s="44"/>
      <c r="LLJ507" s="44"/>
      <c r="LLK507" s="44"/>
      <c r="LLL507" s="44"/>
      <c r="LLM507" s="44"/>
      <c r="LLN507" s="44"/>
      <c r="LLO507" s="44"/>
      <c r="LLP507" s="44"/>
      <c r="LLQ507" s="44"/>
      <c r="LLR507" s="44"/>
      <c r="LLS507" s="44"/>
      <c r="LLT507" s="44"/>
      <c r="LLU507" s="44"/>
      <c r="LLV507" s="44"/>
      <c r="LLW507" s="44"/>
      <c r="LLX507" s="44"/>
      <c r="LLY507" s="44"/>
      <c r="LLZ507" s="44"/>
      <c r="LMA507" s="44"/>
      <c r="LMB507" s="44"/>
      <c r="LMC507" s="44"/>
      <c r="LMD507" s="44"/>
      <c r="LME507" s="44"/>
      <c r="LMF507" s="44"/>
      <c r="LMG507" s="44"/>
      <c r="LMH507" s="44"/>
      <c r="LMI507" s="44"/>
      <c r="LMJ507" s="44"/>
      <c r="LMK507" s="44"/>
      <c r="LML507" s="44"/>
      <c r="LMM507" s="44"/>
      <c r="LMN507" s="44"/>
      <c r="LMO507" s="44"/>
      <c r="LMP507" s="44"/>
      <c r="LMQ507" s="44"/>
      <c r="LMR507" s="44"/>
      <c r="LMS507" s="44"/>
      <c r="LMT507" s="44"/>
      <c r="LMU507" s="44"/>
      <c r="LMV507" s="44"/>
      <c r="LMW507" s="44"/>
      <c r="LMX507" s="44"/>
      <c r="LMY507" s="44"/>
      <c r="LMZ507" s="44"/>
      <c r="LNA507" s="44"/>
      <c r="LNB507" s="44"/>
      <c r="LNC507" s="44"/>
      <c r="LND507" s="44"/>
      <c r="LNE507" s="44"/>
      <c r="LNF507" s="44"/>
      <c r="LNG507" s="44"/>
      <c r="LNH507" s="44"/>
      <c r="LNI507" s="44"/>
      <c r="LNJ507" s="44"/>
      <c r="LNK507" s="44"/>
      <c r="LNL507" s="44"/>
      <c r="LNM507" s="44"/>
      <c r="LNN507" s="44"/>
      <c r="LNO507" s="44"/>
      <c r="LNP507" s="44"/>
      <c r="LNQ507" s="44"/>
      <c r="LNR507" s="44"/>
      <c r="LNS507" s="44"/>
      <c r="LNT507" s="44"/>
      <c r="LNU507" s="44"/>
      <c r="LNV507" s="44"/>
      <c r="LNW507" s="44"/>
      <c r="LNX507" s="44"/>
      <c r="LNY507" s="44"/>
      <c r="LNZ507" s="44"/>
      <c r="LOA507" s="44"/>
      <c r="LOB507" s="44"/>
      <c r="LOC507" s="44"/>
      <c r="LOD507" s="44"/>
      <c r="LOE507" s="44"/>
      <c r="LOF507" s="44"/>
      <c r="LOG507" s="44"/>
      <c r="LOH507" s="44"/>
      <c r="LOI507" s="44"/>
      <c r="LOJ507" s="44"/>
      <c r="LOK507" s="44"/>
      <c r="LOL507" s="44"/>
      <c r="LOM507" s="44"/>
      <c r="LON507" s="44"/>
      <c r="LOO507" s="44"/>
      <c r="LOP507" s="44"/>
      <c r="LOQ507" s="44"/>
      <c r="LOR507" s="44"/>
      <c r="LOS507" s="44"/>
      <c r="LOT507" s="44"/>
      <c r="LOU507" s="44"/>
      <c r="LOV507" s="44"/>
      <c r="LOW507" s="44"/>
      <c r="LOX507" s="44"/>
      <c r="LOY507" s="44"/>
      <c r="LOZ507" s="44"/>
      <c r="LPA507" s="44"/>
      <c r="LPB507" s="44"/>
      <c r="LPC507" s="44"/>
      <c r="LPD507" s="44"/>
      <c r="LPE507" s="44"/>
      <c r="LPF507" s="44"/>
      <c r="LPG507" s="44"/>
      <c r="LPH507" s="44"/>
      <c r="LPI507" s="44"/>
      <c r="LPJ507" s="44"/>
      <c r="LPK507" s="44"/>
      <c r="LPL507" s="44"/>
      <c r="LPM507" s="44"/>
      <c r="LPN507" s="44"/>
      <c r="LPO507" s="44"/>
      <c r="LPP507" s="44"/>
      <c r="LPQ507" s="44"/>
      <c r="LPR507" s="44"/>
      <c r="LPS507" s="44"/>
      <c r="LPT507" s="44"/>
      <c r="LPU507" s="44"/>
      <c r="LPV507" s="44"/>
      <c r="LPW507" s="44"/>
      <c r="LPX507" s="44"/>
      <c r="LPY507" s="44"/>
      <c r="LPZ507" s="44"/>
      <c r="LQA507" s="44"/>
      <c r="LQB507" s="44"/>
      <c r="LQC507" s="44"/>
      <c r="LQD507" s="44"/>
      <c r="LQE507" s="44"/>
      <c r="LQF507" s="44"/>
      <c r="LQG507" s="44"/>
      <c r="LQH507" s="44"/>
      <c r="LQI507" s="44"/>
      <c r="LQJ507" s="44"/>
      <c r="LQK507" s="44"/>
      <c r="LQL507" s="44"/>
      <c r="LQM507" s="44"/>
      <c r="LQN507" s="44"/>
      <c r="LQO507" s="44"/>
      <c r="LQP507" s="44"/>
      <c r="LQQ507" s="44"/>
      <c r="LQR507" s="44"/>
      <c r="LQS507" s="44"/>
      <c r="LQT507" s="44"/>
      <c r="LQU507" s="44"/>
      <c r="LQV507" s="44"/>
      <c r="LQW507" s="44"/>
      <c r="LQX507" s="44"/>
      <c r="LQY507" s="44"/>
      <c r="LQZ507" s="44"/>
      <c r="LRA507" s="44"/>
      <c r="LRB507" s="44"/>
      <c r="LRC507" s="44"/>
      <c r="LRD507" s="44"/>
      <c r="LRE507" s="44"/>
      <c r="LRF507" s="44"/>
      <c r="LRG507" s="44"/>
      <c r="LRH507" s="44"/>
      <c r="LRI507" s="44"/>
      <c r="LRJ507" s="44"/>
      <c r="LRK507" s="44"/>
      <c r="LRL507" s="44"/>
      <c r="LRM507" s="44"/>
      <c r="LRN507" s="44"/>
      <c r="LRO507" s="44"/>
      <c r="LRP507" s="44"/>
      <c r="LRQ507" s="44"/>
      <c r="LRR507" s="44"/>
      <c r="LRS507" s="44"/>
      <c r="LRT507" s="44"/>
      <c r="LRU507" s="44"/>
      <c r="LRV507" s="44"/>
      <c r="LRW507" s="44"/>
      <c r="LRX507" s="44"/>
      <c r="LRY507" s="44"/>
      <c r="LRZ507" s="44"/>
      <c r="LSA507" s="44"/>
      <c r="LSB507" s="44"/>
      <c r="LSC507" s="44"/>
      <c r="LSD507" s="44"/>
      <c r="LSE507" s="44"/>
      <c r="LSF507" s="44"/>
      <c r="LSG507" s="44"/>
      <c r="LSH507" s="44"/>
      <c r="LSI507" s="44"/>
      <c r="LSJ507" s="44"/>
      <c r="LSK507" s="44"/>
      <c r="LSL507" s="44"/>
      <c r="LSM507" s="44"/>
      <c r="LSN507" s="44"/>
      <c r="LSO507" s="44"/>
      <c r="LSP507" s="44"/>
      <c r="LSQ507" s="44"/>
      <c r="LSR507" s="44"/>
      <c r="LSS507" s="44"/>
      <c r="LST507" s="44"/>
      <c r="LSU507" s="44"/>
      <c r="LSV507" s="44"/>
      <c r="LSW507" s="44"/>
      <c r="LSX507" s="44"/>
      <c r="LSY507" s="44"/>
      <c r="LSZ507" s="44"/>
      <c r="LTA507" s="44"/>
      <c r="LTB507" s="44"/>
      <c r="LTC507" s="44"/>
      <c r="LTD507" s="44"/>
      <c r="LTE507" s="44"/>
      <c r="LTF507" s="44"/>
      <c r="LTG507" s="44"/>
      <c r="LTH507" s="44"/>
      <c r="LTI507" s="44"/>
      <c r="LTJ507" s="44"/>
      <c r="LTK507" s="44"/>
      <c r="LTL507" s="44"/>
      <c r="LTM507" s="44"/>
      <c r="LTN507" s="44"/>
      <c r="LTO507" s="44"/>
      <c r="LTP507" s="44"/>
      <c r="LTQ507" s="44"/>
      <c r="LTR507" s="44"/>
      <c r="LTS507" s="44"/>
      <c r="LTT507" s="44"/>
      <c r="LTU507" s="44"/>
      <c r="LTV507" s="44"/>
      <c r="LTW507" s="44"/>
      <c r="LTX507" s="44"/>
      <c r="LTY507" s="44"/>
      <c r="LTZ507" s="44"/>
      <c r="LUA507" s="44"/>
      <c r="LUB507" s="44"/>
      <c r="LUC507" s="44"/>
      <c r="LUD507" s="44"/>
      <c r="LUE507" s="44"/>
      <c r="LUF507" s="44"/>
      <c r="LUG507" s="44"/>
      <c r="LUH507" s="44"/>
      <c r="LUI507" s="44"/>
      <c r="LUJ507" s="44"/>
      <c r="LUK507" s="44"/>
      <c r="LUL507" s="44"/>
      <c r="LUM507" s="44"/>
      <c r="LUN507" s="44"/>
      <c r="LUO507" s="44"/>
      <c r="LUP507" s="44"/>
      <c r="LUQ507" s="44"/>
      <c r="LUR507" s="44"/>
      <c r="LUS507" s="44"/>
      <c r="LUT507" s="44"/>
      <c r="LUU507" s="44"/>
      <c r="LUV507" s="44"/>
      <c r="LUW507" s="44"/>
      <c r="LUX507" s="44"/>
      <c r="LUY507" s="44"/>
      <c r="LUZ507" s="44"/>
      <c r="LVA507" s="44"/>
      <c r="LVB507" s="44"/>
      <c r="LVC507" s="44"/>
      <c r="LVD507" s="44"/>
      <c r="LVE507" s="44"/>
      <c r="LVF507" s="44"/>
      <c r="LVG507" s="44"/>
      <c r="LVH507" s="44"/>
      <c r="LVI507" s="44"/>
      <c r="LVJ507" s="44"/>
      <c r="LVK507" s="44"/>
      <c r="LVL507" s="44"/>
      <c r="LVM507" s="44"/>
      <c r="LVN507" s="44"/>
      <c r="LVO507" s="44"/>
      <c r="LVP507" s="44"/>
      <c r="LVQ507" s="44"/>
      <c r="LVR507" s="44"/>
      <c r="LVS507" s="44"/>
      <c r="LVT507" s="44"/>
      <c r="LVU507" s="44"/>
      <c r="LVV507" s="44"/>
      <c r="LVW507" s="44"/>
      <c r="LVX507" s="44"/>
      <c r="LVY507" s="44"/>
      <c r="LVZ507" s="44"/>
      <c r="LWA507" s="44"/>
      <c r="LWB507" s="44"/>
      <c r="LWC507" s="44"/>
      <c r="LWD507" s="44"/>
      <c r="LWE507" s="44"/>
      <c r="LWF507" s="44"/>
      <c r="LWG507" s="44"/>
      <c r="LWH507" s="44"/>
      <c r="LWI507" s="44"/>
      <c r="LWJ507" s="44"/>
      <c r="LWK507" s="44"/>
      <c r="LWL507" s="44"/>
      <c r="LWM507" s="44"/>
      <c r="LWN507" s="44"/>
      <c r="LWO507" s="44"/>
      <c r="LWP507" s="44"/>
      <c r="LWQ507" s="44"/>
      <c r="LWR507" s="44"/>
      <c r="LWS507" s="44"/>
      <c r="LWT507" s="44"/>
      <c r="LWU507" s="44"/>
      <c r="LWV507" s="44"/>
      <c r="LWW507" s="44"/>
      <c r="LWX507" s="44"/>
      <c r="LWY507" s="44"/>
      <c r="LWZ507" s="44"/>
      <c r="LXA507" s="44"/>
      <c r="LXB507" s="44"/>
      <c r="LXC507" s="44"/>
      <c r="LXD507" s="44"/>
      <c r="LXE507" s="44"/>
      <c r="LXF507" s="44"/>
      <c r="LXG507" s="44"/>
      <c r="LXH507" s="44"/>
      <c r="LXI507" s="44"/>
      <c r="LXJ507" s="44"/>
      <c r="LXK507" s="44"/>
      <c r="LXL507" s="44"/>
      <c r="LXM507" s="44"/>
      <c r="LXN507" s="44"/>
      <c r="LXO507" s="44"/>
      <c r="LXP507" s="44"/>
      <c r="LXQ507" s="44"/>
      <c r="LXR507" s="44"/>
      <c r="LXS507" s="44"/>
      <c r="LXT507" s="44"/>
      <c r="LXU507" s="44"/>
      <c r="LXV507" s="44"/>
      <c r="LXW507" s="44"/>
      <c r="LXX507" s="44"/>
      <c r="LXY507" s="44"/>
      <c r="LXZ507" s="44"/>
      <c r="LYA507" s="44"/>
      <c r="LYB507" s="44"/>
      <c r="LYC507" s="44"/>
      <c r="LYD507" s="44"/>
      <c r="LYE507" s="44"/>
      <c r="LYF507" s="44"/>
      <c r="LYG507" s="44"/>
      <c r="LYH507" s="44"/>
      <c r="LYI507" s="44"/>
      <c r="LYJ507" s="44"/>
      <c r="LYK507" s="44"/>
      <c r="LYL507" s="44"/>
      <c r="LYM507" s="44"/>
      <c r="LYN507" s="44"/>
      <c r="LYO507" s="44"/>
      <c r="LYP507" s="44"/>
      <c r="LYQ507" s="44"/>
      <c r="LYR507" s="44"/>
      <c r="LYS507" s="44"/>
      <c r="LYT507" s="44"/>
      <c r="LYU507" s="44"/>
      <c r="LYV507" s="44"/>
      <c r="LYW507" s="44"/>
      <c r="LYX507" s="44"/>
      <c r="LYY507" s="44"/>
      <c r="LYZ507" s="44"/>
      <c r="LZA507" s="44"/>
      <c r="LZB507" s="44"/>
      <c r="LZC507" s="44"/>
      <c r="LZD507" s="44"/>
      <c r="LZE507" s="44"/>
      <c r="LZF507" s="44"/>
      <c r="LZG507" s="44"/>
      <c r="LZH507" s="44"/>
      <c r="LZI507" s="44"/>
      <c r="LZJ507" s="44"/>
      <c r="LZK507" s="44"/>
      <c r="LZL507" s="44"/>
      <c r="LZM507" s="44"/>
      <c r="LZN507" s="44"/>
      <c r="LZO507" s="44"/>
      <c r="LZP507" s="44"/>
      <c r="LZQ507" s="44"/>
      <c r="LZR507" s="44"/>
      <c r="LZS507" s="44"/>
      <c r="LZT507" s="44"/>
      <c r="LZU507" s="44"/>
      <c r="LZV507" s="44"/>
      <c r="LZW507" s="44"/>
      <c r="LZX507" s="44"/>
      <c r="LZY507" s="44"/>
      <c r="LZZ507" s="44"/>
      <c r="MAA507" s="44"/>
      <c r="MAB507" s="44"/>
      <c r="MAC507" s="44"/>
      <c r="MAD507" s="44"/>
      <c r="MAE507" s="44"/>
      <c r="MAF507" s="44"/>
      <c r="MAG507" s="44"/>
      <c r="MAH507" s="44"/>
      <c r="MAI507" s="44"/>
      <c r="MAJ507" s="44"/>
      <c r="MAK507" s="44"/>
      <c r="MAL507" s="44"/>
      <c r="MAM507" s="44"/>
      <c r="MAN507" s="44"/>
      <c r="MAO507" s="44"/>
      <c r="MAP507" s="44"/>
      <c r="MAQ507" s="44"/>
      <c r="MAR507" s="44"/>
      <c r="MAS507" s="44"/>
      <c r="MAT507" s="44"/>
      <c r="MAU507" s="44"/>
      <c r="MAV507" s="44"/>
      <c r="MAW507" s="44"/>
      <c r="MAX507" s="44"/>
      <c r="MAY507" s="44"/>
      <c r="MAZ507" s="44"/>
      <c r="MBA507" s="44"/>
      <c r="MBB507" s="44"/>
      <c r="MBC507" s="44"/>
      <c r="MBD507" s="44"/>
      <c r="MBE507" s="44"/>
      <c r="MBF507" s="44"/>
      <c r="MBG507" s="44"/>
      <c r="MBH507" s="44"/>
      <c r="MBI507" s="44"/>
      <c r="MBJ507" s="44"/>
      <c r="MBK507" s="44"/>
      <c r="MBL507" s="44"/>
      <c r="MBM507" s="44"/>
      <c r="MBN507" s="44"/>
      <c r="MBO507" s="44"/>
      <c r="MBP507" s="44"/>
      <c r="MBQ507" s="44"/>
      <c r="MBR507" s="44"/>
      <c r="MBS507" s="44"/>
      <c r="MBT507" s="44"/>
      <c r="MBU507" s="44"/>
      <c r="MBV507" s="44"/>
      <c r="MBW507" s="44"/>
      <c r="MBX507" s="44"/>
      <c r="MBY507" s="44"/>
      <c r="MBZ507" s="44"/>
      <c r="MCA507" s="44"/>
      <c r="MCB507" s="44"/>
      <c r="MCC507" s="44"/>
      <c r="MCD507" s="44"/>
      <c r="MCE507" s="44"/>
      <c r="MCF507" s="44"/>
      <c r="MCG507" s="44"/>
      <c r="MCH507" s="44"/>
      <c r="MCI507" s="44"/>
      <c r="MCJ507" s="44"/>
      <c r="MCK507" s="44"/>
      <c r="MCL507" s="44"/>
      <c r="MCM507" s="44"/>
      <c r="MCN507" s="44"/>
      <c r="MCO507" s="44"/>
      <c r="MCP507" s="44"/>
      <c r="MCQ507" s="44"/>
      <c r="MCR507" s="44"/>
      <c r="MCS507" s="44"/>
      <c r="MCT507" s="44"/>
      <c r="MCU507" s="44"/>
      <c r="MCV507" s="44"/>
      <c r="MCW507" s="44"/>
      <c r="MCX507" s="44"/>
      <c r="MCY507" s="44"/>
      <c r="MCZ507" s="44"/>
      <c r="MDA507" s="44"/>
      <c r="MDB507" s="44"/>
      <c r="MDC507" s="44"/>
      <c r="MDD507" s="44"/>
      <c r="MDE507" s="44"/>
      <c r="MDF507" s="44"/>
      <c r="MDG507" s="44"/>
      <c r="MDH507" s="44"/>
      <c r="MDI507" s="44"/>
      <c r="MDJ507" s="44"/>
      <c r="MDK507" s="44"/>
      <c r="MDL507" s="44"/>
      <c r="MDM507" s="44"/>
      <c r="MDN507" s="44"/>
      <c r="MDO507" s="44"/>
      <c r="MDP507" s="44"/>
      <c r="MDQ507" s="44"/>
      <c r="MDR507" s="44"/>
      <c r="MDS507" s="44"/>
      <c r="MDT507" s="44"/>
      <c r="MDU507" s="44"/>
      <c r="MDV507" s="44"/>
      <c r="MDW507" s="44"/>
      <c r="MDX507" s="44"/>
      <c r="MDY507" s="44"/>
      <c r="MDZ507" s="44"/>
      <c r="MEA507" s="44"/>
      <c r="MEB507" s="44"/>
      <c r="MEC507" s="44"/>
      <c r="MED507" s="44"/>
      <c r="MEE507" s="44"/>
      <c r="MEF507" s="44"/>
      <c r="MEG507" s="44"/>
      <c r="MEH507" s="44"/>
      <c r="MEI507" s="44"/>
      <c r="MEJ507" s="44"/>
      <c r="MEK507" s="44"/>
      <c r="MEL507" s="44"/>
      <c r="MEM507" s="44"/>
      <c r="MEN507" s="44"/>
      <c r="MEO507" s="44"/>
      <c r="MEP507" s="44"/>
      <c r="MEQ507" s="44"/>
      <c r="MER507" s="44"/>
      <c r="MES507" s="44"/>
      <c r="MET507" s="44"/>
      <c r="MEU507" s="44"/>
      <c r="MEV507" s="44"/>
      <c r="MEW507" s="44"/>
      <c r="MEX507" s="44"/>
      <c r="MEY507" s="44"/>
      <c r="MEZ507" s="44"/>
      <c r="MFA507" s="44"/>
      <c r="MFB507" s="44"/>
      <c r="MFC507" s="44"/>
      <c r="MFD507" s="44"/>
      <c r="MFE507" s="44"/>
      <c r="MFF507" s="44"/>
      <c r="MFG507" s="44"/>
      <c r="MFH507" s="44"/>
      <c r="MFI507" s="44"/>
      <c r="MFJ507" s="44"/>
      <c r="MFK507" s="44"/>
      <c r="MFL507" s="44"/>
      <c r="MFM507" s="44"/>
      <c r="MFN507" s="44"/>
      <c r="MFO507" s="44"/>
      <c r="MFP507" s="44"/>
      <c r="MFQ507" s="44"/>
      <c r="MFR507" s="44"/>
      <c r="MFS507" s="44"/>
      <c r="MFT507" s="44"/>
      <c r="MFU507" s="44"/>
      <c r="MFV507" s="44"/>
      <c r="MFW507" s="44"/>
      <c r="MFX507" s="44"/>
      <c r="MFY507" s="44"/>
      <c r="MFZ507" s="44"/>
      <c r="MGA507" s="44"/>
      <c r="MGB507" s="44"/>
      <c r="MGC507" s="44"/>
      <c r="MGD507" s="44"/>
      <c r="MGE507" s="44"/>
      <c r="MGF507" s="44"/>
      <c r="MGG507" s="44"/>
      <c r="MGH507" s="44"/>
      <c r="MGI507" s="44"/>
      <c r="MGJ507" s="44"/>
      <c r="MGK507" s="44"/>
      <c r="MGL507" s="44"/>
      <c r="MGM507" s="44"/>
      <c r="MGN507" s="44"/>
      <c r="MGO507" s="44"/>
      <c r="MGP507" s="44"/>
      <c r="MGQ507" s="44"/>
      <c r="MGR507" s="44"/>
      <c r="MGS507" s="44"/>
      <c r="MGT507" s="44"/>
      <c r="MGU507" s="44"/>
      <c r="MGV507" s="44"/>
      <c r="MGW507" s="44"/>
      <c r="MGX507" s="44"/>
      <c r="MGY507" s="44"/>
      <c r="MGZ507" s="44"/>
      <c r="MHA507" s="44"/>
      <c r="MHB507" s="44"/>
      <c r="MHC507" s="44"/>
      <c r="MHD507" s="44"/>
      <c r="MHE507" s="44"/>
      <c r="MHF507" s="44"/>
      <c r="MHG507" s="44"/>
      <c r="MHH507" s="44"/>
      <c r="MHI507" s="44"/>
      <c r="MHJ507" s="44"/>
      <c r="MHK507" s="44"/>
      <c r="MHL507" s="44"/>
      <c r="MHM507" s="44"/>
      <c r="MHN507" s="44"/>
      <c r="MHO507" s="44"/>
      <c r="MHP507" s="44"/>
      <c r="MHQ507" s="44"/>
      <c r="MHR507" s="44"/>
      <c r="MHS507" s="44"/>
      <c r="MHT507" s="44"/>
      <c r="MHU507" s="44"/>
      <c r="MHV507" s="44"/>
      <c r="MHW507" s="44"/>
      <c r="MHX507" s="44"/>
      <c r="MHY507" s="44"/>
      <c r="MHZ507" s="44"/>
      <c r="MIA507" s="44"/>
      <c r="MIB507" s="44"/>
      <c r="MIC507" s="44"/>
      <c r="MID507" s="44"/>
      <c r="MIE507" s="44"/>
      <c r="MIF507" s="44"/>
      <c r="MIG507" s="44"/>
      <c r="MIH507" s="44"/>
      <c r="MII507" s="44"/>
      <c r="MIJ507" s="44"/>
      <c r="MIK507" s="44"/>
      <c r="MIL507" s="44"/>
      <c r="MIM507" s="44"/>
      <c r="MIN507" s="44"/>
      <c r="MIO507" s="44"/>
      <c r="MIP507" s="44"/>
      <c r="MIQ507" s="44"/>
      <c r="MIR507" s="44"/>
      <c r="MIS507" s="44"/>
      <c r="MIT507" s="44"/>
      <c r="MIU507" s="44"/>
      <c r="MIV507" s="44"/>
      <c r="MIW507" s="44"/>
      <c r="MIX507" s="44"/>
      <c r="MIY507" s="44"/>
      <c r="MIZ507" s="44"/>
      <c r="MJA507" s="44"/>
      <c r="MJB507" s="44"/>
      <c r="MJC507" s="44"/>
      <c r="MJD507" s="44"/>
      <c r="MJE507" s="44"/>
      <c r="MJF507" s="44"/>
      <c r="MJG507" s="44"/>
      <c r="MJH507" s="44"/>
      <c r="MJI507" s="44"/>
      <c r="MJJ507" s="44"/>
      <c r="MJK507" s="44"/>
      <c r="MJL507" s="44"/>
      <c r="MJM507" s="44"/>
      <c r="MJN507" s="44"/>
      <c r="MJO507" s="44"/>
      <c r="MJP507" s="44"/>
      <c r="MJQ507" s="44"/>
      <c r="MJR507" s="44"/>
      <c r="MJS507" s="44"/>
      <c r="MJT507" s="44"/>
      <c r="MJU507" s="44"/>
      <c r="MJV507" s="44"/>
      <c r="MJW507" s="44"/>
      <c r="MJX507" s="44"/>
      <c r="MJY507" s="44"/>
      <c r="MJZ507" s="44"/>
      <c r="MKA507" s="44"/>
      <c r="MKB507" s="44"/>
      <c r="MKC507" s="44"/>
      <c r="MKD507" s="44"/>
      <c r="MKE507" s="44"/>
      <c r="MKF507" s="44"/>
      <c r="MKG507" s="44"/>
      <c r="MKH507" s="44"/>
      <c r="MKI507" s="44"/>
      <c r="MKJ507" s="44"/>
      <c r="MKK507" s="44"/>
      <c r="MKL507" s="44"/>
      <c r="MKM507" s="44"/>
      <c r="MKN507" s="44"/>
      <c r="MKO507" s="44"/>
      <c r="MKP507" s="44"/>
      <c r="MKQ507" s="44"/>
      <c r="MKR507" s="44"/>
      <c r="MKS507" s="44"/>
      <c r="MKT507" s="44"/>
      <c r="MKU507" s="44"/>
      <c r="MKV507" s="44"/>
      <c r="MKW507" s="44"/>
      <c r="MKX507" s="44"/>
      <c r="MKY507" s="44"/>
      <c r="MKZ507" s="44"/>
      <c r="MLA507" s="44"/>
      <c r="MLB507" s="44"/>
      <c r="MLC507" s="44"/>
      <c r="MLD507" s="44"/>
      <c r="MLE507" s="44"/>
      <c r="MLF507" s="44"/>
      <c r="MLG507" s="44"/>
      <c r="MLH507" s="44"/>
      <c r="MLI507" s="44"/>
      <c r="MLJ507" s="44"/>
      <c r="MLK507" s="44"/>
      <c r="MLL507" s="44"/>
      <c r="MLM507" s="44"/>
      <c r="MLN507" s="44"/>
      <c r="MLO507" s="44"/>
      <c r="MLP507" s="44"/>
      <c r="MLQ507" s="44"/>
      <c r="MLR507" s="44"/>
      <c r="MLS507" s="44"/>
      <c r="MLT507" s="44"/>
      <c r="MLU507" s="44"/>
      <c r="MLV507" s="44"/>
      <c r="MLW507" s="44"/>
      <c r="MLX507" s="44"/>
      <c r="MLY507" s="44"/>
      <c r="MLZ507" s="44"/>
      <c r="MMA507" s="44"/>
      <c r="MMB507" s="44"/>
      <c r="MMC507" s="44"/>
      <c r="MMD507" s="44"/>
      <c r="MME507" s="44"/>
      <c r="MMF507" s="44"/>
      <c r="MMG507" s="44"/>
      <c r="MMH507" s="44"/>
      <c r="MMI507" s="44"/>
      <c r="MMJ507" s="44"/>
      <c r="MMK507" s="44"/>
      <c r="MML507" s="44"/>
      <c r="MMM507" s="44"/>
      <c r="MMN507" s="44"/>
      <c r="MMO507" s="44"/>
      <c r="MMP507" s="44"/>
      <c r="MMQ507" s="44"/>
      <c r="MMR507" s="44"/>
      <c r="MMS507" s="44"/>
      <c r="MMT507" s="44"/>
      <c r="MMU507" s="44"/>
      <c r="MMV507" s="44"/>
      <c r="MMW507" s="44"/>
      <c r="MMX507" s="44"/>
      <c r="MMY507" s="44"/>
      <c r="MMZ507" s="44"/>
      <c r="MNA507" s="44"/>
      <c r="MNB507" s="44"/>
      <c r="MNC507" s="44"/>
      <c r="MND507" s="44"/>
      <c r="MNE507" s="44"/>
      <c r="MNF507" s="44"/>
      <c r="MNG507" s="44"/>
      <c r="MNH507" s="44"/>
      <c r="MNI507" s="44"/>
      <c r="MNJ507" s="44"/>
      <c r="MNK507" s="44"/>
      <c r="MNL507" s="44"/>
      <c r="MNM507" s="44"/>
      <c r="MNN507" s="44"/>
      <c r="MNO507" s="44"/>
      <c r="MNP507" s="44"/>
      <c r="MNQ507" s="44"/>
      <c r="MNR507" s="44"/>
      <c r="MNS507" s="44"/>
      <c r="MNT507" s="44"/>
      <c r="MNU507" s="44"/>
      <c r="MNV507" s="44"/>
      <c r="MNW507" s="44"/>
      <c r="MNX507" s="44"/>
      <c r="MNY507" s="44"/>
      <c r="MNZ507" s="44"/>
      <c r="MOA507" s="44"/>
      <c r="MOB507" s="44"/>
      <c r="MOC507" s="44"/>
      <c r="MOD507" s="44"/>
      <c r="MOE507" s="44"/>
      <c r="MOF507" s="44"/>
      <c r="MOG507" s="44"/>
      <c r="MOH507" s="44"/>
      <c r="MOI507" s="44"/>
      <c r="MOJ507" s="44"/>
      <c r="MOK507" s="44"/>
      <c r="MOL507" s="44"/>
      <c r="MOM507" s="44"/>
      <c r="MON507" s="44"/>
      <c r="MOO507" s="44"/>
      <c r="MOP507" s="44"/>
      <c r="MOQ507" s="44"/>
      <c r="MOR507" s="44"/>
      <c r="MOS507" s="44"/>
      <c r="MOT507" s="44"/>
      <c r="MOU507" s="44"/>
      <c r="MOV507" s="44"/>
      <c r="MOW507" s="44"/>
      <c r="MOX507" s="44"/>
      <c r="MOY507" s="44"/>
      <c r="MOZ507" s="44"/>
      <c r="MPA507" s="44"/>
      <c r="MPB507" s="44"/>
      <c r="MPC507" s="44"/>
      <c r="MPD507" s="44"/>
      <c r="MPE507" s="44"/>
      <c r="MPF507" s="44"/>
      <c r="MPG507" s="44"/>
      <c r="MPH507" s="44"/>
      <c r="MPI507" s="44"/>
      <c r="MPJ507" s="44"/>
      <c r="MPK507" s="44"/>
      <c r="MPL507" s="44"/>
      <c r="MPM507" s="44"/>
      <c r="MPN507" s="44"/>
      <c r="MPO507" s="44"/>
      <c r="MPP507" s="44"/>
      <c r="MPQ507" s="44"/>
      <c r="MPR507" s="44"/>
      <c r="MPS507" s="44"/>
      <c r="MPT507" s="44"/>
      <c r="MPU507" s="44"/>
      <c r="MPV507" s="44"/>
      <c r="MPW507" s="44"/>
      <c r="MPX507" s="44"/>
      <c r="MPY507" s="44"/>
      <c r="MPZ507" s="44"/>
      <c r="MQA507" s="44"/>
      <c r="MQB507" s="44"/>
      <c r="MQC507" s="44"/>
      <c r="MQD507" s="44"/>
      <c r="MQE507" s="44"/>
      <c r="MQF507" s="44"/>
      <c r="MQG507" s="44"/>
      <c r="MQH507" s="44"/>
      <c r="MQI507" s="44"/>
      <c r="MQJ507" s="44"/>
      <c r="MQK507" s="44"/>
      <c r="MQL507" s="44"/>
      <c r="MQM507" s="44"/>
      <c r="MQN507" s="44"/>
      <c r="MQO507" s="44"/>
      <c r="MQP507" s="44"/>
      <c r="MQQ507" s="44"/>
      <c r="MQR507" s="44"/>
      <c r="MQS507" s="44"/>
      <c r="MQT507" s="44"/>
      <c r="MQU507" s="44"/>
      <c r="MQV507" s="44"/>
      <c r="MQW507" s="44"/>
      <c r="MQX507" s="44"/>
      <c r="MQY507" s="44"/>
      <c r="MQZ507" s="44"/>
      <c r="MRA507" s="44"/>
      <c r="MRB507" s="44"/>
      <c r="MRC507" s="44"/>
      <c r="MRD507" s="44"/>
      <c r="MRE507" s="44"/>
      <c r="MRF507" s="44"/>
      <c r="MRG507" s="44"/>
      <c r="MRH507" s="44"/>
      <c r="MRI507" s="44"/>
      <c r="MRJ507" s="44"/>
      <c r="MRK507" s="44"/>
      <c r="MRL507" s="44"/>
      <c r="MRM507" s="44"/>
      <c r="MRN507" s="44"/>
      <c r="MRO507" s="44"/>
      <c r="MRP507" s="44"/>
      <c r="MRQ507" s="44"/>
      <c r="MRR507" s="44"/>
      <c r="MRS507" s="44"/>
      <c r="MRT507" s="44"/>
      <c r="MRU507" s="44"/>
      <c r="MRV507" s="44"/>
      <c r="MRW507" s="44"/>
      <c r="MRX507" s="44"/>
      <c r="MRY507" s="44"/>
      <c r="MRZ507" s="44"/>
      <c r="MSA507" s="44"/>
      <c r="MSB507" s="44"/>
      <c r="MSC507" s="44"/>
      <c r="MSD507" s="44"/>
      <c r="MSE507" s="44"/>
      <c r="MSF507" s="44"/>
      <c r="MSG507" s="44"/>
      <c r="MSH507" s="44"/>
      <c r="MSI507" s="44"/>
      <c r="MSJ507" s="44"/>
      <c r="MSK507" s="44"/>
      <c r="MSL507" s="44"/>
      <c r="MSM507" s="44"/>
      <c r="MSN507" s="44"/>
      <c r="MSO507" s="44"/>
      <c r="MSP507" s="44"/>
      <c r="MSQ507" s="44"/>
      <c r="MSR507" s="44"/>
      <c r="MSS507" s="44"/>
      <c r="MST507" s="44"/>
      <c r="MSU507" s="44"/>
      <c r="MSV507" s="44"/>
      <c r="MSW507" s="44"/>
      <c r="MSX507" s="44"/>
      <c r="MSY507" s="44"/>
      <c r="MSZ507" s="44"/>
      <c r="MTA507" s="44"/>
      <c r="MTB507" s="44"/>
      <c r="MTC507" s="44"/>
      <c r="MTD507" s="44"/>
      <c r="MTE507" s="44"/>
      <c r="MTF507" s="44"/>
      <c r="MTG507" s="44"/>
      <c r="MTH507" s="44"/>
      <c r="MTI507" s="44"/>
      <c r="MTJ507" s="44"/>
      <c r="MTK507" s="44"/>
      <c r="MTL507" s="44"/>
      <c r="MTM507" s="44"/>
      <c r="MTN507" s="44"/>
      <c r="MTO507" s="44"/>
      <c r="MTP507" s="44"/>
      <c r="MTQ507" s="44"/>
      <c r="MTR507" s="44"/>
      <c r="MTS507" s="44"/>
      <c r="MTT507" s="44"/>
      <c r="MTU507" s="44"/>
      <c r="MTV507" s="44"/>
      <c r="MTW507" s="44"/>
      <c r="MTX507" s="44"/>
      <c r="MTY507" s="44"/>
      <c r="MTZ507" s="44"/>
      <c r="MUA507" s="44"/>
      <c r="MUB507" s="44"/>
      <c r="MUC507" s="44"/>
      <c r="MUD507" s="44"/>
      <c r="MUE507" s="44"/>
      <c r="MUF507" s="44"/>
      <c r="MUG507" s="44"/>
      <c r="MUH507" s="44"/>
      <c r="MUI507" s="44"/>
      <c r="MUJ507" s="44"/>
      <c r="MUK507" s="44"/>
      <c r="MUL507" s="44"/>
      <c r="MUM507" s="44"/>
      <c r="MUN507" s="44"/>
      <c r="MUO507" s="44"/>
      <c r="MUP507" s="44"/>
      <c r="MUQ507" s="44"/>
      <c r="MUR507" s="44"/>
      <c r="MUS507" s="44"/>
      <c r="MUT507" s="44"/>
      <c r="MUU507" s="44"/>
      <c r="MUV507" s="44"/>
      <c r="MUW507" s="44"/>
      <c r="MUX507" s="44"/>
      <c r="MUY507" s="44"/>
      <c r="MUZ507" s="44"/>
      <c r="MVA507" s="44"/>
      <c r="MVB507" s="44"/>
      <c r="MVC507" s="44"/>
      <c r="MVD507" s="44"/>
      <c r="MVE507" s="44"/>
      <c r="MVF507" s="44"/>
      <c r="MVG507" s="44"/>
      <c r="MVH507" s="44"/>
      <c r="MVI507" s="44"/>
      <c r="MVJ507" s="44"/>
      <c r="MVK507" s="44"/>
      <c r="MVL507" s="44"/>
      <c r="MVM507" s="44"/>
      <c r="MVN507" s="44"/>
      <c r="MVO507" s="44"/>
      <c r="MVP507" s="44"/>
      <c r="MVQ507" s="44"/>
      <c r="MVR507" s="44"/>
      <c r="MVS507" s="44"/>
      <c r="MVT507" s="44"/>
      <c r="MVU507" s="44"/>
      <c r="MVV507" s="44"/>
      <c r="MVW507" s="44"/>
      <c r="MVX507" s="44"/>
      <c r="MVY507" s="44"/>
      <c r="MVZ507" s="44"/>
      <c r="MWA507" s="44"/>
      <c r="MWB507" s="44"/>
      <c r="MWC507" s="44"/>
      <c r="MWD507" s="44"/>
      <c r="MWE507" s="44"/>
      <c r="MWF507" s="44"/>
      <c r="MWG507" s="44"/>
      <c r="MWH507" s="44"/>
      <c r="MWI507" s="44"/>
      <c r="MWJ507" s="44"/>
      <c r="MWK507" s="44"/>
      <c r="MWL507" s="44"/>
      <c r="MWM507" s="44"/>
      <c r="MWN507" s="44"/>
      <c r="MWO507" s="44"/>
      <c r="MWP507" s="44"/>
      <c r="MWQ507" s="44"/>
      <c r="MWR507" s="44"/>
      <c r="MWS507" s="44"/>
      <c r="MWT507" s="44"/>
      <c r="MWU507" s="44"/>
      <c r="MWV507" s="44"/>
      <c r="MWW507" s="44"/>
      <c r="MWX507" s="44"/>
      <c r="MWY507" s="44"/>
      <c r="MWZ507" s="44"/>
      <c r="MXA507" s="44"/>
      <c r="MXB507" s="44"/>
      <c r="MXC507" s="44"/>
      <c r="MXD507" s="44"/>
      <c r="MXE507" s="44"/>
      <c r="MXF507" s="44"/>
      <c r="MXG507" s="44"/>
      <c r="MXH507" s="44"/>
      <c r="MXI507" s="44"/>
      <c r="MXJ507" s="44"/>
      <c r="MXK507" s="44"/>
      <c r="MXL507" s="44"/>
      <c r="MXM507" s="44"/>
      <c r="MXN507" s="44"/>
      <c r="MXO507" s="44"/>
      <c r="MXP507" s="44"/>
      <c r="MXQ507" s="44"/>
      <c r="MXR507" s="44"/>
      <c r="MXS507" s="44"/>
      <c r="MXT507" s="44"/>
      <c r="MXU507" s="44"/>
      <c r="MXV507" s="44"/>
      <c r="MXW507" s="44"/>
      <c r="MXX507" s="44"/>
      <c r="MXY507" s="44"/>
      <c r="MXZ507" s="44"/>
      <c r="MYA507" s="44"/>
      <c r="MYB507" s="44"/>
      <c r="MYC507" s="44"/>
      <c r="MYD507" s="44"/>
      <c r="MYE507" s="44"/>
      <c r="MYF507" s="44"/>
      <c r="MYG507" s="44"/>
      <c r="MYH507" s="44"/>
      <c r="MYI507" s="44"/>
      <c r="MYJ507" s="44"/>
      <c r="MYK507" s="44"/>
      <c r="MYL507" s="44"/>
      <c r="MYM507" s="44"/>
      <c r="MYN507" s="44"/>
      <c r="MYO507" s="44"/>
      <c r="MYP507" s="44"/>
      <c r="MYQ507" s="44"/>
      <c r="MYR507" s="44"/>
      <c r="MYS507" s="44"/>
      <c r="MYT507" s="44"/>
      <c r="MYU507" s="44"/>
      <c r="MYV507" s="44"/>
      <c r="MYW507" s="44"/>
      <c r="MYX507" s="44"/>
      <c r="MYY507" s="44"/>
      <c r="MYZ507" s="44"/>
      <c r="MZA507" s="44"/>
      <c r="MZB507" s="44"/>
      <c r="MZC507" s="44"/>
      <c r="MZD507" s="44"/>
      <c r="MZE507" s="44"/>
      <c r="MZF507" s="44"/>
      <c r="MZG507" s="44"/>
      <c r="MZH507" s="44"/>
      <c r="MZI507" s="44"/>
      <c r="MZJ507" s="44"/>
      <c r="MZK507" s="44"/>
      <c r="MZL507" s="44"/>
      <c r="MZM507" s="44"/>
      <c r="MZN507" s="44"/>
      <c r="MZO507" s="44"/>
      <c r="MZP507" s="44"/>
      <c r="MZQ507" s="44"/>
      <c r="MZR507" s="44"/>
      <c r="MZS507" s="44"/>
      <c r="MZT507" s="44"/>
      <c r="MZU507" s="44"/>
      <c r="MZV507" s="44"/>
      <c r="MZW507" s="44"/>
      <c r="MZX507" s="44"/>
      <c r="MZY507" s="44"/>
      <c r="MZZ507" s="44"/>
      <c r="NAA507" s="44"/>
      <c r="NAB507" s="44"/>
      <c r="NAC507" s="44"/>
      <c r="NAD507" s="44"/>
      <c r="NAE507" s="44"/>
      <c r="NAF507" s="44"/>
      <c r="NAG507" s="44"/>
      <c r="NAH507" s="44"/>
      <c r="NAI507" s="44"/>
      <c r="NAJ507" s="44"/>
      <c r="NAK507" s="44"/>
      <c r="NAL507" s="44"/>
      <c r="NAM507" s="44"/>
      <c r="NAN507" s="44"/>
      <c r="NAO507" s="44"/>
      <c r="NAP507" s="44"/>
      <c r="NAQ507" s="44"/>
      <c r="NAR507" s="44"/>
      <c r="NAS507" s="44"/>
      <c r="NAT507" s="44"/>
      <c r="NAU507" s="44"/>
      <c r="NAV507" s="44"/>
      <c r="NAW507" s="44"/>
      <c r="NAX507" s="44"/>
      <c r="NAY507" s="44"/>
      <c r="NAZ507" s="44"/>
      <c r="NBA507" s="44"/>
      <c r="NBB507" s="44"/>
      <c r="NBC507" s="44"/>
      <c r="NBD507" s="44"/>
      <c r="NBE507" s="44"/>
      <c r="NBF507" s="44"/>
      <c r="NBG507" s="44"/>
      <c r="NBH507" s="44"/>
      <c r="NBI507" s="44"/>
      <c r="NBJ507" s="44"/>
      <c r="NBK507" s="44"/>
      <c r="NBL507" s="44"/>
      <c r="NBM507" s="44"/>
      <c r="NBN507" s="44"/>
      <c r="NBO507" s="44"/>
      <c r="NBP507" s="44"/>
      <c r="NBQ507" s="44"/>
      <c r="NBR507" s="44"/>
      <c r="NBS507" s="44"/>
      <c r="NBT507" s="44"/>
      <c r="NBU507" s="44"/>
      <c r="NBV507" s="44"/>
      <c r="NBW507" s="44"/>
      <c r="NBX507" s="44"/>
      <c r="NBY507" s="44"/>
      <c r="NBZ507" s="44"/>
      <c r="NCA507" s="44"/>
      <c r="NCB507" s="44"/>
      <c r="NCC507" s="44"/>
      <c r="NCD507" s="44"/>
      <c r="NCE507" s="44"/>
      <c r="NCF507" s="44"/>
      <c r="NCG507" s="44"/>
      <c r="NCH507" s="44"/>
      <c r="NCI507" s="44"/>
      <c r="NCJ507" s="44"/>
      <c r="NCK507" s="44"/>
      <c r="NCL507" s="44"/>
      <c r="NCM507" s="44"/>
      <c r="NCN507" s="44"/>
      <c r="NCO507" s="44"/>
      <c r="NCP507" s="44"/>
      <c r="NCQ507" s="44"/>
      <c r="NCR507" s="44"/>
      <c r="NCS507" s="44"/>
      <c r="NCT507" s="44"/>
      <c r="NCU507" s="44"/>
      <c r="NCV507" s="44"/>
      <c r="NCW507" s="44"/>
      <c r="NCX507" s="44"/>
      <c r="NCY507" s="44"/>
      <c r="NCZ507" s="44"/>
      <c r="NDA507" s="44"/>
      <c r="NDB507" s="44"/>
      <c r="NDC507" s="44"/>
      <c r="NDD507" s="44"/>
      <c r="NDE507" s="44"/>
      <c r="NDF507" s="44"/>
      <c r="NDG507" s="44"/>
      <c r="NDH507" s="44"/>
      <c r="NDI507" s="44"/>
      <c r="NDJ507" s="44"/>
      <c r="NDK507" s="44"/>
      <c r="NDL507" s="44"/>
      <c r="NDM507" s="44"/>
      <c r="NDN507" s="44"/>
      <c r="NDO507" s="44"/>
      <c r="NDP507" s="44"/>
      <c r="NDQ507" s="44"/>
      <c r="NDR507" s="44"/>
      <c r="NDS507" s="44"/>
      <c r="NDT507" s="44"/>
      <c r="NDU507" s="44"/>
      <c r="NDV507" s="44"/>
      <c r="NDW507" s="44"/>
      <c r="NDX507" s="44"/>
      <c r="NDY507" s="44"/>
      <c r="NDZ507" s="44"/>
      <c r="NEA507" s="44"/>
      <c r="NEB507" s="44"/>
      <c r="NEC507" s="44"/>
      <c r="NED507" s="44"/>
      <c r="NEE507" s="44"/>
      <c r="NEF507" s="44"/>
      <c r="NEG507" s="44"/>
      <c r="NEH507" s="44"/>
      <c r="NEI507" s="44"/>
      <c r="NEJ507" s="44"/>
      <c r="NEK507" s="44"/>
      <c r="NEL507" s="44"/>
      <c r="NEM507" s="44"/>
      <c r="NEN507" s="44"/>
      <c r="NEO507" s="44"/>
      <c r="NEP507" s="44"/>
      <c r="NEQ507" s="44"/>
      <c r="NER507" s="44"/>
      <c r="NES507" s="44"/>
      <c r="NET507" s="44"/>
      <c r="NEU507" s="44"/>
      <c r="NEV507" s="44"/>
      <c r="NEW507" s="44"/>
      <c r="NEX507" s="44"/>
      <c r="NEY507" s="44"/>
      <c r="NEZ507" s="44"/>
      <c r="NFA507" s="44"/>
      <c r="NFB507" s="44"/>
      <c r="NFC507" s="44"/>
      <c r="NFD507" s="44"/>
      <c r="NFE507" s="44"/>
      <c r="NFF507" s="44"/>
      <c r="NFG507" s="44"/>
      <c r="NFH507" s="44"/>
      <c r="NFI507" s="44"/>
      <c r="NFJ507" s="44"/>
      <c r="NFK507" s="44"/>
      <c r="NFL507" s="44"/>
      <c r="NFM507" s="44"/>
      <c r="NFN507" s="44"/>
      <c r="NFO507" s="44"/>
      <c r="NFP507" s="44"/>
      <c r="NFQ507" s="44"/>
      <c r="NFR507" s="44"/>
      <c r="NFS507" s="44"/>
      <c r="NFT507" s="44"/>
      <c r="NFU507" s="44"/>
      <c r="NFV507" s="44"/>
      <c r="NFW507" s="44"/>
      <c r="NFX507" s="44"/>
      <c r="NFY507" s="44"/>
      <c r="NFZ507" s="44"/>
      <c r="NGA507" s="44"/>
      <c r="NGB507" s="44"/>
      <c r="NGC507" s="44"/>
      <c r="NGD507" s="44"/>
      <c r="NGE507" s="44"/>
      <c r="NGF507" s="44"/>
      <c r="NGG507" s="44"/>
      <c r="NGH507" s="44"/>
      <c r="NGI507" s="44"/>
      <c r="NGJ507" s="44"/>
      <c r="NGK507" s="44"/>
      <c r="NGL507" s="44"/>
      <c r="NGM507" s="44"/>
      <c r="NGN507" s="44"/>
      <c r="NGO507" s="44"/>
      <c r="NGP507" s="44"/>
      <c r="NGQ507" s="44"/>
      <c r="NGR507" s="44"/>
      <c r="NGS507" s="44"/>
      <c r="NGT507" s="44"/>
      <c r="NGU507" s="44"/>
      <c r="NGV507" s="44"/>
      <c r="NGW507" s="44"/>
      <c r="NGX507" s="44"/>
      <c r="NGY507" s="44"/>
      <c r="NGZ507" s="44"/>
      <c r="NHA507" s="44"/>
      <c r="NHB507" s="44"/>
      <c r="NHC507" s="44"/>
      <c r="NHD507" s="44"/>
      <c r="NHE507" s="44"/>
      <c r="NHF507" s="44"/>
      <c r="NHG507" s="44"/>
      <c r="NHH507" s="44"/>
      <c r="NHI507" s="44"/>
      <c r="NHJ507" s="44"/>
      <c r="NHK507" s="44"/>
      <c r="NHL507" s="44"/>
      <c r="NHM507" s="44"/>
      <c r="NHN507" s="44"/>
      <c r="NHO507" s="44"/>
      <c r="NHP507" s="44"/>
      <c r="NHQ507" s="44"/>
      <c r="NHR507" s="44"/>
      <c r="NHS507" s="44"/>
      <c r="NHT507" s="44"/>
      <c r="NHU507" s="44"/>
      <c r="NHV507" s="44"/>
      <c r="NHW507" s="44"/>
      <c r="NHX507" s="44"/>
      <c r="NHY507" s="44"/>
      <c r="NHZ507" s="44"/>
      <c r="NIA507" s="44"/>
      <c r="NIB507" s="44"/>
      <c r="NIC507" s="44"/>
      <c r="NID507" s="44"/>
      <c r="NIE507" s="44"/>
      <c r="NIF507" s="44"/>
      <c r="NIG507" s="44"/>
      <c r="NIH507" s="44"/>
      <c r="NII507" s="44"/>
      <c r="NIJ507" s="44"/>
      <c r="NIK507" s="44"/>
      <c r="NIL507" s="44"/>
      <c r="NIM507" s="44"/>
      <c r="NIN507" s="44"/>
      <c r="NIO507" s="44"/>
      <c r="NIP507" s="44"/>
      <c r="NIQ507" s="44"/>
      <c r="NIR507" s="44"/>
      <c r="NIS507" s="44"/>
      <c r="NIT507" s="44"/>
      <c r="NIU507" s="44"/>
      <c r="NIV507" s="44"/>
      <c r="NIW507" s="44"/>
      <c r="NIX507" s="44"/>
      <c r="NIY507" s="44"/>
      <c r="NIZ507" s="44"/>
      <c r="NJA507" s="44"/>
      <c r="NJB507" s="44"/>
      <c r="NJC507" s="44"/>
      <c r="NJD507" s="44"/>
      <c r="NJE507" s="44"/>
      <c r="NJF507" s="44"/>
      <c r="NJG507" s="44"/>
      <c r="NJH507" s="44"/>
      <c r="NJI507" s="44"/>
      <c r="NJJ507" s="44"/>
      <c r="NJK507" s="44"/>
      <c r="NJL507" s="44"/>
      <c r="NJM507" s="44"/>
      <c r="NJN507" s="44"/>
      <c r="NJO507" s="44"/>
      <c r="NJP507" s="44"/>
      <c r="NJQ507" s="44"/>
      <c r="NJR507" s="44"/>
      <c r="NJS507" s="44"/>
      <c r="NJT507" s="44"/>
      <c r="NJU507" s="44"/>
      <c r="NJV507" s="44"/>
      <c r="NJW507" s="44"/>
      <c r="NJX507" s="44"/>
      <c r="NJY507" s="44"/>
      <c r="NJZ507" s="44"/>
      <c r="NKA507" s="44"/>
      <c r="NKB507" s="44"/>
      <c r="NKC507" s="44"/>
      <c r="NKD507" s="44"/>
      <c r="NKE507" s="44"/>
      <c r="NKF507" s="44"/>
      <c r="NKG507" s="44"/>
      <c r="NKH507" s="44"/>
      <c r="NKI507" s="44"/>
      <c r="NKJ507" s="44"/>
      <c r="NKK507" s="44"/>
      <c r="NKL507" s="44"/>
      <c r="NKM507" s="44"/>
      <c r="NKN507" s="44"/>
      <c r="NKO507" s="44"/>
      <c r="NKP507" s="44"/>
      <c r="NKQ507" s="44"/>
      <c r="NKR507" s="44"/>
      <c r="NKS507" s="44"/>
      <c r="NKT507" s="44"/>
      <c r="NKU507" s="44"/>
      <c r="NKV507" s="44"/>
      <c r="NKW507" s="44"/>
      <c r="NKX507" s="44"/>
      <c r="NKY507" s="44"/>
      <c r="NKZ507" s="44"/>
      <c r="NLA507" s="44"/>
      <c r="NLB507" s="44"/>
      <c r="NLC507" s="44"/>
      <c r="NLD507" s="44"/>
      <c r="NLE507" s="44"/>
      <c r="NLF507" s="44"/>
      <c r="NLG507" s="44"/>
      <c r="NLH507" s="44"/>
      <c r="NLI507" s="44"/>
      <c r="NLJ507" s="44"/>
      <c r="NLK507" s="44"/>
      <c r="NLL507" s="44"/>
      <c r="NLM507" s="44"/>
      <c r="NLN507" s="44"/>
      <c r="NLO507" s="44"/>
      <c r="NLP507" s="44"/>
      <c r="NLQ507" s="44"/>
      <c r="NLR507" s="44"/>
      <c r="NLS507" s="44"/>
      <c r="NLT507" s="44"/>
      <c r="NLU507" s="44"/>
      <c r="NLV507" s="44"/>
      <c r="NLW507" s="44"/>
      <c r="NLX507" s="44"/>
      <c r="NLY507" s="44"/>
      <c r="NLZ507" s="44"/>
      <c r="NMA507" s="44"/>
      <c r="NMB507" s="44"/>
      <c r="NMC507" s="44"/>
      <c r="NMD507" s="44"/>
      <c r="NME507" s="44"/>
      <c r="NMF507" s="44"/>
      <c r="NMG507" s="44"/>
      <c r="NMH507" s="44"/>
      <c r="NMI507" s="44"/>
      <c r="NMJ507" s="44"/>
      <c r="NMK507" s="44"/>
      <c r="NML507" s="44"/>
      <c r="NMM507" s="44"/>
      <c r="NMN507" s="44"/>
      <c r="NMO507" s="44"/>
      <c r="NMP507" s="44"/>
      <c r="NMQ507" s="44"/>
      <c r="NMR507" s="44"/>
      <c r="NMS507" s="44"/>
      <c r="NMT507" s="44"/>
      <c r="NMU507" s="44"/>
      <c r="NMV507" s="44"/>
      <c r="NMW507" s="44"/>
      <c r="NMX507" s="44"/>
      <c r="NMY507" s="44"/>
      <c r="NMZ507" s="44"/>
      <c r="NNA507" s="44"/>
      <c r="NNB507" s="44"/>
      <c r="NNC507" s="44"/>
      <c r="NND507" s="44"/>
      <c r="NNE507" s="44"/>
      <c r="NNF507" s="44"/>
      <c r="NNG507" s="44"/>
      <c r="NNH507" s="44"/>
      <c r="NNI507" s="44"/>
      <c r="NNJ507" s="44"/>
      <c r="NNK507" s="44"/>
      <c r="NNL507" s="44"/>
      <c r="NNM507" s="44"/>
      <c r="NNN507" s="44"/>
      <c r="NNO507" s="44"/>
      <c r="NNP507" s="44"/>
      <c r="NNQ507" s="44"/>
      <c r="NNR507" s="44"/>
      <c r="NNS507" s="44"/>
      <c r="NNT507" s="44"/>
      <c r="NNU507" s="44"/>
      <c r="NNV507" s="44"/>
      <c r="NNW507" s="44"/>
      <c r="NNX507" s="44"/>
      <c r="NNY507" s="44"/>
      <c r="NNZ507" s="44"/>
      <c r="NOA507" s="44"/>
      <c r="NOB507" s="44"/>
      <c r="NOC507" s="44"/>
      <c r="NOD507" s="44"/>
      <c r="NOE507" s="44"/>
      <c r="NOF507" s="44"/>
      <c r="NOG507" s="44"/>
      <c r="NOH507" s="44"/>
      <c r="NOI507" s="44"/>
      <c r="NOJ507" s="44"/>
      <c r="NOK507" s="44"/>
      <c r="NOL507" s="44"/>
      <c r="NOM507" s="44"/>
      <c r="NON507" s="44"/>
      <c r="NOO507" s="44"/>
      <c r="NOP507" s="44"/>
      <c r="NOQ507" s="44"/>
      <c r="NOR507" s="44"/>
      <c r="NOS507" s="44"/>
      <c r="NOT507" s="44"/>
      <c r="NOU507" s="44"/>
      <c r="NOV507" s="44"/>
      <c r="NOW507" s="44"/>
      <c r="NOX507" s="44"/>
      <c r="NOY507" s="44"/>
      <c r="NOZ507" s="44"/>
      <c r="NPA507" s="44"/>
      <c r="NPB507" s="44"/>
      <c r="NPC507" s="44"/>
      <c r="NPD507" s="44"/>
      <c r="NPE507" s="44"/>
      <c r="NPF507" s="44"/>
      <c r="NPG507" s="44"/>
      <c r="NPH507" s="44"/>
      <c r="NPI507" s="44"/>
      <c r="NPJ507" s="44"/>
      <c r="NPK507" s="44"/>
      <c r="NPL507" s="44"/>
      <c r="NPM507" s="44"/>
      <c r="NPN507" s="44"/>
      <c r="NPO507" s="44"/>
      <c r="NPP507" s="44"/>
      <c r="NPQ507" s="44"/>
      <c r="NPR507" s="44"/>
      <c r="NPS507" s="44"/>
      <c r="NPT507" s="44"/>
      <c r="NPU507" s="44"/>
      <c r="NPV507" s="44"/>
      <c r="NPW507" s="44"/>
      <c r="NPX507" s="44"/>
      <c r="NPY507" s="44"/>
      <c r="NPZ507" s="44"/>
      <c r="NQA507" s="44"/>
      <c r="NQB507" s="44"/>
      <c r="NQC507" s="44"/>
      <c r="NQD507" s="44"/>
      <c r="NQE507" s="44"/>
      <c r="NQF507" s="44"/>
      <c r="NQG507" s="44"/>
      <c r="NQH507" s="44"/>
      <c r="NQI507" s="44"/>
      <c r="NQJ507" s="44"/>
      <c r="NQK507" s="44"/>
      <c r="NQL507" s="44"/>
      <c r="NQM507" s="44"/>
      <c r="NQN507" s="44"/>
      <c r="NQO507" s="44"/>
      <c r="NQP507" s="44"/>
      <c r="NQQ507" s="44"/>
      <c r="NQR507" s="44"/>
      <c r="NQS507" s="44"/>
      <c r="NQT507" s="44"/>
      <c r="NQU507" s="44"/>
      <c r="NQV507" s="44"/>
      <c r="NQW507" s="44"/>
      <c r="NQX507" s="44"/>
      <c r="NQY507" s="44"/>
      <c r="NQZ507" s="44"/>
      <c r="NRA507" s="44"/>
      <c r="NRB507" s="44"/>
      <c r="NRC507" s="44"/>
      <c r="NRD507" s="44"/>
      <c r="NRE507" s="44"/>
      <c r="NRF507" s="44"/>
      <c r="NRG507" s="44"/>
      <c r="NRH507" s="44"/>
      <c r="NRI507" s="44"/>
      <c r="NRJ507" s="44"/>
      <c r="NRK507" s="44"/>
      <c r="NRL507" s="44"/>
      <c r="NRM507" s="44"/>
      <c r="NRN507" s="44"/>
      <c r="NRO507" s="44"/>
      <c r="NRP507" s="44"/>
      <c r="NRQ507" s="44"/>
      <c r="NRR507" s="44"/>
      <c r="NRS507" s="44"/>
      <c r="NRT507" s="44"/>
      <c r="NRU507" s="44"/>
      <c r="NRV507" s="44"/>
      <c r="NRW507" s="44"/>
      <c r="NRX507" s="44"/>
      <c r="NRY507" s="44"/>
      <c r="NRZ507" s="44"/>
      <c r="NSA507" s="44"/>
      <c r="NSB507" s="44"/>
      <c r="NSC507" s="44"/>
      <c r="NSD507" s="44"/>
      <c r="NSE507" s="44"/>
      <c r="NSF507" s="44"/>
      <c r="NSG507" s="44"/>
      <c r="NSH507" s="44"/>
      <c r="NSI507" s="44"/>
      <c r="NSJ507" s="44"/>
      <c r="NSK507" s="44"/>
      <c r="NSL507" s="44"/>
      <c r="NSM507" s="44"/>
      <c r="NSN507" s="44"/>
      <c r="NSO507" s="44"/>
      <c r="NSP507" s="44"/>
      <c r="NSQ507" s="44"/>
      <c r="NSR507" s="44"/>
      <c r="NSS507" s="44"/>
      <c r="NST507" s="44"/>
      <c r="NSU507" s="44"/>
      <c r="NSV507" s="44"/>
      <c r="NSW507" s="44"/>
      <c r="NSX507" s="44"/>
      <c r="NSY507" s="44"/>
      <c r="NSZ507" s="44"/>
      <c r="NTA507" s="44"/>
      <c r="NTB507" s="44"/>
      <c r="NTC507" s="44"/>
      <c r="NTD507" s="44"/>
      <c r="NTE507" s="44"/>
      <c r="NTF507" s="44"/>
      <c r="NTG507" s="44"/>
      <c r="NTH507" s="44"/>
      <c r="NTI507" s="44"/>
      <c r="NTJ507" s="44"/>
      <c r="NTK507" s="44"/>
      <c r="NTL507" s="44"/>
      <c r="NTM507" s="44"/>
      <c r="NTN507" s="44"/>
      <c r="NTO507" s="44"/>
      <c r="NTP507" s="44"/>
      <c r="NTQ507" s="44"/>
      <c r="NTR507" s="44"/>
      <c r="NTS507" s="44"/>
      <c r="NTT507" s="44"/>
      <c r="NTU507" s="44"/>
      <c r="NTV507" s="44"/>
      <c r="NTW507" s="44"/>
      <c r="NTX507" s="44"/>
      <c r="NTY507" s="44"/>
      <c r="NTZ507" s="44"/>
      <c r="NUA507" s="44"/>
      <c r="NUB507" s="44"/>
      <c r="NUC507" s="44"/>
      <c r="NUD507" s="44"/>
      <c r="NUE507" s="44"/>
      <c r="NUF507" s="44"/>
      <c r="NUG507" s="44"/>
      <c r="NUH507" s="44"/>
      <c r="NUI507" s="44"/>
      <c r="NUJ507" s="44"/>
      <c r="NUK507" s="44"/>
      <c r="NUL507" s="44"/>
      <c r="NUM507" s="44"/>
      <c r="NUN507" s="44"/>
      <c r="NUO507" s="44"/>
      <c r="NUP507" s="44"/>
      <c r="NUQ507" s="44"/>
      <c r="NUR507" s="44"/>
      <c r="NUS507" s="44"/>
      <c r="NUT507" s="44"/>
      <c r="NUU507" s="44"/>
      <c r="NUV507" s="44"/>
      <c r="NUW507" s="44"/>
      <c r="NUX507" s="44"/>
      <c r="NUY507" s="44"/>
      <c r="NUZ507" s="44"/>
      <c r="NVA507" s="44"/>
      <c r="NVB507" s="44"/>
      <c r="NVC507" s="44"/>
      <c r="NVD507" s="44"/>
      <c r="NVE507" s="44"/>
      <c r="NVF507" s="44"/>
      <c r="NVG507" s="44"/>
      <c r="NVH507" s="44"/>
      <c r="NVI507" s="44"/>
      <c r="NVJ507" s="44"/>
      <c r="NVK507" s="44"/>
      <c r="NVL507" s="44"/>
      <c r="NVM507" s="44"/>
      <c r="NVN507" s="44"/>
      <c r="NVO507" s="44"/>
      <c r="NVP507" s="44"/>
      <c r="NVQ507" s="44"/>
      <c r="NVR507" s="44"/>
      <c r="NVS507" s="44"/>
      <c r="NVT507" s="44"/>
      <c r="NVU507" s="44"/>
      <c r="NVV507" s="44"/>
      <c r="NVW507" s="44"/>
      <c r="NVX507" s="44"/>
      <c r="NVY507" s="44"/>
      <c r="NVZ507" s="44"/>
      <c r="NWA507" s="44"/>
      <c r="NWB507" s="44"/>
      <c r="NWC507" s="44"/>
      <c r="NWD507" s="44"/>
      <c r="NWE507" s="44"/>
      <c r="NWF507" s="44"/>
      <c r="NWG507" s="44"/>
      <c r="NWH507" s="44"/>
      <c r="NWI507" s="44"/>
      <c r="NWJ507" s="44"/>
      <c r="NWK507" s="44"/>
      <c r="NWL507" s="44"/>
      <c r="NWM507" s="44"/>
      <c r="NWN507" s="44"/>
      <c r="NWO507" s="44"/>
      <c r="NWP507" s="44"/>
      <c r="NWQ507" s="44"/>
      <c r="NWR507" s="44"/>
      <c r="NWS507" s="44"/>
      <c r="NWT507" s="44"/>
      <c r="NWU507" s="44"/>
      <c r="NWV507" s="44"/>
      <c r="NWW507" s="44"/>
      <c r="NWX507" s="44"/>
      <c r="NWY507" s="44"/>
      <c r="NWZ507" s="44"/>
      <c r="NXA507" s="44"/>
      <c r="NXB507" s="44"/>
      <c r="NXC507" s="44"/>
      <c r="NXD507" s="44"/>
      <c r="NXE507" s="44"/>
      <c r="NXF507" s="44"/>
      <c r="NXG507" s="44"/>
      <c r="NXH507" s="44"/>
      <c r="NXI507" s="44"/>
      <c r="NXJ507" s="44"/>
      <c r="NXK507" s="44"/>
      <c r="NXL507" s="44"/>
      <c r="NXM507" s="44"/>
      <c r="NXN507" s="44"/>
      <c r="NXO507" s="44"/>
      <c r="NXP507" s="44"/>
      <c r="NXQ507" s="44"/>
      <c r="NXR507" s="44"/>
      <c r="NXS507" s="44"/>
      <c r="NXT507" s="44"/>
      <c r="NXU507" s="44"/>
      <c r="NXV507" s="44"/>
      <c r="NXW507" s="44"/>
      <c r="NXX507" s="44"/>
      <c r="NXY507" s="44"/>
      <c r="NXZ507" s="44"/>
      <c r="NYA507" s="44"/>
      <c r="NYB507" s="44"/>
      <c r="NYC507" s="44"/>
      <c r="NYD507" s="44"/>
      <c r="NYE507" s="44"/>
      <c r="NYF507" s="44"/>
      <c r="NYG507" s="44"/>
      <c r="NYH507" s="44"/>
      <c r="NYI507" s="44"/>
      <c r="NYJ507" s="44"/>
      <c r="NYK507" s="44"/>
      <c r="NYL507" s="44"/>
      <c r="NYM507" s="44"/>
      <c r="NYN507" s="44"/>
      <c r="NYO507" s="44"/>
      <c r="NYP507" s="44"/>
      <c r="NYQ507" s="44"/>
      <c r="NYR507" s="44"/>
      <c r="NYS507" s="44"/>
      <c r="NYT507" s="44"/>
      <c r="NYU507" s="44"/>
      <c r="NYV507" s="44"/>
      <c r="NYW507" s="44"/>
      <c r="NYX507" s="44"/>
      <c r="NYY507" s="44"/>
      <c r="NYZ507" s="44"/>
      <c r="NZA507" s="44"/>
      <c r="NZB507" s="44"/>
      <c r="NZC507" s="44"/>
      <c r="NZD507" s="44"/>
      <c r="NZE507" s="44"/>
      <c r="NZF507" s="44"/>
      <c r="NZG507" s="44"/>
      <c r="NZH507" s="44"/>
      <c r="NZI507" s="44"/>
      <c r="NZJ507" s="44"/>
      <c r="NZK507" s="44"/>
      <c r="NZL507" s="44"/>
      <c r="NZM507" s="44"/>
      <c r="NZN507" s="44"/>
      <c r="NZO507" s="44"/>
      <c r="NZP507" s="44"/>
      <c r="NZQ507" s="44"/>
      <c r="NZR507" s="44"/>
      <c r="NZS507" s="44"/>
      <c r="NZT507" s="44"/>
      <c r="NZU507" s="44"/>
      <c r="NZV507" s="44"/>
      <c r="NZW507" s="44"/>
      <c r="NZX507" s="44"/>
      <c r="NZY507" s="44"/>
      <c r="NZZ507" s="44"/>
      <c r="OAA507" s="44"/>
      <c r="OAB507" s="44"/>
      <c r="OAC507" s="44"/>
      <c r="OAD507" s="44"/>
      <c r="OAE507" s="44"/>
      <c r="OAF507" s="44"/>
      <c r="OAG507" s="44"/>
      <c r="OAH507" s="44"/>
      <c r="OAI507" s="44"/>
      <c r="OAJ507" s="44"/>
      <c r="OAK507" s="44"/>
      <c r="OAL507" s="44"/>
      <c r="OAM507" s="44"/>
      <c r="OAN507" s="44"/>
      <c r="OAO507" s="44"/>
      <c r="OAP507" s="44"/>
      <c r="OAQ507" s="44"/>
      <c r="OAR507" s="44"/>
      <c r="OAS507" s="44"/>
      <c r="OAT507" s="44"/>
      <c r="OAU507" s="44"/>
      <c r="OAV507" s="44"/>
      <c r="OAW507" s="44"/>
      <c r="OAX507" s="44"/>
      <c r="OAY507" s="44"/>
      <c r="OAZ507" s="44"/>
      <c r="OBA507" s="44"/>
      <c r="OBB507" s="44"/>
      <c r="OBC507" s="44"/>
      <c r="OBD507" s="44"/>
      <c r="OBE507" s="44"/>
      <c r="OBF507" s="44"/>
      <c r="OBG507" s="44"/>
      <c r="OBH507" s="44"/>
      <c r="OBI507" s="44"/>
      <c r="OBJ507" s="44"/>
      <c r="OBK507" s="44"/>
      <c r="OBL507" s="44"/>
      <c r="OBM507" s="44"/>
      <c r="OBN507" s="44"/>
      <c r="OBO507" s="44"/>
      <c r="OBP507" s="44"/>
      <c r="OBQ507" s="44"/>
      <c r="OBR507" s="44"/>
      <c r="OBS507" s="44"/>
      <c r="OBT507" s="44"/>
      <c r="OBU507" s="44"/>
      <c r="OBV507" s="44"/>
      <c r="OBW507" s="44"/>
      <c r="OBX507" s="44"/>
      <c r="OBY507" s="44"/>
      <c r="OBZ507" s="44"/>
      <c r="OCA507" s="44"/>
      <c r="OCB507" s="44"/>
      <c r="OCC507" s="44"/>
      <c r="OCD507" s="44"/>
      <c r="OCE507" s="44"/>
      <c r="OCF507" s="44"/>
      <c r="OCG507" s="44"/>
      <c r="OCH507" s="44"/>
      <c r="OCI507" s="44"/>
      <c r="OCJ507" s="44"/>
      <c r="OCK507" s="44"/>
      <c r="OCL507" s="44"/>
      <c r="OCM507" s="44"/>
      <c r="OCN507" s="44"/>
      <c r="OCO507" s="44"/>
      <c r="OCP507" s="44"/>
      <c r="OCQ507" s="44"/>
      <c r="OCR507" s="44"/>
      <c r="OCS507" s="44"/>
      <c r="OCT507" s="44"/>
      <c r="OCU507" s="44"/>
      <c r="OCV507" s="44"/>
      <c r="OCW507" s="44"/>
      <c r="OCX507" s="44"/>
      <c r="OCY507" s="44"/>
      <c r="OCZ507" s="44"/>
      <c r="ODA507" s="44"/>
      <c r="ODB507" s="44"/>
      <c r="ODC507" s="44"/>
      <c r="ODD507" s="44"/>
      <c r="ODE507" s="44"/>
      <c r="ODF507" s="44"/>
      <c r="ODG507" s="44"/>
      <c r="ODH507" s="44"/>
      <c r="ODI507" s="44"/>
      <c r="ODJ507" s="44"/>
      <c r="ODK507" s="44"/>
      <c r="ODL507" s="44"/>
      <c r="ODM507" s="44"/>
      <c r="ODN507" s="44"/>
      <c r="ODO507" s="44"/>
      <c r="ODP507" s="44"/>
      <c r="ODQ507" s="44"/>
      <c r="ODR507" s="44"/>
      <c r="ODS507" s="44"/>
      <c r="ODT507" s="44"/>
      <c r="ODU507" s="44"/>
      <c r="ODV507" s="44"/>
      <c r="ODW507" s="44"/>
      <c r="ODX507" s="44"/>
      <c r="ODY507" s="44"/>
      <c r="ODZ507" s="44"/>
      <c r="OEA507" s="44"/>
      <c r="OEB507" s="44"/>
      <c r="OEC507" s="44"/>
      <c r="OED507" s="44"/>
      <c r="OEE507" s="44"/>
      <c r="OEF507" s="44"/>
      <c r="OEG507" s="44"/>
      <c r="OEH507" s="44"/>
      <c r="OEI507" s="44"/>
      <c r="OEJ507" s="44"/>
      <c r="OEK507" s="44"/>
      <c r="OEL507" s="44"/>
      <c r="OEM507" s="44"/>
      <c r="OEN507" s="44"/>
      <c r="OEO507" s="44"/>
      <c r="OEP507" s="44"/>
      <c r="OEQ507" s="44"/>
      <c r="OER507" s="44"/>
      <c r="OES507" s="44"/>
      <c r="OET507" s="44"/>
      <c r="OEU507" s="44"/>
      <c r="OEV507" s="44"/>
      <c r="OEW507" s="44"/>
      <c r="OEX507" s="44"/>
      <c r="OEY507" s="44"/>
      <c r="OEZ507" s="44"/>
      <c r="OFA507" s="44"/>
      <c r="OFB507" s="44"/>
      <c r="OFC507" s="44"/>
      <c r="OFD507" s="44"/>
      <c r="OFE507" s="44"/>
      <c r="OFF507" s="44"/>
      <c r="OFG507" s="44"/>
      <c r="OFH507" s="44"/>
      <c r="OFI507" s="44"/>
      <c r="OFJ507" s="44"/>
      <c r="OFK507" s="44"/>
      <c r="OFL507" s="44"/>
      <c r="OFM507" s="44"/>
      <c r="OFN507" s="44"/>
      <c r="OFO507" s="44"/>
      <c r="OFP507" s="44"/>
      <c r="OFQ507" s="44"/>
      <c r="OFR507" s="44"/>
      <c r="OFS507" s="44"/>
      <c r="OFT507" s="44"/>
      <c r="OFU507" s="44"/>
      <c r="OFV507" s="44"/>
      <c r="OFW507" s="44"/>
      <c r="OFX507" s="44"/>
      <c r="OFY507" s="44"/>
      <c r="OFZ507" s="44"/>
      <c r="OGA507" s="44"/>
      <c r="OGB507" s="44"/>
      <c r="OGC507" s="44"/>
      <c r="OGD507" s="44"/>
      <c r="OGE507" s="44"/>
      <c r="OGF507" s="44"/>
      <c r="OGG507" s="44"/>
      <c r="OGH507" s="44"/>
      <c r="OGI507" s="44"/>
      <c r="OGJ507" s="44"/>
      <c r="OGK507" s="44"/>
      <c r="OGL507" s="44"/>
      <c r="OGM507" s="44"/>
      <c r="OGN507" s="44"/>
      <c r="OGO507" s="44"/>
      <c r="OGP507" s="44"/>
      <c r="OGQ507" s="44"/>
      <c r="OGR507" s="44"/>
      <c r="OGS507" s="44"/>
      <c r="OGT507" s="44"/>
      <c r="OGU507" s="44"/>
      <c r="OGV507" s="44"/>
      <c r="OGW507" s="44"/>
      <c r="OGX507" s="44"/>
      <c r="OGY507" s="44"/>
      <c r="OGZ507" s="44"/>
      <c r="OHA507" s="44"/>
      <c r="OHB507" s="44"/>
      <c r="OHC507" s="44"/>
      <c r="OHD507" s="44"/>
      <c r="OHE507" s="44"/>
      <c r="OHF507" s="44"/>
      <c r="OHG507" s="44"/>
      <c r="OHH507" s="44"/>
      <c r="OHI507" s="44"/>
      <c r="OHJ507" s="44"/>
      <c r="OHK507" s="44"/>
      <c r="OHL507" s="44"/>
      <c r="OHM507" s="44"/>
      <c r="OHN507" s="44"/>
      <c r="OHO507" s="44"/>
      <c r="OHP507" s="44"/>
      <c r="OHQ507" s="44"/>
      <c r="OHR507" s="44"/>
      <c r="OHS507" s="44"/>
      <c r="OHT507" s="44"/>
      <c r="OHU507" s="44"/>
      <c r="OHV507" s="44"/>
      <c r="OHW507" s="44"/>
      <c r="OHX507" s="44"/>
      <c r="OHY507" s="44"/>
      <c r="OHZ507" s="44"/>
      <c r="OIA507" s="44"/>
      <c r="OIB507" s="44"/>
      <c r="OIC507" s="44"/>
      <c r="OID507" s="44"/>
      <c r="OIE507" s="44"/>
      <c r="OIF507" s="44"/>
      <c r="OIG507" s="44"/>
      <c r="OIH507" s="44"/>
      <c r="OII507" s="44"/>
      <c r="OIJ507" s="44"/>
      <c r="OIK507" s="44"/>
      <c r="OIL507" s="44"/>
      <c r="OIM507" s="44"/>
      <c r="OIN507" s="44"/>
      <c r="OIO507" s="44"/>
      <c r="OIP507" s="44"/>
      <c r="OIQ507" s="44"/>
      <c r="OIR507" s="44"/>
      <c r="OIS507" s="44"/>
      <c r="OIT507" s="44"/>
      <c r="OIU507" s="44"/>
      <c r="OIV507" s="44"/>
      <c r="OIW507" s="44"/>
      <c r="OIX507" s="44"/>
      <c r="OIY507" s="44"/>
      <c r="OIZ507" s="44"/>
      <c r="OJA507" s="44"/>
      <c r="OJB507" s="44"/>
      <c r="OJC507" s="44"/>
      <c r="OJD507" s="44"/>
      <c r="OJE507" s="44"/>
      <c r="OJF507" s="44"/>
      <c r="OJG507" s="44"/>
      <c r="OJH507" s="44"/>
      <c r="OJI507" s="44"/>
      <c r="OJJ507" s="44"/>
      <c r="OJK507" s="44"/>
      <c r="OJL507" s="44"/>
      <c r="OJM507" s="44"/>
      <c r="OJN507" s="44"/>
      <c r="OJO507" s="44"/>
      <c r="OJP507" s="44"/>
      <c r="OJQ507" s="44"/>
      <c r="OJR507" s="44"/>
      <c r="OJS507" s="44"/>
      <c r="OJT507" s="44"/>
      <c r="OJU507" s="44"/>
      <c r="OJV507" s="44"/>
      <c r="OJW507" s="44"/>
      <c r="OJX507" s="44"/>
      <c r="OJY507" s="44"/>
      <c r="OJZ507" s="44"/>
      <c r="OKA507" s="44"/>
      <c r="OKB507" s="44"/>
      <c r="OKC507" s="44"/>
      <c r="OKD507" s="44"/>
      <c r="OKE507" s="44"/>
      <c r="OKF507" s="44"/>
      <c r="OKG507" s="44"/>
      <c r="OKH507" s="44"/>
      <c r="OKI507" s="44"/>
      <c r="OKJ507" s="44"/>
      <c r="OKK507" s="44"/>
      <c r="OKL507" s="44"/>
      <c r="OKM507" s="44"/>
      <c r="OKN507" s="44"/>
      <c r="OKO507" s="44"/>
      <c r="OKP507" s="44"/>
      <c r="OKQ507" s="44"/>
      <c r="OKR507" s="44"/>
      <c r="OKS507" s="44"/>
      <c r="OKT507" s="44"/>
      <c r="OKU507" s="44"/>
      <c r="OKV507" s="44"/>
      <c r="OKW507" s="44"/>
      <c r="OKX507" s="44"/>
      <c r="OKY507" s="44"/>
      <c r="OKZ507" s="44"/>
      <c r="OLA507" s="44"/>
      <c r="OLB507" s="44"/>
      <c r="OLC507" s="44"/>
      <c r="OLD507" s="44"/>
      <c r="OLE507" s="44"/>
      <c r="OLF507" s="44"/>
      <c r="OLG507" s="44"/>
      <c r="OLH507" s="44"/>
      <c r="OLI507" s="44"/>
      <c r="OLJ507" s="44"/>
      <c r="OLK507" s="44"/>
      <c r="OLL507" s="44"/>
      <c r="OLM507" s="44"/>
      <c r="OLN507" s="44"/>
      <c r="OLO507" s="44"/>
      <c r="OLP507" s="44"/>
      <c r="OLQ507" s="44"/>
      <c r="OLR507" s="44"/>
      <c r="OLS507" s="44"/>
      <c r="OLT507" s="44"/>
      <c r="OLU507" s="44"/>
      <c r="OLV507" s="44"/>
      <c r="OLW507" s="44"/>
      <c r="OLX507" s="44"/>
      <c r="OLY507" s="44"/>
      <c r="OLZ507" s="44"/>
      <c r="OMA507" s="44"/>
      <c r="OMB507" s="44"/>
      <c r="OMC507" s="44"/>
      <c r="OMD507" s="44"/>
      <c r="OME507" s="44"/>
      <c r="OMF507" s="44"/>
      <c r="OMG507" s="44"/>
      <c r="OMH507" s="44"/>
      <c r="OMI507" s="44"/>
      <c r="OMJ507" s="44"/>
      <c r="OMK507" s="44"/>
      <c r="OML507" s="44"/>
      <c r="OMM507" s="44"/>
      <c r="OMN507" s="44"/>
      <c r="OMO507" s="44"/>
      <c r="OMP507" s="44"/>
      <c r="OMQ507" s="44"/>
      <c r="OMR507" s="44"/>
      <c r="OMS507" s="44"/>
      <c r="OMT507" s="44"/>
      <c r="OMU507" s="44"/>
      <c r="OMV507" s="44"/>
      <c r="OMW507" s="44"/>
      <c r="OMX507" s="44"/>
      <c r="OMY507" s="44"/>
      <c r="OMZ507" s="44"/>
      <c r="ONA507" s="44"/>
      <c r="ONB507" s="44"/>
      <c r="ONC507" s="44"/>
      <c r="OND507" s="44"/>
      <c r="ONE507" s="44"/>
      <c r="ONF507" s="44"/>
      <c r="ONG507" s="44"/>
      <c r="ONH507" s="44"/>
      <c r="ONI507" s="44"/>
      <c r="ONJ507" s="44"/>
      <c r="ONK507" s="44"/>
      <c r="ONL507" s="44"/>
      <c r="ONM507" s="44"/>
      <c r="ONN507" s="44"/>
      <c r="ONO507" s="44"/>
      <c r="ONP507" s="44"/>
      <c r="ONQ507" s="44"/>
      <c r="ONR507" s="44"/>
      <c r="ONS507" s="44"/>
      <c r="ONT507" s="44"/>
      <c r="ONU507" s="44"/>
      <c r="ONV507" s="44"/>
      <c r="ONW507" s="44"/>
      <c r="ONX507" s="44"/>
      <c r="ONY507" s="44"/>
      <c r="ONZ507" s="44"/>
      <c r="OOA507" s="44"/>
      <c r="OOB507" s="44"/>
      <c r="OOC507" s="44"/>
      <c r="OOD507" s="44"/>
      <c r="OOE507" s="44"/>
      <c r="OOF507" s="44"/>
      <c r="OOG507" s="44"/>
      <c r="OOH507" s="44"/>
      <c r="OOI507" s="44"/>
      <c r="OOJ507" s="44"/>
      <c r="OOK507" s="44"/>
      <c r="OOL507" s="44"/>
      <c r="OOM507" s="44"/>
      <c r="OON507" s="44"/>
      <c r="OOO507" s="44"/>
      <c r="OOP507" s="44"/>
      <c r="OOQ507" s="44"/>
      <c r="OOR507" s="44"/>
      <c r="OOS507" s="44"/>
      <c r="OOT507" s="44"/>
      <c r="OOU507" s="44"/>
      <c r="OOV507" s="44"/>
      <c r="OOW507" s="44"/>
      <c r="OOX507" s="44"/>
      <c r="OOY507" s="44"/>
      <c r="OOZ507" s="44"/>
      <c r="OPA507" s="44"/>
      <c r="OPB507" s="44"/>
      <c r="OPC507" s="44"/>
      <c r="OPD507" s="44"/>
      <c r="OPE507" s="44"/>
      <c r="OPF507" s="44"/>
      <c r="OPG507" s="44"/>
      <c r="OPH507" s="44"/>
      <c r="OPI507" s="44"/>
      <c r="OPJ507" s="44"/>
      <c r="OPK507" s="44"/>
      <c r="OPL507" s="44"/>
      <c r="OPM507" s="44"/>
      <c r="OPN507" s="44"/>
      <c r="OPO507" s="44"/>
      <c r="OPP507" s="44"/>
      <c r="OPQ507" s="44"/>
      <c r="OPR507" s="44"/>
      <c r="OPS507" s="44"/>
      <c r="OPT507" s="44"/>
      <c r="OPU507" s="44"/>
      <c r="OPV507" s="44"/>
      <c r="OPW507" s="44"/>
      <c r="OPX507" s="44"/>
      <c r="OPY507" s="44"/>
      <c r="OPZ507" s="44"/>
      <c r="OQA507" s="44"/>
      <c r="OQB507" s="44"/>
      <c r="OQC507" s="44"/>
      <c r="OQD507" s="44"/>
      <c r="OQE507" s="44"/>
      <c r="OQF507" s="44"/>
      <c r="OQG507" s="44"/>
      <c r="OQH507" s="44"/>
      <c r="OQI507" s="44"/>
      <c r="OQJ507" s="44"/>
      <c r="OQK507" s="44"/>
      <c r="OQL507" s="44"/>
      <c r="OQM507" s="44"/>
      <c r="OQN507" s="44"/>
      <c r="OQO507" s="44"/>
      <c r="OQP507" s="44"/>
      <c r="OQQ507" s="44"/>
      <c r="OQR507" s="44"/>
      <c r="OQS507" s="44"/>
      <c r="OQT507" s="44"/>
      <c r="OQU507" s="44"/>
      <c r="OQV507" s="44"/>
      <c r="OQW507" s="44"/>
      <c r="OQX507" s="44"/>
      <c r="OQY507" s="44"/>
      <c r="OQZ507" s="44"/>
      <c r="ORA507" s="44"/>
      <c r="ORB507" s="44"/>
      <c r="ORC507" s="44"/>
      <c r="ORD507" s="44"/>
      <c r="ORE507" s="44"/>
      <c r="ORF507" s="44"/>
      <c r="ORG507" s="44"/>
      <c r="ORH507" s="44"/>
      <c r="ORI507" s="44"/>
      <c r="ORJ507" s="44"/>
      <c r="ORK507" s="44"/>
      <c r="ORL507" s="44"/>
      <c r="ORM507" s="44"/>
      <c r="ORN507" s="44"/>
      <c r="ORO507" s="44"/>
      <c r="ORP507" s="44"/>
      <c r="ORQ507" s="44"/>
      <c r="ORR507" s="44"/>
      <c r="ORS507" s="44"/>
      <c r="ORT507" s="44"/>
      <c r="ORU507" s="44"/>
      <c r="ORV507" s="44"/>
      <c r="ORW507" s="44"/>
      <c r="ORX507" s="44"/>
      <c r="ORY507" s="44"/>
      <c r="ORZ507" s="44"/>
      <c r="OSA507" s="44"/>
      <c r="OSB507" s="44"/>
      <c r="OSC507" s="44"/>
      <c r="OSD507" s="44"/>
      <c r="OSE507" s="44"/>
      <c r="OSF507" s="44"/>
      <c r="OSG507" s="44"/>
      <c r="OSH507" s="44"/>
      <c r="OSI507" s="44"/>
      <c r="OSJ507" s="44"/>
      <c r="OSK507" s="44"/>
      <c r="OSL507" s="44"/>
      <c r="OSM507" s="44"/>
      <c r="OSN507" s="44"/>
      <c r="OSO507" s="44"/>
      <c r="OSP507" s="44"/>
      <c r="OSQ507" s="44"/>
      <c r="OSR507" s="44"/>
      <c r="OSS507" s="44"/>
      <c r="OST507" s="44"/>
      <c r="OSU507" s="44"/>
      <c r="OSV507" s="44"/>
      <c r="OSW507" s="44"/>
      <c r="OSX507" s="44"/>
      <c r="OSY507" s="44"/>
      <c r="OSZ507" s="44"/>
      <c r="OTA507" s="44"/>
      <c r="OTB507" s="44"/>
      <c r="OTC507" s="44"/>
      <c r="OTD507" s="44"/>
      <c r="OTE507" s="44"/>
      <c r="OTF507" s="44"/>
      <c r="OTG507" s="44"/>
      <c r="OTH507" s="44"/>
      <c r="OTI507" s="44"/>
      <c r="OTJ507" s="44"/>
      <c r="OTK507" s="44"/>
      <c r="OTL507" s="44"/>
      <c r="OTM507" s="44"/>
      <c r="OTN507" s="44"/>
      <c r="OTO507" s="44"/>
      <c r="OTP507" s="44"/>
      <c r="OTQ507" s="44"/>
      <c r="OTR507" s="44"/>
      <c r="OTS507" s="44"/>
      <c r="OTT507" s="44"/>
      <c r="OTU507" s="44"/>
      <c r="OTV507" s="44"/>
      <c r="OTW507" s="44"/>
      <c r="OTX507" s="44"/>
      <c r="OTY507" s="44"/>
      <c r="OTZ507" s="44"/>
      <c r="OUA507" s="44"/>
      <c r="OUB507" s="44"/>
      <c r="OUC507" s="44"/>
      <c r="OUD507" s="44"/>
      <c r="OUE507" s="44"/>
      <c r="OUF507" s="44"/>
      <c r="OUG507" s="44"/>
      <c r="OUH507" s="44"/>
      <c r="OUI507" s="44"/>
      <c r="OUJ507" s="44"/>
      <c r="OUK507" s="44"/>
      <c r="OUL507" s="44"/>
      <c r="OUM507" s="44"/>
      <c r="OUN507" s="44"/>
      <c r="OUO507" s="44"/>
      <c r="OUP507" s="44"/>
      <c r="OUQ507" s="44"/>
      <c r="OUR507" s="44"/>
      <c r="OUS507" s="44"/>
      <c r="OUT507" s="44"/>
      <c r="OUU507" s="44"/>
      <c r="OUV507" s="44"/>
      <c r="OUW507" s="44"/>
      <c r="OUX507" s="44"/>
      <c r="OUY507" s="44"/>
      <c r="OUZ507" s="44"/>
      <c r="OVA507" s="44"/>
      <c r="OVB507" s="44"/>
      <c r="OVC507" s="44"/>
      <c r="OVD507" s="44"/>
      <c r="OVE507" s="44"/>
      <c r="OVF507" s="44"/>
      <c r="OVG507" s="44"/>
      <c r="OVH507" s="44"/>
      <c r="OVI507" s="44"/>
      <c r="OVJ507" s="44"/>
      <c r="OVK507" s="44"/>
      <c r="OVL507" s="44"/>
      <c r="OVM507" s="44"/>
      <c r="OVN507" s="44"/>
      <c r="OVO507" s="44"/>
      <c r="OVP507" s="44"/>
      <c r="OVQ507" s="44"/>
      <c r="OVR507" s="44"/>
      <c r="OVS507" s="44"/>
      <c r="OVT507" s="44"/>
      <c r="OVU507" s="44"/>
      <c r="OVV507" s="44"/>
      <c r="OVW507" s="44"/>
      <c r="OVX507" s="44"/>
      <c r="OVY507" s="44"/>
      <c r="OVZ507" s="44"/>
      <c r="OWA507" s="44"/>
      <c r="OWB507" s="44"/>
      <c r="OWC507" s="44"/>
      <c r="OWD507" s="44"/>
      <c r="OWE507" s="44"/>
      <c r="OWF507" s="44"/>
      <c r="OWG507" s="44"/>
      <c r="OWH507" s="44"/>
      <c r="OWI507" s="44"/>
      <c r="OWJ507" s="44"/>
      <c r="OWK507" s="44"/>
      <c r="OWL507" s="44"/>
      <c r="OWM507" s="44"/>
      <c r="OWN507" s="44"/>
      <c r="OWO507" s="44"/>
      <c r="OWP507" s="44"/>
      <c r="OWQ507" s="44"/>
      <c r="OWR507" s="44"/>
      <c r="OWS507" s="44"/>
      <c r="OWT507" s="44"/>
      <c r="OWU507" s="44"/>
      <c r="OWV507" s="44"/>
      <c r="OWW507" s="44"/>
      <c r="OWX507" s="44"/>
      <c r="OWY507" s="44"/>
      <c r="OWZ507" s="44"/>
      <c r="OXA507" s="44"/>
      <c r="OXB507" s="44"/>
      <c r="OXC507" s="44"/>
      <c r="OXD507" s="44"/>
      <c r="OXE507" s="44"/>
      <c r="OXF507" s="44"/>
      <c r="OXG507" s="44"/>
      <c r="OXH507" s="44"/>
      <c r="OXI507" s="44"/>
      <c r="OXJ507" s="44"/>
      <c r="OXK507" s="44"/>
      <c r="OXL507" s="44"/>
      <c r="OXM507" s="44"/>
      <c r="OXN507" s="44"/>
      <c r="OXO507" s="44"/>
      <c r="OXP507" s="44"/>
      <c r="OXQ507" s="44"/>
      <c r="OXR507" s="44"/>
      <c r="OXS507" s="44"/>
      <c r="OXT507" s="44"/>
      <c r="OXU507" s="44"/>
      <c r="OXV507" s="44"/>
      <c r="OXW507" s="44"/>
      <c r="OXX507" s="44"/>
      <c r="OXY507" s="44"/>
      <c r="OXZ507" s="44"/>
      <c r="OYA507" s="44"/>
      <c r="OYB507" s="44"/>
      <c r="OYC507" s="44"/>
      <c r="OYD507" s="44"/>
      <c r="OYE507" s="44"/>
      <c r="OYF507" s="44"/>
      <c r="OYG507" s="44"/>
      <c r="OYH507" s="44"/>
      <c r="OYI507" s="44"/>
      <c r="OYJ507" s="44"/>
      <c r="OYK507" s="44"/>
      <c r="OYL507" s="44"/>
      <c r="OYM507" s="44"/>
      <c r="OYN507" s="44"/>
      <c r="OYO507" s="44"/>
      <c r="OYP507" s="44"/>
      <c r="OYQ507" s="44"/>
      <c r="OYR507" s="44"/>
      <c r="OYS507" s="44"/>
      <c r="OYT507" s="44"/>
      <c r="OYU507" s="44"/>
      <c r="OYV507" s="44"/>
      <c r="OYW507" s="44"/>
      <c r="OYX507" s="44"/>
      <c r="OYY507" s="44"/>
      <c r="OYZ507" s="44"/>
      <c r="OZA507" s="44"/>
      <c r="OZB507" s="44"/>
      <c r="OZC507" s="44"/>
      <c r="OZD507" s="44"/>
      <c r="OZE507" s="44"/>
      <c r="OZF507" s="44"/>
      <c r="OZG507" s="44"/>
      <c r="OZH507" s="44"/>
      <c r="OZI507" s="44"/>
      <c r="OZJ507" s="44"/>
      <c r="OZK507" s="44"/>
      <c r="OZL507" s="44"/>
      <c r="OZM507" s="44"/>
      <c r="OZN507" s="44"/>
      <c r="OZO507" s="44"/>
      <c r="OZP507" s="44"/>
      <c r="OZQ507" s="44"/>
      <c r="OZR507" s="44"/>
      <c r="OZS507" s="44"/>
      <c r="OZT507" s="44"/>
      <c r="OZU507" s="44"/>
      <c r="OZV507" s="44"/>
      <c r="OZW507" s="44"/>
      <c r="OZX507" s="44"/>
      <c r="OZY507" s="44"/>
      <c r="OZZ507" s="44"/>
      <c r="PAA507" s="44"/>
      <c r="PAB507" s="44"/>
      <c r="PAC507" s="44"/>
      <c r="PAD507" s="44"/>
      <c r="PAE507" s="44"/>
      <c r="PAF507" s="44"/>
      <c r="PAG507" s="44"/>
      <c r="PAH507" s="44"/>
      <c r="PAI507" s="44"/>
      <c r="PAJ507" s="44"/>
      <c r="PAK507" s="44"/>
      <c r="PAL507" s="44"/>
      <c r="PAM507" s="44"/>
      <c r="PAN507" s="44"/>
      <c r="PAO507" s="44"/>
      <c r="PAP507" s="44"/>
      <c r="PAQ507" s="44"/>
      <c r="PAR507" s="44"/>
      <c r="PAS507" s="44"/>
      <c r="PAT507" s="44"/>
      <c r="PAU507" s="44"/>
      <c r="PAV507" s="44"/>
      <c r="PAW507" s="44"/>
      <c r="PAX507" s="44"/>
      <c r="PAY507" s="44"/>
      <c r="PAZ507" s="44"/>
      <c r="PBA507" s="44"/>
      <c r="PBB507" s="44"/>
      <c r="PBC507" s="44"/>
      <c r="PBD507" s="44"/>
      <c r="PBE507" s="44"/>
      <c r="PBF507" s="44"/>
      <c r="PBG507" s="44"/>
      <c r="PBH507" s="44"/>
      <c r="PBI507" s="44"/>
      <c r="PBJ507" s="44"/>
      <c r="PBK507" s="44"/>
      <c r="PBL507" s="44"/>
      <c r="PBM507" s="44"/>
      <c r="PBN507" s="44"/>
      <c r="PBO507" s="44"/>
      <c r="PBP507" s="44"/>
      <c r="PBQ507" s="44"/>
      <c r="PBR507" s="44"/>
      <c r="PBS507" s="44"/>
      <c r="PBT507" s="44"/>
      <c r="PBU507" s="44"/>
      <c r="PBV507" s="44"/>
      <c r="PBW507" s="44"/>
      <c r="PBX507" s="44"/>
      <c r="PBY507" s="44"/>
      <c r="PBZ507" s="44"/>
      <c r="PCA507" s="44"/>
      <c r="PCB507" s="44"/>
      <c r="PCC507" s="44"/>
      <c r="PCD507" s="44"/>
      <c r="PCE507" s="44"/>
      <c r="PCF507" s="44"/>
      <c r="PCG507" s="44"/>
      <c r="PCH507" s="44"/>
      <c r="PCI507" s="44"/>
      <c r="PCJ507" s="44"/>
      <c r="PCK507" s="44"/>
      <c r="PCL507" s="44"/>
      <c r="PCM507" s="44"/>
      <c r="PCN507" s="44"/>
      <c r="PCO507" s="44"/>
      <c r="PCP507" s="44"/>
      <c r="PCQ507" s="44"/>
      <c r="PCR507" s="44"/>
      <c r="PCS507" s="44"/>
      <c r="PCT507" s="44"/>
      <c r="PCU507" s="44"/>
      <c r="PCV507" s="44"/>
      <c r="PCW507" s="44"/>
      <c r="PCX507" s="44"/>
      <c r="PCY507" s="44"/>
      <c r="PCZ507" s="44"/>
      <c r="PDA507" s="44"/>
      <c r="PDB507" s="44"/>
      <c r="PDC507" s="44"/>
      <c r="PDD507" s="44"/>
      <c r="PDE507" s="44"/>
      <c r="PDF507" s="44"/>
      <c r="PDG507" s="44"/>
      <c r="PDH507" s="44"/>
      <c r="PDI507" s="44"/>
      <c r="PDJ507" s="44"/>
      <c r="PDK507" s="44"/>
      <c r="PDL507" s="44"/>
      <c r="PDM507" s="44"/>
      <c r="PDN507" s="44"/>
      <c r="PDO507" s="44"/>
      <c r="PDP507" s="44"/>
      <c r="PDQ507" s="44"/>
      <c r="PDR507" s="44"/>
      <c r="PDS507" s="44"/>
      <c r="PDT507" s="44"/>
      <c r="PDU507" s="44"/>
      <c r="PDV507" s="44"/>
      <c r="PDW507" s="44"/>
      <c r="PDX507" s="44"/>
      <c r="PDY507" s="44"/>
      <c r="PDZ507" s="44"/>
      <c r="PEA507" s="44"/>
      <c r="PEB507" s="44"/>
      <c r="PEC507" s="44"/>
      <c r="PED507" s="44"/>
      <c r="PEE507" s="44"/>
      <c r="PEF507" s="44"/>
      <c r="PEG507" s="44"/>
      <c r="PEH507" s="44"/>
      <c r="PEI507" s="44"/>
      <c r="PEJ507" s="44"/>
      <c r="PEK507" s="44"/>
      <c r="PEL507" s="44"/>
      <c r="PEM507" s="44"/>
      <c r="PEN507" s="44"/>
      <c r="PEO507" s="44"/>
      <c r="PEP507" s="44"/>
      <c r="PEQ507" s="44"/>
      <c r="PER507" s="44"/>
      <c r="PES507" s="44"/>
      <c r="PET507" s="44"/>
      <c r="PEU507" s="44"/>
      <c r="PEV507" s="44"/>
      <c r="PEW507" s="44"/>
      <c r="PEX507" s="44"/>
      <c r="PEY507" s="44"/>
      <c r="PEZ507" s="44"/>
      <c r="PFA507" s="44"/>
      <c r="PFB507" s="44"/>
      <c r="PFC507" s="44"/>
      <c r="PFD507" s="44"/>
      <c r="PFE507" s="44"/>
      <c r="PFF507" s="44"/>
      <c r="PFG507" s="44"/>
      <c r="PFH507" s="44"/>
      <c r="PFI507" s="44"/>
      <c r="PFJ507" s="44"/>
      <c r="PFK507" s="44"/>
      <c r="PFL507" s="44"/>
      <c r="PFM507" s="44"/>
      <c r="PFN507" s="44"/>
      <c r="PFO507" s="44"/>
      <c r="PFP507" s="44"/>
      <c r="PFQ507" s="44"/>
      <c r="PFR507" s="44"/>
      <c r="PFS507" s="44"/>
      <c r="PFT507" s="44"/>
      <c r="PFU507" s="44"/>
      <c r="PFV507" s="44"/>
      <c r="PFW507" s="44"/>
      <c r="PFX507" s="44"/>
      <c r="PFY507" s="44"/>
      <c r="PFZ507" s="44"/>
      <c r="PGA507" s="44"/>
      <c r="PGB507" s="44"/>
      <c r="PGC507" s="44"/>
      <c r="PGD507" s="44"/>
      <c r="PGE507" s="44"/>
      <c r="PGF507" s="44"/>
      <c r="PGG507" s="44"/>
      <c r="PGH507" s="44"/>
      <c r="PGI507" s="44"/>
      <c r="PGJ507" s="44"/>
      <c r="PGK507" s="44"/>
      <c r="PGL507" s="44"/>
      <c r="PGM507" s="44"/>
      <c r="PGN507" s="44"/>
      <c r="PGO507" s="44"/>
      <c r="PGP507" s="44"/>
      <c r="PGQ507" s="44"/>
      <c r="PGR507" s="44"/>
      <c r="PGS507" s="44"/>
      <c r="PGT507" s="44"/>
      <c r="PGU507" s="44"/>
      <c r="PGV507" s="44"/>
      <c r="PGW507" s="44"/>
      <c r="PGX507" s="44"/>
      <c r="PGY507" s="44"/>
      <c r="PGZ507" s="44"/>
      <c r="PHA507" s="44"/>
      <c r="PHB507" s="44"/>
      <c r="PHC507" s="44"/>
      <c r="PHD507" s="44"/>
      <c r="PHE507" s="44"/>
      <c r="PHF507" s="44"/>
      <c r="PHG507" s="44"/>
      <c r="PHH507" s="44"/>
      <c r="PHI507" s="44"/>
      <c r="PHJ507" s="44"/>
      <c r="PHK507" s="44"/>
      <c r="PHL507" s="44"/>
      <c r="PHM507" s="44"/>
      <c r="PHN507" s="44"/>
      <c r="PHO507" s="44"/>
      <c r="PHP507" s="44"/>
      <c r="PHQ507" s="44"/>
      <c r="PHR507" s="44"/>
      <c r="PHS507" s="44"/>
      <c r="PHT507" s="44"/>
      <c r="PHU507" s="44"/>
      <c r="PHV507" s="44"/>
      <c r="PHW507" s="44"/>
      <c r="PHX507" s="44"/>
      <c r="PHY507" s="44"/>
      <c r="PHZ507" s="44"/>
      <c r="PIA507" s="44"/>
      <c r="PIB507" s="44"/>
      <c r="PIC507" s="44"/>
      <c r="PID507" s="44"/>
      <c r="PIE507" s="44"/>
      <c r="PIF507" s="44"/>
      <c r="PIG507" s="44"/>
      <c r="PIH507" s="44"/>
      <c r="PII507" s="44"/>
      <c r="PIJ507" s="44"/>
      <c r="PIK507" s="44"/>
      <c r="PIL507" s="44"/>
      <c r="PIM507" s="44"/>
      <c r="PIN507" s="44"/>
      <c r="PIO507" s="44"/>
      <c r="PIP507" s="44"/>
      <c r="PIQ507" s="44"/>
      <c r="PIR507" s="44"/>
      <c r="PIS507" s="44"/>
      <c r="PIT507" s="44"/>
      <c r="PIU507" s="44"/>
      <c r="PIV507" s="44"/>
      <c r="PIW507" s="44"/>
      <c r="PIX507" s="44"/>
      <c r="PIY507" s="44"/>
      <c r="PIZ507" s="44"/>
      <c r="PJA507" s="44"/>
      <c r="PJB507" s="44"/>
      <c r="PJC507" s="44"/>
      <c r="PJD507" s="44"/>
      <c r="PJE507" s="44"/>
      <c r="PJF507" s="44"/>
      <c r="PJG507" s="44"/>
      <c r="PJH507" s="44"/>
      <c r="PJI507" s="44"/>
      <c r="PJJ507" s="44"/>
      <c r="PJK507" s="44"/>
      <c r="PJL507" s="44"/>
      <c r="PJM507" s="44"/>
      <c r="PJN507" s="44"/>
      <c r="PJO507" s="44"/>
      <c r="PJP507" s="44"/>
      <c r="PJQ507" s="44"/>
      <c r="PJR507" s="44"/>
      <c r="PJS507" s="44"/>
      <c r="PJT507" s="44"/>
      <c r="PJU507" s="44"/>
      <c r="PJV507" s="44"/>
      <c r="PJW507" s="44"/>
      <c r="PJX507" s="44"/>
      <c r="PJY507" s="44"/>
      <c r="PJZ507" s="44"/>
      <c r="PKA507" s="44"/>
      <c r="PKB507" s="44"/>
      <c r="PKC507" s="44"/>
      <c r="PKD507" s="44"/>
      <c r="PKE507" s="44"/>
      <c r="PKF507" s="44"/>
      <c r="PKG507" s="44"/>
      <c r="PKH507" s="44"/>
      <c r="PKI507" s="44"/>
      <c r="PKJ507" s="44"/>
      <c r="PKK507" s="44"/>
      <c r="PKL507" s="44"/>
      <c r="PKM507" s="44"/>
      <c r="PKN507" s="44"/>
      <c r="PKO507" s="44"/>
      <c r="PKP507" s="44"/>
      <c r="PKQ507" s="44"/>
      <c r="PKR507" s="44"/>
      <c r="PKS507" s="44"/>
      <c r="PKT507" s="44"/>
      <c r="PKU507" s="44"/>
      <c r="PKV507" s="44"/>
      <c r="PKW507" s="44"/>
      <c r="PKX507" s="44"/>
      <c r="PKY507" s="44"/>
      <c r="PKZ507" s="44"/>
      <c r="PLA507" s="44"/>
      <c r="PLB507" s="44"/>
      <c r="PLC507" s="44"/>
      <c r="PLD507" s="44"/>
      <c r="PLE507" s="44"/>
      <c r="PLF507" s="44"/>
      <c r="PLG507" s="44"/>
      <c r="PLH507" s="44"/>
      <c r="PLI507" s="44"/>
      <c r="PLJ507" s="44"/>
      <c r="PLK507" s="44"/>
      <c r="PLL507" s="44"/>
      <c r="PLM507" s="44"/>
      <c r="PLN507" s="44"/>
      <c r="PLO507" s="44"/>
      <c r="PLP507" s="44"/>
      <c r="PLQ507" s="44"/>
      <c r="PLR507" s="44"/>
      <c r="PLS507" s="44"/>
      <c r="PLT507" s="44"/>
      <c r="PLU507" s="44"/>
      <c r="PLV507" s="44"/>
      <c r="PLW507" s="44"/>
      <c r="PLX507" s="44"/>
      <c r="PLY507" s="44"/>
      <c r="PLZ507" s="44"/>
      <c r="PMA507" s="44"/>
      <c r="PMB507" s="44"/>
      <c r="PMC507" s="44"/>
      <c r="PMD507" s="44"/>
      <c r="PME507" s="44"/>
      <c r="PMF507" s="44"/>
      <c r="PMG507" s="44"/>
      <c r="PMH507" s="44"/>
      <c r="PMI507" s="44"/>
      <c r="PMJ507" s="44"/>
      <c r="PMK507" s="44"/>
      <c r="PML507" s="44"/>
      <c r="PMM507" s="44"/>
      <c r="PMN507" s="44"/>
      <c r="PMO507" s="44"/>
      <c r="PMP507" s="44"/>
      <c r="PMQ507" s="44"/>
      <c r="PMR507" s="44"/>
      <c r="PMS507" s="44"/>
      <c r="PMT507" s="44"/>
      <c r="PMU507" s="44"/>
      <c r="PMV507" s="44"/>
      <c r="PMW507" s="44"/>
      <c r="PMX507" s="44"/>
      <c r="PMY507" s="44"/>
      <c r="PMZ507" s="44"/>
      <c r="PNA507" s="44"/>
      <c r="PNB507" s="44"/>
      <c r="PNC507" s="44"/>
      <c r="PND507" s="44"/>
      <c r="PNE507" s="44"/>
      <c r="PNF507" s="44"/>
      <c r="PNG507" s="44"/>
      <c r="PNH507" s="44"/>
      <c r="PNI507" s="44"/>
      <c r="PNJ507" s="44"/>
      <c r="PNK507" s="44"/>
      <c r="PNL507" s="44"/>
      <c r="PNM507" s="44"/>
      <c r="PNN507" s="44"/>
      <c r="PNO507" s="44"/>
      <c r="PNP507" s="44"/>
      <c r="PNQ507" s="44"/>
      <c r="PNR507" s="44"/>
      <c r="PNS507" s="44"/>
      <c r="PNT507" s="44"/>
      <c r="PNU507" s="44"/>
      <c r="PNV507" s="44"/>
      <c r="PNW507" s="44"/>
      <c r="PNX507" s="44"/>
      <c r="PNY507" s="44"/>
      <c r="PNZ507" s="44"/>
      <c r="POA507" s="44"/>
      <c r="POB507" s="44"/>
      <c r="POC507" s="44"/>
      <c r="POD507" s="44"/>
      <c r="POE507" s="44"/>
      <c r="POF507" s="44"/>
      <c r="POG507" s="44"/>
      <c r="POH507" s="44"/>
      <c r="POI507" s="44"/>
      <c r="POJ507" s="44"/>
      <c r="POK507" s="44"/>
      <c r="POL507" s="44"/>
      <c r="POM507" s="44"/>
      <c r="PON507" s="44"/>
      <c r="POO507" s="44"/>
      <c r="POP507" s="44"/>
      <c r="POQ507" s="44"/>
      <c r="POR507" s="44"/>
      <c r="POS507" s="44"/>
      <c r="POT507" s="44"/>
      <c r="POU507" s="44"/>
      <c r="POV507" s="44"/>
      <c r="POW507" s="44"/>
      <c r="POX507" s="44"/>
      <c r="POY507" s="44"/>
      <c r="POZ507" s="44"/>
      <c r="PPA507" s="44"/>
      <c r="PPB507" s="44"/>
      <c r="PPC507" s="44"/>
      <c r="PPD507" s="44"/>
      <c r="PPE507" s="44"/>
      <c r="PPF507" s="44"/>
      <c r="PPG507" s="44"/>
      <c r="PPH507" s="44"/>
      <c r="PPI507" s="44"/>
      <c r="PPJ507" s="44"/>
      <c r="PPK507" s="44"/>
      <c r="PPL507" s="44"/>
      <c r="PPM507" s="44"/>
      <c r="PPN507" s="44"/>
      <c r="PPO507" s="44"/>
      <c r="PPP507" s="44"/>
      <c r="PPQ507" s="44"/>
      <c r="PPR507" s="44"/>
      <c r="PPS507" s="44"/>
      <c r="PPT507" s="44"/>
      <c r="PPU507" s="44"/>
      <c r="PPV507" s="44"/>
      <c r="PPW507" s="44"/>
      <c r="PPX507" s="44"/>
      <c r="PPY507" s="44"/>
      <c r="PPZ507" s="44"/>
      <c r="PQA507" s="44"/>
      <c r="PQB507" s="44"/>
      <c r="PQC507" s="44"/>
      <c r="PQD507" s="44"/>
      <c r="PQE507" s="44"/>
      <c r="PQF507" s="44"/>
      <c r="PQG507" s="44"/>
      <c r="PQH507" s="44"/>
      <c r="PQI507" s="44"/>
      <c r="PQJ507" s="44"/>
      <c r="PQK507" s="44"/>
      <c r="PQL507" s="44"/>
      <c r="PQM507" s="44"/>
      <c r="PQN507" s="44"/>
      <c r="PQO507" s="44"/>
      <c r="PQP507" s="44"/>
      <c r="PQQ507" s="44"/>
      <c r="PQR507" s="44"/>
      <c r="PQS507" s="44"/>
      <c r="PQT507" s="44"/>
      <c r="PQU507" s="44"/>
      <c r="PQV507" s="44"/>
      <c r="PQW507" s="44"/>
      <c r="PQX507" s="44"/>
      <c r="PQY507" s="44"/>
      <c r="PQZ507" s="44"/>
      <c r="PRA507" s="44"/>
      <c r="PRB507" s="44"/>
      <c r="PRC507" s="44"/>
      <c r="PRD507" s="44"/>
      <c r="PRE507" s="44"/>
      <c r="PRF507" s="44"/>
      <c r="PRG507" s="44"/>
      <c r="PRH507" s="44"/>
      <c r="PRI507" s="44"/>
      <c r="PRJ507" s="44"/>
      <c r="PRK507" s="44"/>
      <c r="PRL507" s="44"/>
      <c r="PRM507" s="44"/>
      <c r="PRN507" s="44"/>
      <c r="PRO507" s="44"/>
      <c r="PRP507" s="44"/>
      <c r="PRQ507" s="44"/>
      <c r="PRR507" s="44"/>
      <c r="PRS507" s="44"/>
      <c r="PRT507" s="44"/>
      <c r="PRU507" s="44"/>
      <c r="PRV507" s="44"/>
      <c r="PRW507" s="44"/>
      <c r="PRX507" s="44"/>
      <c r="PRY507" s="44"/>
      <c r="PRZ507" s="44"/>
      <c r="PSA507" s="44"/>
      <c r="PSB507" s="44"/>
      <c r="PSC507" s="44"/>
      <c r="PSD507" s="44"/>
      <c r="PSE507" s="44"/>
      <c r="PSF507" s="44"/>
      <c r="PSG507" s="44"/>
      <c r="PSH507" s="44"/>
      <c r="PSI507" s="44"/>
      <c r="PSJ507" s="44"/>
      <c r="PSK507" s="44"/>
      <c r="PSL507" s="44"/>
      <c r="PSM507" s="44"/>
      <c r="PSN507" s="44"/>
      <c r="PSO507" s="44"/>
      <c r="PSP507" s="44"/>
      <c r="PSQ507" s="44"/>
      <c r="PSR507" s="44"/>
      <c r="PSS507" s="44"/>
      <c r="PST507" s="44"/>
      <c r="PSU507" s="44"/>
      <c r="PSV507" s="44"/>
      <c r="PSW507" s="44"/>
      <c r="PSX507" s="44"/>
      <c r="PSY507" s="44"/>
      <c r="PSZ507" s="44"/>
      <c r="PTA507" s="44"/>
      <c r="PTB507" s="44"/>
      <c r="PTC507" s="44"/>
      <c r="PTD507" s="44"/>
      <c r="PTE507" s="44"/>
      <c r="PTF507" s="44"/>
      <c r="PTG507" s="44"/>
      <c r="PTH507" s="44"/>
      <c r="PTI507" s="44"/>
      <c r="PTJ507" s="44"/>
      <c r="PTK507" s="44"/>
      <c r="PTL507" s="44"/>
      <c r="PTM507" s="44"/>
      <c r="PTN507" s="44"/>
      <c r="PTO507" s="44"/>
      <c r="PTP507" s="44"/>
      <c r="PTQ507" s="44"/>
      <c r="PTR507" s="44"/>
      <c r="PTS507" s="44"/>
      <c r="PTT507" s="44"/>
      <c r="PTU507" s="44"/>
      <c r="PTV507" s="44"/>
      <c r="PTW507" s="44"/>
      <c r="PTX507" s="44"/>
      <c r="PTY507" s="44"/>
      <c r="PTZ507" s="44"/>
      <c r="PUA507" s="44"/>
      <c r="PUB507" s="44"/>
      <c r="PUC507" s="44"/>
      <c r="PUD507" s="44"/>
      <c r="PUE507" s="44"/>
      <c r="PUF507" s="44"/>
      <c r="PUG507" s="44"/>
      <c r="PUH507" s="44"/>
      <c r="PUI507" s="44"/>
      <c r="PUJ507" s="44"/>
      <c r="PUK507" s="44"/>
      <c r="PUL507" s="44"/>
      <c r="PUM507" s="44"/>
      <c r="PUN507" s="44"/>
      <c r="PUO507" s="44"/>
      <c r="PUP507" s="44"/>
      <c r="PUQ507" s="44"/>
      <c r="PUR507" s="44"/>
      <c r="PUS507" s="44"/>
      <c r="PUT507" s="44"/>
      <c r="PUU507" s="44"/>
      <c r="PUV507" s="44"/>
      <c r="PUW507" s="44"/>
      <c r="PUX507" s="44"/>
      <c r="PUY507" s="44"/>
      <c r="PUZ507" s="44"/>
      <c r="PVA507" s="44"/>
      <c r="PVB507" s="44"/>
      <c r="PVC507" s="44"/>
      <c r="PVD507" s="44"/>
      <c r="PVE507" s="44"/>
      <c r="PVF507" s="44"/>
      <c r="PVG507" s="44"/>
      <c r="PVH507" s="44"/>
      <c r="PVI507" s="44"/>
      <c r="PVJ507" s="44"/>
      <c r="PVK507" s="44"/>
      <c r="PVL507" s="44"/>
      <c r="PVM507" s="44"/>
      <c r="PVN507" s="44"/>
      <c r="PVO507" s="44"/>
      <c r="PVP507" s="44"/>
      <c r="PVQ507" s="44"/>
      <c r="PVR507" s="44"/>
      <c r="PVS507" s="44"/>
      <c r="PVT507" s="44"/>
      <c r="PVU507" s="44"/>
      <c r="PVV507" s="44"/>
      <c r="PVW507" s="44"/>
      <c r="PVX507" s="44"/>
      <c r="PVY507" s="44"/>
      <c r="PVZ507" s="44"/>
      <c r="PWA507" s="44"/>
      <c r="PWB507" s="44"/>
      <c r="PWC507" s="44"/>
      <c r="PWD507" s="44"/>
      <c r="PWE507" s="44"/>
      <c r="PWF507" s="44"/>
      <c r="PWG507" s="44"/>
      <c r="PWH507" s="44"/>
      <c r="PWI507" s="44"/>
      <c r="PWJ507" s="44"/>
      <c r="PWK507" s="44"/>
      <c r="PWL507" s="44"/>
      <c r="PWM507" s="44"/>
      <c r="PWN507" s="44"/>
      <c r="PWO507" s="44"/>
      <c r="PWP507" s="44"/>
      <c r="PWQ507" s="44"/>
      <c r="PWR507" s="44"/>
      <c r="PWS507" s="44"/>
      <c r="PWT507" s="44"/>
      <c r="PWU507" s="44"/>
      <c r="PWV507" s="44"/>
      <c r="PWW507" s="44"/>
      <c r="PWX507" s="44"/>
      <c r="PWY507" s="44"/>
      <c r="PWZ507" s="44"/>
      <c r="PXA507" s="44"/>
      <c r="PXB507" s="44"/>
      <c r="PXC507" s="44"/>
      <c r="PXD507" s="44"/>
      <c r="PXE507" s="44"/>
      <c r="PXF507" s="44"/>
      <c r="PXG507" s="44"/>
      <c r="PXH507" s="44"/>
      <c r="PXI507" s="44"/>
      <c r="PXJ507" s="44"/>
      <c r="PXK507" s="44"/>
      <c r="PXL507" s="44"/>
      <c r="PXM507" s="44"/>
      <c r="PXN507" s="44"/>
      <c r="PXO507" s="44"/>
      <c r="PXP507" s="44"/>
      <c r="PXQ507" s="44"/>
      <c r="PXR507" s="44"/>
      <c r="PXS507" s="44"/>
      <c r="PXT507" s="44"/>
      <c r="PXU507" s="44"/>
      <c r="PXV507" s="44"/>
      <c r="PXW507" s="44"/>
      <c r="PXX507" s="44"/>
      <c r="PXY507" s="44"/>
      <c r="PXZ507" s="44"/>
      <c r="PYA507" s="44"/>
      <c r="PYB507" s="44"/>
      <c r="PYC507" s="44"/>
      <c r="PYD507" s="44"/>
      <c r="PYE507" s="44"/>
      <c r="PYF507" s="44"/>
      <c r="PYG507" s="44"/>
      <c r="PYH507" s="44"/>
      <c r="PYI507" s="44"/>
      <c r="PYJ507" s="44"/>
      <c r="PYK507" s="44"/>
      <c r="PYL507" s="44"/>
      <c r="PYM507" s="44"/>
      <c r="PYN507" s="44"/>
      <c r="PYO507" s="44"/>
      <c r="PYP507" s="44"/>
      <c r="PYQ507" s="44"/>
      <c r="PYR507" s="44"/>
      <c r="PYS507" s="44"/>
      <c r="PYT507" s="44"/>
      <c r="PYU507" s="44"/>
      <c r="PYV507" s="44"/>
      <c r="PYW507" s="44"/>
      <c r="PYX507" s="44"/>
      <c r="PYY507" s="44"/>
      <c r="PYZ507" s="44"/>
      <c r="PZA507" s="44"/>
      <c r="PZB507" s="44"/>
      <c r="PZC507" s="44"/>
      <c r="PZD507" s="44"/>
      <c r="PZE507" s="44"/>
      <c r="PZF507" s="44"/>
      <c r="PZG507" s="44"/>
      <c r="PZH507" s="44"/>
      <c r="PZI507" s="44"/>
      <c r="PZJ507" s="44"/>
      <c r="PZK507" s="44"/>
      <c r="PZL507" s="44"/>
      <c r="PZM507" s="44"/>
      <c r="PZN507" s="44"/>
      <c r="PZO507" s="44"/>
      <c r="PZP507" s="44"/>
      <c r="PZQ507" s="44"/>
      <c r="PZR507" s="44"/>
      <c r="PZS507" s="44"/>
      <c r="PZT507" s="44"/>
      <c r="PZU507" s="44"/>
      <c r="PZV507" s="44"/>
      <c r="PZW507" s="44"/>
      <c r="PZX507" s="44"/>
      <c r="PZY507" s="44"/>
      <c r="PZZ507" s="44"/>
      <c r="QAA507" s="44"/>
      <c r="QAB507" s="44"/>
      <c r="QAC507" s="44"/>
      <c r="QAD507" s="44"/>
      <c r="QAE507" s="44"/>
      <c r="QAF507" s="44"/>
      <c r="QAG507" s="44"/>
      <c r="QAH507" s="44"/>
      <c r="QAI507" s="44"/>
      <c r="QAJ507" s="44"/>
      <c r="QAK507" s="44"/>
      <c r="QAL507" s="44"/>
      <c r="QAM507" s="44"/>
      <c r="QAN507" s="44"/>
      <c r="QAO507" s="44"/>
      <c r="QAP507" s="44"/>
      <c r="QAQ507" s="44"/>
      <c r="QAR507" s="44"/>
      <c r="QAS507" s="44"/>
      <c r="QAT507" s="44"/>
      <c r="QAU507" s="44"/>
      <c r="QAV507" s="44"/>
      <c r="QAW507" s="44"/>
      <c r="QAX507" s="44"/>
      <c r="QAY507" s="44"/>
      <c r="QAZ507" s="44"/>
      <c r="QBA507" s="44"/>
      <c r="QBB507" s="44"/>
      <c r="QBC507" s="44"/>
      <c r="QBD507" s="44"/>
      <c r="QBE507" s="44"/>
      <c r="QBF507" s="44"/>
      <c r="QBG507" s="44"/>
      <c r="QBH507" s="44"/>
      <c r="QBI507" s="44"/>
      <c r="QBJ507" s="44"/>
      <c r="QBK507" s="44"/>
      <c r="QBL507" s="44"/>
      <c r="QBM507" s="44"/>
      <c r="QBN507" s="44"/>
      <c r="QBO507" s="44"/>
      <c r="QBP507" s="44"/>
      <c r="QBQ507" s="44"/>
      <c r="QBR507" s="44"/>
      <c r="QBS507" s="44"/>
      <c r="QBT507" s="44"/>
      <c r="QBU507" s="44"/>
      <c r="QBV507" s="44"/>
      <c r="QBW507" s="44"/>
      <c r="QBX507" s="44"/>
      <c r="QBY507" s="44"/>
      <c r="QBZ507" s="44"/>
      <c r="QCA507" s="44"/>
      <c r="QCB507" s="44"/>
      <c r="QCC507" s="44"/>
      <c r="QCD507" s="44"/>
      <c r="QCE507" s="44"/>
      <c r="QCF507" s="44"/>
      <c r="QCG507" s="44"/>
      <c r="QCH507" s="44"/>
      <c r="QCI507" s="44"/>
      <c r="QCJ507" s="44"/>
      <c r="QCK507" s="44"/>
      <c r="QCL507" s="44"/>
      <c r="QCM507" s="44"/>
      <c r="QCN507" s="44"/>
      <c r="QCO507" s="44"/>
      <c r="QCP507" s="44"/>
      <c r="QCQ507" s="44"/>
      <c r="QCR507" s="44"/>
      <c r="QCS507" s="44"/>
      <c r="QCT507" s="44"/>
      <c r="QCU507" s="44"/>
      <c r="QCV507" s="44"/>
      <c r="QCW507" s="44"/>
      <c r="QCX507" s="44"/>
      <c r="QCY507" s="44"/>
      <c r="QCZ507" s="44"/>
      <c r="QDA507" s="44"/>
      <c r="QDB507" s="44"/>
      <c r="QDC507" s="44"/>
      <c r="QDD507" s="44"/>
      <c r="QDE507" s="44"/>
      <c r="QDF507" s="44"/>
      <c r="QDG507" s="44"/>
      <c r="QDH507" s="44"/>
      <c r="QDI507" s="44"/>
      <c r="QDJ507" s="44"/>
      <c r="QDK507" s="44"/>
      <c r="QDL507" s="44"/>
      <c r="QDM507" s="44"/>
      <c r="QDN507" s="44"/>
      <c r="QDO507" s="44"/>
      <c r="QDP507" s="44"/>
      <c r="QDQ507" s="44"/>
      <c r="QDR507" s="44"/>
      <c r="QDS507" s="44"/>
      <c r="QDT507" s="44"/>
      <c r="QDU507" s="44"/>
      <c r="QDV507" s="44"/>
      <c r="QDW507" s="44"/>
      <c r="QDX507" s="44"/>
      <c r="QDY507" s="44"/>
      <c r="QDZ507" s="44"/>
      <c r="QEA507" s="44"/>
      <c r="QEB507" s="44"/>
      <c r="QEC507" s="44"/>
      <c r="QED507" s="44"/>
      <c r="QEE507" s="44"/>
      <c r="QEF507" s="44"/>
      <c r="QEG507" s="44"/>
      <c r="QEH507" s="44"/>
      <c r="QEI507" s="44"/>
      <c r="QEJ507" s="44"/>
      <c r="QEK507" s="44"/>
      <c r="QEL507" s="44"/>
      <c r="QEM507" s="44"/>
      <c r="QEN507" s="44"/>
      <c r="QEO507" s="44"/>
      <c r="QEP507" s="44"/>
      <c r="QEQ507" s="44"/>
      <c r="QER507" s="44"/>
      <c r="QES507" s="44"/>
      <c r="QET507" s="44"/>
      <c r="QEU507" s="44"/>
      <c r="QEV507" s="44"/>
      <c r="QEW507" s="44"/>
      <c r="QEX507" s="44"/>
      <c r="QEY507" s="44"/>
      <c r="QEZ507" s="44"/>
      <c r="QFA507" s="44"/>
      <c r="QFB507" s="44"/>
      <c r="QFC507" s="44"/>
      <c r="QFD507" s="44"/>
      <c r="QFE507" s="44"/>
      <c r="QFF507" s="44"/>
      <c r="QFG507" s="44"/>
      <c r="QFH507" s="44"/>
      <c r="QFI507" s="44"/>
      <c r="QFJ507" s="44"/>
      <c r="QFK507" s="44"/>
      <c r="QFL507" s="44"/>
      <c r="QFM507" s="44"/>
      <c r="QFN507" s="44"/>
      <c r="QFO507" s="44"/>
      <c r="QFP507" s="44"/>
      <c r="QFQ507" s="44"/>
      <c r="QFR507" s="44"/>
      <c r="QFS507" s="44"/>
      <c r="QFT507" s="44"/>
      <c r="QFU507" s="44"/>
      <c r="QFV507" s="44"/>
      <c r="QFW507" s="44"/>
      <c r="QFX507" s="44"/>
      <c r="QFY507" s="44"/>
      <c r="QFZ507" s="44"/>
      <c r="QGA507" s="44"/>
      <c r="QGB507" s="44"/>
      <c r="QGC507" s="44"/>
      <c r="QGD507" s="44"/>
      <c r="QGE507" s="44"/>
      <c r="QGF507" s="44"/>
      <c r="QGG507" s="44"/>
      <c r="QGH507" s="44"/>
      <c r="QGI507" s="44"/>
      <c r="QGJ507" s="44"/>
      <c r="QGK507" s="44"/>
      <c r="QGL507" s="44"/>
      <c r="QGM507" s="44"/>
      <c r="QGN507" s="44"/>
      <c r="QGO507" s="44"/>
      <c r="QGP507" s="44"/>
      <c r="QGQ507" s="44"/>
      <c r="QGR507" s="44"/>
      <c r="QGS507" s="44"/>
      <c r="QGT507" s="44"/>
      <c r="QGU507" s="44"/>
      <c r="QGV507" s="44"/>
      <c r="QGW507" s="44"/>
      <c r="QGX507" s="44"/>
      <c r="QGY507" s="44"/>
      <c r="QGZ507" s="44"/>
      <c r="QHA507" s="44"/>
      <c r="QHB507" s="44"/>
      <c r="QHC507" s="44"/>
      <c r="QHD507" s="44"/>
      <c r="QHE507" s="44"/>
      <c r="QHF507" s="44"/>
      <c r="QHG507" s="44"/>
      <c r="QHH507" s="44"/>
      <c r="QHI507" s="44"/>
      <c r="QHJ507" s="44"/>
      <c r="QHK507" s="44"/>
      <c r="QHL507" s="44"/>
      <c r="QHM507" s="44"/>
      <c r="QHN507" s="44"/>
      <c r="QHO507" s="44"/>
      <c r="QHP507" s="44"/>
      <c r="QHQ507" s="44"/>
      <c r="QHR507" s="44"/>
      <c r="QHS507" s="44"/>
      <c r="QHT507" s="44"/>
      <c r="QHU507" s="44"/>
      <c r="QHV507" s="44"/>
      <c r="QHW507" s="44"/>
      <c r="QHX507" s="44"/>
      <c r="QHY507" s="44"/>
      <c r="QHZ507" s="44"/>
      <c r="QIA507" s="44"/>
      <c r="QIB507" s="44"/>
      <c r="QIC507" s="44"/>
      <c r="QID507" s="44"/>
      <c r="QIE507" s="44"/>
      <c r="QIF507" s="44"/>
      <c r="QIG507" s="44"/>
      <c r="QIH507" s="44"/>
      <c r="QII507" s="44"/>
      <c r="QIJ507" s="44"/>
      <c r="QIK507" s="44"/>
      <c r="QIL507" s="44"/>
      <c r="QIM507" s="44"/>
      <c r="QIN507" s="44"/>
      <c r="QIO507" s="44"/>
      <c r="QIP507" s="44"/>
      <c r="QIQ507" s="44"/>
      <c r="QIR507" s="44"/>
      <c r="QIS507" s="44"/>
      <c r="QIT507" s="44"/>
      <c r="QIU507" s="44"/>
      <c r="QIV507" s="44"/>
      <c r="QIW507" s="44"/>
      <c r="QIX507" s="44"/>
      <c r="QIY507" s="44"/>
      <c r="QIZ507" s="44"/>
      <c r="QJA507" s="44"/>
      <c r="QJB507" s="44"/>
      <c r="QJC507" s="44"/>
      <c r="QJD507" s="44"/>
      <c r="QJE507" s="44"/>
      <c r="QJF507" s="44"/>
      <c r="QJG507" s="44"/>
      <c r="QJH507" s="44"/>
      <c r="QJI507" s="44"/>
      <c r="QJJ507" s="44"/>
      <c r="QJK507" s="44"/>
      <c r="QJL507" s="44"/>
      <c r="QJM507" s="44"/>
      <c r="QJN507" s="44"/>
      <c r="QJO507" s="44"/>
      <c r="QJP507" s="44"/>
      <c r="QJQ507" s="44"/>
      <c r="QJR507" s="44"/>
      <c r="QJS507" s="44"/>
      <c r="QJT507" s="44"/>
      <c r="QJU507" s="44"/>
      <c r="QJV507" s="44"/>
      <c r="QJW507" s="44"/>
      <c r="QJX507" s="44"/>
      <c r="QJY507" s="44"/>
      <c r="QJZ507" s="44"/>
      <c r="QKA507" s="44"/>
      <c r="QKB507" s="44"/>
      <c r="QKC507" s="44"/>
      <c r="QKD507" s="44"/>
      <c r="QKE507" s="44"/>
      <c r="QKF507" s="44"/>
      <c r="QKG507" s="44"/>
      <c r="QKH507" s="44"/>
      <c r="QKI507" s="44"/>
      <c r="QKJ507" s="44"/>
      <c r="QKK507" s="44"/>
      <c r="QKL507" s="44"/>
      <c r="QKM507" s="44"/>
      <c r="QKN507" s="44"/>
      <c r="QKO507" s="44"/>
      <c r="QKP507" s="44"/>
      <c r="QKQ507" s="44"/>
      <c r="QKR507" s="44"/>
      <c r="QKS507" s="44"/>
      <c r="QKT507" s="44"/>
      <c r="QKU507" s="44"/>
      <c r="QKV507" s="44"/>
      <c r="QKW507" s="44"/>
      <c r="QKX507" s="44"/>
      <c r="QKY507" s="44"/>
      <c r="QKZ507" s="44"/>
      <c r="QLA507" s="44"/>
      <c r="QLB507" s="44"/>
      <c r="QLC507" s="44"/>
      <c r="QLD507" s="44"/>
      <c r="QLE507" s="44"/>
      <c r="QLF507" s="44"/>
      <c r="QLG507" s="44"/>
      <c r="QLH507" s="44"/>
      <c r="QLI507" s="44"/>
      <c r="QLJ507" s="44"/>
      <c r="QLK507" s="44"/>
      <c r="QLL507" s="44"/>
      <c r="QLM507" s="44"/>
      <c r="QLN507" s="44"/>
      <c r="QLO507" s="44"/>
      <c r="QLP507" s="44"/>
      <c r="QLQ507" s="44"/>
      <c r="QLR507" s="44"/>
      <c r="QLS507" s="44"/>
      <c r="QLT507" s="44"/>
      <c r="QLU507" s="44"/>
      <c r="QLV507" s="44"/>
      <c r="QLW507" s="44"/>
      <c r="QLX507" s="44"/>
      <c r="QLY507" s="44"/>
      <c r="QLZ507" s="44"/>
      <c r="QMA507" s="44"/>
      <c r="QMB507" s="44"/>
      <c r="QMC507" s="44"/>
      <c r="QMD507" s="44"/>
      <c r="QME507" s="44"/>
      <c r="QMF507" s="44"/>
      <c r="QMG507" s="44"/>
      <c r="QMH507" s="44"/>
      <c r="QMI507" s="44"/>
      <c r="QMJ507" s="44"/>
      <c r="QMK507" s="44"/>
      <c r="QML507" s="44"/>
      <c r="QMM507" s="44"/>
      <c r="QMN507" s="44"/>
      <c r="QMO507" s="44"/>
      <c r="QMP507" s="44"/>
      <c r="QMQ507" s="44"/>
      <c r="QMR507" s="44"/>
      <c r="QMS507" s="44"/>
      <c r="QMT507" s="44"/>
      <c r="QMU507" s="44"/>
      <c r="QMV507" s="44"/>
      <c r="QMW507" s="44"/>
      <c r="QMX507" s="44"/>
      <c r="QMY507" s="44"/>
      <c r="QMZ507" s="44"/>
      <c r="QNA507" s="44"/>
      <c r="QNB507" s="44"/>
      <c r="QNC507" s="44"/>
      <c r="QND507" s="44"/>
      <c r="QNE507" s="44"/>
      <c r="QNF507" s="44"/>
      <c r="QNG507" s="44"/>
      <c r="QNH507" s="44"/>
      <c r="QNI507" s="44"/>
      <c r="QNJ507" s="44"/>
      <c r="QNK507" s="44"/>
      <c r="QNL507" s="44"/>
      <c r="QNM507" s="44"/>
      <c r="QNN507" s="44"/>
      <c r="QNO507" s="44"/>
      <c r="QNP507" s="44"/>
      <c r="QNQ507" s="44"/>
      <c r="QNR507" s="44"/>
      <c r="QNS507" s="44"/>
      <c r="QNT507" s="44"/>
      <c r="QNU507" s="44"/>
      <c r="QNV507" s="44"/>
      <c r="QNW507" s="44"/>
      <c r="QNX507" s="44"/>
      <c r="QNY507" s="44"/>
      <c r="QNZ507" s="44"/>
      <c r="QOA507" s="44"/>
      <c r="QOB507" s="44"/>
      <c r="QOC507" s="44"/>
      <c r="QOD507" s="44"/>
      <c r="QOE507" s="44"/>
      <c r="QOF507" s="44"/>
      <c r="QOG507" s="44"/>
      <c r="QOH507" s="44"/>
      <c r="QOI507" s="44"/>
      <c r="QOJ507" s="44"/>
      <c r="QOK507" s="44"/>
      <c r="QOL507" s="44"/>
      <c r="QOM507" s="44"/>
      <c r="QON507" s="44"/>
      <c r="QOO507" s="44"/>
      <c r="QOP507" s="44"/>
      <c r="QOQ507" s="44"/>
      <c r="QOR507" s="44"/>
      <c r="QOS507" s="44"/>
      <c r="QOT507" s="44"/>
      <c r="QOU507" s="44"/>
      <c r="QOV507" s="44"/>
      <c r="QOW507" s="44"/>
      <c r="QOX507" s="44"/>
      <c r="QOY507" s="44"/>
      <c r="QOZ507" s="44"/>
      <c r="QPA507" s="44"/>
      <c r="QPB507" s="44"/>
      <c r="QPC507" s="44"/>
      <c r="QPD507" s="44"/>
      <c r="QPE507" s="44"/>
      <c r="QPF507" s="44"/>
      <c r="QPG507" s="44"/>
      <c r="QPH507" s="44"/>
      <c r="QPI507" s="44"/>
      <c r="QPJ507" s="44"/>
      <c r="QPK507" s="44"/>
      <c r="QPL507" s="44"/>
      <c r="QPM507" s="44"/>
      <c r="QPN507" s="44"/>
      <c r="QPO507" s="44"/>
      <c r="QPP507" s="44"/>
      <c r="QPQ507" s="44"/>
      <c r="QPR507" s="44"/>
      <c r="QPS507" s="44"/>
      <c r="QPT507" s="44"/>
      <c r="QPU507" s="44"/>
      <c r="QPV507" s="44"/>
      <c r="QPW507" s="44"/>
      <c r="QPX507" s="44"/>
      <c r="QPY507" s="44"/>
      <c r="QPZ507" s="44"/>
      <c r="QQA507" s="44"/>
      <c r="QQB507" s="44"/>
      <c r="QQC507" s="44"/>
      <c r="QQD507" s="44"/>
      <c r="QQE507" s="44"/>
      <c r="QQF507" s="44"/>
      <c r="QQG507" s="44"/>
      <c r="QQH507" s="44"/>
      <c r="QQI507" s="44"/>
      <c r="QQJ507" s="44"/>
      <c r="QQK507" s="44"/>
      <c r="QQL507" s="44"/>
      <c r="QQM507" s="44"/>
      <c r="QQN507" s="44"/>
      <c r="QQO507" s="44"/>
      <c r="QQP507" s="44"/>
      <c r="QQQ507" s="44"/>
      <c r="QQR507" s="44"/>
      <c r="QQS507" s="44"/>
      <c r="QQT507" s="44"/>
      <c r="QQU507" s="44"/>
      <c r="QQV507" s="44"/>
      <c r="QQW507" s="44"/>
      <c r="QQX507" s="44"/>
      <c r="QQY507" s="44"/>
      <c r="QQZ507" s="44"/>
      <c r="QRA507" s="44"/>
      <c r="QRB507" s="44"/>
      <c r="QRC507" s="44"/>
      <c r="QRD507" s="44"/>
      <c r="QRE507" s="44"/>
      <c r="QRF507" s="44"/>
      <c r="QRG507" s="44"/>
      <c r="QRH507" s="44"/>
      <c r="QRI507" s="44"/>
      <c r="QRJ507" s="44"/>
      <c r="QRK507" s="44"/>
      <c r="QRL507" s="44"/>
      <c r="QRM507" s="44"/>
      <c r="QRN507" s="44"/>
      <c r="QRO507" s="44"/>
      <c r="QRP507" s="44"/>
      <c r="QRQ507" s="44"/>
      <c r="QRR507" s="44"/>
      <c r="QRS507" s="44"/>
      <c r="QRT507" s="44"/>
      <c r="QRU507" s="44"/>
      <c r="QRV507" s="44"/>
      <c r="QRW507" s="44"/>
      <c r="QRX507" s="44"/>
      <c r="QRY507" s="44"/>
      <c r="QRZ507" s="44"/>
      <c r="QSA507" s="44"/>
      <c r="QSB507" s="44"/>
      <c r="QSC507" s="44"/>
      <c r="QSD507" s="44"/>
      <c r="QSE507" s="44"/>
      <c r="QSF507" s="44"/>
      <c r="QSG507" s="44"/>
      <c r="QSH507" s="44"/>
      <c r="QSI507" s="44"/>
      <c r="QSJ507" s="44"/>
      <c r="QSK507" s="44"/>
      <c r="QSL507" s="44"/>
      <c r="QSM507" s="44"/>
      <c r="QSN507" s="44"/>
      <c r="QSO507" s="44"/>
      <c r="QSP507" s="44"/>
      <c r="QSQ507" s="44"/>
      <c r="QSR507" s="44"/>
      <c r="QSS507" s="44"/>
      <c r="QST507" s="44"/>
      <c r="QSU507" s="44"/>
      <c r="QSV507" s="44"/>
      <c r="QSW507" s="44"/>
      <c r="QSX507" s="44"/>
      <c r="QSY507" s="44"/>
      <c r="QSZ507" s="44"/>
      <c r="QTA507" s="44"/>
      <c r="QTB507" s="44"/>
      <c r="QTC507" s="44"/>
      <c r="QTD507" s="44"/>
      <c r="QTE507" s="44"/>
      <c r="QTF507" s="44"/>
      <c r="QTG507" s="44"/>
      <c r="QTH507" s="44"/>
      <c r="QTI507" s="44"/>
      <c r="QTJ507" s="44"/>
      <c r="QTK507" s="44"/>
      <c r="QTL507" s="44"/>
      <c r="QTM507" s="44"/>
      <c r="QTN507" s="44"/>
      <c r="QTO507" s="44"/>
      <c r="QTP507" s="44"/>
      <c r="QTQ507" s="44"/>
      <c r="QTR507" s="44"/>
      <c r="QTS507" s="44"/>
      <c r="QTT507" s="44"/>
      <c r="QTU507" s="44"/>
      <c r="QTV507" s="44"/>
      <c r="QTW507" s="44"/>
      <c r="QTX507" s="44"/>
      <c r="QTY507" s="44"/>
      <c r="QTZ507" s="44"/>
      <c r="QUA507" s="44"/>
      <c r="QUB507" s="44"/>
      <c r="QUC507" s="44"/>
      <c r="QUD507" s="44"/>
      <c r="QUE507" s="44"/>
      <c r="QUF507" s="44"/>
      <c r="QUG507" s="44"/>
      <c r="QUH507" s="44"/>
      <c r="QUI507" s="44"/>
      <c r="QUJ507" s="44"/>
      <c r="QUK507" s="44"/>
      <c r="QUL507" s="44"/>
      <c r="QUM507" s="44"/>
      <c r="QUN507" s="44"/>
      <c r="QUO507" s="44"/>
      <c r="QUP507" s="44"/>
      <c r="QUQ507" s="44"/>
      <c r="QUR507" s="44"/>
      <c r="QUS507" s="44"/>
      <c r="QUT507" s="44"/>
      <c r="QUU507" s="44"/>
      <c r="QUV507" s="44"/>
      <c r="QUW507" s="44"/>
      <c r="QUX507" s="44"/>
      <c r="QUY507" s="44"/>
      <c r="QUZ507" s="44"/>
      <c r="QVA507" s="44"/>
      <c r="QVB507" s="44"/>
      <c r="QVC507" s="44"/>
      <c r="QVD507" s="44"/>
      <c r="QVE507" s="44"/>
      <c r="QVF507" s="44"/>
      <c r="QVG507" s="44"/>
      <c r="QVH507" s="44"/>
      <c r="QVI507" s="44"/>
      <c r="QVJ507" s="44"/>
      <c r="QVK507" s="44"/>
      <c r="QVL507" s="44"/>
      <c r="QVM507" s="44"/>
      <c r="QVN507" s="44"/>
      <c r="QVO507" s="44"/>
      <c r="QVP507" s="44"/>
      <c r="QVQ507" s="44"/>
      <c r="QVR507" s="44"/>
      <c r="QVS507" s="44"/>
      <c r="QVT507" s="44"/>
      <c r="QVU507" s="44"/>
      <c r="QVV507" s="44"/>
      <c r="QVW507" s="44"/>
      <c r="QVX507" s="44"/>
      <c r="QVY507" s="44"/>
      <c r="QVZ507" s="44"/>
      <c r="QWA507" s="44"/>
      <c r="QWB507" s="44"/>
      <c r="QWC507" s="44"/>
      <c r="QWD507" s="44"/>
      <c r="QWE507" s="44"/>
      <c r="QWF507" s="44"/>
      <c r="QWG507" s="44"/>
      <c r="QWH507" s="44"/>
      <c r="QWI507" s="44"/>
      <c r="QWJ507" s="44"/>
      <c r="QWK507" s="44"/>
      <c r="QWL507" s="44"/>
      <c r="QWM507" s="44"/>
      <c r="QWN507" s="44"/>
      <c r="QWO507" s="44"/>
      <c r="QWP507" s="44"/>
      <c r="QWQ507" s="44"/>
      <c r="QWR507" s="44"/>
      <c r="QWS507" s="44"/>
      <c r="QWT507" s="44"/>
      <c r="QWU507" s="44"/>
      <c r="QWV507" s="44"/>
      <c r="QWW507" s="44"/>
      <c r="QWX507" s="44"/>
      <c r="QWY507" s="44"/>
      <c r="QWZ507" s="44"/>
      <c r="QXA507" s="44"/>
      <c r="QXB507" s="44"/>
      <c r="QXC507" s="44"/>
      <c r="QXD507" s="44"/>
      <c r="QXE507" s="44"/>
      <c r="QXF507" s="44"/>
      <c r="QXG507" s="44"/>
      <c r="QXH507" s="44"/>
      <c r="QXI507" s="44"/>
      <c r="QXJ507" s="44"/>
      <c r="QXK507" s="44"/>
      <c r="QXL507" s="44"/>
      <c r="QXM507" s="44"/>
      <c r="QXN507" s="44"/>
      <c r="QXO507" s="44"/>
      <c r="QXP507" s="44"/>
      <c r="QXQ507" s="44"/>
      <c r="QXR507" s="44"/>
      <c r="QXS507" s="44"/>
      <c r="QXT507" s="44"/>
      <c r="QXU507" s="44"/>
      <c r="QXV507" s="44"/>
      <c r="QXW507" s="44"/>
      <c r="QXX507" s="44"/>
      <c r="QXY507" s="44"/>
      <c r="QXZ507" s="44"/>
      <c r="QYA507" s="44"/>
      <c r="QYB507" s="44"/>
      <c r="QYC507" s="44"/>
      <c r="QYD507" s="44"/>
      <c r="QYE507" s="44"/>
      <c r="QYF507" s="44"/>
      <c r="QYG507" s="44"/>
      <c r="QYH507" s="44"/>
      <c r="QYI507" s="44"/>
      <c r="QYJ507" s="44"/>
      <c r="QYK507" s="44"/>
      <c r="QYL507" s="44"/>
      <c r="QYM507" s="44"/>
      <c r="QYN507" s="44"/>
      <c r="QYO507" s="44"/>
      <c r="QYP507" s="44"/>
      <c r="QYQ507" s="44"/>
      <c r="QYR507" s="44"/>
      <c r="QYS507" s="44"/>
      <c r="QYT507" s="44"/>
      <c r="QYU507" s="44"/>
      <c r="QYV507" s="44"/>
      <c r="QYW507" s="44"/>
      <c r="QYX507" s="44"/>
      <c r="QYY507" s="44"/>
      <c r="QYZ507" s="44"/>
      <c r="QZA507" s="44"/>
      <c r="QZB507" s="44"/>
      <c r="QZC507" s="44"/>
      <c r="QZD507" s="44"/>
      <c r="QZE507" s="44"/>
      <c r="QZF507" s="44"/>
      <c r="QZG507" s="44"/>
      <c r="QZH507" s="44"/>
      <c r="QZI507" s="44"/>
      <c r="QZJ507" s="44"/>
      <c r="QZK507" s="44"/>
      <c r="QZL507" s="44"/>
      <c r="QZM507" s="44"/>
      <c r="QZN507" s="44"/>
      <c r="QZO507" s="44"/>
      <c r="QZP507" s="44"/>
      <c r="QZQ507" s="44"/>
      <c r="QZR507" s="44"/>
      <c r="QZS507" s="44"/>
      <c r="QZT507" s="44"/>
      <c r="QZU507" s="44"/>
      <c r="QZV507" s="44"/>
      <c r="QZW507" s="44"/>
      <c r="QZX507" s="44"/>
      <c r="QZY507" s="44"/>
      <c r="QZZ507" s="44"/>
      <c r="RAA507" s="44"/>
      <c r="RAB507" s="44"/>
      <c r="RAC507" s="44"/>
      <c r="RAD507" s="44"/>
      <c r="RAE507" s="44"/>
      <c r="RAF507" s="44"/>
      <c r="RAG507" s="44"/>
      <c r="RAH507" s="44"/>
      <c r="RAI507" s="44"/>
      <c r="RAJ507" s="44"/>
      <c r="RAK507" s="44"/>
      <c r="RAL507" s="44"/>
      <c r="RAM507" s="44"/>
      <c r="RAN507" s="44"/>
      <c r="RAO507" s="44"/>
      <c r="RAP507" s="44"/>
      <c r="RAQ507" s="44"/>
      <c r="RAR507" s="44"/>
      <c r="RAS507" s="44"/>
      <c r="RAT507" s="44"/>
      <c r="RAU507" s="44"/>
      <c r="RAV507" s="44"/>
      <c r="RAW507" s="44"/>
      <c r="RAX507" s="44"/>
      <c r="RAY507" s="44"/>
      <c r="RAZ507" s="44"/>
      <c r="RBA507" s="44"/>
      <c r="RBB507" s="44"/>
      <c r="RBC507" s="44"/>
      <c r="RBD507" s="44"/>
      <c r="RBE507" s="44"/>
      <c r="RBF507" s="44"/>
      <c r="RBG507" s="44"/>
      <c r="RBH507" s="44"/>
      <c r="RBI507" s="44"/>
      <c r="RBJ507" s="44"/>
      <c r="RBK507" s="44"/>
      <c r="RBL507" s="44"/>
      <c r="RBM507" s="44"/>
      <c r="RBN507" s="44"/>
      <c r="RBO507" s="44"/>
      <c r="RBP507" s="44"/>
      <c r="RBQ507" s="44"/>
      <c r="RBR507" s="44"/>
      <c r="RBS507" s="44"/>
      <c r="RBT507" s="44"/>
      <c r="RBU507" s="44"/>
      <c r="RBV507" s="44"/>
      <c r="RBW507" s="44"/>
      <c r="RBX507" s="44"/>
      <c r="RBY507" s="44"/>
      <c r="RBZ507" s="44"/>
      <c r="RCA507" s="44"/>
      <c r="RCB507" s="44"/>
      <c r="RCC507" s="44"/>
      <c r="RCD507" s="44"/>
      <c r="RCE507" s="44"/>
      <c r="RCF507" s="44"/>
      <c r="RCG507" s="44"/>
      <c r="RCH507" s="44"/>
      <c r="RCI507" s="44"/>
      <c r="RCJ507" s="44"/>
      <c r="RCK507" s="44"/>
      <c r="RCL507" s="44"/>
      <c r="RCM507" s="44"/>
      <c r="RCN507" s="44"/>
      <c r="RCO507" s="44"/>
      <c r="RCP507" s="44"/>
      <c r="RCQ507" s="44"/>
      <c r="RCR507" s="44"/>
      <c r="RCS507" s="44"/>
      <c r="RCT507" s="44"/>
      <c r="RCU507" s="44"/>
      <c r="RCV507" s="44"/>
      <c r="RCW507" s="44"/>
      <c r="RCX507" s="44"/>
      <c r="RCY507" s="44"/>
      <c r="RCZ507" s="44"/>
      <c r="RDA507" s="44"/>
      <c r="RDB507" s="44"/>
      <c r="RDC507" s="44"/>
      <c r="RDD507" s="44"/>
      <c r="RDE507" s="44"/>
      <c r="RDF507" s="44"/>
      <c r="RDG507" s="44"/>
      <c r="RDH507" s="44"/>
      <c r="RDI507" s="44"/>
      <c r="RDJ507" s="44"/>
      <c r="RDK507" s="44"/>
      <c r="RDL507" s="44"/>
      <c r="RDM507" s="44"/>
      <c r="RDN507" s="44"/>
      <c r="RDO507" s="44"/>
      <c r="RDP507" s="44"/>
      <c r="RDQ507" s="44"/>
      <c r="RDR507" s="44"/>
      <c r="RDS507" s="44"/>
      <c r="RDT507" s="44"/>
      <c r="RDU507" s="44"/>
      <c r="RDV507" s="44"/>
      <c r="RDW507" s="44"/>
      <c r="RDX507" s="44"/>
      <c r="RDY507" s="44"/>
      <c r="RDZ507" s="44"/>
      <c r="REA507" s="44"/>
      <c r="REB507" s="44"/>
      <c r="REC507" s="44"/>
      <c r="RED507" s="44"/>
      <c r="REE507" s="44"/>
      <c r="REF507" s="44"/>
      <c r="REG507" s="44"/>
      <c r="REH507" s="44"/>
      <c r="REI507" s="44"/>
      <c r="REJ507" s="44"/>
      <c r="REK507" s="44"/>
      <c r="REL507" s="44"/>
      <c r="REM507" s="44"/>
      <c r="REN507" s="44"/>
      <c r="REO507" s="44"/>
      <c r="REP507" s="44"/>
      <c r="REQ507" s="44"/>
      <c r="RER507" s="44"/>
      <c r="RES507" s="44"/>
      <c r="RET507" s="44"/>
      <c r="REU507" s="44"/>
      <c r="REV507" s="44"/>
      <c r="REW507" s="44"/>
      <c r="REX507" s="44"/>
      <c r="REY507" s="44"/>
      <c r="REZ507" s="44"/>
      <c r="RFA507" s="44"/>
      <c r="RFB507" s="44"/>
      <c r="RFC507" s="44"/>
      <c r="RFD507" s="44"/>
      <c r="RFE507" s="44"/>
      <c r="RFF507" s="44"/>
      <c r="RFG507" s="44"/>
      <c r="RFH507" s="44"/>
      <c r="RFI507" s="44"/>
      <c r="RFJ507" s="44"/>
      <c r="RFK507" s="44"/>
      <c r="RFL507" s="44"/>
      <c r="RFM507" s="44"/>
      <c r="RFN507" s="44"/>
      <c r="RFO507" s="44"/>
      <c r="RFP507" s="44"/>
      <c r="RFQ507" s="44"/>
      <c r="RFR507" s="44"/>
      <c r="RFS507" s="44"/>
      <c r="RFT507" s="44"/>
      <c r="RFU507" s="44"/>
      <c r="RFV507" s="44"/>
      <c r="RFW507" s="44"/>
      <c r="RFX507" s="44"/>
      <c r="RFY507" s="44"/>
      <c r="RFZ507" s="44"/>
      <c r="RGA507" s="44"/>
      <c r="RGB507" s="44"/>
      <c r="RGC507" s="44"/>
      <c r="RGD507" s="44"/>
      <c r="RGE507" s="44"/>
      <c r="RGF507" s="44"/>
      <c r="RGG507" s="44"/>
      <c r="RGH507" s="44"/>
      <c r="RGI507" s="44"/>
      <c r="RGJ507" s="44"/>
      <c r="RGK507" s="44"/>
      <c r="RGL507" s="44"/>
      <c r="RGM507" s="44"/>
      <c r="RGN507" s="44"/>
      <c r="RGO507" s="44"/>
      <c r="RGP507" s="44"/>
      <c r="RGQ507" s="44"/>
      <c r="RGR507" s="44"/>
      <c r="RGS507" s="44"/>
      <c r="RGT507" s="44"/>
      <c r="RGU507" s="44"/>
      <c r="RGV507" s="44"/>
      <c r="RGW507" s="44"/>
      <c r="RGX507" s="44"/>
      <c r="RGY507" s="44"/>
      <c r="RGZ507" s="44"/>
      <c r="RHA507" s="44"/>
      <c r="RHB507" s="44"/>
      <c r="RHC507" s="44"/>
      <c r="RHD507" s="44"/>
      <c r="RHE507" s="44"/>
      <c r="RHF507" s="44"/>
      <c r="RHG507" s="44"/>
      <c r="RHH507" s="44"/>
      <c r="RHI507" s="44"/>
      <c r="RHJ507" s="44"/>
      <c r="RHK507" s="44"/>
      <c r="RHL507" s="44"/>
      <c r="RHM507" s="44"/>
      <c r="RHN507" s="44"/>
      <c r="RHO507" s="44"/>
      <c r="RHP507" s="44"/>
      <c r="RHQ507" s="44"/>
      <c r="RHR507" s="44"/>
      <c r="RHS507" s="44"/>
      <c r="RHT507" s="44"/>
      <c r="RHU507" s="44"/>
      <c r="RHV507" s="44"/>
      <c r="RHW507" s="44"/>
      <c r="RHX507" s="44"/>
      <c r="RHY507" s="44"/>
      <c r="RHZ507" s="44"/>
      <c r="RIA507" s="44"/>
      <c r="RIB507" s="44"/>
      <c r="RIC507" s="44"/>
      <c r="RID507" s="44"/>
      <c r="RIE507" s="44"/>
      <c r="RIF507" s="44"/>
      <c r="RIG507" s="44"/>
      <c r="RIH507" s="44"/>
      <c r="RII507" s="44"/>
      <c r="RIJ507" s="44"/>
      <c r="RIK507" s="44"/>
      <c r="RIL507" s="44"/>
      <c r="RIM507" s="44"/>
      <c r="RIN507" s="44"/>
      <c r="RIO507" s="44"/>
      <c r="RIP507" s="44"/>
      <c r="RIQ507" s="44"/>
      <c r="RIR507" s="44"/>
      <c r="RIS507" s="44"/>
      <c r="RIT507" s="44"/>
      <c r="RIU507" s="44"/>
      <c r="RIV507" s="44"/>
      <c r="RIW507" s="44"/>
      <c r="RIX507" s="44"/>
      <c r="RIY507" s="44"/>
      <c r="RIZ507" s="44"/>
      <c r="RJA507" s="44"/>
      <c r="RJB507" s="44"/>
      <c r="RJC507" s="44"/>
      <c r="RJD507" s="44"/>
      <c r="RJE507" s="44"/>
      <c r="RJF507" s="44"/>
      <c r="RJG507" s="44"/>
      <c r="RJH507" s="44"/>
      <c r="RJI507" s="44"/>
      <c r="RJJ507" s="44"/>
      <c r="RJK507" s="44"/>
      <c r="RJL507" s="44"/>
      <c r="RJM507" s="44"/>
      <c r="RJN507" s="44"/>
      <c r="RJO507" s="44"/>
      <c r="RJP507" s="44"/>
      <c r="RJQ507" s="44"/>
      <c r="RJR507" s="44"/>
      <c r="RJS507" s="44"/>
      <c r="RJT507" s="44"/>
      <c r="RJU507" s="44"/>
      <c r="RJV507" s="44"/>
      <c r="RJW507" s="44"/>
      <c r="RJX507" s="44"/>
      <c r="RJY507" s="44"/>
      <c r="RJZ507" s="44"/>
      <c r="RKA507" s="44"/>
      <c r="RKB507" s="44"/>
      <c r="RKC507" s="44"/>
      <c r="RKD507" s="44"/>
      <c r="RKE507" s="44"/>
      <c r="RKF507" s="44"/>
      <c r="RKG507" s="44"/>
      <c r="RKH507" s="44"/>
      <c r="RKI507" s="44"/>
      <c r="RKJ507" s="44"/>
      <c r="RKK507" s="44"/>
      <c r="RKL507" s="44"/>
      <c r="RKM507" s="44"/>
      <c r="RKN507" s="44"/>
      <c r="RKO507" s="44"/>
      <c r="RKP507" s="44"/>
      <c r="RKQ507" s="44"/>
      <c r="RKR507" s="44"/>
      <c r="RKS507" s="44"/>
      <c r="RKT507" s="44"/>
      <c r="RKU507" s="44"/>
      <c r="RKV507" s="44"/>
      <c r="RKW507" s="44"/>
      <c r="RKX507" s="44"/>
      <c r="RKY507" s="44"/>
      <c r="RKZ507" s="44"/>
      <c r="RLA507" s="44"/>
      <c r="RLB507" s="44"/>
      <c r="RLC507" s="44"/>
      <c r="RLD507" s="44"/>
      <c r="RLE507" s="44"/>
      <c r="RLF507" s="44"/>
      <c r="RLG507" s="44"/>
      <c r="RLH507" s="44"/>
      <c r="RLI507" s="44"/>
      <c r="RLJ507" s="44"/>
      <c r="RLK507" s="44"/>
      <c r="RLL507" s="44"/>
      <c r="RLM507" s="44"/>
      <c r="RLN507" s="44"/>
      <c r="RLO507" s="44"/>
      <c r="RLP507" s="44"/>
      <c r="RLQ507" s="44"/>
      <c r="RLR507" s="44"/>
      <c r="RLS507" s="44"/>
      <c r="RLT507" s="44"/>
      <c r="RLU507" s="44"/>
      <c r="RLV507" s="44"/>
      <c r="RLW507" s="44"/>
      <c r="RLX507" s="44"/>
      <c r="RLY507" s="44"/>
      <c r="RLZ507" s="44"/>
      <c r="RMA507" s="44"/>
      <c r="RMB507" s="44"/>
      <c r="RMC507" s="44"/>
      <c r="RMD507" s="44"/>
      <c r="RME507" s="44"/>
      <c r="RMF507" s="44"/>
      <c r="RMG507" s="44"/>
      <c r="RMH507" s="44"/>
      <c r="RMI507" s="44"/>
      <c r="RMJ507" s="44"/>
      <c r="RMK507" s="44"/>
      <c r="RML507" s="44"/>
      <c r="RMM507" s="44"/>
      <c r="RMN507" s="44"/>
      <c r="RMO507" s="44"/>
      <c r="RMP507" s="44"/>
      <c r="RMQ507" s="44"/>
      <c r="RMR507" s="44"/>
      <c r="RMS507" s="44"/>
      <c r="RMT507" s="44"/>
      <c r="RMU507" s="44"/>
      <c r="RMV507" s="44"/>
      <c r="RMW507" s="44"/>
      <c r="RMX507" s="44"/>
      <c r="RMY507" s="44"/>
      <c r="RMZ507" s="44"/>
      <c r="RNA507" s="44"/>
      <c r="RNB507" s="44"/>
      <c r="RNC507" s="44"/>
      <c r="RND507" s="44"/>
      <c r="RNE507" s="44"/>
      <c r="RNF507" s="44"/>
      <c r="RNG507" s="44"/>
      <c r="RNH507" s="44"/>
      <c r="RNI507" s="44"/>
      <c r="RNJ507" s="44"/>
      <c r="RNK507" s="44"/>
      <c r="RNL507" s="44"/>
      <c r="RNM507" s="44"/>
      <c r="RNN507" s="44"/>
      <c r="RNO507" s="44"/>
      <c r="RNP507" s="44"/>
      <c r="RNQ507" s="44"/>
      <c r="RNR507" s="44"/>
      <c r="RNS507" s="44"/>
      <c r="RNT507" s="44"/>
      <c r="RNU507" s="44"/>
      <c r="RNV507" s="44"/>
      <c r="RNW507" s="44"/>
      <c r="RNX507" s="44"/>
      <c r="RNY507" s="44"/>
      <c r="RNZ507" s="44"/>
      <c r="ROA507" s="44"/>
      <c r="ROB507" s="44"/>
      <c r="ROC507" s="44"/>
      <c r="ROD507" s="44"/>
      <c r="ROE507" s="44"/>
      <c r="ROF507" s="44"/>
      <c r="ROG507" s="44"/>
      <c r="ROH507" s="44"/>
      <c r="ROI507" s="44"/>
      <c r="ROJ507" s="44"/>
      <c r="ROK507" s="44"/>
      <c r="ROL507" s="44"/>
      <c r="ROM507" s="44"/>
      <c r="RON507" s="44"/>
      <c r="ROO507" s="44"/>
      <c r="ROP507" s="44"/>
      <c r="ROQ507" s="44"/>
      <c r="ROR507" s="44"/>
      <c r="ROS507" s="44"/>
      <c r="ROT507" s="44"/>
      <c r="ROU507" s="44"/>
      <c r="ROV507" s="44"/>
      <c r="ROW507" s="44"/>
      <c r="ROX507" s="44"/>
      <c r="ROY507" s="44"/>
      <c r="ROZ507" s="44"/>
      <c r="RPA507" s="44"/>
      <c r="RPB507" s="44"/>
      <c r="RPC507" s="44"/>
      <c r="RPD507" s="44"/>
      <c r="RPE507" s="44"/>
      <c r="RPF507" s="44"/>
      <c r="RPG507" s="44"/>
      <c r="RPH507" s="44"/>
      <c r="RPI507" s="44"/>
      <c r="RPJ507" s="44"/>
      <c r="RPK507" s="44"/>
      <c r="RPL507" s="44"/>
      <c r="RPM507" s="44"/>
      <c r="RPN507" s="44"/>
      <c r="RPO507" s="44"/>
      <c r="RPP507" s="44"/>
      <c r="RPQ507" s="44"/>
      <c r="RPR507" s="44"/>
      <c r="RPS507" s="44"/>
      <c r="RPT507" s="44"/>
      <c r="RPU507" s="44"/>
      <c r="RPV507" s="44"/>
      <c r="RPW507" s="44"/>
      <c r="RPX507" s="44"/>
      <c r="RPY507" s="44"/>
      <c r="RPZ507" s="44"/>
      <c r="RQA507" s="44"/>
      <c r="RQB507" s="44"/>
      <c r="RQC507" s="44"/>
      <c r="RQD507" s="44"/>
      <c r="RQE507" s="44"/>
      <c r="RQF507" s="44"/>
      <c r="RQG507" s="44"/>
      <c r="RQH507" s="44"/>
      <c r="RQI507" s="44"/>
      <c r="RQJ507" s="44"/>
      <c r="RQK507" s="44"/>
      <c r="RQL507" s="44"/>
      <c r="RQM507" s="44"/>
      <c r="RQN507" s="44"/>
      <c r="RQO507" s="44"/>
      <c r="RQP507" s="44"/>
      <c r="RQQ507" s="44"/>
      <c r="RQR507" s="44"/>
      <c r="RQS507" s="44"/>
      <c r="RQT507" s="44"/>
      <c r="RQU507" s="44"/>
      <c r="RQV507" s="44"/>
      <c r="RQW507" s="44"/>
      <c r="RQX507" s="44"/>
      <c r="RQY507" s="44"/>
      <c r="RQZ507" s="44"/>
      <c r="RRA507" s="44"/>
      <c r="RRB507" s="44"/>
      <c r="RRC507" s="44"/>
      <c r="RRD507" s="44"/>
      <c r="RRE507" s="44"/>
      <c r="RRF507" s="44"/>
      <c r="RRG507" s="44"/>
      <c r="RRH507" s="44"/>
      <c r="RRI507" s="44"/>
      <c r="RRJ507" s="44"/>
      <c r="RRK507" s="44"/>
      <c r="RRL507" s="44"/>
      <c r="RRM507" s="44"/>
      <c r="RRN507" s="44"/>
      <c r="RRO507" s="44"/>
      <c r="RRP507" s="44"/>
      <c r="RRQ507" s="44"/>
      <c r="RRR507" s="44"/>
      <c r="RRS507" s="44"/>
      <c r="RRT507" s="44"/>
      <c r="RRU507" s="44"/>
      <c r="RRV507" s="44"/>
      <c r="RRW507" s="44"/>
      <c r="RRX507" s="44"/>
      <c r="RRY507" s="44"/>
      <c r="RRZ507" s="44"/>
      <c r="RSA507" s="44"/>
      <c r="RSB507" s="44"/>
      <c r="RSC507" s="44"/>
      <c r="RSD507" s="44"/>
      <c r="RSE507" s="44"/>
      <c r="RSF507" s="44"/>
      <c r="RSG507" s="44"/>
      <c r="RSH507" s="44"/>
      <c r="RSI507" s="44"/>
      <c r="RSJ507" s="44"/>
      <c r="RSK507" s="44"/>
      <c r="RSL507" s="44"/>
      <c r="RSM507" s="44"/>
      <c r="RSN507" s="44"/>
      <c r="RSO507" s="44"/>
      <c r="RSP507" s="44"/>
      <c r="RSQ507" s="44"/>
      <c r="RSR507" s="44"/>
      <c r="RSS507" s="44"/>
      <c r="RST507" s="44"/>
      <c r="RSU507" s="44"/>
      <c r="RSV507" s="44"/>
      <c r="RSW507" s="44"/>
      <c r="RSX507" s="44"/>
      <c r="RSY507" s="44"/>
      <c r="RSZ507" s="44"/>
      <c r="RTA507" s="44"/>
      <c r="RTB507" s="44"/>
      <c r="RTC507" s="44"/>
      <c r="RTD507" s="44"/>
      <c r="RTE507" s="44"/>
      <c r="RTF507" s="44"/>
      <c r="RTG507" s="44"/>
      <c r="RTH507" s="44"/>
      <c r="RTI507" s="44"/>
      <c r="RTJ507" s="44"/>
      <c r="RTK507" s="44"/>
      <c r="RTL507" s="44"/>
      <c r="RTM507" s="44"/>
      <c r="RTN507" s="44"/>
      <c r="RTO507" s="44"/>
      <c r="RTP507" s="44"/>
      <c r="RTQ507" s="44"/>
      <c r="RTR507" s="44"/>
      <c r="RTS507" s="44"/>
      <c r="RTT507" s="44"/>
      <c r="RTU507" s="44"/>
      <c r="RTV507" s="44"/>
      <c r="RTW507" s="44"/>
      <c r="RTX507" s="44"/>
      <c r="RTY507" s="44"/>
      <c r="RTZ507" s="44"/>
      <c r="RUA507" s="44"/>
      <c r="RUB507" s="44"/>
      <c r="RUC507" s="44"/>
      <c r="RUD507" s="44"/>
      <c r="RUE507" s="44"/>
      <c r="RUF507" s="44"/>
      <c r="RUG507" s="44"/>
      <c r="RUH507" s="44"/>
      <c r="RUI507" s="44"/>
      <c r="RUJ507" s="44"/>
      <c r="RUK507" s="44"/>
      <c r="RUL507" s="44"/>
      <c r="RUM507" s="44"/>
      <c r="RUN507" s="44"/>
      <c r="RUO507" s="44"/>
      <c r="RUP507" s="44"/>
      <c r="RUQ507" s="44"/>
      <c r="RUR507" s="44"/>
      <c r="RUS507" s="44"/>
      <c r="RUT507" s="44"/>
      <c r="RUU507" s="44"/>
      <c r="RUV507" s="44"/>
      <c r="RUW507" s="44"/>
      <c r="RUX507" s="44"/>
      <c r="RUY507" s="44"/>
      <c r="RUZ507" s="44"/>
      <c r="RVA507" s="44"/>
      <c r="RVB507" s="44"/>
      <c r="RVC507" s="44"/>
      <c r="RVD507" s="44"/>
      <c r="RVE507" s="44"/>
      <c r="RVF507" s="44"/>
      <c r="RVG507" s="44"/>
      <c r="RVH507" s="44"/>
      <c r="RVI507" s="44"/>
      <c r="RVJ507" s="44"/>
      <c r="RVK507" s="44"/>
      <c r="RVL507" s="44"/>
      <c r="RVM507" s="44"/>
      <c r="RVN507" s="44"/>
      <c r="RVO507" s="44"/>
      <c r="RVP507" s="44"/>
      <c r="RVQ507" s="44"/>
      <c r="RVR507" s="44"/>
      <c r="RVS507" s="44"/>
      <c r="RVT507" s="44"/>
      <c r="RVU507" s="44"/>
      <c r="RVV507" s="44"/>
      <c r="RVW507" s="44"/>
      <c r="RVX507" s="44"/>
      <c r="RVY507" s="44"/>
      <c r="RVZ507" s="44"/>
      <c r="RWA507" s="44"/>
      <c r="RWB507" s="44"/>
      <c r="RWC507" s="44"/>
      <c r="RWD507" s="44"/>
      <c r="RWE507" s="44"/>
      <c r="RWF507" s="44"/>
      <c r="RWG507" s="44"/>
      <c r="RWH507" s="44"/>
      <c r="RWI507" s="44"/>
      <c r="RWJ507" s="44"/>
      <c r="RWK507" s="44"/>
      <c r="RWL507" s="44"/>
      <c r="RWM507" s="44"/>
      <c r="RWN507" s="44"/>
      <c r="RWO507" s="44"/>
      <c r="RWP507" s="44"/>
      <c r="RWQ507" s="44"/>
      <c r="RWR507" s="44"/>
      <c r="RWS507" s="44"/>
      <c r="RWT507" s="44"/>
      <c r="RWU507" s="44"/>
      <c r="RWV507" s="44"/>
      <c r="RWW507" s="44"/>
      <c r="RWX507" s="44"/>
      <c r="RWY507" s="44"/>
      <c r="RWZ507" s="44"/>
      <c r="RXA507" s="44"/>
      <c r="RXB507" s="44"/>
      <c r="RXC507" s="44"/>
      <c r="RXD507" s="44"/>
      <c r="RXE507" s="44"/>
      <c r="RXF507" s="44"/>
      <c r="RXG507" s="44"/>
      <c r="RXH507" s="44"/>
      <c r="RXI507" s="44"/>
      <c r="RXJ507" s="44"/>
      <c r="RXK507" s="44"/>
      <c r="RXL507" s="44"/>
      <c r="RXM507" s="44"/>
      <c r="RXN507" s="44"/>
      <c r="RXO507" s="44"/>
      <c r="RXP507" s="44"/>
      <c r="RXQ507" s="44"/>
      <c r="RXR507" s="44"/>
      <c r="RXS507" s="44"/>
      <c r="RXT507" s="44"/>
      <c r="RXU507" s="44"/>
      <c r="RXV507" s="44"/>
      <c r="RXW507" s="44"/>
      <c r="RXX507" s="44"/>
      <c r="RXY507" s="44"/>
      <c r="RXZ507" s="44"/>
      <c r="RYA507" s="44"/>
      <c r="RYB507" s="44"/>
      <c r="RYC507" s="44"/>
      <c r="RYD507" s="44"/>
      <c r="RYE507" s="44"/>
      <c r="RYF507" s="44"/>
      <c r="RYG507" s="44"/>
      <c r="RYH507" s="44"/>
      <c r="RYI507" s="44"/>
      <c r="RYJ507" s="44"/>
      <c r="RYK507" s="44"/>
      <c r="RYL507" s="44"/>
      <c r="RYM507" s="44"/>
      <c r="RYN507" s="44"/>
      <c r="RYO507" s="44"/>
      <c r="RYP507" s="44"/>
      <c r="RYQ507" s="44"/>
      <c r="RYR507" s="44"/>
      <c r="RYS507" s="44"/>
      <c r="RYT507" s="44"/>
      <c r="RYU507" s="44"/>
      <c r="RYV507" s="44"/>
      <c r="RYW507" s="44"/>
      <c r="RYX507" s="44"/>
      <c r="RYY507" s="44"/>
      <c r="RYZ507" s="44"/>
      <c r="RZA507" s="44"/>
      <c r="RZB507" s="44"/>
      <c r="RZC507" s="44"/>
      <c r="RZD507" s="44"/>
      <c r="RZE507" s="44"/>
      <c r="RZF507" s="44"/>
      <c r="RZG507" s="44"/>
      <c r="RZH507" s="44"/>
      <c r="RZI507" s="44"/>
      <c r="RZJ507" s="44"/>
      <c r="RZK507" s="44"/>
      <c r="RZL507" s="44"/>
      <c r="RZM507" s="44"/>
      <c r="RZN507" s="44"/>
      <c r="RZO507" s="44"/>
      <c r="RZP507" s="44"/>
      <c r="RZQ507" s="44"/>
      <c r="RZR507" s="44"/>
      <c r="RZS507" s="44"/>
      <c r="RZT507" s="44"/>
      <c r="RZU507" s="44"/>
      <c r="RZV507" s="44"/>
      <c r="RZW507" s="44"/>
      <c r="RZX507" s="44"/>
      <c r="RZY507" s="44"/>
      <c r="RZZ507" s="44"/>
      <c r="SAA507" s="44"/>
      <c r="SAB507" s="44"/>
      <c r="SAC507" s="44"/>
      <c r="SAD507" s="44"/>
      <c r="SAE507" s="44"/>
      <c r="SAF507" s="44"/>
      <c r="SAG507" s="44"/>
      <c r="SAH507" s="44"/>
      <c r="SAI507" s="44"/>
      <c r="SAJ507" s="44"/>
      <c r="SAK507" s="44"/>
      <c r="SAL507" s="44"/>
      <c r="SAM507" s="44"/>
      <c r="SAN507" s="44"/>
      <c r="SAO507" s="44"/>
      <c r="SAP507" s="44"/>
      <c r="SAQ507" s="44"/>
      <c r="SAR507" s="44"/>
      <c r="SAS507" s="44"/>
      <c r="SAT507" s="44"/>
      <c r="SAU507" s="44"/>
      <c r="SAV507" s="44"/>
      <c r="SAW507" s="44"/>
      <c r="SAX507" s="44"/>
      <c r="SAY507" s="44"/>
      <c r="SAZ507" s="44"/>
      <c r="SBA507" s="44"/>
      <c r="SBB507" s="44"/>
      <c r="SBC507" s="44"/>
      <c r="SBD507" s="44"/>
      <c r="SBE507" s="44"/>
      <c r="SBF507" s="44"/>
      <c r="SBG507" s="44"/>
      <c r="SBH507" s="44"/>
      <c r="SBI507" s="44"/>
      <c r="SBJ507" s="44"/>
      <c r="SBK507" s="44"/>
      <c r="SBL507" s="44"/>
      <c r="SBM507" s="44"/>
      <c r="SBN507" s="44"/>
      <c r="SBO507" s="44"/>
      <c r="SBP507" s="44"/>
      <c r="SBQ507" s="44"/>
      <c r="SBR507" s="44"/>
      <c r="SBS507" s="44"/>
      <c r="SBT507" s="44"/>
      <c r="SBU507" s="44"/>
      <c r="SBV507" s="44"/>
      <c r="SBW507" s="44"/>
      <c r="SBX507" s="44"/>
      <c r="SBY507" s="44"/>
      <c r="SBZ507" s="44"/>
      <c r="SCA507" s="44"/>
      <c r="SCB507" s="44"/>
      <c r="SCC507" s="44"/>
      <c r="SCD507" s="44"/>
      <c r="SCE507" s="44"/>
      <c r="SCF507" s="44"/>
      <c r="SCG507" s="44"/>
      <c r="SCH507" s="44"/>
      <c r="SCI507" s="44"/>
      <c r="SCJ507" s="44"/>
      <c r="SCK507" s="44"/>
      <c r="SCL507" s="44"/>
      <c r="SCM507" s="44"/>
      <c r="SCN507" s="44"/>
      <c r="SCO507" s="44"/>
      <c r="SCP507" s="44"/>
      <c r="SCQ507" s="44"/>
      <c r="SCR507" s="44"/>
      <c r="SCS507" s="44"/>
      <c r="SCT507" s="44"/>
      <c r="SCU507" s="44"/>
      <c r="SCV507" s="44"/>
      <c r="SCW507" s="44"/>
      <c r="SCX507" s="44"/>
      <c r="SCY507" s="44"/>
      <c r="SCZ507" s="44"/>
      <c r="SDA507" s="44"/>
      <c r="SDB507" s="44"/>
      <c r="SDC507" s="44"/>
      <c r="SDD507" s="44"/>
      <c r="SDE507" s="44"/>
      <c r="SDF507" s="44"/>
      <c r="SDG507" s="44"/>
      <c r="SDH507" s="44"/>
      <c r="SDI507" s="44"/>
      <c r="SDJ507" s="44"/>
      <c r="SDK507" s="44"/>
      <c r="SDL507" s="44"/>
      <c r="SDM507" s="44"/>
      <c r="SDN507" s="44"/>
      <c r="SDO507" s="44"/>
      <c r="SDP507" s="44"/>
      <c r="SDQ507" s="44"/>
      <c r="SDR507" s="44"/>
      <c r="SDS507" s="44"/>
      <c r="SDT507" s="44"/>
      <c r="SDU507" s="44"/>
      <c r="SDV507" s="44"/>
      <c r="SDW507" s="44"/>
      <c r="SDX507" s="44"/>
      <c r="SDY507" s="44"/>
      <c r="SDZ507" s="44"/>
      <c r="SEA507" s="44"/>
      <c r="SEB507" s="44"/>
      <c r="SEC507" s="44"/>
      <c r="SED507" s="44"/>
      <c r="SEE507" s="44"/>
      <c r="SEF507" s="44"/>
      <c r="SEG507" s="44"/>
      <c r="SEH507" s="44"/>
      <c r="SEI507" s="44"/>
      <c r="SEJ507" s="44"/>
      <c r="SEK507" s="44"/>
      <c r="SEL507" s="44"/>
      <c r="SEM507" s="44"/>
      <c r="SEN507" s="44"/>
      <c r="SEO507" s="44"/>
      <c r="SEP507" s="44"/>
      <c r="SEQ507" s="44"/>
      <c r="SER507" s="44"/>
      <c r="SES507" s="44"/>
      <c r="SET507" s="44"/>
      <c r="SEU507" s="44"/>
      <c r="SEV507" s="44"/>
      <c r="SEW507" s="44"/>
      <c r="SEX507" s="44"/>
      <c r="SEY507" s="44"/>
      <c r="SEZ507" s="44"/>
      <c r="SFA507" s="44"/>
      <c r="SFB507" s="44"/>
      <c r="SFC507" s="44"/>
      <c r="SFD507" s="44"/>
      <c r="SFE507" s="44"/>
      <c r="SFF507" s="44"/>
      <c r="SFG507" s="44"/>
      <c r="SFH507" s="44"/>
      <c r="SFI507" s="44"/>
      <c r="SFJ507" s="44"/>
      <c r="SFK507" s="44"/>
      <c r="SFL507" s="44"/>
      <c r="SFM507" s="44"/>
      <c r="SFN507" s="44"/>
      <c r="SFO507" s="44"/>
      <c r="SFP507" s="44"/>
      <c r="SFQ507" s="44"/>
      <c r="SFR507" s="44"/>
      <c r="SFS507" s="44"/>
      <c r="SFT507" s="44"/>
      <c r="SFU507" s="44"/>
      <c r="SFV507" s="44"/>
      <c r="SFW507" s="44"/>
      <c r="SFX507" s="44"/>
      <c r="SFY507" s="44"/>
      <c r="SFZ507" s="44"/>
      <c r="SGA507" s="44"/>
      <c r="SGB507" s="44"/>
      <c r="SGC507" s="44"/>
      <c r="SGD507" s="44"/>
      <c r="SGE507" s="44"/>
      <c r="SGF507" s="44"/>
      <c r="SGG507" s="44"/>
      <c r="SGH507" s="44"/>
      <c r="SGI507" s="44"/>
      <c r="SGJ507" s="44"/>
      <c r="SGK507" s="44"/>
      <c r="SGL507" s="44"/>
      <c r="SGM507" s="44"/>
      <c r="SGN507" s="44"/>
      <c r="SGO507" s="44"/>
      <c r="SGP507" s="44"/>
      <c r="SGQ507" s="44"/>
      <c r="SGR507" s="44"/>
      <c r="SGS507" s="44"/>
      <c r="SGT507" s="44"/>
      <c r="SGU507" s="44"/>
      <c r="SGV507" s="44"/>
      <c r="SGW507" s="44"/>
      <c r="SGX507" s="44"/>
      <c r="SGY507" s="44"/>
      <c r="SGZ507" s="44"/>
      <c r="SHA507" s="44"/>
      <c r="SHB507" s="44"/>
      <c r="SHC507" s="44"/>
      <c r="SHD507" s="44"/>
      <c r="SHE507" s="44"/>
      <c r="SHF507" s="44"/>
      <c r="SHG507" s="44"/>
      <c r="SHH507" s="44"/>
      <c r="SHI507" s="44"/>
      <c r="SHJ507" s="44"/>
      <c r="SHK507" s="44"/>
      <c r="SHL507" s="44"/>
      <c r="SHM507" s="44"/>
      <c r="SHN507" s="44"/>
      <c r="SHO507" s="44"/>
      <c r="SHP507" s="44"/>
      <c r="SHQ507" s="44"/>
      <c r="SHR507" s="44"/>
      <c r="SHS507" s="44"/>
      <c r="SHT507" s="44"/>
      <c r="SHU507" s="44"/>
      <c r="SHV507" s="44"/>
      <c r="SHW507" s="44"/>
      <c r="SHX507" s="44"/>
      <c r="SHY507" s="44"/>
      <c r="SHZ507" s="44"/>
      <c r="SIA507" s="44"/>
      <c r="SIB507" s="44"/>
      <c r="SIC507" s="44"/>
      <c r="SID507" s="44"/>
      <c r="SIE507" s="44"/>
      <c r="SIF507" s="44"/>
      <c r="SIG507" s="44"/>
      <c r="SIH507" s="44"/>
      <c r="SII507" s="44"/>
      <c r="SIJ507" s="44"/>
      <c r="SIK507" s="44"/>
      <c r="SIL507" s="44"/>
      <c r="SIM507" s="44"/>
      <c r="SIN507" s="44"/>
      <c r="SIO507" s="44"/>
      <c r="SIP507" s="44"/>
      <c r="SIQ507" s="44"/>
      <c r="SIR507" s="44"/>
      <c r="SIS507" s="44"/>
      <c r="SIT507" s="44"/>
      <c r="SIU507" s="44"/>
      <c r="SIV507" s="44"/>
      <c r="SIW507" s="44"/>
      <c r="SIX507" s="44"/>
      <c r="SIY507" s="44"/>
      <c r="SIZ507" s="44"/>
      <c r="SJA507" s="44"/>
      <c r="SJB507" s="44"/>
      <c r="SJC507" s="44"/>
      <c r="SJD507" s="44"/>
      <c r="SJE507" s="44"/>
      <c r="SJF507" s="44"/>
      <c r="SJG507" s="44"/>
      <c r="SJH507" s="44"/>
      <c r="SJI507" s="44"/>
      <c r="SJJ507" s="44"/>
      <c r="SJK507" s="44"/>
      <c r="SJL507" s="44"/>
      <c r="SJM507" s="44"/>
      <c r="SJN507" s="44"/>
      <c r="SJO507" s="44"/>
      <c r="SJP507" s="44"/>
      <c r="SJQ507" s="44"/>
      <c r="SJR507" s="44"/>
      <c r="SJS507" s="44"/>
      <c r="SJT507" s="44"/>
      <c r="SJU507" s="44"/>
      <c r="SJV507" s="44"/>
      <c r="SJW507" s="44"/>
      <c r="SJX507" s="44"/>
      <c r="SJY507" s="44"/>
      <c r="SJZ507" s="44"/>
      <c r="SKA507" s="44"/>
      <c r="SKB507" s="44"/>
      <c r="SKC507" s="44"/>
      <c r="SKD507" s="44"/>
      <c r="SKE507" s="44"/>
      <c r="SKF507" s="44"/>
      <c r="SKG507" s="44"/>
      <c r="SKH507" s="44"/>
      <c r="SKI507" s="44"/>
      <c r="SKJ507" s="44"/>
      <c r="SKK507" s="44"/>
      <c r="SKL507" s="44"/>
      <c r="SKM507" s="44"/>
      <c r="SKN507" s="44"/>
      <c r="SKO507" s="44"/>
      <c r="SKP507" s="44"/>
      <c r="SKQ507" s="44"/>
      <c r="SKR507" s="44"/>
      <c r="SKS507" s="44"/>
      <c r="SKT507" s="44"/>
      <c r="SKU507" s="44"/>
      <c r="SKV507" s="44"/>
      <c r="SKW507" s="44"/>
      <c r="SKX507" s="44"/>
      <c r="SKY507" s="44"/>
      <c r="SKZ507" s="44"/>
      <c r="SLA507" s="44"/>
      <c r="SLB507" s="44"/>
      <c r="SLC507" s="44"/>
      <c r="SLD507" s="44"/>
      <c r="SLE507" s="44"/>
      <c r="SLF507" s="44"/>
      <c r="SLG507" s="44"/>
      <c r="SLH507" s="44"/>
      <c r="SLI507" s="44"/>
      <c r="SLJ507" s="44"/>
      <c r="SLK507" s="44"/>
      <c r="SLL507" s="44"/>
      <c r="SLM507" s="44"/>
      <c r="SLN507" s="44"/>
      <c r="SLO507" s="44"/>
      <c r="SLP507" s="44"/>
      <c r="SLQ507" s="44"/>
      <c r="SLR507" s="44"/>
      <c r="SLS507" s="44"/>
      <c r="SLT507" s="44"/>
      <c r="SLU507" s="44"/>
      <c r="SLV507" s="44"/>
      <c r="SLW507" s="44"/>
      <c r="SLX507" s="44"/>
      <c r="SLY507" s="44"/>
      <c r="SLZ507" s="44"/>
      <c r="SMA507" s="44"/>
      <c r="SMB507" s="44"/>
      <c r="SMC507" s="44"/>
      <c r="SMD507" s="44"/>
      <c r="SME507" s="44"/>
      <c r="SMF507" s="44"/>
      <c r="SMG507" s="44"/>
      <c r="SMH507" s="44"/>
      <c r="SMI507" s="44"/>
      <c r="SMJ507" s="44"/>
      <c r="SMK507" s="44"/>
      <c r="SML507" s="44"/>
      <c r="SMM507" s="44"/>
      <c r="SMN507" s="44"/>
      <c r="SMO507" s="44"/>
      <c r="SMP507" s="44"/>
      <c r="SMQ507" s="44"/>
      <c r="SMR507" s="44"/>
      <c r="SMS507" s="44"/>
      <c r="SMT507" s="44"/>
      <c r="SMU507" s="44"/>
      <c r="SMV507" s="44"/>
      <c r="SMW507" s="44"/>
      <c r="SMX507" s="44"/>
      <c r="SMY507" s="44"/>
      <c r="SMZ507" s="44"/>
      <c r="SNA507" s="44"/>
      <c r="SNB507" s="44"/>
      <c r="SNC507" s="44"/>
      <c r="SND507" s="44"/>
      <c r="SNE507" s="44"/>
      <c r="SNF507" s="44"/>
      <c r="SNG507" s="44"/>
      <c r="SNH507" s="44"/>
      <c r="SNI507" s="44"/>
      <c r="SNJ507" s="44"/>
      <c r="SNK507" s="44"/>
      <c r="SNL507" s="44"/>
      <c r="SNM507" s="44"/>
      <c r="SNN507" s="44"/>
      <c r="SNO507" s="44"/>
      <c r="SNP507" s="44"/>
      <c r="SNQ507" s="44"/>
      <c r="SNR507" s="44"/>
      <c r="SNS507" s="44"/>
      <c r="SNT507" s="44"/>
      <c r="SNU507" s="44"/>
      <c r="SNV507" s="44"/>
      <c r="SNW507" s="44"/>
      <c r="SNX507" s="44"/>
      <c r="SNY507" s="44"/>
      <c r="SNZ507" s="44"/>
      <c r="SOA507" s="44"/>
      <c r="SOB507" s="44"/>
      <c r="SOC507" s="44"/>
      <c r="SOD507" s="44"/>
      <c r="SOE507" s="44"/>
      <c r="SOF507" s="44"/>
      <c r="SOG507" s="44"/>
      <c r="SOH507" s="44"/>
      <c r="SOI507" s="44"/>
      <c r="SOJ507" s="44"/>
      <c r="SOK507" s="44"/>
      <c r="SOL507" s="44"/>
      <c r="SOM507" s="44"/>
      <c r="SON507" s="44"/>
      <c r="SOO507" s="44"/>
      <c r="SOP507" s="44"/>
      <c r="SOQ507" s="44"/>
      <c r="SOR507" s="44"/>
      <c r="SOS507" s="44"/>
      <c r="SOT507" s="44"/>
      <c r="SOU507" s="44"/>
      <c r="SOV507" s="44"/>
      <c r="SOW507" s="44"/>
      <c r="SOX507" s="44"/>
      <c r="SOY507" s="44"/>
      <c r="SOZ507" s="44"/>
      <c r="SPA507" s="44"/>
      <c r="SPB507" s="44"/>
      <c r="SPC507" s="44"/>
      <c r="SPD507" s="44"/>
      <c r="SPE507" s="44"/>
      <c r="SPF507" s="44"/>
      <c r="SPG507" s="44"/>
      <c r="SPH507" s="44"/>
      <c r="SPI507" s="44"/>
      <c r="SPJ507" s="44"/>
      <c r="SPK507" s="44"/>
      <c r="SPL507" s="44"/>
      <c r="SPM507" s="44"/>
      <c r="SPN507" s="44"/>
      <c r="SPO507" s="44"/>
      <c r="SPP507" s="44"/>
      <c r="SPQ507" s="44"/>
      <c r="SPR507" s="44"/>
      <c r="SPS507" s="44"/>
      <c r="SPT507" s="44"/>
      <c r="SPU507" s="44"/>
      <c r="SPV507" s="44"/>
      <c r="SPW507" s="44"/>
      <c r="SPX507" s="44"/>
      <c r="SPY507" s="44"/>
      <c r="SPZ507" s="44"/>
      <c r="SQA507" s="44"/>
      <c r="SQB507" s="44"/>
      <c r="SQC507" s="44"/>
      <c r="SQD507" s="44"/>
      <c r="SQE507" s="44"/>
      <c r="SQF507" s="44"/>
      <c r="SQG507" s="44"/>
      <c r="SQH507" s="44"/>
      <c r="SQI507" s="44"/>
      <c r="SQJ507" s="44"/>
      <c r="SQK507" s="44"/>
      <c r="SQL507" s="44"/>
      <c r="SQM507" s="44"/>
      <c r="SQN507" s="44"/>
      <c r="SQO507" s="44"/>
      <c r="SQP507" s="44"/>
      <c r="SQQ507" s="44"/>
      <c r="SQR507" s="44"/>
      <c r="SQS507" s="44"/>
      <c r="SQT507" s="44"/>
      <c r="SQU507" s="44"/>
      <c r="SQV507" s="44"/>
      <c r="SQW507" s="44"/>
      <c r="SQX507" s="44"/>
      <c r="SQY507" s="44"/>
      <c r="SQZ507" s="44"/>
      <c r="SRA507" s="44"/>
      <c r="SRB507" s="44"/>
      <c r="SRC507" s="44"/>
      <c r="SRD507" s="44"/>
      <c r="SRE507" s="44"/>
      <c r="SRF507" s="44"/>
      <c r="SRG507" s="44"/>
      <c r="SRH507" s="44"/>
      <c r="SRI507" s="44"/>
      <c r="SRJ507" s="44"/>
      <c r="SRK507" s="44"/>
      <c r="SRL507" s="44"/>
      <c r="SRM507" s="44"/>
      <c r="SRN507" s="44"/>
      <c r="SRO507" s="44"/>
      <c r="SRP507" s="44"/>
      <c r="SRQ507" s="44"/>
      <c r="SRR507" s="44"/>
      <c r="SRS507" s="44"/>
      <c r="SRT507" s="44"/>
      <c r="SRU507" s="44"/>
      <c r="SRV507" s="44"/>
      <c r="SRW507" s="44"/>
      <c r="SRX507" s="44"/>
      <c r="SRY507" s="44"/>
      <c r="SRZ507" s="44"/>
      <c r="SSA507" s="44"/>
      <c r="SSB507" s="44"/>
      <c r="SSC507" s="44"/>
      <c r="SSD507" s="44"/>
      <c r="SSE507" s="44"/>
      <c r="SSF507" s="44"/>
      <c r="SSG507" s="44"/>
      <c r="SSH507" s="44"/>
      <c r="SSI507" s="44"/>
      <c r="SSJ507" s="44"/>
      <c r="SSK507" s="44"/>
      <c r="SSL507" s="44"/>
      <c r="SSM507" s="44"/>
      <c r="SSN507" s="44"/>
      <c r="SSO507" s="44"/>
      <c r="SSP507" s="44"/>
      <c r="SSQ507" s="44"/>
      <c r="SSR507" s="44"/>
      <c r="SSS507" s="44"/>
      <c r="SST507" s="44"/>
      <c r="SSU507" s="44"/>
      <c r="SSV507" s="44"/>
      <c r="SSW507" s="44"/>
      <c r="SSX507" s="44"/>
      <c r="SSY507" s="44"/>
      <c r="SSZ507" s="44"/>
      <c r="STA507" s="44"/>
      <c r="STB507" s="44"/>
      <c r="STC507" s="44"/>
      <c r="STD507" s="44"/>
      <c r="STE507" s="44"/>
      <c r="STF507" s="44"/>
      <c r="STG507" s="44"/>
      <c r="STH507" s="44"/>
      <c r="STI507" s="44"/>
      <c r="STJ507" s="44"/>
      <c r="STK507" s="44"/>
      <c r="STL507" s="44"/>
      <c r="STM507" s="44"/>
      <c r="STN507" s="44"/>
      <c r="STO507" s="44"/>
      <c r="STP507" s="44"/>
      <c r="STQ507" s="44"/>
      <c r="STR507" s="44"/>
      <c r="STS507" s="44"/>
      <c r="STT507" s="44"/>
      <c r="STU507" s="44"/>
      <c r="STV507" s="44"/>
      <c r="STW507" s="44"/>
      <c r="STX507" s="44"/>
      <c r="STY507" s="44"/>
      <c r="STZ507" s="44"/>
      <c r="SUA507" s="44"/>
      <c r="SUB507" s="44"/>
      <c r="SUC507" s="44"/>
      <c r="SUD507" s="44"/>
      <c r="SUE507" s="44"/>
      <c r="SUF507" s="44"/>
      <c r="SUG507" s="44"/>
      <c r="SUH507" s="44"/>
      <c r="SUI507" s="44"/>
      <c r="SUJ507" s="44"/>
      <c r="SUK507" s="44"/>
      <c r="SUL507" s="44"/>
      <c r="SUM507" s="44"/>
      <c r="SUN507" s="44"/>
      <c r="SUO507" s="44"/>
      <c r="SUP507" s="44"/>
      <c r="SUQ507" s="44"/>
      <c r="SUR507" s="44"/>
      <c r="SUS507" s="44"/>
      <c r="SUT507" s="44"/>
      <c r="SUU507" s="44"/>
      <c r="SUV507" s="44"/>
      <c r="SUW507" s="44"/>
      <c r="SUX507" s="44"/>
      <c r="SUY507" s="44"/>
      <c r="SUZ507" s="44"/>
      <c r="SVA507" s="44"/>
      <c r="SVB507" s="44"/>
      <c r="SVC507" s="44"/>
      <c r="SVD507" s="44"/>
      <c r="SVE507" s="44"/>
      <c r="SVF507" s="44"/>
      <c r="SVG507" s="44"/>
      <c r="SVH507" s="44"/>
      <c r="SVI507" s="44"/>
      <c r="SVJ507" s="44"/>
      <c r="SVK507" s="44"/>
      <c r="SVL507" s="44"/>
      <c r="SVM507" s="44"/>
      <c r="SVN507" s="44"/>
      <c r="SVO507" s="44"/>
      <c r="SVP507" s="44"/>
      <c r="SVQ507" s="44"/>
      <c r="SVR507" s="44"/>
      <c r="SVS507" s="44"/>
      <c r="SVT507" s="44"/>
      <c r="SVU507" s="44"/>
      <c r="SVV507" s="44"/>
      <c r="SVW507" s="44"/>
      <c r="SVX507" s="44"/>
      <c r="SVY507" s="44"/>
      <c r="SVZ507" s="44"/>
      <c r="SWA507" s="44"/>
      <c r="SWB507" s="44"/>
      <c r="SWC507" s="44"/>
      <c r="SWD507" s="44"/>
      <c r="SWE507" s="44"/>
      <c r="SWF507" s="44"/>
      <c r="SWG507" s="44"/>
      <c r="SWH507" s="44"/>
      <c r="SWI507" s="44"/>
      <c r="SWJ507" s="44"/>
      <c r="SWK507" s="44"/>
      <c r="SWL507" s="44"/>
      <c r="SWM507" s="44"/>
      <c r="SWN507" s="44"/>
      <c r="SWO507" s="44"/>
      <c r="SWP507" s="44"/>
      <c r="SWQ507" s="44"/>
      <c r="SWR507" s="44"/>
      <c r="SWS507" s="44"/>
      <c r="SWT507" s="44"/>
      <c r="SWU507" s="44"/>
      <c r="SWV507" s="44"/>
      <c r="SWW507" s="44"/>
      <c r="SWX507" s="44"/>
      <c r="SWY507" s="44"/>
      <c r="SWZ507" s="44"/>
      <c r="SXA507" s="44"/>
      <c r="SXB507" s="44"/>
      <c r="SXC507" s="44"/>
      <c r="SXD507" s="44"/>
      <c r="SXE507" s="44"/>
      <c r="SXF507" s="44"/>
      <c r="SXG507" s="44"/>
      <c r="SXH507" s="44"/>
      <c r="SXI507" s="44"/>
      <c r="SXJ507" s="44"/>
      <c r="SXK507" s="44"/>
      <c r="SXL507" s="44"/>
      <c r="SXM507" s="44"/>
      <c r="SXN507" s="44"/>
      <c r="SXO507" s="44"/>
      <c r="SXP507" s="44"/>
      <c r="SXQ507" s="44"/>
      <c r="SXR507" s="44"/>
      <c r="SXS507" s="44"/>
      <c r="SXT507" s="44"/>
      <c r="SXU507" s="44"/>
      <c r="SXV507" s="44"/>
      <c r="SXW507" s="44"/>
      <c r="SXX507" s="44"/>
      <c r="SXY507" s="44"/>
      <c r="SXZ507" s="44"/>
      <c r="SYA507" s="44"/>
      <c r="SYB507" s="44"/>
      <c r="SYC507" s="44"/>
      <c r="SYD507" s="44"/>
      <c r="SYE507" s="44"/>
      <c r="SYF507" s="44"/>
      <c r="SYG507" s="44"/>
      <c r="SYH507" s="44"/>
      <c r="SYI507" s="44"/>
      <c r="SYJ507" s="44"/>
      <c r="SYK507" s="44"/>
      <c r="SYL507" s="44"/>
      <c r="SYM507" s="44"/>
      <c r="SYN507" s="44"/>
      <c r="SYO507" s="44"/>
      <c r="SYP507" s="44"/>
      <c r="SYQ507" s="44"/>
      <c r="SYR507" s="44"/>
      <c r="SYS507" s="44"/>
      <c r="SYT507" s="44"/>
      <c r="SYU507" s="44"/>
      <c r="SYV507" s="44"/>
      <c r="SYW507" s="44"/>
      <c r="SYX507" s="44"/>
      <c r="SYY507" s="44"/>
      <c r="SYZ507" s="44"/>
      <c r="SZA507" s="44"/>
      <c r="SZB507" s="44"/>
      <c r="SZC507" s="44"/>
      <c r="SZD507" s="44"/>
      <c r="SZE507" s="44"/>
      <c r="SZF507" s="44"/>
      <c r="SZG507" s="44"/>
      <c r="SZH507" s="44"/>
      <c r="SZI507" s="44"/>
      <c r="SZJ507" s="44"/>
      <c r="SZK507" s="44"/>
      <c r="SZL507" s="44"/>
      <c r="SZM507" s="44"/>
      <c r="SZN507" s="44"/>
      <c r="SZO507" s="44"/>
      <c r="SZP507" s="44"/>
      <c r="SZQ507" s="44"/>
      <c r="SZR507" s="44"/>
      <c r="SZS507" s="44"/>
      <c r="SZT507" s="44"/>
      <c r="SZU507" s="44"/>
      <c r="SZV507" s="44"/>
      <c r="SZW507" s="44"/>
      <c r="SZX507" s="44"/>
      <c r="SZY507" s="44"/>
      <c r="SZZ507" s="44"/>
      <c r="TAA507" s="44"/>
      <c r="TAB507" s="44"/>
      <c r="TAC507" s="44"/>
      <c r="TAD507" s="44"/>
      <c r="TAE507" s="44"/>
      <c r="TAF507" s="44"/>
      <c r="TAG507" s="44"/>
      <c r="TAH507" s="44"/>
      <c r="TAI507" s="44"/>
      <c r="TAJ507" s="44"/>
      <c r="TAK507" s="44"/>
      <c r="TAL507" s="44"/>
      <c r="TAM507" s="44"/>
      <c r="TAN507" s="44"/>
      <c r="TAO507" s="44"/>
      <c r="TAP507" s="44"/>
      <c r="TAQ507" s="44"/>
      <c r="TAR507" s="44"/>
      <c r="TAS507" s="44"/>
      <c r="TAT507" s="44"/>
      <c r="TAU507" s="44"/>
      <c r="TAV507" s="44"/>
      <c r="TAW507" s="44"/>
      <c r="TAX507" s="44"/>
      <c r="TAY507" s="44"/>
      <c r="TAZ507" s="44"/>
      <c r="TBA507" s="44"/>
      <c r="TBB507" s="44"/>
      <c r="TBC507" s="44"/>
      <c r="TBD507" s="44"/>
      <c r="TBE507" s="44"/>
      <c r="TBF507" s="44"/>
      <c r="TBG507" s="44"/>
      <c r="TBH507" s="44"/>
      <c r="TBI507" s="44"/>
      <c r="TBJ507" s="44"/>
      <c r="TBK507" s="44"/>
      <c r="TBL507" s="44"/>
      <c r="TBM507" s="44"/>
      <c r="TBN507" s="44"/>
      <c r="TBO507" s="44"/>
      <c r="TBP507" s="44"/>
      <c r="TBQ507" s="44"/>
      <c r="TBR507" s="44"/>
      <c r="TBS507" s="44"/>
      <c r="TBT507" s="44"/>
      <c r="TBU507" s="44"/>
      <c r="TBV507" s="44"/>
      <c r="TBW507" s="44"/>
      <c r="TBX507" s="44"/>
      <c r="TBY507" s="44"/>
      <c r="TBZ507" s="44"/>
      <c r="TCA507" s="44"/>
      <c r="TCB507" s="44"/>
      <c r="TCC507" s="44"/>
      <c r="TCD507" s="44"/>
      <c r="TCE507" s="44"/>
      <c r="TCF507" s="44"/>
      <c r="TCG507" s="44"/>
      <c r="TCH507" s="44"/>
      <c r="TCI507" s="44"/>
      <c r="TCJ507" s="44"/>
      <c r="TCK507" s="44"/>
      <c r="TCL507" s="44"/>
      <c r="TCM507" s="44"/>
      <c r="TCN507" s="44"/>
      <c r="TCO507" s="44"/>
      <c r="TCP507" s="44"/>
      <c r="TCQ507" s="44"/>
      <c r="TCR507" s="44"/>
      <c r="TCS507" s="44"/>
      <c r="TCT507" s="44"/>
      <c r="TCU507" s="44"/>
      <c r="TCV507" s="44"/>
      <c r="TCW507" s="44"/>
      <c r="TCX507" s="44"/>
      <c r="TCY507" s="44"/>
      <c r="TCZ507" s="44"/>
      <c r="TDA507" s="44"/>
      <c r="TDB507" s="44"/>
      <c r="TDC507" s="44"/>
      <c r="TDD507" s="44"/>
      <c r="TDE507" s="44"/>
      <c r="TDF507" s="44"/>
      <c r="TDG507" s="44"/>
      <c r="TDH507" s="44"/>
      <c r="TDI507" s="44"/>
      <c r="TDJ507" s="44"/>
      <c r="TDK507" s="44"/>
      <c r="TDL507" s="44"/>
      <c r="TDM507" s="44"/>
      <c r="TDN507" s="44"/>
      <c r="TDO507" s="44"/>
      <c r="TDP507" s="44"/>
      <c r="TDQ507" s="44"/>
      <c r="TDR507" s="44"/>
      <c r="TDS507" s="44"/>
      <c r="TDT507" s="44"/>
      <c r="TDU507" s="44"/>
      <c r="TDV507" s="44"/>
      <c r="TDW507" s="44"/>
      <c r="TDX507" s="44"/>
      <c r="TDY507" s="44"/>
      <c r="TDZ507" s="44"/>
      <c r="TEA507" s="44"/>
      <c r="TEB507" s="44"/>
      <c r="TEC507" s="44"/>
      <c r="TED507" s="44"/>
      <c r="TEE507" s="44"/>
      <c r="TEF507" s="44"/>
      <c r="TEG507" s="44"/>
      <c r="TEH507" s="44"/>
      <c r="TEI507" s="44"/>
      <c r="TEJ507" s="44"/>
      <c r="TEK507" s="44"/>
      <c r="TEL507" s="44"/>
      <c r="TEM507" s="44"/>
      <c r="TEN507" s="44"/>
      <c r="TEO507" s="44"/>
      <c r="TEP507" s="44"/>
      <c r="TEQ507" s="44"/>
      <c r="TER507" s="44"/>
      <c r="TES507" s="44"/>
      <c r="TET507" s="44"/>
      <c r="TEU507" s="44"/>
      <c r="TEV507" s="44"/>
      <c r="TEW507" s="44"/>
      <c r="TEX507" s="44"/>
      <c r="TEY507" s="44"/>
      <c r="TEZ507" s="44"/>
      <c r="TFA507" s="44"/>
      <c r="TFB507" s="44"/>
      <c r="TFC507" s="44"/>
      <c r="TFD507" s="44"/>
      <c r="TFE507" s="44"/>
      <c r="TFF507" s="44"/>
      <c r="TFG507" s="44"/>
      <c r="TFH507" s="44"/>
      <c r="TFI507" s="44"/>
      <c r="TFJ507" s="44"/>
      <c r="TFK507" s="44"/>
      <c r="TFL507" s="44"/>
      <c r="TFM507" s="44"/>
      <c r="TFN507" s="44"/>
      <c r="TFO507" s="44"/>
      <c r="TFP507" s="44"/>
      <c r="TFQ507" s="44"/>
      <c r="TFR507" s="44"/>
      <c r="TFS507" s="44"/>
      <c r="TFT507" s="44"/>
      <c r="TFU507" s="44"/>
      <c r="TFV507" s="44"/>
      <c r="TFW507" s="44"/>
      <c r="TFX507" s="44"/>
      <c r="TFY507" s="44"/>
      <c r="TFZ507" s="44"/>
      <c r="TGA507" s="44"/>
      <c r="TGB507" s="44"/>
      <c r="TGC507" s="44"/>
      <c r="TGD507" s="44"/>
      <c r="TGE507" s="44"/>
      <c r="TGF507" s="44"/>
      <c r="TGG507" s="44"/>
      <c r="TGH507" s="44"/>
      <c r="TGI507" s="44"/>
      <c r="TGJ507" s="44"/>
      <c r="TGK507" s="44"/>
      <c r="TGL507" s="44"/>
      <c r="TGM507" s="44"/>
      <c r="TGN507" s="44"/>
      <c r="TGO507" s="44"/>
      <c r="TGP507" s="44"/>
      <c r="TGQ507" s="44"/>
      <c r="TGR507" s="44"/>
      <c r="TGS507" s="44"/>
      <c r="TGT507" s="44"/>
      <c r="TGU507" s="44"/>
      <c r="TGV507" s="44"/>
      <c r="TGW507" s="44"/>
      <c r="TGX507" s="44"/>
      <c r="TGY507" s="44"/>
      <c r="TGZ507" s="44"/>
      <c r="THA507" s="44"/>
      <c r="THB507" s="44"/>
      <c r="THC507" s="44"/>
      <c r="THD507" s="44"/>
      <c r="THE507" s="44"/>
      <c r="THF507" s="44"/>
      <c r="THG507" s="44"/>
      <c r="THH507" s="44"/>
      <c r="THI507" s="44"/>
      <c r="THJ507" s="44"/>
      <c r="THK507" s="44"/>
      <c r="THL507" s="44"/>
      <c r="THM507" s="44"/>
      <c r="THN507" s="44"/>
      <c r="THO507" s="44"/>
      <c r="THP507" s="44"/>
      <c r="THQ507" s="44"/>
      <c r="THR507" s="44"/>
      <c r="THS507" s="44"/>
      <c r="THT507" s="44"/>
      <c r="THU507" s="44"/>
      <c r="THV507" s="44"/>
      <c r="THW507" s="44"/>
      <c r="THX507" s="44"/>
      <c r="THY507" s="44"/>
      <c r="THZ507" s="44"/>
      <c r="TIA507" s="44"/>
      <c r="TIB507" s="44"/>
      <c r="TIC507" s="44"/>
      <c r="TID507" s="44"/>
      <c r="TIE507" s="44"/>
      <c r="TIF507" s="44"/>
      <c r="TIG507" s="44"/>
      <c r="TIH507" s="44"/>
      <c r="TII507" s="44"/>
      <c r="TIJ507" s="44"/>
      <c r="TIK507" s="44"/>
      <c r="TIL507" s="44"/>
      <c r="TIM507" s="44"/>
      <c r="TIN507" s="44"/>
      <c r="TIO507" s="44"/>
      <c r="TIP507" s="44"/>
      <c r="TIQ507" s="44"/>
      <c r="TIR507" s="44"/>
      <c r="TIS507" s="44"/>
      <c r="TIT507" s="44"/>
      <c r="TIU507" s="44"/>
      <c r="TIV507" s="44"/>
      <c r="TIW507" s="44"/>
      <c r="TIX507" s="44"/>
      <c r="TIY507" s="44"/>
      <c r="TIZ507" s="44"/>
      <c r="TJA507" s="44"/>
      <c r="TJB507" s="44"/>
      <c r="TJC507" s="44"/>
      <c r="TJD507" s="44"/>
      <c r="TJE507" s="44"/>
      <c r="TJF507" s="44"/>
      <c r="TJG507" s="44"/>
      <c r="TJH507" s="44"/>
      <c r="TJI507" s="44"/>
      <c r="TJJ507" s="44"/>
      <c r="TJK507" s="44"/>
      <c r="TJL507" s="44"/>
      <c r="TJM507" s="44"/>
      <c r="TJN507" s="44"/>
      <c r="TJO507" s="44"/>
      <c r="TJP507" s="44"/>
      <c r="TJQ507" s="44"/>
      <c r="TJR507" s="44"/>
      <c r="TJS507" s="44"/>
      <c r="TJT507" s="44"/>
      <c r="TJU507" s="44"/>
      <c r="TJV507" s="44"/>
      <c r="TJW507" s="44"/>
      <c r="TJX507" s="44"/>
      <c r="TJY507" s="44"/>
      <c r="TJZ507" s="44"/>
      <c r="TKA507" s="44"/>
      <c r="TKB507" s="44"/>
      <c r="TKC507" s="44"/>
      <c r="TKD507" s="44"/>
      <c r="TKE507" s="44"/>
      <c r="TKF507" s="44"/>
      <c r="TKG507" s="44"/>
      <c r="TKH507" s="44"/>
      <c r="TKI507" s="44"/>
      <c r="TKJ507" s="44"/>
      <c r="TKK507" s="44"/>
      <c r="TKL507" s="44"/>
      <c r="TKM507" s="44"/>
      <c r="TKN507" s="44"/>
      <c r="TKO507" s="44"/>
      <c r="TKP507" s="44"/>
      <c r="TKQ507" s="44"/>
      <c r="TKR507" s="44"/>
      <c r="TKS507" s="44"/>
      <c r="TKT507" s="44"/>
      <c r="TKU507" s="44"/>
      <c r="TKV507" s="44"/>
      <c r="TKW507" s="44"/>
      <c r="TKX507" s="44"/>
      <c r="TKY507" s="44"/>
      <c r="TKZ507" s="44"/>
      <c r="TLA507" s="44"/>
      <c r="TLB507" s="44"/>
      <c r="TLC507" s="44"/>
      <c r="TLD507" s="44"/>
      <c r="TLE507" s="44"/>
      <c r="TLF507" s="44"/>
      <c r="TLG507" s="44"/>
      <c r="TLH507" s="44"/>
      <c r="TLI507" s="44"/>
      <c r="TLJ507" s="44"/>
      <c r="TLK507" s="44"/>
      <c r="TLL507" s="44"/>
      <c r="TLM507" s="44"/>
      <c r="TLN507" s="44"/>
      <c r="TLO507" s="44"/>
      <c r="TLP507" s="44"/>
      <c r="TLQ507" s="44"/>
      <c r="TLR507" s="44"/>
      <c r="TLS507" s="44"/>
      <c r="TLT507" s="44"/>
      <c r="TLU507" s="44"/>
      <c r="TLV507" s="44"/>
      <c r="TLW507" s="44"/>
      <c r="TLX507" s="44"/>
      <c r="TLY507" s="44"/>
      <c r="TLZ507" s="44"/>
      <c r="TMA507" s="44"/>
      <c r="TMB507" s="44"/>
      <c r="TMC507" s="44"/>
      <c r="TMD507" s="44"/>
      <c r="TME507" s="44"/>
      <c r="TMF507" s="44"/>
      <c r="TMG507" s="44"/>
      <c r="TMH507" s="44"/>
      <c r="TMI507" s="44"/>
      <c r="TMJ507" s="44"/>
      <c r="TMK507" s="44"/>
      <c r="TML507" s="44"/>
      <c r="TMM507" s="44"/>
      <c r="TMN507" s="44"/>
      <c r="TMO507" s="44"/>
      <c r="TMP507" s="44"/>
      <c r="TMQ507" s="44"/>
      <c r="TMR507" s="44"/>
      <c r="TMS507" s="44"/>
      <c r="TMT507" s="44"/>
      <c r="TMU507" s="44"/>
      <c r="TMV507" s="44"/>
      <c r="TMW507" s="44"/>
      <c r="TMX507" s="44"/>
      <c r="TMY507" s="44"/>
      <c r="TMZ507" s="44"/>
      <c r="TNA507" s="44"/>
      <c r="TNB507" s="44"/>
      <c r="TNC507" s="44"/>
      <c r="TND507" s="44"/>
      <c r="TNE507" s="44"/>
      <c r="TNF507" s="44"/>
      <c r="TNG507" s="44"/>
      <c r="TNH507" s="44"/>
      <c r="TNI507" s="44"/>
      <c r="TNJ507" s="44"/>
      <c r="TNK507" s="44"/>
      <c r="TNL507" s="44"/>
      <c r="TNM507" s="44"/>
      <c r="TNN507" s="44"/>
      <c r="TNO507" s="44"/>
      <c r="TNP507" s="44"/>
      <c r="TNQ507" s="44"/>
      <c r="TNR507" s="44"/>
      <c r="TNS507" s="44"/>
      <c r="TNT507" s="44"/>
      <c r="TNU507" s="44"/>
      <c r="TNV507" s="44"/>
      <c r="TNW507" s="44"/>
      <c r="TNX507" s="44"/>
      <c r="TNY507" s="44"/>
      <c r="TNZ507" s="44"/>
      <c r="TOA507" s="44"/>
      <c r="TOB507" s="44"/>
      <c r="TOC507" s="44"/>
      <c r="TOD507" s="44"/>
      <c r="TOE507" s="44"/>
      <c r="TOF507" s="44"/>
      <c r="TOG507" s="44"/>
      <c r="TOH507" s="44"/>
      <c r="TOI507" s="44"/>
      <c r="TOJ507" s="44"/>
      <c r="TOK507" s="44"/>
      <c r="TOL507" s="44"/>
      <c r="TOM507" s="44"/>
      <c r="TON507" s="44"/>
      <c r="TOO507" s="44"/>
      <c r="TOP507" s="44"/>
      <c r="TOQ507" s="44"/>
      <c r="TOR507" s="44"/>
      <c r="TOS507" s="44"/>
      <c r="TOT507" s="44"/>
      <c r="TOU507" s="44"/>
      <c r="TOV507" s="44"/>
      <c r="TOW507" s="44"/>
      <c r="TOX507" s="44"/>
      <c r="TOY507" s="44"/>
      <c r="TOZ507" s="44"/>
      <c r="TPA507" s="44"/>
      <c r="TPB507" s="44"/>
      <c r="TPC507" s="44"/>
      <c r="TPD507" s="44"/>
      <c r="TPE507" s="44"/>
      <c r="TPF507" s="44"/>
      <c r="TPG507" s="44"/>
      <c r="TPH507" s="44"/>
      <c r="TPI507" s="44"/>
      <c r="TPJ507" s="44"/>
      <c r="TPK507" s="44"/>
      <c r="TPL507" s="44"/>
      <c r="TPM507" s="44"/>
      <c r="TPN507" s="44"/>
      <c r="TPO507" s="44"/>
      <c r="TPP507" s="44"/>
      <c r="TPQ507" s="44"/>
      <c r="TPR507" s="44"/>
      <c r="TPS507" s="44"/>
      <c r="TPT507" s="44"/>
      <c r="TPU507" s="44"/>
      <c r="TPV507" s="44"/>
      <c r="TPW507" s="44"/>
      <c r="TPX507" s="44"/>
      <c r="TPY507" s="44"/>
      <c r="TPZ507" s="44"/>
      <c r="TQA507" s="44"/>
      <c r="TQB507" s="44"/>
      <c r="TQC507" s="44"/>
      <c r="TQD507" s="44"/>
      <c r="TQE507" s="44"/>
      <c r="TQF507" s="44"/>
      <c r="TQG507" s="44"/>
      <c r="TQH507" s="44"/>
      <c r="TQI507" s="44"/>
      <c r="TQJ507" s="44"/>
      <c r="TQK507" s="44"/>
      <c r="TQL507" s="44"/>
      <c r="TQM507" s="44"/>
      <c r="TQN507" s="44"/>
      <c r="TQO507" s="44"/>
      <c r="TQP507" s="44"/>
      <c r="TQQ507" s="44"/>
      <c r="TQR507" s="44"/>
      <c r="TQS507" s="44"/>
      <c r="TQT507" s="44"/>
      <c r="TQU507" s="44"/>
      <c r="TQV507" s="44"/>
      <c r="TQW507" s="44"/>
      <c r="TQX507" s="44"/>
      <c r="TQY507" s="44"/>
      <c r="TQZ507" s="44"/>
      <c r="TRA507" s="44"/>
      <c r="TRB507" s="44"/>
      <c r="TRC507" s="44"/>
      <c r="TRD507" s="44"/>
      <c r="TRE507" s="44"/>
      <c r="TRF507" s="44"/>
      <c r="TRG507" s="44"/>
      <c r="TRH507" s="44"/>
      <c r="TRI507" s="44"/>
      <c r="TRJ507" s="44"/>
      <c r="TRK507" s="44"/>
      <c r="TRL507" s="44"/>
      <c r="TRM507" s="44"/>
      <c r="TRN507" s="44"/>
      <c r="TRO507" s="44"/>
      <c r="TRP507" s="44"/>
      <c r="TRQ507" s="44"/>
      <c r="TRR507" s="44"/>
      <c r="TRS507" s="44"/>
      <c r="TRT507" s="44"/>
      <c r="TRU507" s="44"/>
      <c r="TRV507" s="44"/>
      <c r="TRW507" s="44"/>
      <c r="TRX507" s="44"/>
      <c r="TRY507" s="44"/>
      <c r="TRZ507" s="44"/>
      <c r="TSA507" s="44"/>
      <c r="TSB507" s="44"/>
      <c r="TSC507" s="44"/>
      <c r="TSD507" s="44"/>
      <c r="TSE507" s="44"/>
      <c r="TSF507" s="44"/>
      <c r="TSG507" s="44"/>
      <c r="TSH507" s="44"/>
      <c r="TSI507" s="44"/>
      <c r="TSJ507" s="44"/>
      <c r="TSK507" s="44"/>
      <c r="TSL507" s="44"/>
      <c r="TSM507" s="44"/>
      <c r="TSN507" s="44"/>
      <c r="TSO507" s="44"/>
      <c r="TSP507" s="44"/>
      <c r="TSQ507" s="44"/>
      <c r="TSR507" s="44"/>
      <c r="TSS507" s="44"/>
      <c r="TST507" s="44"/>
      <c r="TSU507" s="44"/>
      <c r="TSV507" s="44"/>
      <c r="TSW507" s="44"/>
      <c r="TSX507" s="44"/>
      <c r="TSY507" s="44"/>
      <c r="TSZ507" s="44"/>
      <c r="TTA507" s="44"/>
      <c r="TTB507" s="44"/>
      <c r="TTC507" s="44"/>
      <c r="TTD507" s="44"/>
      <c r="TTE507" s="44"/>
      <c r="TTF507" s="44"/>
      <c r="TTG507" s="44"/>
      <c r="TTH507" s="44"/>
      <c r="TTI507" s="44"/>
      <c r="TTJ507" s="44"/>
      <c r="TTK507" s="44"/>
      <c r="TTL507" s="44"/>
      <c r="TTM507" s="44"/>
      <c r="TTN507" s="44"/>
      <c r="TTO507" s="44"/>
      <c r="TTP507" s="44"/>
      <c r="TTQ507" s="44"/>
      <c r="TTR507" s="44"/>
      <c r="TTS507" s="44"/>
      <c r="TTT507" s="44"/>
      <c r="TTU507" s="44"/>
      <c r="TTV507" s="44"/>
      <c r="TTW507" s="44"/>
      <c r="TTX507" s="44"/>
      <c r="TTY507" s="44"/>
      <c r="TTZ507" s="44"/>
      <c r="TUA507" s="44"/>
      <c r="TUB507" s="44"/>
      <c r="TUC507" s="44"/>
      <c r="TUD507" s="44"/>
      <c r="TUE507" s="44"/>
      <c r="TUF507" s="44"/>
      <c r="TUG507" s="44"/>
      <c r="TUH507" s="44"/>
      <c r="TUI507" s="44"/>
      <c r="TUJ507" s="44"/>
      <c r="TUK507" s="44"/>
      <c r="TUL507" s="44"/>
      <c r="TUM507" s="44"/>
      <c r="TUN507" s="44"/>
      <c r="TUO507" s="44"/>
      <c r="TUP507" s="44"/>
      <c r="TUQ507" s="44"/>
      <c r="TUR507" s="44"/>
      <c r="TUS507" s="44"/>
      <c r="TUT507" s="44"/>
      <c r="TUU507" s="44"/>
      <c r="TUV507" s="44"/>
      <c r="TUW507" s="44"/>
      <c r="TUX507" s="44"/>
      <c r="TUY507" s="44"/>
      <c r="TUZ507" s="44"/>
      <c r="TVA507" s="44"/>
      <c r="TVB507" s="44"/>
      <c r="TVC507" s="44"/>
      <c r="TVD507" s="44"/>
      <c r="TVE507" s="44"/>
      <c r="TVF507" s="44"/>
      <c r="TVG507" s="44"/>
      <c r="TVH507" s="44"/>
      <c r="TVI507" s="44"/>
      <c r="TVJ507" s="44"/>
      <c r="TVK507" s="44"/>
      <c r="TVL507" s="44"/>
      <c r="TVM507" s="44"/>
      <c r="TVN507" s="44"/>
      <c r="TVO507" s="44"/>
      <c r="TVP507" s="44"/>
      <c r="TVQ507" s="44"/>
      <c r="TVR507" s="44"/>
      <c r="TVS507" s="44"/>
      <c r="TVT507" s="44"/>
      <c r="TVU507" s="44"/>
      <c r="TVV507" s="44"/>
      <c r="TVW507" s="44"/>
      <c r="TVX507" s="44"/>
      <c r="TVY507" s="44"/>
      <c r="TVZ507" s="44"/>
      <c r="TWA507" s="44"/>
      <c r="TWB507" s="44"/>
      <c r="TWC507" s="44"/>
      <c r="TWD507" s="44"/>
      <c r="TWE507" s="44"/>
      <c r="TWF507" s="44"/>
      <c r="TWG507" s="44"/>
      <c r="TWH507" s="44"/>
      <c r="TWI507" s="44"/>
      <c r="TWJ507" s="44"/>
      <c r="TWK507" s="44"/>
      <c r="TWL507" s="44"/>
      <c r="TWM507" s="44"/>
      <c r="TWN507" s="44"/>
      <c r="TWO507" s="44"/>
      <c r="TWP507" s="44"/>
      <c r="TWQ507" s="44"/>
      <c r="TWR507" s="44"/>
      <c r="TWS507" s="44"/>
      <c r="TWT507" s="44"/>
      <c r="TWU507" s="44"/>
      <c r="TWV507" s="44"/>
      <c r="TWW507" s="44"/>
      <c r="TWX507" s="44"/>
      <c r="TWY507" s="44"/>
      <c r="TWZ507" s="44"/>
      <c r="TXA507" s="44"/>
      <c r="TXB507" s="44"/>
      <c r="TXC507" s="44"/>
      <c r="TXD507" s="44"/>
      <c r="TXE507" s="44"/>
      <c r="TXF507" s="44"/>
      <c r="TXG507" s="44"/>
      <c r="TXH507" s="44"/>
      <c r="TXI507" s="44"/>
      <c r="TXJ507" s="44"/>
      <c r="TXK507" s="44"/>
      <c r="TXL507" s="44"/>
      <c r="TXM507" s="44"/>
      <c r="TXN507" s="44"/>
      <c r="TXO507" s="44"/>
      <c r="TXP507" s="44"/>
      <c r="TXQ507" s="44"/>
      <c r="TXR507" s="44"/>
      <c r="TXS507" s="44"/>
      <c r="TXT507" s="44"/>
      <c r="TXU507" s="44"/>
      <c r="TXV507" s="44"/>
      <c r="TXW507" s="44"/>
      <c r="TXX507" s="44"/>
      <c r="TXY507" s="44"/>
      <c r="TXZ507" s="44"/>
      <c r="TYA507" s="44"/>
      <c r="TYB507" s="44"/>
      <c r="TYC507" s="44"/>
      <c r="TYD507" s="44"/>
      <c r="TYE507" s="44"/>
      <c r="TYF507" s="44"/>
      <c r="TYG507" s="44"/>
      <c r="TYH507" s="44"/>
      <c r="TYI507" s="44"/>
      <c r="TYJ507" s="44"/>
      <c r="TYK507" s="44"/>
      <c r="TYL507" s="44"/>
      <c r="TYM507" s="44"/>
      <c r="TYN507" s="44"/>
      <c r="TYO507" s="44"/>
      <c r="TYP507" s="44"/>
      <c r="TYQ507" s="44"/>
      <c r="TYR507" s="44"/>
      <c r="TYS507" s="44"/>
      <c r="TYT507" s="44"/>
      <c r="TYU507" s="44"/>
      <c r="TYV507" s="44"/>
      <c r="TYW507" s="44"/>
      <c r="TYX507" s="44"/>
      <c r="TYY507" s="44"/>
      <c r="TYZ507" s="44"/>
      <c r="TZA507" s="44"/>
      <c r="TZB507" s="44"/>
      <c r="TZC507" s="44"/>
      <c r="TZD507" s="44"/>
      <c r="TZE507" s="44"/>
      <c r="TZF507" s="44"/>
      <c r="TZG507" s="44"/>
      <c r="TZH507" s="44"/>
      <c r="TZI507" s="44"/>
      <c r="TZJ507" s="44"/>
      <c r="TZK507" s="44"/>
      <c r="TZL507" s="44"/>
      <c r="TZM507" s="44"/>
      <c r="TZN507" s="44"/>
      <c r="TZO507" s="44"/>
      <c r="TZP507" s="44"/>
      <c r="TZQ507" s="44"/>
      <c r="TZR507" s="44"/>
      <c r="TZS507" s="44"/>
      <c r="TZT507" s="44"/>
      <c r="TZU507" s="44"/>
      <c r="TZV507" s="44"/>
      <c r="TZW507" s="44"/>
      <c r="TZX507" s="44"/>
      <c r="TZY507" s="44"/>
      <c r="TZZ507" s="44"/>
      <c r="UAA507" s="44"/>
      <c r="UAB507" s="44"/>
      <c r="UAC507" s="44"/>
      <c r="UAD507" s="44"/>
      <c r="UAE507" s="44"/>
      <c r="UAF507" s="44"/>
      <c r="UAG507" s="44"/>
      <c r="UAH507" s="44"/>
      <c r="UAI507" s="44"/>
      <c r="UAJ507" s="44"/>
      <c r="UAK507" s="44"/>
      <c r="UAL507" s="44"/>
      <c r="UAM507" s="44"/>
      <c r="UAN507" s="44"/>
      <c r="UAO507" s="44"/>
      <c r="UAP507" s="44"/>
      <c r="UAQ507" s="44"/>
      <c r="UAR507" s="44"/>
      <c r="UAS507" s="44"/>
      <c r="UAT507" s="44"/>
      <c r="UAU507" s="44"/>
      <c r="UAV507" s="44"/>
      <c r="UAW507" s="44"/>
      <c r="UAX507" s="44"/>
      <c r="UAY507" s="44"/>
      <c r="UAZ507" s="44"/>
      <c r="UBA507" s="44"/>
      <c r="UBB507" s="44"/>
      <c r="UBC507" s="44"/>
      <c r="UBD507" s="44"/>
      <c r="UBE507" s="44"/>
      <c r="UBF507" s="44"/>
      <c r="UBG507" s="44"/>
      <c r="UBH507" s="44"/>
      <c r="UBI507" s="44"/>
      <c r="UBJ507" s="44"/>
      <c r="UBK507" s="44"/>
      <c r="UBL507" s="44"/>
      <c r="UBM507" s="44"/>
      <c r="UBN507" s="44"/>
      <c r="UBO507" s="44"/>
      <c r="UBP507" s="44"/>
      <c r="UBQ507" s="44"/>
      <c r="UBR507" s="44"/>
      <c r="UBS507" s="44"/>
      <c r="UBT507" s="44"/>
      <c r="UBU507" s="44"/>
      <c r="UBV507" s="44"/>
      <c r="UBW507" s="44"/>
      <c r="UBX507" s="44"/>
      <c r="UBY507" s="44"/>
      <c r="UBZ507" s="44"/>
      <c r="UCA507" s="44"/>
      <c r="UCB507" s="44"/>
      <c r="UCC507" s="44"/>
      <c r="UCD507" s="44"/>
      <c r="UCE507" s="44"/>
      <c r="UCF507" s="44"/>
      <c r="UCG507" s="44"/>
      <c r="UCH507" s="44"/>
      <c r="UCI507" s="44"/>
      <c r="UCJ507" s="44"/>
      <c r="UCK507" s="44"/>
      <c r="UCL507" s="44"/>
      <c r="UCM507" s="44"/>
      <c r="UCN507" s="44"/>
      <c r="UCO507" s="44"/>
      <c r="UCP507" s="44"/>
      <c r="UCQ507" s="44"/>
      <c r="UCR507" s="44"/>
      <c r="UCS507" s="44"/>
      <c r="UCT507" s="44"/>
      <c r="UCU507" s="44"/>
      <c r="UCV507" s="44"/>
      <c r="UCW507" s="44"/>
      <c r="UCX507" s="44"/>
      <c r="UCY507" s="44"/>
      <c r="UCZ507" s="44"/>
      <c r="UDA507" s="44"/>
      <c r="UDB507" s="44"/>
      <c r="UDC507" s="44"/>
      <c r="UDD507" s="44"/>
      <c r="UDE507" s="44"/>
      <c r="UDF507" s="44"/>
      <c r="UDG507" s="44"/>
      <c r="UDH507" s="44"/>
      <c r="UDI507" s="44"/>
      <c r="UDJ507" s="44"/>
      <c r="UDK507" s="44"/>
      <c r="UDL507" s="44"/>
      <c r="UDM507" s="44"/>
      <c r="UDN507" s="44"/>
      <c r="UDO507" s="44"/>
      <c r="UDP507" s="44"/>
      <c r="UDQ507" s="44"/>
      <c r="UDR507" s="44"/>
      <c r="UDS507" s="44"/>
      <c r="UDT507" s="44"/>
      <c r="UDU507" s="44"/>
      <c r="UDV507" s="44"/>
      <c r="UDW507" s="44"/>
      <c r="UDX507" s="44"/>
      <c r="UDY507" s="44"/>
      <c r="UDZ507" s="44"/>
      <c r="UEA507" s="44"/>
      <c r="UEB507" s="44"/>
      <c r="UEC507" s="44"/>
      <c r="UED507" s="44"/>
      <c r="UEE507" s="44"/>
      <c r="UEF507" s="44"/>
      <c r="UEG507" s="44"/>
      <c r="UEH507" s="44"/>
      <c r="UEI507" s="44"/>
      <c r="UEJ507" s="44"/>
      <c r="UEK507" s="44"/>
      <c r="UEL507" s="44"/>
      <c r="UEM507" s="44"/>
      <c r="UEN507" s="44"/>
      <c r="UEO507" s="44"/>
      <c r="UEP507" s="44"/>
      <c r="UEQ507" s="44"/>
      <c r="UER507" s="44"/>
      <c r="UES507" s="44"/>
      <c r="UET507" s="44"/>
      <c r="UEU507" s="44"/>
      <c r="UEV507" s="44"/>
      <c r="UEW507" s="44"/>
      <c r="UEX507" s="44"/>
      <c r="UEY507" s="44"/>
      <c r="UEZ507" s="44"/>
      <c r="UFA507" s="44"/>
      <c r="UFB507" s="44"/>
      <c r="UFC507" s="44"/>
      <c r="UFD507" s="44"/>
      <c r="UFE507" s="44"/>
      <c r="UFF507" s="44"/>
      <c r="UFG507" s="44"/>
      <c r="UFH507" s="44"/>
      <c r="UFI507" s="44"/>
      <c r="UFJ507" s="44"/>
      <c r="UFK507" s="44"/>
      <c r="UFL507" s="44"/>
      <c r="UFM507" s="44"/>
      <c r="UFN507" s="44"/>
      <c r="UFO507" s="44"/>
      <c r="UFP507" s="44"/>
      <c r="UFQ507" s="44"/>
      <c r="UFR507" s="44"/>
      <c r="UFS507" s="44"/>
      <c r="UFT507" s="44"/>
      <c r="UFU507" s="44"/>
      <c r="UFV507" s="44"/>
      <c r="UFW507" s="44"/>
      <c r="UFX507" s="44"/>
      <c r="UFY507" s="44"/>
      <c r="UFZ507" s="44"/>
      <c r="UGA507" s="44"/>
      <c r="UGB507" s="44"/>
      <c r="UGC507" s="44"/>
      <c r="UGD507" s="44"/>
      <c r="UGE507" s="44"/>
      <c r="UGF507" s="44"/>
      <c r="UGG507" s="44"/>
      <c r="UGH507" s="44"/>
      <c r="UGI507" s="44"/>
      <c r="UGJ507" s="44"/>
      <c r="UGK507" s="44"/>
      <c r="UGL507" s="44"/>
      <c r="UGM507" s="44"/>
      <c r="UGN507" s="44"/>
      <c r="UGO507" s="44"/>
      <c r="UGP507" s="44"/>
      <c r="UGQ507" s="44"/>
      <c r="UGR507" s="44"/>
      <c r="UGS507" s="44"/>
      <c r="UGT507" s="44"/>
      <c r="UGU507" s="44"/>
      <c r="UGV507" s="44"/>
      <c r="UGW507" s="44"/>
      <c r="UGX507" s="44"/>
      <c r="UGY507" s="44"/>
      <c r="UGZ507" s="44"/>
      <c r="UHA507" s="44"/>
      <c r="UHB507" s="44"/>
      <c r="UHC507" s="44"/>
      <c r="UHD507" s="44"/>
      <c r="UHE507" s="44"/>
      <c r="UHF507" s="44"/>
      <c r="UHG507" s="44"/>
      <c r="UHH507" s="44"/>
      <c r="UHI507" s="44"/>
      <c r="UHJ507" s="44"/>
      <c r="UHK507" s="44"/>
      <c r="UHL507" s="44"/>
      <c r="UHM507" s="44"/>
      <c r="UHN507" s="44"/>
      <c r="UHO507" s="44"/>
      <c r="UHP507" s="44"/>
      <c r="UHQ507" s="44"/>
      <c r="UHR507" s="44"/>
      <c r="UHS507" s="44"/>
      <c r="UHT507" s="44"/>
      <c r="UHU507" s="44"/>
      <c r="UHV507" s="44"/>
      <c r="UHW507" s="44"/>
      <c r="UHX507" s="44"/>
      <c r="UHY507" s="44"/>
      <c r="UHZ507" s="44"/>
      <c r="UIA507" s="44"/>
      <c r="UIB507" s="44"/>
      <c r="UIC507" s="44"/>
      <c r="UID507" s="44"/>
      <c r="UIE507" s="44"/>
      <c r="UIF507" s="44"/>
      <c r="UIG507" s="44"/>
      <c r="UIH507" s="44"/>
      <c r="UII507" s="44"/>
      <c r="UIJ507" s="44"/>
      <c r="UIK507" s="44"/>
      <c r="UIL507" s="44"/>
      <c r="UIM507" s="44"/>
      <c r="UIN507" s="44"/>
      <c r="UIO507" s="44"/>
      <c r="UIP507" s="44"/>
      <c r="UIQ507" s="44"/>
      <c r="UIR507" s="44"/>
      <c r="UIS507" s="44"/>
      <c r="UIT507" s="44"/>
      <c r="UIU507" s="44"/>
      <c r="UIV507" s="44"/>
      <c r="UIW507" s="44"/>
      <c r="UIX507" s="44"/>
      <c r="UIY507" s="44"/>
      <c r="UIZ507" s="44"/>
      <c r="UJA507" s="44"/>
      <c r="UJB507" s="44"/>
      <c r="UJC507" s="44"/>
      <c r="UJD507" s="44"/>
      <c r="UJE507" s="44"/>
      <c r="UJF507" s="44"/>
      <c r="UJG507" s="44"/>
      <c r="UJH507" s="44"/>
      <c r="UJI507" s="44"/>
      <c r="UJJ507" s="44"/>
      <c r="UJK507" s="44"/>
      <c r="UJL507" s="44"/>
      <c r="UJM507" s="44"/>
      <c r="UJN507" s="44"/>
      <c r="UJO507" s="44"/>
      <c r="UJP507" s="44"/>
      <c r="UJQ507" s="44"/>
      <c r="UJR507" s="44"/>
      <c r="UJS507" s="44"/>
      <c r="UJT507" s="44"/>
      <c r="UJU507" s="44"/>
      <c r="UJV507" s="44"/>
      <c r="UJW507" s="44"/>
      <c r="UJX507" s="44"/>
      <c r="UJY507" s="44"/>
      <c r="UJZ507" s="44"/>
      <c r="UKA507" s="44"/>
      <c r="UKB507" s="44"/>
      <c r="UKC507" s="44"/>
      <c r="UKD507" s="44"/>
      <c r="UKE507" s="44"/>
      <c r="UKF507" s="44"/>
      <c r="UKG507" s="44"/>
      <c r="UKH507" s="44"/>
      <c r="UKI507" s="44"/>
      <c r="UKJ507" s="44"/>
      <c r="UKK507" s="44"/>
      <c r="UKL507" s="44"/>
      <c r="UKM507" s="44"/>
      <c r="UKN507" s="44"/>
      <c r="UKO507" s="44"/>
      <c r="UKP507" s="44"/>
      <c r="UKQ507" s="44"/>
      <c r="UKR507" s="44"/>
      <c r="UKS507" s="44"/>
      <c r="UKT507" s="44"/>
      <c r="UKU507" s="44"/>
      <c r="UKV507" s="44"/>
      <c r="UKW507" s="44"/>
      <c r="UKX507" s="44"/>
      <c r="UKY507" s="44"/>
      <c r="UKZ507" s="44"/>
      <c r="ULA507" s="44"/>
      <c r="ULB507" s="44"/>
      <c r="ULC507" s="44"/>
      <c r="ULD507" s="44"/>
      <c r="ULE507" s="44"/>
      <c r="ULF507" s="44"/>
      <c r="ULG507" s="44"/>
      <c r="ULH507" s="44"/>
      <c r="ULI507" s="44"/>
      <c r="ULJ507" s="44"/>
      <c r="ULK507" s="44"/>
      <c r="ULL507" s="44"/>
      <c r="ULM507" s="44"/>
      <c r="ULN507" s="44"/>
      <c r="ULO507" s="44"/>
      <c r="ULP507" s="44"/>
      <c r="ULQ507" s="44"/>
      <c r="ULR507" s="44"/>
      <c r="ULS507" s="44"/>
      <c r="ULT507" s="44"/>
      <c r="ULU507" s="44"/>
      <c r="ULV507" s="44"/>
      <c r="ULW507" s="44"/>
      <c r="ULX507" s="44"/>
      <c r="ULY507" s="44"/>
      <c r="ULZ507" s="44"/>
      <c r="UMA507" s="44"/>
      <c r="UMB507" s="44"/>
      <c r="UMC507" s="44"/>
      <c r="UMD507" s="44"/>
      <c r="UME507" s="44"/>
      <c r="UMF507" s="44"/>
      <c r="UMG507" s="44"/>
      <c r="UMH507" s="44"/>
      <c r="UMI507" s="44"/>
      <c r="UMJ507" s="44"/>
      <c r="UMK507" s="44"/>
      <c r="UML507" s="44"/>
      <c r="UMM507" s="44"/>
      <c r="UMN507" s="44"/>
      <c r="UMO507" s="44"/>
      <c r="UMP507" s="44"/>
      <c r="UMQ507" s="44"/>
      <c r="UMR507" s="44"/>
      <c r="UMS507" s="44"/>
      <c r="UMT507" s="44"/>
      <c r="UMU507" s="44"/>
      <c r="UMV507" s="44"/>
      <c r="UMW507" s="44"/>
      <c r="UMX507" s="44"/>
      <c r="UMY507" s="44"/>
      <c r="UMZ507" s="44"/>
      <c r="UNA507" s="44"/>
      <c r="UNB507" s="44"/>
      <c r="UNC507" s="44"/>
      <c r="UND507" s="44"/>
      <c r="UNE507" s="44"/>
      <c r="UNF507" s="44"/>
      <c r="UNG507" s="44"/>
      <c r="UNH507" s="44"/>
      <c r="UNI507" s="44"/>
      <c r="UNJ507" s="44"/>
      <c r="UNK507" s="44"/>
      <c r="UNL507" s="44"/>
      <c r="UNM507" s="44"/>
      <c r="UNN507" s="44"/>
      <c r="UNO507" s="44"/>
      <c r="UNP507" s="44"/>
      <c r="UNQ507" s="44"/>
      <c r="UNR507" s="44"/>
      <c r="UNS507" s="44"/>
      <c r="UNT507" s="44"/>
      <c r="UNU507" s="44"/>
      <c r="UNV507" s="44"/>
      <c r="UNW507" s="44"/>
      <c r="UNX507" s="44"/>
      <c r="UNY507" s="44"/>
      <c r="UNZ507" s="44"/>
      <c r="UOA507" s="44"/>
      <c r="UOB507" s="44"/>
      <c r="UOC507" s="44"/>
      <c r="UOD507" s="44"/>
      <c r="UOE507" s="44"/>
      <c r="UOF507" s="44"/>
      <c r="UOG507" s="44"/>
      <c r="UOH507" s="44"/>
      <c r="UOI507" s="44"/>
      <c r="UOJ507" s="44"/>
      <c r="UOK507" s="44"/>
      <c r="UOL507" s="44"/>
      <c r="UOM507" s="44"/>
      <c r="UON507" s="44"/>
      <c r="UOO507" s="44"/>
      <c r="UOP507" s="44"/>
      <c r="UOQ507" s="44"/>
      <c r="UOR507" s="44"/>
      <c r="UOS507" s="44"/>
      <c r="UOT507" s="44"/>
      <c r="UOU507" s="44"/>
      <c r="UOV507" s="44"/>
      <c r="UOW507" s="44"/>
      <c r="UOX507" s="44"/>
      <c r="UOY507" s="44"/>
      <c r="UOZ507" s="44"/>
      <c r="UPA507" s="44"/>
      <c r="UPB507" s="44"/>
      <c r="UPC507" s="44"/>
      <c r="UPD507" s="44"/>
      <c r="UPE507" s="44"/>
      <c r="UPF507" s="44"/>
      <c r="UPG507" s="44"/>
      <c r="UPH507" s="44"/>
      <c r="UPI507" s="44"/>
      <c r="UPJ507" s="44"/>
      <c r="UPK507" s="44"/>
      <c r="UPL507" s="44"/>
      <c r="UPM507" s="44"/>
      <c r="UPN507" s="44"/>
      <c r="UPO507" s="44"/>
      <c r="UPP507" s="44"/>
      <c r="UPQ507" s="44"/>
      <c r="UPR507" s="44"/>
      <c r="UPS507" s="44"/>
      <c r="UPT507" s="44"/>
      <c r="UPU507" s="44"/>
      <c r="UPV507" s="44"/>
      <c r="UPW507" s="44"/>
      <c r="UPX507" s="44"/>
      <c r="UPY507" s="44"/>
      <c r="UPZ507" s="44"/>
      <c r="UQA507" s="44"/>
      <c r="UQB507" s="44"/>
      <c r="UQC507" s="44"/>
      <c r="UQD507" s="44"/>
      <c r="UQE507" s="44"/>
      <c r="UQF507" s="44"/>
      <c r="UQG507" s="44"/>
      <c r="UQH507" s="44"/>
      <c r="UQI507" s="44"/>
      <c r="UQJ507" s="44"/>
      <c r="UQK507" s="44"/>
      <c r="UQL507" s="44"/>
      <c r="UQM507" s="44"/>
      <c r="UQN507" s="44"/>
      <c r="UQO507" s="44"/>
      <c r="UQP507" s="44"/>
      <c r="UQQ507" s="44"/>
      <c r="UQR507" s="44"/>
      <c r="UQS507" s="44"/>
      <c r="UQT507" s="44"/>
      <c r="UQU507" s="44"/>
      <c r="UQV507" s="44"/>
      <c r="UQW507" s="44"/>
      <c r="UQX507" s="44"/>
      <c r="UQY507" s="44"/>
      <c r="UQZ507" s="44"/>
      <c r="URA507" s="44"/>
      <c r="URB507" s="44"/>
      <c r="URC507" s="44"/>
      <c r="URD507" s="44"/>
      <c r="URE507" s="44"/>
      <c r="URF507" s="44"/>
      <c r="URG507" s="44"/>
      <c r="URH507" s="44"/>
      <c r="URI507" s="44"/>
      <c r="URJ507" s="44"/>
      <c r="URK507" s="44"/>
      <c r="URL507" s="44"/>
      <c r="URM507" s="44"/>
      <c r="URN507" s="44"/>
      <c r="URO507" s="44"/>
      <c r="URP507" s="44"/>
      <c r="URQ507" s="44"/>
      <c r="URR507" s="44"/>
      <c r="URS507" s="44"/>
      <c r="URT507" s="44"/>
      <c r="URU507" s="44"/>
      <c r="URV507" s="44"/>
      <c r="URW507" s="44"/>
      <c r="URX507" s="44"/>
      <c r="URY507" s="44"/>
      <c r="URZ507" s="44"/>
      <c r="USA507" s="44"/>
      <c r="USB507" s="44"/>
      <c r="USC507" s="44"/>
      <c r="USD507" s="44"/>
      <c r="USE507" s="44"/>
      <c r="USF507" s="44"/>
      <c r="USG507" s="44"/>
      <c r="USH507" s="44"/>
      <c r="USI507" s="44"/>
      <c r="USJ507" s="44"/>
      <c r="USK507" s="44"/>
      <c r="USL507" s="44"/>
      <c r="USM507" s="44"/>
      <c r="USN507" s="44"/>
      <c r="USO507" s="44"/>
      <c r="USP507" s="44"/>
      <c r="USQ507" s="44"/>
      <c r="USR507" s="44"/>
      <c r="USS507" s="44"/>
      <c r="UST507" s="44"/>
      <c r="USU507" s="44"/>
      <c r="USV507" s="44"/>
      <c r="USW507" s="44"/>
      <c r="USX507" s="44"/>
      <c r="USY507" s="44"/>
      <c r="USZ507" s="44"/>
      <c r="UTA507" s="44"/>
      <c r="UTB507" s="44"/>
      <c r="UTC507" s="44"/>
      <c r="UTD507" s="44"/>
      <c r="UTE507" s="44"/>
      <c r="UTF507" s="44"/>
      <c r="UTG507" s="44"/>
      <c r="UTH507" s="44"/>
      <c r="UTI507" s="44"/>
      <c r="UTJ507" s="44"/>
      <c r="UTK507" s="44"/>
      <c r="UTL507" s="44"/>
      <c r="UTM507" s="44"/>
      <c r="UTN507" s="44"/>
      <c r="UTO507" s="44"/>
      <c r="UTP507" s="44"/>
      <c r="UTQ507" s="44"/>
      <c r="UTR507" s="44"/>
      <c r="UTS507" s="44"/>
      <c r="UTT507" s="44"/>
      <c r="UTU507" s="44"/>
      <c r="UTV507" s="44"/>
      <c r="UTW507" s="44"/>
      <c r="UTX507" s="44"/>
      <c r="UTY507" s="44"/>
      <c r="UTZ507" s="44"/>
      <c r="UUA507" s="44"/>
      <c r="UUB507" s="44"/>
      <c r="UUC507" s="44"/>
      <c r="UUD507" s="44"/>
      <c r="UUE507" s="44"/>
      <c r="UUF507" s="44"/>
      <c r="UUG507" s="44"/>
      <c r="UUH507" s="44"/>
      <c r="UUI507" s="44"/>
      <c r="UUJ507" s="44"/>
      <c r="UUK507" s="44"/>
      <c r="UUL507" s="44"/>
      <c r="UUM507" s="44"/>
      <c r="UUN507" s="44"/>
      <c r="UUO507" s="44"/>
      <c r="UUP507" s="44"/>
      <c r="UUQ507" s="44"/>
      <c r="UUR507" s="44"/>
      <c r="UUS507" s="44"/>
      <c r="UUT507" s="44"/>
      <c r="UUU507" s="44"/>
      <c r="UUV507" s="44"/>
      <c r="UUW507" s="44"/>
      <c r="UUX507" s="44"/>
      <c r="UUY507" s="44"/>
      <c r="UUZ507" s="44"/>
      <c r="UVA507" s="44"/>
      <c r="UVB507" s="44"/>
      <c r="UVC507" s="44"/>
      <c r="UVD507" s="44"/>
      <c r="UVE507" s="44"/>
      <c r="UVF507" s="44"/>
      <c r="UVG507" s="44"/>
      <c r="UVH507" s="44"/>
      <c r="UVI507" s="44"/>
      <c r="UVJ507" s="44"/>
      <c r="UVK507" s="44"/>
      <c r="UVL507" s="44"/>
      <c r="UVM507" s="44"/>
      <c r="UVN507" s="44"/>
      <c r="UVO507" s="44"/>
      <c r="UVP507" s="44"/>
      <c r="UVQ507" s="44"/>
      <c r="UVR507" s="44"/>
      <c r="UVS507" s="44"/>
      <c r="UVT507" s="44"/>
      <c r="UVU507" s="44"/>
      <c r="UVV507" s="44"/>
      <c r="UVW507" s="44"/>
      <c r="UVX507" s="44"/>
      <c r="UVY507" s="44"/>
      <c r="UVZ507" s="44"/>
      <c r="UWA507" s="44"/>
      <c r="UWB507" s="44"/>
      <c r="UWC507" s="44"/>
      <c r="UWD507" s="44"/>
      <c r="UWE507" s="44"/>
      <c r="UWF507" s="44"/>
      <c r="UWG507" s="44"/>
      <c r="UWH507" s="44"/>
      <c r="UWI507" s="44"/>
      <c r="UWJ507" s="44"/>
      <c r="UWK507" s="44"/>
      <c r="UWL507" s="44"/>
      <c r="UWM507" s="44"/>
      <c r="UWN507" s="44"/>
      <c r="UWO507" s="44"/>
      <c r="UWP507" s="44"/>
      <c r="UWQ507" s="44"/>
      <c r="UWR507" s="44"/>
      <c r="UWS507" s="44"/>
      <c r="UWT507" s="44"/>
      <c r="UWU507" s="44"/>
      <c r="UWV507" s="44"/>
      <c r="UWW507" s="44"/>
      <c r="UWX507" s="44"/>
      <c r="UWY507" s="44"/>
      <c r="UWZ507" s="44"/>
      <c r="UXA507" s="44"/>
      <c r="UXB507" s="44"/>
      <c r="UXC507" s="44"/>
      <c r="UXD507" s="44"/>
      <c r="UXE507" s="44"/>
      <c r="UXF507" s="44"/>
      <c r="UXG507" s="44"/>
      <c r="UXH507" s="44"/>
      <c r="UXI507" s="44"/>
      <c r="UXJ507" s="44"/>
      <c r="UXK507" s="44"/>
      <c r="UXL507" s="44"/>
      <c r="UXM507" s="44"/>
      <c r="UXN507" s="44"/>
      <c r="UXO507" s="44"/>
      <c r="UXP507" s="44"/>
      <c r="UXQ507" s="44"/>
      <c r="UXR507" s="44"/>
      <c r="UXS507" s="44"/>
      <c r="UXT507" s="44"/>
      <c r="UXU507" s="44"/>
      <c r="UXV507" s="44"/>
      <c r="UXW507" s="44"/>
      <c r="UXX507" s="44"/>
      <c r="UXY507" s="44"/>
      <c r="UXZ507" s="44"/>
      <c r="UYA507" s="44"/>
      <c r="UYB507" s="44"/>
      <c r="UYC507" s="44"/>
      <c r="UYD507" s="44"/>
      <c r="UYE507" s="44"/>
      <c r="UYF507" s="44"/>
      <c r="UYG507" s="44"/>
      <c r="UYH507" s="44"/>
      <c r="UYI507" s="44"/>
      <c r="UYJ507" s="44"/>
      <c r="UYK507" s="44"/>
      <c r="UYL507" s="44"/>
      <c r="UYM507" s="44"/>
      <c r="UYN507" s="44"/>
      <c r="UYO507" s="44"/>
      <c r="UYP507" s="44"/>
      <c r="UYQ507" s="44"/>
      <c r="UYR507" s="44"/>
      <c r="UYS507" s="44"/>
      <c r="UYT507" s="44"/>
      <c r="UYU507" s="44"/>
      <c r="UYV507" s="44"/>
      <c r="UYW507" s="44"/>
      <c r="UYX507" s="44"/>
      <c r="UYY507" s="44"/>
      <c r="UYZ507" s="44"/>
      <c r="UZA507" s="44"/>
      <c r="UZB507" s="44"/>
      <c r="UZC507" s="44"/>
      <c r="UZD507" s="44"/>
      <c r="UZE507" s="44"/>
      <c r="UZF507" s="44"/>
      <c r="UZG507" s="44"/>
      <c r="UZH507" s="44"/>
      <c r="UZI507" s="44"/>
      <c r="UZJ507" s="44"/>
      <c r="UZK507" s="44"/>
      <c r="UZL507" s="44"/>
      <c r="UZM507" s="44"/>
      <c r="UZN507" s="44"/>
      <c r="UZO507" s="44"/>
      <c r="UZP507" s="44"/>
      <c r="UZQ507" s="44"/>
      <c r="UZR507" s="44"/>
      <c r="UZS507" s="44"/>
      <c r="UZT507" s="44"/>
      <c r="UZU507" s="44"/>
      <c r="UZV507" s="44"/>
      <c r="UZW507" s="44"/>
      <c r="UZX507" s="44"/>
      <c r="UZY507" s="44"/>
      <c r="UZZ507" s="44"/>
      <c r="VAA507" s="44"/>
      <c r="VAB507" s="44"/>
      <c r="VAC507" s="44"/>
      <c r="VAD507" s="44"/>
      <c r="VAE507" s="44"/>
      <c r="VAF507" s="44"/>
      <c r="VAG507" s="44"/>
      <c r="VAH507" s="44"/>
      <c r="VAI507" s="44"/>
      <c r="VAJ507" s="44"/>
      <c r="VAK507" s="44"/>
      <c r="VAL507" s="44"/>
      <c r="VAM507" s="44"/>
      <c r="VAN507" s="44"/>
      <c r="VAO507" s="44"/>
      <c r="VAP507" s="44"/>
      <c r="VAQ507" s="44"/>
      <c r="VAR507" s="44"/>
      <c r="VAS507" s="44"/>
      <c r="VAT507" s="44"/>
      <c r="VAU507" s="44"/>
      <c r="VAV507" s="44"/>
      <c r="VAW507" s="44"/>
      <c r="VAX507" s="44"/>
      <c r="VAY507" s="44"/>
      <c r="VAZ507" s="44"/>
      <c r="VBA507" s="44"/>
      <c r="VBB507" s="44"/>
      <c r="VBC507" s="44"/>
      <c r="VBD507" s="44"/>
      <c r="VBE507" s="44"/>
      <c r="VBF507" s="44"/>
      <c r="VBG507" s="44"/>
      <c r="VBH507" s="44"/>
      <c r="VBI507" s="44"/>
      <c r="VBJ507" s="44"/>
      <c r="VBK507" s="44"/>
      <c r="VBL507" s="44"/>
      <c r="VBM507" s="44"/>
      <c r="VBN507" s="44"/>
      <c r="VBO507" s="44"/>
      <c r="VBP507" s="44"/>
      <c r="VBQ507" s="44"/>
      <c r="VBR507" s="44"/>
      <c r="VBS507" s="44"/>
      <c r="VBT507" s="44"/>
      <c r="VBU507" s="44"/>
      <c r="VBV507" s="44"/>
      <c r="VBW507" s="44"/>
      <c r="VBX507" s="44"/>
      <c r="VBY507" s="44"/>
      <c r="VBZ507" s="44"/>
      <c r="VCA507" s="44"/>
      <c r="VCB507" s="44"/>
      <c r="VCC507" s="44"/>
      <c r="VCD507" s="44"/>
      <c r="VCE507" s="44"/>
      <c r="VCF507" s="44"/>
      <c r="VCG507" s="44"/>
      <c r="VCH507" s="44"/>
      <c r="VCI507" s="44"/>
      <c r="VCJ507" s="44"/>
      <c r="VCK507" s="44"/>
      <c r="VCL507" s="44"/>
      <c r="VCM507" s="44"/>
      <c r="VCN507" s="44"/>
      <c r="VCO507" s="44"/>
      <c r="VCP507" s="44"/>
      <c r="VCQ507" s="44"/>
      <c r="VCR507" s="44"/>
      <c r="VCS507" s="44"/>
      <c r="VCT507" s="44"/>
      <c r="VCU507" s="44"/>
      <c r="VCV507" s="44"/>
      <c r="VCW507" s="44"/>
      <c r="VCX507" s="44"/>
      <c r="VCY507" s="44"/>
      <c r="VCZ507" s="44"/>
      <c r="VDA507" s="44"/>
      <c r="VDB507" s="44"/>
      <c r="VDC507" s="44"/>
      <c r="VDD507" s="44"/>
      <c r="VDE507" s="44"/>
      <c r="VDF507" s="44"/>
      <c r="VDG507" s="44"/>
      <c r="VDH507" s="44"/>
      <c r="VDI507" s="44"/>
      <c r="VDJ507" s="44"/>
      <c r="VDK507" s="44"/>
      <c r="VDL507" s="44"/>
      <c r="VDM507" s="44"/>
      <c r="VDN507" s="44"/>
      <c r="VDO507" s="44"/>
      <c r="VDP507" s="44"/>
      <c r="VDQ507" s="44"/>
      <c r="VDR507" s="44"/>
      <c r="VDS507" s="44"/>
      <c r="VDT507" s="44"/>
      <c r="VDU507" s="44"/>
      <c r="VDV507" s="44"/>
      <c r="VDW507" s="44"/>
      <c r="VDX507" s="44"/>
      <c r="VDY507" s="44"/>
      <c r="VDZ507" s="44"/>
      <c r="VEA507" s="44"/>
      <c r="VEB507" s="44"/>
      <c r="VEC507" s="44"/>
      <c r="VED507" s="44"/>
      <c r="VEE507" s="44"/>
      <c r="VEF507" s="44"/>
      <c r="VEG507" s="44"/>
      <c r="VEH507" s="44"/>
      <c r="VEI507" s="44"/>
      <c r="VEJ507" s="44"/>
      <c r="VEK507" s="44"/>
      <c r="VEL507" s="44"/>
      <c r="VEM507" s="44"/>
      <c r="VEN507" s="44"/>
      <c r="VEO507" s="44"/>
      <c r="VEP507" s="44"/>
      <c r="VEQ507" s="44"/>
      <c r="VER507" s="44"/>
      <c r="VES507" s="44"/>
      <c r="VET507" s="44"/>
      <c r="VEU507" s="44"/>
      <c r="VEV507" s="44"/>
      <c r="VEW507" s="44"/>
      <c r="VEX507" s="44"/>
      <c r="VEY507" s="44"/>
      <c r="VEZ507" s="44"/>
      <c r="VFA507" s="44"/>
      <c r="VFB507" s="44"/>
      <c r="VFC507" s="44"/>
      <c r="VFD507" s="44"/>
      <c r="VFE507" s="44"/>
      <c r="VFF507" s="44"/>
      <c r="VFG507" s="44"/>
      <c r="VFH507" s="44"/>
      <c r="VFI507" s="44"/>
      <c r="VFJ507" s="44"/>
      <c r="VFK507" s="44"/>
      <c r="VFL507" s="44"/>
      <c r="VFM507" s="44"/>
      <c r="VFN507" s="44"/>
      <c r="VFO507" s="44"/>
      <c r="VFP507" s="44"/>
      <c r="VFQ507" s="44"/>
      <c r="VFR507" s="44"/>
      <c r="VFS507" s="44"/>
      <c r="VFT507" s="44"/>
      <c r="VFU507" s="44"/>
      <c r="VFV507" s="44"/>
      <c r="VFW507" s="44"/>
      <c r="VFX507" s="44"/>
      <c r="VFY507" s="44"/>
      <c r="VFZ507" s="44"/>
      <c r="VGA507" s="44"/>
      <c r="VGB507" s="44"/>
      <c r="VGC507" s="44"/>
      <c r="VGD507" s="44"/>
      <c r="VGE507" s="44"/>
      <c r="VGF507" s="44"/>
      <c r="VGG507" s="44"/>
      <c r="VGH507" s="44"/>
      <c r="VGI507" s="44"/>
      <c r="VGJ507" s="44"/>
      <c r="VGK507" s="44"/>
      <c r="VGL507" s="44"/>
      <c r="VGM507" s="44"/>
      <c r="VGN507" s="44"/>
      <c r="VGO507" s="44"/>
      <c r="VGP507" s="44"/>
      <c r="VGQ507" s="44"/>
      <c r="VGR507" s="44"/>
      <c r="VGS507" s="44"/>
      <c r="VGT507" s="44"/>
      <c r="VGU507" s="44"/>
      <c r="VGV507" s="44"/>
      <c r="VGW507" s="44"/>
      <c r="VGX507" s="44"/>
      <c r="VGY507" s="44"/>
      <c r="VGZ507" s="44"/>
      <c r="VHA507" s="44"/>
      <c r="VHB507" s="44"/>
      <c r="VHC507" s="44"/>
      <c r="VHD507" s="44"/>
      <c r="VHE507" s="44"/>
      <c r="VHF507" s="44"/>
      <c r="VHG507" s="44"/>
      <c r="VHH507" s="44"/>
      <c r="VHI507" s="44"/>
      <c r="VHJ507" s="44"/>
      <c r="VHK507" s="44"/>
      <c r="VHL507" s="44"/>
      <c r="VHM507" s="44"/>
      <c r="VHN507" s="44"/>
      <c r="VHO507" s="44"/>
      <c r="VHP507" s="44"/>
      <c r="VHQ507" s="44"/>
      <c r="VHR507" s="44"/>
      <c r="VHS507" s="44"/>
      <c r="VHT507" s="44"/>
      <c r="VHU507" s="44"/>
      <c r="VHV507" s="44"/>
      <c r="VHW507" s="44"/>
      <c r="VHX507" s="44"/>
      <c r="VHY507" s="44"/>
      <c r="VHZ507" s="44"/>
      <c r="VIA507" s="44"/>
      <c r="VIB507" s="44"/>
      <c r="VIC507" s="44"/>
      <c r="VID507" s="44"/>
      <c r="VIE507" s="44"/>
      <c r="VIF507" s="44"/>
      <c r="VIG507" s="44"/>
      <c r="VIH507" s="44"/>
      <c r="VII507" s="44"/>
      <c r="VIJ507" s="44"/>
      <c r="VIK507" s="44"/>
      <c r="VIL507" s="44"/>
      <c r="VIM507" s="44"/>
      <c r="VIN507" s="44"/>
      <c r="VIO507" s="44"/>
      <c r="VIP507" s="44"/>
      <c r="VIQ507" s="44"/>
      <c r="VIR507" s="44"/>
      <c r="VIS507" s="44"/>
      <c r="VIT507" s="44"/>
      <c r="VIU507" s="44"/>
      <c r="VIV507" s="44"/>
      <c r="VIW507" s="44"/>
      <c r="VIX507" s="44"/>
      <c r="VIY507" s="44"/>
      <c r="VIZ507" s="44"/>
      <c r="VJA507" s="44"/>
      <c r="VJB507" s="44"/>
      <c r="VJC507" s="44"/>
      <c r="VJD507" s="44"/>
      <c r="VJE507" s="44"/>
      <c r="VJF507" s="44"/>
      <c r="VJG507" s="44"/>
      <c r="VJH507" s="44"/>
      <c r="VJI507" s="44"/>
      <c r="VJJ507" s="44"/>
      <c r="VJK507" s="44"/>
      <c r="VJL507" s="44"/>
      <c r="VJM507" s="44"/>
      <c r="VJN507" s="44"/>
      <c r="VJO507" s="44"/>
      <c r="VJP507" s="44"/>
      <c r="VJQ507" s="44"/>
      <c r="VJR507" s="44"/>
      <c r="VJS507" s="44"/>
      <c r="VJT507" s="44"/>
      <c r="VJU507" s="44"/>
      <c r="VJV507" s="44"/>
      <c r="VJW507" s="44"/>
      <c r="VJX507" s="44"/>
      <c r="VJY507" s="44"/>
      <c r="VJZ507" s="44"/>
      <c r="VKA507" s="44"/>
      <c r="VKB507" s="44"/>
      <c r="VKC507" s="44"/>
      <c r="VKD507" s="44"/>
      <c r="VKE507" s="44"/>
      <c r="VKF507" s="44"/>
      <c r="VKG507" s="44"/>
      <c r="VKH507" s="44"/>
      <c r="VKI507" s="44"/>
      <c r="VKJ507" s="44"/>
      <c r="VKK507" s="44"/>
      <c r="VKL507" s="44"/>
      <c r="VKM507" s="44"/>
      <c r="VKN507" s="44"/>
      <c r="VKO507" s="44"/>
      <c r="VKP507" s="44"/>
      <c r="VKQ507" s="44"/>
      <c r="VKR507" s="44"/>
      <c r="VKS507" s="44"/>
      <c r="VKT507" s="44"/>
      <c r="VKU507" s="44"/>
      <c r="VKV507" s="44"/>
      <c r="VKW507" s="44"/>
      <c r="VKX507" s="44"/>
      <c r="VKY507" s="44"/>
      <c r="VKZ507" s="44"/>
      <c r="VLA507" s="44"/>
      <c r="VLB507" s="44"/>
      <c r="VLC507" s="44"/>
      <c r="VLD507" s="44"/>
      <c r="VLE507" s="44"/>
      <c r="VLF507" s="44"/>
      <c r="VLG507" s="44"/>
      <c r="VLH507" s="44"/>
      <c r="VLI507" s="44"/>
      <c r="VLJ507" s="44"/>
      <c r="VLK507" s="44"/>
      <c r="VLL507" s="44"/>
      <c r="VLM507" s="44"/>
      <c r="VLN507" s="44"/>
      <c r="VLO507" s="44"/>
      <c r="VLP507" s="44"/>
      <c r="VLQ507" s="44"/>
      <c r="VLR507" s="44"/>
      <c r="VLS507" s="44"/>
      <c r="VLT507" s="44"/>
      <c r="VLU507" s="44"/>
      <c r="VLV507" s="44"/>
      <c r="VLW507" s="44"/>
      <c r="VLX507" s="44"/>
      <c r="VLY507" s="44"/>
      <c r="VLZ507" s="44"/>
      <c r="VMA507" s="44"/>
      <c r="VMB507" s="44"/>
      <c r="VMC507" s="44"/>
      <c r="VMD507" s="44"/>
      <c r="VME507" s="44"/>
      <c r="VMF507" s="44"/>
      <c r="VMG507" s="44"/>
      <c r="VMH507" s="44"/>
      <c r="VMI507" s="44"/>
      <c r="VMJ507" s="44"/>
      <c r="VMK507" s="44"/>
      <c r="VML507" s="44"/>
      <c r="VMM507" s="44"/>
      <c r="VMN507" s="44"/>
      <c r="VMO507" s="44"/>
      <c r="VMP507" s="44"/>
      <c r="VMQ507" s="44"/>
      <c r="VMR507" s="44"/>
      <c r="VMS507" s="44"/>
      <c r="VMT507" s="44"/>
      <c r="VMU507" s="44"/>
      <c r="VMV507" s="44"/>
      <c r="VMW507" s="44"/>
      <c r="VMX507" s="44"/>
      <c r="VMY507" s="44"/>
      <c r="VMZ507" s="44"/>
      <c r="VNA507" s="44"/>
      <c r="VNB507" s="44"/>
      <c r="VNC507" s="44"/>
      <c r="VND507" s="44"/>
      <c r="VNE507" s="44"/>
      <c r="VNF507" s="44"/>
      <c r="VNG507" s="44"/>
      <c r="VNH507" s="44"/>
      <c r="VNI507" s="44"/>
      <c r="VNJ507" s="44"/>
      <c r="VNK507" s="44"/>
      <c r="VNL507" s="44"/>
      <c r="VNM507" s="44"/>
      <c r="VNN507" s="44"/>
      <c r="VNO507" s="44"/>
      <c r="VNP507" s="44"/>
      <c r="VNQ507" s="44"/>
      <c r="VNR507" s="44"/>
      <c r="VNS507" s="44"/>
      <c r="VNT507" s="44"/>
      <c r="VNU507" s="44"/>
      <c r="VNV507" s="44"/>
      <c r="VNW507" s="44"/>
      <c r="VNX507" s="44"/>
      <c r="VNY507" s="44"/>
      <c r="VNZ507" s="44"/>
      <c r="VOA507" s="44"/>
      <c r="VOB507" s="44"/>
      <c r="VOC507" s="44"/>
      <c r="VOD507" s="44"/>
      <c r="VOE507" s="44"/>
      <c r="VOF507" s="44"/>
      <c r="VOG507" s="44"/>
      <c r="VOH507" s="44"/>
      <c r="VOI507" s="44"/>
      <c r="VOJ507" s="44"/>
      <c r="VOK507" s="44"/>
      <c r="VOL507" s="44"/>
      <c r="VOM507" s="44"/>
      <c r="VON507" s="44"/>
      <c r="VOO507" s="44"/>
      <c r="VOP507" s="44"/>
      <c r="VOQ507" s="44"/>
      <c r="VOR507" s="44"/>
      <c r="VOS507" s="44"/>
      <c r="VOT507" s="44"/>
      <c r="VOU507" s="44"/>
      <c r="VOV507" s="44"/>
      <c r="VOW507" s="44"/>
      <c r="VOX507" s="44"/>
      <c r="VOY507" s="44"/>
      <c r="VOZ507" s="44"/>
      <c r="VPA507" s="44"/>
      <c r="VPB507" s="44"/>
      <c r="VPC507" s="44"/>
      <c r="VPD507" s="44"/>
      <c r="VPE507" s="44"/>
      <c r="VPF507" s="44"/>
      <c r="VPG507" s="44"/>
      <c r="VPH507" s="44"/>
      <c r="VPI507" s="44"/>
      <c r="VPJ507" s="44"/>
      <c r="VPK507" s="44"/>
      <c r="VPL507" s="44"/>
      <c r="VPM507" s="44"/>
      <c r="VPN507" s="44"/>
      <c r="VPO507" s="44"/>
      <c r="VPP507" s="44"/>
      <c r="VPQ507" s="44"/>
      <c r="VPR507" s="44"/>
      <c r="VPS507" s="44"/>
      <c r="VPT507" s="44"/>
      <c r="VPU507" s="44"/>
      <c r="VPV507" s="44"/>
      <c r="VPW507" s="44"/>
      <c r="VPX507" s="44"/>
      <c r="VPY507" s="44"/>
      <c r="VPZ507" s="44"/>
      <c r="VQA507" s="44"/>
      <c r="VQB507" s="44"/>
      <c r="VQC507" s="44"/>
      <c r="VQD507" s="44"/>
      <c r="VQE507" s="44"/>
      <c r="VQF507" s="44"/>
      <c r="VQG507" s="44"/>
      <c r="VQH507" s="44"/>
      <c r="VQI507" s="44"/>
      <c r="VQJ507" s="44"/>
      <c r="VQK507" s="44"/>
      <c r="VQL507" s="44"/>
      <c r="VQM507" s="44"/>
      <c r="VQN507" s="44"/>
      <c r="VQO507" s="44"/>
      <c r="VQP507" s="44"/>
      <c r="VQQ507" s="44"/>
      <c r="VQR507" s="44"/>
      <c r="VQS507" s="44"/>
      <c r="VQT507" s="44"/>
      <c r="VQU507" s="44"/>
      <c r="VQV507" s="44"/>
      <c r="VQW507" s="44"/>
      <c r="VQX507" s="44"/>
      <c r="VQY507" s="44"/>
      <c r="VQZ507" s="44"/>
      <c r="VRA507" s="44"/>
      <c r="VRB507" s="44"/>
      <c r="VRC507" s="44"/>
      <c r="VRD507" s="44"/>
      <c r="VRE507" s="44"/>
      <c r="VRF507" s="44"/>
      <c r="VRG507" s="44"/>
      <c r="VRH507" s="44"/>
      <c r="VRI507" s="44"/>
      <c r="VRJ507" s="44"/>
      <c r="VRK507" s="44"/>
      <c r="VRL507" s="44"/>
      <c r="VRM507" s="44"/>
      <c r="VRN507" s="44"/>
      <c r="VRO507" s="44"/>
      <c r="VRP507" s="44"/>
      <c r="VRQ507" s="44"/>
      <c r="VRR507" s="44"/>
      <c r="VRS507" s="44"/>
      <c r="VRT507" s="44"/>
      <c r="VRU507" s="44"/>
      <c r="VRV507" s="44"/>
      <c r="VRW507" s="44"/>
      <c r="VRX507" s="44"/>
      <c r="VRY507" s="44"/>
      <c r="VRZ507" s="44"/>
      <c r="VSA507" s="44"/>
      <c r="VSB507" s="44"/>
      <c r="VSC507" s="44"/>
      <c r="VSD507" s="44"/>
      <c r="VSE507" s="44"/>
      <c r="VSF507" s="44"/>
      <c r="VSG507" s="44"/>
      <c r="VSH507" s="44"/>
      <c r="VSI507" s="44"/>
      <c r="VSJ507" s="44"/>
      <c r="VSK507" s="44"/>
      <c r="VSL507" s="44"/>
      <c r="VSM507" s="44"/>
      <c r="VSN507" s="44"/>
      <c r="VSO507" s="44"/>
      <c r="VSP507" s="44"/>
      <c r="VSQ507" s="44"/>
      <c r="VSR507" s="44"/>
      <c r="VSS507" s="44"/>
      <c r="VST507" s="44"/>
      <c r="VSU507" s="44"/>
      <c r="VSV507" s="44"/>
      <c r="VSW507" s="44"/>
      <c r="VSX507" s="44"/>
      <c r="VSY507" s="44"/>
      <c r="VSZ507" s="44"/>
      <c r="VTA507" s="44"/>
      <c r="VTB507" s="44"/>
      <c r="VTC507" s="44"/>
      <c r="VTD507" s="44"/>
      <c r="VTE507" s="44"/>
      <c r="VTF507" s="44"/>
      <c r="VTG507" s="44"/>
      <c r="VTH507" s="44"/>
      <c r="VTI507" s="44"/>
      <c r="VTJ507" s="44"/>
      <c r="VTK507" s="44"/>
      <c r="VTL507" s="44"/>
      <c r="VTM507" s="44"/>
      <c r="VTN507" s="44"/>
      <c r="VTO507" s="44"/>
      <c r="VTP507" s="44"/>
      <c r="VTQ507" s="44"/>
      <c r="VTR507" s="44"/>
      <c r="VTS507" s="44"/>
      <c r="VTT507" s="44"/>
      <c r="VTU507" s="44"/>
      <c r="VTV507" s="44"/>
      <c r="VTW507" s="44"/>
      <c r="VTX507" s="44"/>
      <c r="VTY507" s="44"/>
      <c r="VTZ507" s="44"/>
      <c r="VUA507" s="44"/>
      <c r="VUB507" s="44"/>
      <c r="VUC507" s="44"/>
      <c r="VUD507" s="44"/>
      <c r="VUE507" s="44"/>
      <c r="VUF507" s="44"/>
      <c r="VUG507" s="44"/>
      <c r="VUH507" s="44"/>
      <c r="VUI507" s="44"/>
      <c r="VUJ507" s="44"/>
      <c r="VUK507" s="44"/>
      <c r="VUL507" s="44"/>
      <c r="VUM507" s="44"/>
      <c r="VUN507" s="44"/>
      <c r="VUO507" s="44"/>
      <c r="VUP507" s="44"/>
      <c r="VUQ507" s="44"/>
      <c r="VUR507" s="44"/>
      <c r="VUS507" s="44"/>
      <c r="VUT507" s="44"/>
      <c r="VUU507" s="44"/>
      <c r="VUV507" s="44"/>
      <c r="VUW507" s="44"/>
      <c r="VUX507" s="44"/>
      <c r="VUY507" s="44"/>
      <c r="VUZ507" s="44"/>
      <c r="VVA507" s="44"/>
      <c r="VVB507" s="44"/>
      <c r="VVC507" s="44"/>
      <c r="VVD507" s="44"/>
      <c r="VVE507" s="44"/>
      <c r="VVF507" s="44"/>
      <c r="VVG507" s="44"/>
      <c r="VVH507" s="44"/>
      <c r="VVI507" s="44"/>
      <c r="VVJ507" s="44"/>
      <c r="VVK507" s="44"/>
      <c r="VVL507" s="44"/>
      <c r="VVM507" s="44"/>
      <c r="VVN507" s="44"/>
      <c r="VVO507" s="44"/>
      <c r="VVP507" s="44"/>
      <c r="VVQ507" s="44"/>
      <c r="VVR507" s="44"/>
      <c r="VVS507" s="44"/>
      <c r="VVT507" s="44"/>
      <c r="VVU507" s="44"/>
      <c r="VVV507" s="44"/>
      <c r="VVW507" s="44"/>
      <c r="VVX507" s="44"/>
      <c r="VVY507" s="44"/>
      <c r="VVZ507" s="44"/>
      <c r="VWA507" s="44"/>
      <c r="VWB507" s="44"/>
      <c r="VWC507" s="44"/>
      <c r="VWD507" s="44"/>
      <c r="VWE507" s="44"/>
      <c r="VWF507" s="44"/>
      <c r="VWG507" s="44"/>
      <c r="VWH507" s="44"/>
      <c r="VWI507" s="44"/>
      <c r="VWJ507" s="44"/>
      <c r="VWK507" s="44"/>
      <c r="VWL507" s="44"/>
      <c r="VWM507" s="44"/>
      <c r="VWN507" s="44"/>
      <c r="VWO507" s="44"/>
      <c r="VWP507" s="44"/>
      <c r="VWQ507" s="44"/>
      <c r="VWR507" s="44"/>
      <c r="VWS507" s="44"/>
      <c r="VWT507" s="44"/>
      <c r="VWU507" s="44"/>
      <c r="VWV507" s="44"/>
      <c r="VWW507" s="44"/>
      <c r="VWX507" s="44"/>
      <c r="VWY507" s="44"/>
      <c r="VWZ507" s="44"/>
      <c r="VXA507" s="44"/>
      <c r="VXB507" s="44"/>
      <c r="VXC507" s="44"/>
      <c r="VXD507" s="44"/>
      <c r="VXE507" s="44"/>
      <c r="VXF507" s="44"/>
      <c r="VXG507" s="44"/>
      <c r="VXH507" s="44"/>
      <c r="VXI507" s="44"/>
      <c r="VXJ507" s="44"/>
      <c r="VXK507" s="44"/>
      <c r="VXL507" s="44"/>
      <c r="VXM507" s="44"/>
      <c r="VXN507" s="44"/>
      <c r="VXO507" s="44"/>
      <c r="VXP507" s="44"/>
      <c r="VXQ507" s="44"/>
      <c r="VXR507" s="44"/>
      <c r="VXS507" s="44"/>
      <c r="VXT507" s="44"/>
      <c r="VXU507" s="44"/>
      <c r="VXV507" s="44"/>
      <c r="VXW507" s="44"/>
      <c r="VXX507" s="44"/>
      <c r="VXY507" s="44"/>
      <c r="VXZ507" s="44"/>
      <c r="VYA507" s="44"/>
      <c r="VYB507" s="44"/>
      <c r="VYC507" s="44"/>
      <c r="VYD507" s="44"/>
      <c r="VYE507" s="44"/>
      <c r="VYF507" s="44"/>
      <c r="VYG507" s="44"/>
      <c r="VYH507" s="44"/>
      <c r="VYI507" s="44"/>
      <c r="VYJ507" s="44"/>
      <c r="VYK507" s="44"/>
      <c r="VYL507" s="44"/>
      <c r="VYM507" s="44"/>
      <c r="VYN507" s="44"/>
      <c r="VYO507" s="44"/>
      <c r="VYP507" s="44"/>
      <c r="VYQ507" s="44"/>
      <c r="VYR507" s="44"/>
      <c r="VYS507" s="44"/>
      <c r="VYT507" s="44"/>
      <c r="VYU507" s="44"/>
      <c r="VYV507" s="44"/>
      <c r="VYW507" s="44"/>
      <c r="VYX507" s="44"/>
      <c r="VYY507" s="44"/>
      <c r="VYZ507" s="44"/>
      <c r="VZA507" s="44"/>
      <c r="VZB507" s="44"/>
      <c r="VZC507" s="44"/>
      <c r="VZD507" s="44"/>
      <c r="VZE507" s="44"/>
      <c r="VZF507" s="44"/>
      <c r="VZG507" s="44"/>
      <c r="VZH507" s="44"/>
      <c r="VZI507" s="44"/>
      <c r="VZJ507" s="44"/>
      <c r="VZK507" s="44"/>
      <c r="VZL507" s="44"/>
      <c r="VZM507" s="44"/>
      <c r="VZN507" s="44"/>
      <c r="VZO507" s="44"/>
      <c r="VZP507" s="44"/>
      <c r="VZQ507" s="44"/>
      <c r="VZR507" s="44"/>
      <c r="VZS507" s="44"/>
      <c r="VZT507" s="44"/>
      <c r="VZU507" s="44"/>
      <c r="VZV507" s="44"/>
      <c r="VZW507" s="44"/>
      <c r="VZX507" s="44"/>
      <c r="VZY507" s="44"/>
      <c r="VZZ507" s="44"/>
      <c r="WAA507" s="44"/>
      <c r="WAB507" s="44"/>
      <c r="WAC507" s="44"/>
      <c r="WAD507" s="44"/>
      <c r="WAE507" s="44"/>
      <c r="WAF507" s="44"/>
      <c r="WAG507" s="44"/>
      <c r="WAH507" s="44"/>
      <c r="WAI507" s="44"/>
      <c r="WAJ507" s="44"/>
      <c r="WAK507" s="44"/>
      <c r="WAL507" s="44"/>
      <c r="WAM507" s="44"/>
      <c r="WAN507" s="44"/>
      <c r="WAO507" s="44"/>
      <c r="WAP507" s="44"/>
      <c r="WAQ507" s="44"/>
      <c r="WAR507" s="44"/>
      <c r="WAS507" s="44"/>
      <c r="WAT507" s="44"/>
      <c r="WAU507" s="44"/>
      <c r="WAV507" s="44"/>
      <c r="WAW507" s="44"/>
      <c r="WAX507" s="44"/>
      <c r="WAY507" s="44"/>
      <c r="WAZ507" s="44"/>
      <c r="WBA507" s="44"/>
      <c r="WBB507" s="44"/>
      <c r="WBC507" s="44"/>
      <c r="WBD507" s="44"/>
      <c r="WBE507" s="44"/>
      <c r="WBF507" s="44"/>
      <c r="WBG507" s="44"/>
      <c r="WBH507" s="44"/>
      <c r="WBI507" s="44"/>
      <c r="WBJ507" s="44"/>
      <c r="WBK507" s="44"/>
      <c r="WBL507" s="44"/>
      <c r="WBM507" s="44"/>
      <c r="WBN507" s="44"/>
      <c r="WBO507" s="44"/>
      <c r="WBP507" s="44"/>
      <c r="WBQ507" s="44"/>
      <c r="WBR507" s="44"/>
      <c r="WBS507" s="44"/>
      <c r="WBT507" s="44"/>
      <c r="WBU507" s="44"/>
      <c r="WBV507" s="44"/>
      <c r="WBW507" s="44"/>
      <c r="WBX507" s="44"/>
      <c r="WBY507" s="44"/>
      <c r="WBZ507" s="44"/>
      <c r="WCA507" s="44"/>
      <c r="WCB507" s="44"/>
      <c r="WCC507" s="44"/>
      <c r="WCD507" s="44"/>
      <c r="WCE507" s="44"/>
      <c r="WCF507" s="44"/>
      <c r="WCG507" s="44"/>
      <c r="WCH507" s="44"/>
      <c r="WCI507" s="44"/>
      <c r="WCJ507" s="44"/>
      <c r="WCK507" s="44"/>
      <c r="WCL507" s="44"/>
      <c r="WCM507" s="44"/>
      <c r="WCN507" s="44"/>
      <c r="WCO507" s="44"/>
      <c r="WCP507" s="44"/>
      <c r="WCQ507" s="44"/>
      <c r="WCR507" s="44"/>
      <c r="WCS507" s="44"/>
      <c r="WCT507" s="44"/>
      <c r="WCU507" s="44"/>
      <c r="WCV507" s="44"/>
      <c r="WCW507" s="44"/>
      <c r="WCX507" s="44"/>
      <c r="WCY507" s="44"/>
      <c r="WCZ507" s="44"/>
      <c r="WDA507" s="44"/>
      <c r="WDB507" s="44"/>
      <c r="WDC507" s="44"/>
      <c r="WDD507" s="44"/>
      <c r="WDE507" s="44"/>
      <c r="WDF507" s="44"/>
      <c r="WDG507" s="44"/>
      <c r="WDH507" s="44"/>
      <c r="WDI507" s="44"/>
      <c r="WDJ507" s="44"/>
      <c r="WDK507" s="44"/>
      <c r="WDL507" s="44"/>
      <c r="WDM507" s="44"/>
      <c r="WDN507" s="44"/>
      <c r="WDO507" s="44"/>
      <c r="WDP507" s="44"/>
      <c r="WDQ507" s="44"/>
      <c r="WDR507" s="44"/>
      <c r="WDS507" s="44"/>
      <c r="WDT507" s="44"/>
      <c r="WDU507" s="44"/>
      <c r="WDV507" s="44"/>
      <c r="WDW507" s="44"/>
      <c r="WDX507" s="44"/>
      <c r="WDY507" s="44"/>
      <c r="WDZ507" s="44"/>
      <c r="WEA507" s="44"/>
      <c r="WEB507" s="44"/>
      <c r="WEC507" s="44"/>
      <c r="WED507" s="44"/>
      <c r="WEE507" s="44"/>
      <c r="WEF507" s="44"/>
      <c r="WEG507" s="44"/>
      <c r="WEH507" s="44"/>
      <c r="WEI507" s="44"/>
      <c r="WEJ507" s="44"/>
      <c r="WEK507" s="44"/>
      <c r="WEL507" s="44"/>
      <c r="WEM507" s="44"/>
      <c r="WEN507" s="44"/>
      <c r="WEO507" s="44"/>
      <c r="WEP507" s="44"/>
      <c r="WEQ507" s="44"/>
      <c r="WER507" s="44"/>
      <c r="WES507" s="44"/>
      <c r="WET507" s="44"/>
      <c r="WEU507" s="44"/>
      <c r="WEV507" s="44"/>
      <c r="WEW507" s="44"/>
      <c r="WEX507" s="44"/>
      <c r="WEY507" s="44"/>
      <c r="WEZ507" s="44"/>
      <c r="WFA507" s="44"/>
      <c r="WFB507" s="44"/>
      <c r="WFC507" s="44"/>
      <c r="WFD507" s="44"/>
      <c r="WFE507" s="44"/>
      <c r="WFF507" s="44"/>
      <c r="WFG507" s="44"/>
      <c r="WFH507" s="44"/>
      <c r="WFI507" s="44"/>
      <c r="WFJ507" s="44"/>
      <c r="WFK507" s="44"/>
      <c r="WFL507" s="44"/>
      <c r="WFM507" s="44"/>
      <c r="WFN507" s="44"/>
      <c r="WFO507" s="44"/>
      <c r="WFP507" s="44"/>
      <c r="WFQ507" s="44"/>
      <c r="WFR507" s="44"/>
      <c r="WFS507" s="44"/>
      <c r="WFT507" s="44"/>
      <c r="WFU507" s="44"/>
      <c r="WFV507" s="44"/>
      <c r="WFW507" s="44"/>
      <c r="WFX507" s="44"/>
      <c r="WFY507" s="44"/>
      <c r="WFZ507" s="44"/>
      <c r="WGA507" s="44"/>
      <c r="WGB507" s="44"/>
      <c r="WGC507" s="44"/>
      <c r="WGD507" s="44"/>
      <c r="WGE507" s="44"/>
      <c r="WGF507" s="44"/>
      <c r="WGG507" s="44"/>
      <c r="WGH507" s="44"/>
      <c r="WGI507" s="44"/>
      <c r="WGJ507" s="44"/>
      <c r="WGK507" s="44"/>
      <c r="WGL507" s="44"/>
      <c r="WGM507" s="44"/>
      <c r="WGN507" s="44"/>
      <c r="WGO507" s="44"/>
      <c r="WGP507" s="44"/>
      <c r="WGQ507" s="44"/>
      <c r="WGR507" s="44"/>
      <c r="WGS507" s="44"/>
      <c r="WGT507" s="44"/>
      <c r="WGU507" s="44"/>
      <c r="WGV507" s="44"/>
      <c r="WGW507" s="44"/>
      <c r="WGX507" s="44"/>
      <c r="WGY507" s="44"/>
      <c r="WGZ507" s="44"/>
      <c r="WHA507" s="44"/>
      <c r="WHB507" s="44"/>
      <c r="WHC507" s="44"/>
      <c r="WHD507" s="44"/>
      <c r="WHE507" s="44"/>
      <c r="WHF507" s="44"/>
      <c r="WHG507" s="44"/>
      <c r="WHH507" s="44"/>
      <c r="WHI507" s="44"/>
      <c r="WHJ507" s="44"/>
      <c r="WHK507" s="44"/>
      <c r="WHL507" s="44"/>
      <c r="WHM507" s="44"/>
      <c r="WHN507" s="44"/>
      <c r="WHO507" s="44"/>
      <c r="WHP507" s="44"/>
      <c r="WHQ507" s="44"/>
      <c r="WHR507" s="44"/>
      <c r="WHS507" s="44"/>
      <c r="WHT507" s="44"/>
      <c r="WHU507" s="44"/>
      <c r="WHV507" s="44"/>
      <c r="WHW507" s="44"/>
      <c r="WHX507" s="44"/>
      <c r="WHY507" s="44"/>
      <c r="WHZ507" s="44"/>
      <c r="WIA507" s="44"/>
      <c r="WIB507" s="44"/>
      <c r="WIC507" s="44"/>
      <c r="WID507" s="44"/>
      <c r="WIE507" s="44"/>
      <c r="WIF507" s="44"/>
      <c r="WIG507" s="44"/>
      <c r="WIH507" s="44"/>
      <c r="WII507" s="44"/>
      <c r="WIJ507" s="44"/>
      <c r="WIK507" s="44"/>
      <c r="WIL507" s="44"/>
      <c r="WIM507" s="44"/>
      <c r="WIN507" s="44"/>
      <c r="WIO507" s="44"/>
      <c r="WIP507" s="44"/>
      <c r="WIQ507" s="44"/>
      <c r="WIR507" s="44"/>
      <c r="WIS507" s="44"/>
      <c r="WIT507" s="44"/>
      <c r="WIU507" s="44"/>
      <c r="WIV507" s="44"/>
      <c r="WIW507" s="44"/>
      <c r="WIX507" s="44"/>
      <c r="WIY507" s="44"/>
      <c r="WIZ507" s="44"/>
      <c r="WJA507" s="44"/>
      <c r="WJB507" s="44"/>
      <c r="WJC507" s="44"/>
      <c r="WJD507" s="44"/>
      <c r="WJE507" s="44"/>
      <c r="WJF507" s="44"/>
      <c r="WJG507" s="44"/>
      <c r="WJH507" s="44"/>
      <c r="WJI507" s="44"/>
      <c r="WJJ507" s="44"/>
      <c r="WJK507" s="44"/>
      <c r="WJL507" s="44"/>
      <c r="WJM507" s="44"/>
      <c r="WJN507" s="44"/>
      <c r="WJO507" s="44"/>
      <c r="WJP507" s="44"/>
      <c r="WJQ507" s="44"/>
      <c r="WJR507" s="44"/>
      <c r="WJS507" s="44"/>
      <c r="WJT507" s="44"/>
      <c r="WJU507" s="44"/>
      <c r="WJV507" s="44"/>
      <c r="WJW507" s="44"/>
      <c r="WJX507" s="44"/>
      <c r="WJY507" s="44"/>
      <c r="WJZ507" s="44"/>
      <c r="WKA507" s="44"/>
      <c r="WKB507" s="44"/>
      <c r="WKC507" s="44"/>
      <c r="WKD507" s="44"/>
      <c r="WKE507" s="44"/>
      <c r="WKF507" s="44"/>
      <c r="WKG507" s="44"/>
      <c r="WKH507" s="44"/>
      <c r="WKI507" s="44"/>
      <c r="WKJ507" s="44"/>
      <c r="WKK507" s="44"/>
      <c r="WKL507" s="44"/>
      <c r="WKM507" s="44"/>
      <c r="WKN507" s="44"/>
      <c r="WKO507" s="44"/>
      <c r="WKP507" s="44"/>
      <c r="WKQ507" s="44"/>
      <c r="WKR507" s="44"/>
      <c r="WKS507" s="44"/>
      <c r="WKT507" s="44"/>
      <c r="WKU507" s="44"/>
      <c r="WKV507" s="44"/>
      <c r="WKW507" s="44"/>
      <c r="WKX507" s="44"/>
      <c r="WKY507" s="44"/>
      <c r="WKZ507" s="44"/>
      <c r="WLA507" s="44"/>
      <c r="WLB507" s="44"/>
      <c r="WLC507" s="44"/>
      <c r="WLD507" s="44"/>
      <c r="WLE507" s="44"/>
      <c r="WLF507" s="44"/>
      <c r="WLG507" s="44"/>
      <c r="WLH507" s="44"/>
      <c r="WLI507" s="44"/>
      <c r="WLJ507" s="44"/>
      <c r="WLK507" s="44"/>
      <c r="WLL507" s="44"/>
      <c r="WLM507" s="44"/>
      <c r="WLN507" s="44"/>
      <c r="WLO507" s="44"/>
      <c r="WLP507" s="44"/>
      <c r="WLQ507" s="44"/>
      <c r="WLR507" s="44"/>
      <c r="WLS507" s="44"/>
      <c r="WLT507" s="44"/>
      <c r="WLU507" s="44"/>
      <c r="WLV507" s="44"/>
      <c r="WLW507" s="44"/>
      <c r="WLX507" s="44"/>
      <c r="WLY507" s="44"/>
      <c r="WLZ507" s="44"/>
      <c r="WMA507" s="44"/>
      <c r="WMB507" s="44"/>
      <c r="WMC507" s="44"/>
      <c r="WMD507" s="44"/>
      <c r="WME507" s="44"/>
      <c r="WMF507" s="44"/>
      <c r="WMG507" s="44"/>
      <c r="WMH507" s="44"/>
      <c r="WMI507" s="44"/>
      <c r="WMJ507" s="44"/>
      <c r="WMK507" s="44"/>
      <c r="WML507" s="44"/>
      <c r="WMM507" s="44"/>
      <c r="WMN507" s="44"/>
      <c r="WMO507" s="44"/>
      <c r="WMP507" s="44"/>
      <c r="WMQ507" s="44"/>
      <c r="WMR507" s="44"/>
      <c r="WMS507" s="44"/>
      <c r="WMT507" s="44"/>
      <c r="WMU507" s="44"/>
      <c r="WMV507" s="44"/>
      <c r="WMW507" s="44"/>
      <c r="WMX507" s="44"/>
      <c r="WMY507" s="44"/>
      <c r="WMZ507" s="44"/>
      <c r="WNA507" s="44"/>
      <c r="WNB507" s="44"/>
      <c r="WNC507" s="44"/>
      <c r="WND507" s="44"/>
      <c r="WNE507" s="44"/>
      <c r="WNF507" s="44"/>
      <c r="WNG507" s="44"/>
      <c r="WNH507" s="44"/>
      <c r="WNI507" s="44"/>
      <c r="WNJ507" s="44"/>
      <c r="WNK507" s="44"/>
      <c r="WNL507" s="44"/>
      <c r="WNM507" s="44"/>
      <c r="WNN507" s="44"/>
      <c r="WNO507" s="44"/>
      <c r="WNP507" s="44"/>
      <c r="WNQ507" s="44"/>
      <c r="WNR507" s="44"/>
      <c r="WNS507" s="44"/>
      <c r="WNT507" s="44"/>
      <c r="WNU507" s="44"/>
      <c r="WNV507" s="44"/>
      <c r="WNW507" s="44"/>
      <c r="WNX507" s="44"/>
      <c r="WNY507" s="44"/>
      <c r="WNZ507" s="44"/>
      <c r="WOA507" s="44"/>
      <c r="WOB507" s="44"/>
      <c r="WOC507" s="44"/>
      <c r="WOD507" s="44"/>
      <c r="WOE507" s="44"/>
      <c r="WOF507" s="44"/>
      <c r="WOG507" s="44"/>
      <c r="WOH507" s="44"/>
      <c r="WOI507" s="44"/>
      <c r="WOJ507" s="44"/>
      <c r="WOK507" s="44"/>
      <c r="WOL507" s="44"/>
      <c r="WOM507" s="44"/>
      <c r="WON507" s="44"/>
      <c r="WOO507" s="44"/>
      <c r="WOP507" s="44"/>
      <c r="WOQ507" s="44"/>
      <c r="WOR507" s="44"/>
      <c r="WOS507" s="44"/>
      <c r="WOT507" s="44"/>
      <c r="WOU507" s="44"/>
      <c r="WOV507" s="44"/>
      <c r="WOW507" s="44"/>
      <c r="WOX507" s="44"/>
      <c r="WOY507" s="44"/>
      <c r="WOZ507" s="44"/>
      <c r="WPA507" s="44"/>
      <c r="WPB507" s="44"/>
      <c r="WPC507" s="44"/>
      <c r="WPD507" s="44"/>
      <c r="WPE507" s="44"/>
      <c r="WPF507" s="44"/>
      <c r="WPG507" s="44"/>
      <c r="WPH507" s="44"/>
      <c r="WPI507" s="44"/>
      <c r="WPJ507" s="44"/>
      <c r="WPK507" s="44"/>
      <c r="WPL507" s="44"/>
      <c r="WPM507" s="44"/>
      <c r="WPN507" s="44"/>
      <c r="WPO507" s="44"/>
      <c r="WPP507" s="44"/>
      <c r="WPQ507" s="44"/>
      <c r="WPR507" s="44"/>
      <c r="WPS507" s="44"/>
      <c r="WPT507" s="44"/>
      <c r="WPU507" s="44"/>
      <c r="WPV507" s="44"/>
      <c r="WPW507" s="44"/>
      <c r="WPX507" s="44"/>
      <c r="WPY507" s="44"/>
      <c r="WPZ507" s="44"/>
      <c r="WQA507" s="44"/>
      <c r="WQB507" s="44"/>
      <c r="WQC507" s="44"/>
      <c r="WQD507" s="44"/>
      <c r="WQE507" s="44"/>
      <c r="WQF507" s="44"/>
      <c r="WQG507" s="44"/>
      <c r="WQH507" s="44"/>
      <c r="WQI507" s="44"/>
      <c r="WQJ507" s="44"/>
      <c r="WQK507" s="44"/>
      <c r="WQL507" s="44"/>
      <c r="WQM507" s="44"/>
      <c r="WQN507" s="44"/>
      <c r="WQO507" s="44"/>
      <c r="WQP507" s="44"/>
      <c r="WQQ507" s="44"/>
      <c r="WQR507" s="44"/>
      <c r="WQS507" s="44"/>
      <c r="WQT507" s="44"/>
      <c r="WQU507" s="44"/>
      <c r="WQV507" s="44"/>
      <c r="WQW507" s="44"/>
      <c r="WQX507" s="44"/>
      <c r="WQY507" s="44"/>
      <c r="WQZ507" s="44"/>
      <c r="WRA507" s="44"/>
      <c r="WRB507" s="44"/>
      <c r="WRC507" s="44"/>
      <c r="WRD507" s="44"/>
      <c r="WRE507" s="44"/>
      <c r="WRF507" s="44"/>
      <c r="WRG507" s="44"/>
      <c r="WRH507" s="44"/>
      <c r="WRI507" s="44"/>
      <c r="WRJ507" s="44"/>
      <c r="WRK507" s="44"/>
      <c r="WRL507" s="44"/>
      <c r="WRM507" s="44"/>
      <c r="WRN507" s="44"/>
      <c r="WRO507" s="44"/>
      <c r="WRP507" s="44"/>
      <c r="WRQ507" s="44"/>
      <c r="WRR507" s="44"/>
      <c r="WRS507" s="44"/>
      <c r="WRT507" s="44"/>
      <c r="WRU507" s="44"/>
      <c r="WRV507" s="44"/>
      <c r="WRW507" s="44"/>
      <c r="WRX507" s="44"/>
      <c r="WRY507" s="44"/>
      <c r="WRZ507" s="44"/>
      <c r="WSA507" s="44"/>
      <c r="WSB507" s="44"/>
      <c r="WSC507" s="44"/>
      <c r="WSD507" s="44"/>
      <c r="WSE507" s="44"/>
      <c r="WSF507" s="44"/>
      <c r="WSG507" s="44"/>
      <c r="WSH507" s="44"/>
      <c r="WSI507" s="44"/>
      <c r="WSJ507" s="44"/>
      <c r="WSK507" s="44"/>
      <c r="WSL507" s="44"/>
      <c r="WSM507" s="44"/>
      <c r="WSN507" s="44"/>
      <c r="WSO507" s="44"/>
      <c r="WSP507" s="44"/>
      <c r="WSQ507" s="44"/>
      <c r="WSR507" s="44"/>
      <c r="WSS507" s="44"/>
      <c r="WST507" s="44"/>
      <c r="WSU507" s="44"/>
      <c r="WSV507" s="44"/>
      <c r="WSW507" s="44"/>
      <c r="WSX507" s="44"/>
      <c r="WSY507" s="44"/>
      <c r="WSZ507" s="44"/>
      <c r="WTA507" s="44"/>
      <c r="WTB507" s="44"/>
      <c r="WTC507" s="44"/>
      <c r="WTD507" s="44"/>
      <c r="WTE507" s="44"/>
      <c r="WTF507" s="44"/>
      <c r="WTG507" s="44"/>
      <c r="WTH507" s="44"/>
      <c r="WTI507" s="44"/>
      <c r="WTJ507" s="44"/>
      <c r="WTK507" s="44"/>
      <c r="WTL507" s="44"/>
      <c r="WTM507" s="44"/>
      <c r="WTN507" s="44"/>
      <c r="WTO507" s="44"/>
      <c r="WTP507" s="44"/>
      <c r="WTQ507" s="44"/>
      <c r="WTR507" s="44"/>
      <c r="WTS507" s="44"/>
      <c r="WTT507" s="44"/>
      <c r="WTU507" s="44"/>
      <c r="WTV507" s="44"/>
      <c r="WTW507" s="44"/>
      <c r="WTX507" s="44"/>
      <c r="WTY507" s="44"/>
      <c r="WTZ507" s="44"/>
      <c r="WUA507" s="44"/>
      <c r="WUB507" s="44"/>
      <c r="WUC507" s="44"/>
      <c r="WUD507" s="44"/>
      <c r="WUE507" s="44"/>
      <c r="WUF507" s="44"/>
      <c r="WUG507" s="44"/>
      <c r="WUH507" s="44"/>
      <c r="WUI507" s="44"/>
      <c r="WUJ507" s="44"/>
      <c r="WUK507" s="44"/>
      <c r="WUL507" s="44"/>
      <c r="WUM507" s="44"/>
      <c r="WUN507" s="44"/>
      <c r="WUO507" s="44"/>
      <c r="WUP507" s="44"/>
      <c r="WUQ507" s="44"/>
      <c r="WUR507" s="44"/>
      <c r="WUS507" s="44"/>
      <c r="WUT507" s="44"/>
      <c r="WUU507" s="44"/>
      <c r="WUV507" s="44"/>
      <c r="WUW507" s="44"/>
      <c r="WUX507" s="44"/>
      <c r="WUY507" s="44"/>
      <c r="WUZ507" s="44"/>
      <c r="WVA507" s="44"/>
      <c r="WVB507" s="44"/>
      <c r="WVC507" s="44"/>
      <c r="WVD507" s="44"/>
      <c r="WVE507" s="44"/>
      <c r="WVF507" s="44"/>
      <c r="WVG507" s="44"/>
      <c r="WVH507" s="44"/>
      <c r="WVI507" s="44"/>
      <c r="WVJ507" s="44"/>
      <c r="WVK507" s="44"/>
      <c r="WVL507" s="44"/>
      <c r="WVM507" s="44"/>
      <c r="WVN507" s="44"/>
      <c r="WVO507" s="44"/>
      <c r="WVP507" s="44"/>
      <c r="WVQ507" s="44"/>
      <c r="WVR507" s="44"/>
      <c r="WVS507" s="44"/>
      <c r="WVT507" s="44"/>
      <c r="WVU507" s="44"/>
      <c r="WVV507" s="44"/>
      <c r="WVW507" s="44"/>
      <c r="WVX507" s="44"/>
      <c r="WVY507" s="44"/>
      <c r="WVZ507" s="44"/>
      <c r="WWA507" s="44"/>
      <c r="WWB507" s="44"/>
      <c r="WWC507" s="44"/>
      <c r="WWD507" s="44"/>
      <c r="WWE507" s="44"/>
      <c r="WWF507" s="44"/>
      <c r="WWG507" s="44"/>
      <c r="WWH507" s="44"/>
      <c r="WWI507" s="44"/>
      <c r="WWJ507" s="44"/>
      <c r="WWK507" s="44"/>
      <c r="WWL507" s="44"/>
      <c r="WWM507" s="44"/>
      <c r="WWN507" s="44"/>
      <c r="WWO507" s="44"/>
      <c r="WWP507" s="44"/>
      <c r="WWQ507" s="44"/>
      <c r="WWR507" s="44"/>
      <c r="WWS507" s="44"/>
      <c r="WWT507" s="44"/>
      <c r="WWU507" s="44"/>
      <c r="WWV507" s="44"/>
      <c r="WWW507" s="44"/>
      <c r="WWX507" s="44"/>
      <c r="WWY507" s="44"/>
      <c r="WWZ507" s="44"/>
      <c r="WXA507" s="44"/>
      <c r="WXB507" s="44"/>
      <c r="WXC507" s="44"/>
      <c r="WXD507" s="44"/>
      <c r="WXE507" s="44"/>
      <c r="WXF507" s="44"/>
      <c r="WXG507" s="44"/>
      <c r="WXH507" s="44"/>
      <c r="WXI507" s="44"/>
      <c r="WXJ507" s="44"/>
      <c r="WXK507" s="44"/>
      <c r="WXL507" s="44"/>
      <c r="WXM507" s="44"/>
      <c r="WXN507" s="44"/>
      <c r="WXO507" s="44"/>
      <c r="WXP507" s="44"/>
      <c r="WXQ507" s="44"/>
      <c r="WXR507" s="44"/>
      <c r="WXS507" s="44"/>
      <c r="WXT507" s="44"/>
      <c r="WXU507" s="44"/>
      <c r="WXV507" s="44"/>
      <c r="WXW507" s="44"/>
      <c r="WXX507" s="44"/>
      <c r="WXY507" s="44"/>
      <c r="WXZ507" s="44"/>
      <c r="WYA507" s="44"/>
      <c r="WYB507" s="44"/>
      <c r="WYC507" s="44"/>
      <c r="WYD507" s="44"/>
      <c r="WYE507" s="44"/>
      <c r="WYF507" s="44"/>
      <c r="WYG507" s="44"/>
      <c r="WYH507" s="44"/>
      <c r="WYI507" s="44"/>
      <c r="WYJ507" s="44"/>
      <c r="WYK507" s="44"/>
      <c r="WYL507" s="44"/>
      <c r="WYM507" s="44"/>
      <c r="WYN507" s="44"/>
      <c r="WYO507" s="44"/>
      <c r="WYP507" s="44"/>
      <c r="WYQ507" s="44"/>
      <c r="WYR507" s="44"/>
      <c r="WYS507" s="44"/>
      <c r="WYT507" s="44"/>
      <c r="WYU507" s="44"/>
      <c r="WYV507" s="44"/>
      <c r="WYW507" s="44"/>
      <c r="WYX507" s="44"/>
      <c r="WYY507" s="44"/>
      <c r="WYZ507" s="44"/>
      <c r="WZA507" s="44"/>
      <c r="WZB507" s="44"/>
      <c r="WZC507" s="44"/>
      <c r="WZD507" s="44"/>
      <c r="WZE507" s="44"/>
      <c r="WZF507" s="44"/>
      <c r="WZG507" s="44"/>
      <c r="WZH507" s="44"/>
      <c r="WZI507" s="44"/>
      <c r="WZJ507" s="44"/>
      <c r="WZK507" s="44"/>
      <c r="WZL507" s="44"/>
      <c r="WZM507" s="44"/>
      <c r="WZN507" s="44"/>
      <c r="WZO507" s="44"/>
      <c r="WZP507" s="44"/>
      <c r="WZQ507" s="44"/>
      <c r="WZR507" s="44"/>
      <c r="WZS507" s="44"/>
      <c r="WZT507" s="44"/>
      <c r="WZU507" s="44"/>
      <c r="WZV507" s="44"/>
      <c r="WZW507" s="44"/>
      <c r="WZX507" s="44"/>
      <c r="WZY507" s="44"/>
      <c r="WZZ507" s="44"/>
      <c r="XAA507" s="44"/>
      <c r="XAB507" s="44"/>
      <c r="XAC507" s="44"/>
      <c r="XAD507" s="44"/>
      <c r="XAE507" s="44"/>
      <c r="XAF507" s="44"/>
      <c r="XAG507" s="44"/>
      <c r="XAH507" s="44"/>
      <c r="XAI507" s="44"/>
      <c r="XAJ507" s="44"/>
      <c r="XAK507" s="44"/>
      <c r="XAL507" s="44"/>
      <c r="XAM507" s="44"/>
      <c r="XAN507" s="44"/>
      <c r="XAO507" s="44"/>
      <c r="XAP507" s="44"/>
      <c r="XAQ507" s="44"/>
      <c r="XAR507" s="44"/>
      <c r="XAS507" s="44"/>
      <c r="XAT507" s="44"/>
      <c r="XAU507" s="44"/>
      <c r="XAV507" s="44"/>
      <c r="XAW507" s="44"/>
      <c r="XAX507" s="44"/>
      <c r="XAY507" s="44"/>
      <c r="XAZ507" s="44"/>
      <c r="XBA507" s="44"/>
      <c r="XBB507" s="44"/>
      <c r="XBC507" s="44"/>
      <c r="XBD507" s="44"/>
      <c r="XBE507" s="44"/>
      <c r="XBF507" s="44"/>
      <c r="XBG507" s="44"/>
      <c r="XBH507" s="44"/>
      <c r="XBI507" s="44"/>
      <c r="XBJ507" s="44"/>
      <c r="XBK507" s="44"/>
      <c r="XBL507" s="44"/>
      <c r="XBM507" s="44"/>
      <c r="XBN507" s="44"/>
      <c r="XBO507" s="44"/>
      <c r="XBP507" s="44"/>
      <c r="XBQ507" s="44"/>
      <c r="XBR507" s="44"/>
      <c r="XBS507" s="44"/>
      <c r="XBT507" s="44"/>
      <c r="XBU507" s="44"/>
      <c r="XBV507" s="44"/>
      <c r="XBW507" s="44"/>
      <c r="XBX507" s="44"/>
      <c r="XBY507" s="44"/>
      <c r="XBZ507" s="44"/>
      <c r="XCA507" s="44"/>
      <c r="XCB507" s="44"/>
      <c r="XCC507" s="44"/>
      <c r="XCD507" s="44"/>
      <c r="XCE507" s="44"/>
      <c r="XCF507" s="44"/>
      <c r="XCG507" s="44"/>
      <c r="XCH507" s="44"/>
      <c r="XCI507" s="44"/>
      <c r="XCJ507" s="44"/>
      <c r="XCK507" s="44"/>
      <c r="XCL507" s="44"/>
      <c r="XCM507" s="44"/>
      <c r="XCN507" s="44"/>
      <c r="XCO507" s="44"/>
      <c r="XCP507" s="44"/>
      <c r="XCQ507" s="44"/>
      <c r="XCR507" s="44"/>
      <c r="XCS507" s="44"/>
      <c r="XCT507" s="44"/>
      <c r="XCU507" s="44"/>
      <c r="XCV507" s="44"/>
      <c r="XCW507" s="44"/>
      <c r="XCX507" s="44"/>
      <c r="XCY507" s="44"/>
      <c r="XCZ507" s="44"/>
      <c r="XDA507" s="44"/>
      <c r="XDB507" s="44"/>
      <c r="XDC507" s="44"/>
      <c r="XDD507" s="44"/>
      <c r="XDE507" s="44"/>
      <c r="XDF507" s="44"/>
      <c r="XDG507" s="44"/>
      <c r="XDH507" s="44"/>
      <c r="XDI507" s="44"/>
      <c r="XDJ507" s="44"/>
      <c r="XDK507" s="44"/>
      <c r="XDL507" s="44"/>
      <c r="XDM507" s="44"/>
      <c r="XDN507" s="44"/>
      <c r="XDO507" s="44"/>
      <c r="XDP507" s="44"/>
      <c r="XDQ507" s="44"/>
      <c r="XDR507" s="44"/>
      <c r="XDS507" s="44"/>
      <c r="XDT507" s="44"/>
      <c r="XDU507" s="44"/>
      <c r="XDV507" s="44"/>
      <c r="XDW507" s="44"/>
      <c r="XDX507" s="44"/>
      <c r="XDY507" s="44"/>
      <c r="XDZ507" s="44"/>
      <c r="XEA507" s="44"/>
      <c r="XEB507" s="44"/>
      <c r="XEC507" s="44"/>
      <c r="XED507" s="44"/>
      <c r="XEE507" s="44"/>
      <c r="XEF507" s="44"/>
      <c r="XEG507" s="44"/>
      <c r="XEH507" s="44"/>
      <c r="XEI507" s="44"/>
      <c r="XEJ507" s="44"/>
      <c r="XEK507" s="44"/>
      <c r="XEL507" s="44"/>
      <c r="XEM507" s="44"/>
      <c r="XEN507" s="44"/>
      <c r="XEO507" s="44"/>
      <c r="XEP507" s="44"/>
      <c r="XEQ507" s="44"/>
      <c r="XER507" s="44"/>
      <c r="XES507" s="44"/>
      <c r="XET507" s="44"/>
      <c r="XEU507" s="44"/>
    </row>
    <row r="508" spans="1:16375">
      <c r="A508" s="1046">
        <v>5102106000</v>
      </c>
      <c r="B508" s="1047" t="s">
        <v>621</v>
      </c>
      <c r="C508" s="1214">
        <f>IFERROR(VLOOKUP(A508,'SAP '!$A$3:$C$14709,3,0),0)</f>
        <v>185693.3</v>
      </c>
      <c r="D508" s="1082">
        <f>IFERROR(VLOOKUP(A508,'SAP '!A:D,4,0),0)</f>
        <v>199952.3</v>
      </c>
    </row>
    <row r="509" spans="1:16375">
      <c r="A509" s="1046">
        <v>5102108000</v>
      </c>
      <c r="B509" s="1047" t="s">
        <v>622</v>
      </c>
      <c r="C509" s="1214">
        <f>IFERROR(VLOOKUP(A509,'SAP '!$A$3:$C$14709,3,0),0)</f>
        <v>1303270.18</v>
      </c>
      <c r="D509" s="1082">
        <f>IFERROR(VLOOKUP(A509,'SAP '!A:D,4,0),0)</f>
        <v>293738.17</v>
      </c>
    </row>
    <row r="510" spans="1:16375">
      <c r="A510" s="1046">
        <v>5102109000</v>
      </c>
      <c r="B510" s="1047" t="s">
        <v>623</v>
      </c>
      <c r="C510" s="1214">
        <f>IFERROR(VLOOKUP(A510,'SAP '!$A$3:$C$14709,3,0),0)</f>
        <v>6685590.5899999999</v>
      </c>
      <c r="D510" s="1082">
        <f>IFERROR(VLOOKUP(A510,'SAP '!A:D,4,0),0)</f>
        <v>6767778.5300000003</v>
      </c>
    </row>
    <row r="511" spans="1:16375">
      <c r="A511" s="1046">
        <v>5103101000</v>
      </c>
      <c r="B511" s="1047" t="s">
        <v>639</v>
      </c>
      <c r="C511" s="1214">
        <f>IFERROR(VLOOKUP(A511,'SAP '!$A$3:$C$14709,3,0),0)</f>
        <v>30795.360000000001</v>
      </c>
      <c r="D511" s="1082">
        <f>IFERROR(VLOOKUP(A511,'SAP '!A:D,4,0),0)</f>
        <v>99271</v>
      </c>
    </row>
    <row r="512" spans="1:16375">
      <c r="A512" s="1046">
        <v>5103101001</v>
      </c>
      <c r="B512" s="1047" t="s">
        <v>640</v>
      </c>
      <c r="C512" s="1214">
        <f>IFERROR(VLOOKUP(A512,'SAP '!$A$3:$C$14709,3,0),0)</f>
        <v>899969.02</v>
      </c>
      <c r="D512" s="1082">
        <f>IFERROR(VLOOKUP(A512,'SAP '!A:D,4,0),0)</f>
        <v>962014.14</v>
      </c>
    </row>
    <row r="513" spans="1:4">
      <c r="A513" s="1046">
        <v>5103101002</v>
      </c>
      <c r="B513" s="1047" t="s">
        <v>641</v>
      </c>
      <c r="C513" s="1214">
        <f>IFERROR(VLOOKUP(A513,'SAP '!$A$3:$C$14709,3,0),0)</f>
        <v>0</v>
      </c>
      <c r="D513" s="1082">
        <f>IFERROR(VLOOKUP(A513,'SAP '!A:D,4,0),0)</f>
        <v>19500</v>
      </c>
    </row>
    <row r="514" spans="1:4">
      <c r="A514" s="1051">
        <v>5103101003</v>
      </c>
      <c r="B514" s="1051" t="s">
        <v>161</v>
      </c>
      <c r="C514" s="1214">
        <f>IFERROR(VLOOKUP(A514,'SAP '!$A$3:$C$14709,3,0),0)</f>
        <v>0</v>
      </c>
      <c r="D514" s="1082">
        <f>IFERROR(VLOOKUP(A514,'SAP '!A:D,4,0),0)</f>
        <v>0</v>
      </c>
    </row>
    <row r="515" spans="1:4">
      <c r="A515" s="1051">
        <v>5103101004</v>
      </c>
      <c r="B515" s="1051" t="s">
        <v>162</v>
      </c>
      <c r="C515" s="1214">
        <f>IFERROR(VLOOKUP(A515,'SAP '!$A$3:$C$14709,3,0),0)</f>
        <v>0</v>
      </c>
      <c r="D515" s="1082">
        <f>IFERROR(VLOOKUP(A515,'SAP '!A:D,4,0),0)</f>
        <v>0</v>
      </c>
    </row>
    <row r="516" spans="1:4">
      <c r="A516" s="1046">
        <v>5103102000</v>
      </c>
      <c r="B516" s="1047" t="s">
        <v>642</v>
      </c>
      <c r="C516" s="1214">
        <f>IFERROR(VLOOKUP(A516,'SAP '!$A$3:$C$14709,3,0),0)</f>
        <v>338848.44</v>
      </c>
      <c r="D516" s="1082">
        <f>IFERROR(VLOOKUP(A516,'SAP '!A:D,4,0),0)</f>
        <v>207400</v>
      </c>
    </row>
    <row r="517" spans="1:4">
      <c r="A517" s="1046">
        <v>5103102001</v>
      </c>
      <c r="B517" s="1047" t="s">
        <v>643</v>
      </c>
      <c r="C517" s="1214">
        <f>IFERROR(VLOOKUP(A517,'SAP '!$A$3:$C$14709,3,0),0)</f>
        <v>8505863.8200000003</v>
      </c>
      <c r="D517" s="1082">
        <f>IFERROR(VLOOKUP(A517,'SAP '!A:D,4,0),0)</f>
        <v>2741667</v>
      </c>
    </row>
    <row r="518" spans="1:4">
      <c r="A518" s="1046">
        <v>5103103000</v>
      </c>
      <c r="B518" s="1047" t="s">
        <v>644</v>
      </c>
      <c r="C518" s="1214">
        <f>IFERROR(VLOOKUP(A518,'SAP '!$A$3:$C$14709,3,0),0)</f>
        <v>930951.63</v>
      </c>
      <c r="D518" s="1082">
        <f>IFERROR(VLOOKUP(A518,'SAP '!A:D,4,0),0)</f>
        <v>398811.71</v>
      </c>
    </row>
    <row r="519" spans="1:4">
      <c r="A519" s="1046">
        <v>5103103001</v>
      </c>
      <c r="B519" s="1047" t="s">
        <v>645</v>
      </c>
      <c r="C519" s="1214">
        <f>IFERROR(VLOOKUP(A519,'SAP '!$A$3:$C$14709,3,0),0)</f>
        <v>62027</v>
      </c>
      <c r="D519" s="1082">
        <f>IFERROR(VLOOKUP(A519,'SAP '!A:D,4,0),0)</f>
        <v>40260</v>
      </c>
    </row>
    <row r="520" spans="1:4">
      <c r="A520" s="1046">
        <v>5103103002</v>
      </c>
      <c r="B520" s="1047" t="s">
        <v>1024</v>
      </c>
      <c r="C520" s="1214">
        <f>IFERROR(VLOOKUP(A520,'SAP '!$A$3:$C$14709,3,0),0)</f>
        <v>0</v>
      </c>
      <c r="D520" s="1082">
        <f>IFERROR(VLOOKUP(A520,'SAP '!A:D,4,0),0)</f>
        <v>0</v>
      </c>
    </row>
    <row r="521" spans="1:4">
      <c r="A521" s="1046">
        <v>5103103003</v>
      </c>
      <c r="B521" s="1047" t="s">
        <v>646</v>
      </c>
      <c r="C521" s="1214">
        <f>IFERROR(VLOOKUP(A521,'SAP '!$A$3:$C$14709,3,0),0)</f>
        <v>30000</v>
      </c>
      <c r="D521" s="1082">
        <f>IFERROR(VLOOKUP(A521,'SAP '!A:D,4,0),0)</f>
        <v>249890</v>
      </c>
    </row>
    <row r="522" spans="1:4">
      <c r="A522" s="1046">
        <v>5103103004</v>
      </c>
      <c r="B522" s="1047" t="s">
        <v>647</v>
      </c>
      <c r="C522" s="1214">
        <f>IFERROR(VLOOKUP(A522,'SAP '!$A$3:$C$14709,3,0),0)</f>
        <v>31235</v>
      </c>
      <c r="D522" s="1082">
        <f>IFERROR(VLOOKUP(A522,'SAP '!A:D,4,0),0)</f>
        <v>50655</v>
      </c>
    </row>
    <row r="523" spans="1:4">
      <c r="A523" s="1051">
        <v>5103103005</v>
      </c>
      <c r="B523" s="1051" t="s">
        <v>163</v>
      </c>
      <c r="C523" s="1214">
        <f>IFERROR(VLOOKUP(A523,'SAP '!$A$3:$C$14709,3,0),0)</f>
        <v>0</v>
      </c>
      <c r="D523" s="1082">
        <f>IFERROR(VLOOKUP(A523,'SAP '!A:D,4,0),0)</f>
        <v>0</v>
      </c>
    </row>
    <row r="524" spans="1:4">
      <c r="A524" s="1051">
        <v>5103103006</v>
      </c>
      <c r="B524" s="1051" t="s">
        <v>164</v>
      </c>
      <c r="C524" s="1214">
        <f>IFERROR(VLOOKUP(A524,'SAP '!$A$3:$C$14709,3,0),0)</f>
        <v>0</v>
      </c>
      <c r="D524" s="1082">
        <f>IFERROR(VLOOKUP(A524,'SAP '!A:D,4,0),0)</f>
        <v>0</v>
      </c>
    </row>
    <row r="525" spans="1:4">
      <c r="A525" s="1046">
        <v>5103103007</v>
      </c>
      <c r="B525" s="1047" t="s">
        <v>648</v>
      </c>
      <c r="C525" s="1214">
        <f>IFERROR(VLOOKUP(A525,'SAP '!$A$3:$C$14709,3,0),0)</f>
        <v>0</v>
      </c>
      <c r="D525" s="1082">
        <f>IFERROR(VLOOKUP(A525,'SAP '!A:D,4,0),0)</f>
        <v>5772237.7599999998</v>
      </c>
    </row>
    <row r="526" spans="1:4">
      <c r="A526" s="1046">
        <v>5103103008</v>
      </c>
      <c r="B526" s="1047" t="s">
        <v>651</v>
      </c>
      <c r="C526" s="1214">
        <f>IFERROR(VLOOKUP(A526,'SAP '!$A$3:$C$14709,3,0),0)</f>
        <v>0</v>
      </c>
      <c r="D526" s="1082">
        <f>IFERROR(VLOOKUP(A526,'SAP '!A:D,4,0),0)</f>
        <v>198413.68</v>
      </c>
    </row>
    <row r="527" spans="1:4">
      <c r="A527" s="1046">
        <v>5103104000</v>
      </c>
      <c r="B527" s="1047" t="s">
        <v>649</v>
      </c>
      <c r="C527" s="1214">
        <f>IFERROR(VLOOKUP(A527,'SAP '!$A$3:$C$14709,3,0),0)</f>
        <v>2186016.2000000002</v>
      </c>
      <c r="D527" s="1082">
        <f>IFERROR(VLOOKUP(A527,'SAP '!A:D,4,0),0)</f>
        <v>1526381.89</v>
      </c>
    </row>
    <row r="528" spans="1:4">
      <c r="A528" s="1046">
        <v>5103104001</v>
      </c>
      <c r="B528" s="1047" t="s">
        <v>650</v>
      </c>
      <c r="C528" s="1214">
        <f>IFERROR(VLOOKUP(A528,'SAP '!$A$3:$C$14709,3,0),0)</f>
        <v>1354155.16</v>
      </c>
      <c r="D528" s="1082">
        <f>IFERROR(VLOOKUP(A528,'SAP '!A:D,4,0),0)</f>
        <v>1299621</v>
      </c>
    </row>
    <row r="529" spans="1:4">
      <c r="A529" s="1046">
        <v>5104101000</v>
      </c>
      <c r="B529" s="1047" t="s">
        <v>624</v>
      </c>
      <c r="C529" s="1214">
        <f>IFERROR(VLOOKUP(A529,'SAP '!$A$3:$C$14709,3,0),0)</f>
        <v>36562216.439999998</v>
      </c>
      <c r="D529" s="1082">
        <f>IFERROR(VLOOKUP(A529,'SAP '!A:D,4,0),0)</f>
        <v>35914643.350000001</v>
      </c>
    </row>
    <row r="530" spans="1:4">
      <c r="A530" s="1046">
        <v>5104101001</v>
      </c>
      <c r="B530" s="1047" t="s">
        <v>625</v>
      </c>
      <c r="C530" s="1214">
        <f>IFERROR(VLOOKUP(A530,'SAP '!$A$3:$C$14709,3,0),0)</f>
        <v>0</v>
      </c>
      <c r="D530" s="1082">
        <f>IFERROR(VLOOKUP(A530,'SAP '!A:D,4,0),0)</f>
        <v>3000</v>
      </c>
    </row>
    <row r="531" spans="1:4">
      <c r="A531" s="1046">
        <v>5104102000</v>
      </c>
      <c r="B531" s="1047" t="s">
        <v>626</v>
      </c>
      <c r="C531" s="1214">
        <f>IFERROR(VLOOKUP(A531,'SAP '!$A$3:$C$14709,3,0),0)</f>
        <v>10183897.82</v>
      </c>
      <c r="D531" s="1082">
        <f>IFERROR(VLOOKUP(A531,'SAP '!A:D,4,0),0)</f>
        <v>10183323.109999999</v>
      </c>
    </row>
    <row r="532" spans="1:4">
      <c r="A532" s="1046">
        <v>5104103000</v>
      </c>
      <c r="B532" s="1047" t="s">
        <v>865</v>
      </c>
      <c r="C532" s="1214">
        <f>IFERROR(VLOOKUP(A532,'SAP '!$A$3:$C$14709,3,0),0)</f>
        <v>0</v>
      </c>
      <c r="D532" s="1082">
        <f>IFERROR(VLOOKUP(A532,'SAP '!A:D,4,0),0)</f>
        <v>0</v>
      </c>
    </row>
    <row r="533" spans="1:4">
      <c r="A533" s="1046">
        <v>5104104000</v>
      </c>
      <c r="B533" s="1047" t="s">
        <v>627</v>
      </c>
      <c r="C533" s="1214">
        <f>IFERROR(VLOOKUP(A533,'SAP '!$A$3:$C$14709,3,0),0)</f>
        <v>0</v>
      </c>
      <c r="D533" s="1082">
        <f>IFERROR(VLOOKUP(A533,'SAP '!A:D,4,0),0)</f>
        <v>19915344.280000001</v>
      </c>
    </row>
    <row r="534" spans="1:4">
      <c r="A534" s="1046">
        <v>5104105000</v>
      </c>
      <c r="B534" s="1047" t="s">
        <v>628</v>
      </c>
      <c r="C534" s="1214">
        <f>IFERROR(VLOOKUP(A534,'SAP '!$A$3:$C$14709,3,0),0)</f>
        <v>0</v>
      </c>
      <c r="D534" s="1082">
        <f>IFERROR(VLOOKUP(A534,'SAP '!A:D,4,0),0)</f>
        <v>18684</v>
      </c>
    </row>
    <row r="535" spans="1:4">
      <c r="A535" s="1046">
        <v>5104106000</v>
      </c>
      <c r="B535" s="1047" t="s">
        <v>629</v>
      </c>
      <c r="C535" s="1214">
        <f>IFERROR(VLOOKUP(A535,'SAP '!$A$3:$C$14709,3,0),0)</f>
        <v>38590</v>
      </c>
      <c r="D535" s="1082">
        <f>IFERROR(VLOOKUP(A535,'SAP '!A:D,4,0),0)</f>
        <v>209512.33</v>
      </c>
    </row>
    <row r="536" spans="1:4">
      <c r="A536" s="1046">
        <v>5104106001</v>
      </c>
      <c r="B536" s="1047" t="s">
        <v>630</v>
      </c>
      <c r="C536" s="1214">
        <f>IFERROR(VLOOKUP(A536,'SAP '!$A$3:$C$14709,3,0),0)</f>
        <v>29890</v>
      </c>
      <c r="D536" s="1082">
        <f>IFERROR(VLOOKUP(A536,'SAP '!A:D,4,0),0)</f>
        <v>0</v>
      </c>
    </row>
    <row r="537" spans="1:4">
      <c r="A537" s="1051">
        <v>5104106002</v>
      </c>
      <c r="B537" s="1051" t="s">
        <v>165</v>
      </c>
      <c r="C537" s="1214">
        <f>IFERROR(VLOOKUP(A537,'SAP '!$A$3:$C$14709,3,0),0)</f>
        <v>0</v>
      </c>
      <c r="D537" s="1082">
        <f>IFERROR(VLOOKUP(A537,'SAP '!A:D,4,0),0)</f>
        <v>0</v>
      </c>
    </row>
    <row r="538" spans="1:4">
      <c r="A538" s="1046">
        <v>5104108000</v>
      </c>
      <c r="B538" s="1047" t="s">
        <v>631</v>
      </c>
      <c r="C538" s="1214">
        <f>IFERROR(VLOOKUP(A538,'SAP '!$A$3:$C$14709,3,0),0)</f>
        <v>553473</v>
      </c>
      <c r="D538" s="1082">
        <f>IFERROR(VLOOKUP(A538,'SAP '!A:D,4,0),0)</f>
        <v>2000126</v>
      </c>
    </row>
    <row r="539" spans="1:4">
      <c r="A539" s="1046">
        <v>5104108001</v>
      </c>
      <c r="B539" s="1047" t="s">
        <v>632</v>
      </c>
      <c r="C539" s="1214">
        <f>IFERROR(VLOOKUP(A539,'SAP '!$A$3:$C$14709,3,0),0)</f>
        <v>15000</v>
      </c>
      <c r="D539" s="1082">
        <f>IFERROR(VLOOKUP(A539,'SAP '!A:D,4,0),0)</f>
        <v>484831.4</v>
      </c>
    </row>
    <row r="540" spans="1:4">
      <c r="A540" s="1046">
        <v>5104108002</v>
      </c>
      <c r="B540" s="1047" t="s">
        <v>633</v>
      </c>
      <c r="C540" s="1214">
        <f>IFERROR(VLOOKUP(A540,'SAP '!$A$3:$C$14709,3,0),0)</f>
        <v>631122</v>
      </c>
      <c r="D540" s="1082">
        <f>IFERROR(VLOOKUP(A540,'SAP '!A:D,4,0),0)</f>
        <v>1406665.2</v>
      </c>
    </row>
    <row r="541" spans="1:4">
      <c r="A541" s="1046">
        <v>5104108003</v>
      </c>
      <c r="B541" s="1047" t="s">
        <v>1023</v>
      </c>
      <c r="C541" s="1214">
        <f>IFERROR(VLOOKUP(A541,'SAP '!$A$3:$C$14709,3,0),0)</f>
        <v>0</v>
      </c>
      <c r="D541" s="1082">
        <f>IFERROR(VLOOKUP(A541,'SAP '!A:D,4,0),0)</f>
        <v>0</v>
      </c>
    </row>
    <row r="542" spans="1:4">
      <c r="A542" s="1051">
        <v>5104108004</v>
      </c>
      <c r="B542" s="1051" t="s">
        <v>166</v>
      </c>
      <c r="C542" s="1214">
        <f>IFERROR(VLOOKUP(A542,'SAP '!$A$3:$C$14709,3,0),0)</f>
        <v>0</v>
      </c>
      <c r="D542" s="1082">
        <f>IFERROR(VLOOKUP(A542,'SAP '!A:D,4,0),0)</f>
        <v>0</v>
      </c>
    </row>
    <row r="543" spans="1:4">
      <c r="A543" s="1046">
        <v>5104108005</v>
      </c>
      <c r="B543" s="1047" t="s">
        <v>634</v>
      </c>
      <c r="C543" s="1214">
        <f>IFERROR(VLOOKUP(A543,'SAP '!$A$3:$C$14709,3,0),0)</f>
        <v>1147013.26</v>
      </c>
      <c r="D543" s="1082">
        <f>IFERROR(VLOOKUP(A543,'SAP '!A:D,4,0),0)</f>
        <v>1363527.22</v>
      </c>
    </row>
    <row r="544" spans="1:4">
      <c r="A544" s="1046">
        <v>5104108006</v>
      </c>
      <c r="B544" s="1047" t="s">
        <v>635</v>
      </c>
      <c r="C544" s="1214">
        <f>IFERROR(VLOOKUP(A544,'SAP '!$A$3:$C$14709,3,0),0)</f>
        <v>0</v>
      </c>
      <c r="D544" s="1082">
        <f>IFERROR(VLOOKUP(A544,'SAP '!A:D,4,0),0)</f>
        <v>1080</v>
      </c>
    </row>
    <row r="545" spans="1:4">
      <c r="A545" s="1046">
        <v>5104202000</v>
      </c>
      <c r="B545" s="1047" t="s">
        <v>636</v>
      </c>
      <c r="C545" s="1214">
        <f>IFERROR(VLOOKUP(A545,'SAP '!$A$3:$C$14709,3,0),0)</f>
        <v>125939.8</v>
      </c>
      <c r="D545" s="1082">
        <f>IFERROR(VLOOKUP(A545,'SAP '!A:D,4,0),0)</f>
        <v>0</v>
      </c>
    </row>
    <row r="546" spans="1:4">
      <c r="A546" s="1046">
        <v>5104203000</v>
      </c>
      <c r="B546" s="1047" t="s">
        <v>637</v>
      </c>
      <c r="C546" s="1214">
        <f>IFERROR(VLOOKUP(A546,'SAP '!$A$3:$C$14709,3,0),0)</f>
        <v>5225159</v>
      </c>
      <c r="D546" s="1082">
        <f>IFERROR(VLOOKUP(A546,'SAP '!A:D,4,0),0)</f>
        <v>4703825</v>
      </c>
    </row>
    <row r="547" spans="1:4">
      <c r="A547" s="1046">
        <v>5104204000</v>
      </c>
      <c r="B547" s="1047" t="s">
        <v>638</v>
      </c>
      <c r="C547" s="1214">
        <f>IFERROR(VLOOKUP(A547,'SAP '!$A$3:$C$14709,3,0),0)</f>
        <v>3999673</v>
      </c>
      <c r="D547" s="1082">
        <f>IFERROR(VLOOKUP(A547,'SAP '!A:D,4,0),0)</f>
        <v>4006560</v>
      </c>
    </row>
    <row r="548" spans="1:4">
      <c r="A548" s="1051">
        <v>5104205000</v>
      </c>
      <c r="B548" s="1051" t="s">
        <v>167</v>
      </c>
      <c r="C548" s="1214">
        <f>IFERROR(VLOOKUP(A548,'SAP '!$A$3:$C$14709,3,0),0)</f>
        <v>0</v>
      </c>
      <c r="D548" s="1082">
        <f>IFERROR(VLOOKUP(A548,'SAP '!A:D,4,0),0)</f>
        <v>0</v>
      </c>
    </row>
    <row r="549" spans="1:4">
      <c r="A549" s="1046">
        <v>5105101000</v>
      </c>
      <c r="B549" s="1047" t="s">
        <v>652</v>
      </c>
      <c r="C549" s="1214">
        <f>IFERROR(VLOOKUP(A549,'SAP '!$A$3:$C$14709,3,0),0)</f>
        <v>98715</v>
      </c>
      <c r="D549" s="1082">
        <f>IFERROR(VLOOKUP(A549,'SAP '!A:D,4,0),0)</f>
        <v>91671</v>
      </c>
    </row>
    <row r="550" spans="1:4">
      <c r="A550" s="1046">
        <v>5105101001</v>
      </c>
      <c r="B550" s="1047" t="s">
        <v>653</v>
      </c>
      <c r="C550" s="1214">
        <f>IFERROR(VLOOKUP(A550,'SAP '!$A$3:$C$14709,3,0),0)</f>
        <v>9000</v>
      </c>
      <c r="D550" s="1082">
        <f>IFERROR(VLOOKUP(A550,'SAP '!A:D,4,0),0)</f>
        <v>492294.1</v>
      </c>
    </row>
    <row r="551" spans="1:4">
      <c r="A551" s="1046">
        <v>5105104000</v>
      </c>
      <c r="B551" s="1047" t="s">
        <v>654</v>
      </c>
      <c r="C551" s="1214">
        <f>IFERROR(VLOOKUP(A551,'SAP '!$A$3:$C$14709,3,0),0)</f>
        <v>142000</v>
      </c>
      <c r="D551" s="1082">
        <f>IFERROR(VLOOKUP(A551,'SAP '!A:D,4,0),0)</f>
        <v>258000</v>
      </c>
    </row>
    <row r="552" spans="1:4">
      <c r="A552" s="1046">
        <v>5105104001</v>
      </c>
      <c r="B552" s="1047" t="s">
        <v>655</v>
      </c>
      <c r="C552" s="1214">
        <f>IFERROR(VLOOKUP(A552,'SAP '!$A$3:$C$14709,3,0),0)</f>
        <v>0</v>
      </c>
      <c r="D552" s="1082">
        <f>IFERROR(VLOOKUP(A552,'SAP '!A:D,4,0),0)</f>
        <v>0</v>
      </c>
    </row>
    <row r="553" spans="1:4">
      <c r="A553" s="1046">
        <v>5105107000</v>
      </c>
      <c r="B553" s="1047" t="s">
        <v>656</v>
      </c>
      <c r="C553" s="1214">
        <f>IFERROR(VLOOKUP(A553,'SAP '!$A$3:$C$14709,3,0),0)</f>
        <v>410646</v>
      </c>
      <c r="D553" s="1082">
        <f>IFERROR(VLOOKUP(A553,'SAP '!A:D,4,0),0)</f>
        <v>652270</v>
      </c>
    </row>
    <row r="554" spans="1:4">
      <c r="A554" s="1046">
        <v>5105107001</v>
      </c>
      <c r="B554" s="1047" t="s">
        <v>686</v>
      </c>
      <c r="C554" s="1214">
        <f>IFERROR(VLOOKUP(A554,'SAP '!$A$3:$C$14709,3,0),0)</f>
        <v>129839.36</v>
      </c>
      <c r="D554" s="1082">
        <f>IFERROR(VLOOKUP(A554,'SAP '!A:D,4,0),0)</f>
        <v>458953.56</v>
      </c>
    </row>
    <row r="555" spans="1:4">
      <c r="A555" s="1046">
        <v>5105108000</v>
      </c>
      <c r="B555" s="1047" t="s">
        <v>657</v>
      </c>
      <c r="C555" s="1214">
        <f>IFERROR(VLOOKUP(A555,'SAP '!$A$3:$C$14709,3,0),0)</f>
        <v>6830</v>
      </c>
      <c r="D555" s="1082">
        <f>IFERROR(VLOOKUP(A555,'SAP '!A:D,4,0),0)</f>
        <v>0</v>
      </c>
    </row>
    <row r="556" spans="1:4">
      <c r="A556" s="1046">
        <v>5105109000</v>
      </c>
      <c r="B556" s="1047" t="s">
        <v>658</v>
      </c>
      <c r="C556" s="1214">
        <f>IFERROR(VLOOKUP(A556,'SAP '!$A$3:$C$14709,3,0),0)</f>
        <v>656615.5</v>
      </c>
      <c r="D556" s="1082">
        <f>IFERROR(VLOOKUP(A556,'SAP '!A:D,4,0),0)</f>
        <v>118820</v>
      </c>
    </row>
    <row r="557" spans="1:4">
      <c r="A557" s="1046">
        <v>5105113000</v>
      </c>
      <c r="B557" s="1047" t="s">
        <v>659</v>
      </c>
      <c r="C557" s="1214">
        <f>IFERROR(VLOOKUP(A557,'SAP '!$A$3:$C$14709,3,0),0)</f>
        <v>85087.5</v>
      </c>
      <c r="D557" s="1082">
        <f>IFERROR(VLOOKUP(A557,'SAP '!A:D,4,0),0)</f>
        <v>106026</v>
      </c>
    </row>
    <row r="558" spans="1:4">
      <c r="A558" s="1046">
        <v>5105113001</v>
      </c>
      <c r="B558" s="1047" t="s">
        <v>660</v>
      </c>
      <c r="C558" s="1214">
        <f>IFERROR(VLOOKUP(A558,'SAP '!$A$3:$C$14709,3,0),0)</f>
        <v>147220.89000000001</v>
      </c>
      <c r="D558" s="1082">
        <f>IFERROR(VLOOKUP(A558,'SAP '!A:D,4,0),0)</f>
        <v>79479.92</v>
      </c>
    </row>
    <row r="559" spans="1:4">
      <c r="A559" s="1046">
        <v>5105113002</v>
      </c>
      <c r="B559" s="1047" t="s">
        <v>661</v>
      </c>
      <c r="C559" s="1214">
        <f>IFERROR(VLOOKUP(A559,'SAP '!$A$3:$C$14709,3,0),0)</f>
        <v>54257</v>
      </c>
      <c r="D559" s="1082">
        <f>IFERROR(VLOOKUP(A559,'SAP '!A:D,4,0),0)</f>
        <v>24738</v>
      </c>
    </row>
    <row r="560" spans="1:4">
      <c r="A560" s="1046">
        <v>5105114000</v>
      </c>
      <c r="B560" s="1047" t="s">
        <v>662</v>
      </c>
      <c r="C560" s="1214">
        <f>IFERROR(VLOOKUP(A560,'SAP '!$A$3:$C$14709,3,0),0)</f>
        <v>1333407.58</v>
      </c>
      <c r="D560" s="1082">
        <f>IFERROR(VLOOKUP(A560,'SAP '!A:D,4,0),0)</f>
        <v>1612773.55</v>
      </c>
    </row>
    <row r="561" spans="1:4">
      <c r="A561" s="1046">
        <v>5105114001</v>
      </c>
      <c r="B561" s="1047" t="s">
        <v>203</v>
      </c>
      <c r="C561" s="1214">
        <f>IFERROR(VLOOKUP(A561,'SAP '!$A$3:$C$14709,3,0),0)</f>
        <v>0</v>
      </c>
      <c r="D561" s="1082">
        <f>IFERROR(VLOOKUP(A561,'SAP '!A:D,4,0),0)</f>
        <v>0</v>
      </c>
    </row>
    <row r="562" spans="1:4">
      <c r="A562" s="1046">
        <v>5105115000</v>
      </c>
      <c r="B562" s="1047" t="s">
        <v>663</v>
      </c>
      <c r="C562" s="1214">
        <f>IFERROR(VLOOKUP(A562,'SAP '!$A$3:$C$14709,3,0),0)</f>
        <v>0</v>
      </c>
      <c r="D562" s="1082">
        <f>IFERROR(VLOOKUP(A562,'SAP '!A:D,4,0),0)</f>
        <v>155020</v>
      </c>
    </row>
    <row r="563" spans="1:4">
      <c r="A563" s="1046">
        <v>5105116000</v>
      </c>
      <c r="B563" s="1047" t="s">
        <v>664</v>
      </c>
      <c r="C563" s="1214">
        <f>IFERROR(VLOOKUP(A563,'SAP '!$A$3:$C$14709,3,0),0)</f>
        <v>2441800</v>
      </c>
      <c r="D563" s="1082">
        <f>IFERROR(VLOOKUP(A563,'SAP '!A:D,4,0),0)</f>
        <v>1929746</v>
      </c>
    </row>
    <row r="564" spans="1:4">
      <c r="A564" s="1046">
        <v>5105116001</v>
      </c>
      <c r="B564" s="1047" t="s">
        <v>665</v>
      </c>
      <c r="C564" s="1214">
        <f>IFERROR(VLOOKUP(A564,'SAP '!$A$3:$C$14709,3,0),0)</f>
        <v>303750</v>
      </c>
      <c r="D564" s="1082">
        <f>IFERROR(VLOOKUP(A564,'SAP '!A:D,4,0),0)</f>
        <v>481416</v>
      </c>
    </row>
    <row r="565" spans="1:4">
      <c r="A565" s="1051">
        <v>5105116002</v>
      </c>
      <c r="B565" s="1051" t="s">
        <v>168</v>
      </c>
      <c r="C565" s="1214">
        <f>IFERROR(VLOOKUP(A565,'SAP '!$A$3:$C$14709,3,0),0)</f>
        <v>0</v>
      </c>
      <c r="D565" s="1082">
        <f>IFERROR(VLOOKUP(A565,'SAP '!A:D,4,0),0)</f>
        <v>0</v>
      </c>
    </row>
    <row r="566" spans="1:4">
      <c r="A566" s="1046">
        <v>5105117000</v>
      </c>
      <c r="B566" s="1047" t="s">
        <v>666</v>
      </c>
      <c r="C566" s="1214">
        <f>IFERROR(VLOOKUP(A566,'SAP '!$A$3:$C$14709,3,0),0)</f>
        <v>2500</v>
      </c>
      <c r="D566" s="1082">
        <f>IFERROR(VLOOKUP(A566,'SAP '!A:D,4,0),0)</f>
        <v>12231.6</v>
      </c>
    </row>
    <row r="567" spans="1:4">
      <c r="A567" s="1046">
        <v>5105117001</v>
      </c>
      <c r="B567" s="1047" t="s">
        <v>1025</v>
      </c>
      <c r="C567" s="1214">
        <f>IFERROR(VLOOKUP(A567,'SAP '!$A$3:$C$14709,3,0),0)</f>
        <v>2260</v>
      </c>
      <c r="D567" s="1082">
        <f>IFERROR(VLOOKUP(A567,'SAP '!A:D,4,0),0)</f>
        <v>0</v>
      </c>
    </row>
    <row r="568" spans="1:4">
      <c r="A568" s="1056">
        <v>5105117003</v>
      </c>
      <c r="B568" s="1056" t="s">
        <v>1039</v>
      </c>
      <c r="C568" s="1214">
        <f>IFERROR(VLOOKUP(A568,'SAP '!$A$3:$C$14709,3,0),0)</f>
        <v>0</v>
      </c>
      <c r="D568" s="1082">
        <f>IFERROR(VLOOKUP(A568,'SAP '!A:D,4,0),0)</f>
        <v>0</v>
      </c>
    </row>
    <row r="569" spans="1:4">
      <c r="A569" s="1046">
        <v>5105118000</v>
      </c>
      <c r="B569" s="1047" t="s">
        <v>667</v>
      </c>
      <c r="C569" s="1214">
        <f>IFERROR(VLOOKUP(A569,'SAP '!$A$3:$C$14709,3,0),0)</f>
        <v>47119</v>
      </c>
      <c r="D569" s="1082">
        <f>IFERROR(VLOOKUP(A569,'SAP '!A:D,4,0),0)</f>
        <v>44940</v>
      </c>
    </row>
    <row r="570" spans="1:4">
      <c r="A570" s="1046">
        <v>5105119000</v>
      </c>
      <c r="B570" s="1047" t="s">
        <v>668</v>
      </c>
      <c r="C570" s="1214">
        <f>IFERROR(VLOOKUP(A570,'SAP '!$A$3:$C$14709,3,0),0)</f>
        <v>25195</v>
      </c>
      <c r="D570" s="1082">
        <f>IFERROR(VLOOKUP(A570,'SAP '!A:D,4,0),0)</f>
        <v>20415</v>
      </c>
    </row>
    <row r="571" spans="1:4">
      <c r="A571" s="1051">
        <v>5105119003</v>
      </c>
      <c r="B571" s="1051" t="s">
        <v>169</v>
      </c>
      <c r="C571" s="1214">
        <f>IFERROR(VLOOKUP(A571,'SAP '!$A$3:$C$14709,3,0),0)</f>
        <v>0</v>
      </c>
      <c r="D571" s="1082">
        <f>IFERROR(VLOOKUP(A571,'SAP '!A:D,4,0),0)</f>
        <v>0</v>
      </c>
    </row>
    <row r="572" spans="1:4">
      <c r="A572" s="1046">
        <v>5105119005</v>
      </c>
      <c r="B572" s="1047" t="s">
        <v>669</v>
      </c>
      <c r="C572" s="1214">
        <f>IFERROR(VLOOKUP(A572,'SAP '!$A$3:$C$14709,3,0),0)</f>
        <v>20058663.370000001</v>
      </c>
      <c r="D572" s="1082">
        <f>IFERROR(VLOOKUP(A572,'SAP '!A:D,4,0),0)</f>
        <v>19541049.25</v>
      </c>
    </row>
    <row r="573" spans="1:4">
      <c r="A573" s="1046">
        <v>5105120000</v>
      </c>
      <c r="B573" s="1047" t="s">
        <v>670</v>
      </c>
      <c r="C573" s="1214">
        <f>IFERROR(VLOOKUP(A573,'SAP '!$A$3:$C$14709,3,0),0)</f>
        <v>42843702.840000004</v>
      </c>
      <c r="D573" s="1082">
        <f>IFERROR(VLOOKUP(A573,'SAP '!A:D,4,0),0)</f>
        <v>38689199.390000001</v>
      </c>
    </row>
    <row r="574" spans="1:4">
      <c r="A574" s="1046">
        <v>5105120001</v>
      </c>
      <c r="B574" s="1047" t="s">
        <v>671</v>
      </c>
      <c r="C574" s="1214">
        <f>IFERROR(VLOOKUP(A574,'SAP '!$A$3:$C$14709,3,0),0)</f>
        <v>2235573.5</v>
      </c>
      <c r="D574" s="1082">
        <f>IFERROR(VLOOKUP(A574,'SAP '!A:D,4,0),0)</f>
        <v>2415707.25</v>
      </c>
    </row>
    <row r="575" spans="1:4">
      <c r="A575" s="1046">
        <v>5105120002</v>
      </c>
      <c r="B575" s="1047" t="s">
        <v>687</v>
      </c>
      <c r="C575" s="1214">
        <f>IFERROR(VLOOKUP(A575,'SAP '!$A$3:$C$14709,3,0),0)</f>
        <v>0</v>
      </c>
      <c r="D575" s="1082">
        <f>IFERROR(VLOOKUP(A575,'SAP '!A:D,4,0),0)</f>
        <v>677909.02</v>
      </c>
    </row>
    <row r="576" spans="1:4">
      <c r="A576" s="1046">
        <v>5105120003</v>
      </c>
      <c r="B576" s="1047" t="s">
        <v>688</v>
      </c>
      <c r="C576" s="1214">
        <f>IFERROR(VLOOKUP(A576,'SAP '!$A$3:$C$14709,3,0),0)</f>
        <v>17413803.48</v>
      </c>
      <c r="D576" s="1082">
        <f>IFERROR(VLOOKUP(A576,'SAP '!A:D,4,0),0)</f>
        <v>40353786.960000001</v>
      </c>
    </row>
    <row r="577" spans="1:16375">
      <c r="A577" s="1048">
        <v>5105120004</v>
      </c>
      <c r="B577" s="1049" t="s">
        <v>689</v>
      </c>
      <c r="C577" s="1214">
        <f>IFERROR(VLOOKUP(A577,'SAP '!$A$3:$C$14709,3,0),0)</f>
        <v>1140072.6200000001</v>
      </c>
      <c r="D577" s="1082">
        <f>IFERROR(VLOOKUP(A577,'SAP '!A:D,4,0),0)</f>
        <v>1439387.92</v>
      </c>
      <c r="E577" s="44"/>
      <c r="F577" s="44"/>
      <c r="G577" s="44"/>
      <c r="H577" s="44"/>
      <c r="I577" s="44"/>
      <c r="J577" s="44"/>
      <c r="K577" s="44"/>
      <c r="L577" s="44"/>
      <c r="M577" s="44"/>
      <c r="N577" s="44"/>
      <c r="O577" s="44"/>
      <c r="P577" s="44"/>
      <c r="Q577" s="44"/>
      <c r="R577" s="44"/>
      <c r="S577" s="44"/>
      <c r="T577" s="44"/>
      <c r="U577" s="44"/>
      <c r="V577" s="44"/>
      <c r="W577" s="44"/>
      <c r="X577" s="44"/>
      <c r="Y577" s="44"/>
      <c r="Z577" s="44"/>
      <c r="AA577" s="44"/>
      <c r="AB577" s="44"/>
      <c r="AC577" s="44"/>
      <c r="AD577" s="44"/>
      <c r="AE577" s="44"/>
      <c r="AF577" s="44"/>
      <c r="AG577" s="44"/>
      <c r="AH577" s="44"/>
      <c r="AI577" s="44"/>
      <c r="AJ577" s="44"/>
      <c r="AK577" s="44"/>
      <c r="AL577" s="44"/>
      <c r="AM577" s="44"/>
      <c r="AN577" s="44"/>
      <c r="AO577" s="44"/>
      <c r="AP577" s="44"/>
      <c r="AQ577" s="44"/>
      <c r="AR577" s="44"/>
      <c r="AS577" s="44"/>
      <c r="AT577" s="44"/>
      <c r="AU577" s="44"/>
      <c r="AV577" s="44"/>
      <c r="AW577" s="44"/>
      <c r="AX577" s="44"/>
      <c r="AY577" s="44"/>
      <c r="AZ577" s="44"/>
      <c r="BA577" s="44"/>
      <c r="BB577" s="44"/>
      <c r="BC577" s="44"/>
      <c r="BD577" s="44"/>
      <c r="BE577" s="44"/>
      <c r="BF577" s="44"/>
      <c r="BG577" s="44"/>
      <c r="BH577" s="44"/>
      <c r="BI577" s="44"/>
      <c r="BJ577" s="44"/>
      <c r="BK577" s="44"/>
      <c r="BL577" s="44"/>
      <c r="BM577" s="44"/>
      <c r="BN577" s="44"/>
      <c r="BO577" s="44"/>
      <c r="BP577" s="44"/>
      <c r="BQ577" s="44"/>
      <c r="BR577" s="44"/>
      <c r="BS577" s="44"/>
      <c r="BT577" s="44"/>
      <c r="BU577" s="44"/>
      <c r="BV577" s="44"/>
      <c r="BW577" s="44"/>
      <c r="BX577" s="44"/>
      <c r="BY577" s="44"/>
      <c r="BZ577" s="44"/>
      <c r="CA577" s="44"/>
      <c r="CB577" s="44"/>
      <c r="CC577" s="44"/>
      <c r="CD577" s="44"/>
      <c r="CE577" s="44"/>
      <c r="CF577" s="44"/>
      <c r="CG577" s="44"/>
      <c r="CH577" s="44"/>
      <c r="CI577" s="44"/>
      <c r="CJ577" s="44"/>
      <c r="CK577" s="44"/>
      <c r="CL577" s="44"/>
      <c r="CM577" s="44"/>
      <c r="CN577" s="44"/>
      <c r="CO577" s="44"/>
      <c r="CP577" s="44"/>
      <c r="CQ577" s="44"/>
      <c r="CR577" s="44"/>
      <c r="CS577" s="44"/>
      <c r="CT577" s="44"/>
      <c r="CU577" s="44"/>
      <c r="CV577" s="44"/>
      <c r="CW577" s="44"/>
      <c r="CX577" s="44"/>
      <c r="CY577" s="44"/>
      <c r="CZ577" s="44"/>
      <c r="DA577" s="44"/>
      <c r="DB577" s="44"/>
      <c r="DC577" s="44"/>
      <c r="DD577" s="44"/>
      <c r="DE577" s="44"/>
      <c r="DF577" s="44"/>
      <c r="DG577" s="44"/>
      <c r="DH577" s="44"/>
      <c r="DI577" s="44"/>
      <c r="DJ577" s="44"/>
      <c r="DK577" s="44"/>
      <c r="DL577" s="44"/>
      <c r="DM577" s="44"/>
      <c r="DN577" s="44"/>
      <c r="DO577" s="44"/>
      <c r="DP577" s="44"/>
      <c r="DQ577" s="44"/>
      <c r="DR577" s="44"/>
      <c r="DS577" s="44"/>
      <c r="DT577" s="44"/>
      <c r="DU577" s="44"/>
      <c r="DV577" s="44"/>
      <c r="DW577" s="44"/>
      <c r="DX577" s="44"/>
      <c r="DY577" s="44"/>
      <c r="DZ577" s="44"/>
      <c r="EA577" s="44"/>
      <c r="EB577" s="44"/>
      <c r="EC577" s="44"/>
      <c r="ED577" s="44"/>
      <c r="EE577" s="44"/>
      <c r="EF577" s="44"/>
      <c r="EG577" s="44"/>
      <c r="EH577" s="44"/>
      <c r="EI577" s="44"/>
      <c r="EJ577" s="44"/>
      <c r="EK577" s="44"/>
      <c r="EL577" s="44"/>
      <c r="EM577" s="44"/>
      <c r="EN577" s="44"/>
      <c r="EO577" s="44"/>
      <c r="EP577" s="44"/>
      <c r="EQ577" s="44"/>
      <c r="ER577" s="44"/>
      <c r="ES577" s="44"/>
      <c r="ET577" s="44"/>
      <c r="EU577" s="44"/>
      <c r="EV577" s="44"/>
      <c r="EW577" s="44"/>
      <c r="EX577" s="44"/>
      <c r="EY577" s="44"/>
      <c r="EZ577" s="44"/>
      <c r="FA577" s="44"/>
      <c r="FB577" s="44"/>
      <c r="FC577" s="44"/>
      <c r="FD577" s="44"/>
      <c r="FE577" s="44"/>
      <c r="FF577" s="44"/>
      <c r="FG577" s="44"/>
      <c r="FH577" s="44"/>
      <c r="FI577" s="44"/>
      <c r="FJ577" s="44"/>
      <c r="FK577" s="44"/>
      <c r="FL577" s="44"/>
      <c r="FM577" s="44"/>
      <c r="FN577" s="44"/>
      <c r="FO577" s="44"/>
      <c r="FP577" s="44"/>
      <c r="FQ577" s="44"/>
      <c r="FR577" s="44"/>
      <c r="FS577" s="44"/>
      <c r="FT577" s="44"/>
      <c r="FU577" s="44"/>
      <c r="FV577" s="44"/>
      <c r="FW577" s="44"/>
      <c r="FX577" s="44"/>
      <c r="FY577" s="44"/>
      <c r="FZ577" s="44"/>
      <c r="GA577" s="44"/>
      <c r="GB577" s="44"/>
      <c r="GC577" s="44"/>
      <c r="GD577" s="44"/>
      <c r="GE577" s="44"/>
      <c r="GF577" s="44"/>
      <c r="GG577" s="44"/>
      <c r="GH577" s="44"/>
      <c r="GI577" s="44"/>
      <c r="GJ577" s="44"/>
      <c r="GK577" s="44"/>
      <c r="GL577" s="44"/>
      <c r="GM577" s="44"/>
      <c r="GN577" s="44"/>
      <c r="GO577" s="44"/>
      <c r="GP577" s="44"/>
      <c r="GQ577" s="44"/>
      <c r="GR577" s="44"/>
      <c r="GS577" s="44"/>
      <c r="GT577" s="44"/>
      <c r="GU577" s="44"/>
      <c r="GV577" s="44"/>
      <c r="GW577" s="44"/>
      <c r="GX577" s="44"/>
      <c r="GY577" s="44"/>
      <c r="GZ577" s="44"/>
      <c r="HA577" s="44"/>
      <c r="HB577" s="44"/>
      <c r="HC577" s="44"/>
      <c r="HD577" s="44"/>
      <c r="HE577" s="44"/>
      <c r="HF577" s="44"/>
      <c r="HG577" s="44"/>
      <c r="HH577" s="44"/>
      <c r="HI577" s="44"/>
      <c r="HJ577" s="44"/>
      <c r="HK577" s="44"/>
      <c r="HL577" s="44"/>
      <c r="HM577" s="44"/>
      <c r="HN577" s="44"/>
      <c r="HO577" s="44"/>
      <c r="HP577" s="44"/>
      <c r="HQ577" s="44"/>
      <c r="HR577" s="44"/>
      <c r="HS577" s="44"/>
      <c r="HT577" s="44"/>
      <c r="HU577" s="44"/>
      <c r="HV577" s="44"/>
      <c r="HW577" s="44"/>
      <c r="HX577" s="44"/>
      <c r="HY577" s="44"/>
      <c r="HZ577" s="44"/>
      <c r="IA577" s="44"/>
      <c r="IB577" s="44"/>
      <c r="IC577" s="44"/>
      <c r="ID577" s="44"/>
      <c r="IE577" s="44"/>
      <c r="IF577" s="44"/>
      <c r="IG577" s="44"/>
      <c r="IH577" s="44"/>
      <c r="II577" s="44"/>
      <c r="IJ577" s="44"/>
      <c r="IK577" s="44"/>
      <c r="IL577" s="44"/>
      <c r="IM577" s="44"/>
      <c r="IN577" s="44"/>
      <c r="IO577" s="44"/>
      <c r="IP577" s="44"/>
      <c r="IQ577" s="44"/>
      <c r="IR577" s="44"/>
      <c r="IS577" s="44"/>
      <c r="IT577" s="44"/>
      <c r="IU577" s="44"/>
      <c r="IV577" s="44"/>
      <c r="IW577" s="44"/>
      <c r="IX577" s="44"/>
      <c r="IY577" s="44"/>
      <c r="IZ577" s="44"/>
      <c r="JA577" s="44"/>
      <c r="JB577" s="44"/>
      <c r="JC577" s="44"/>
      <c r="JD577" s="44"/>
      <c r="JE577" s="44"/>
      <c r="JF577" s="44"/>
      <c r="JG577" s="44"/>
      <c r="JH577" s="44"/>
      <c r="JI577" s="44"/>
      <c r="JJ577" s="44"/>
      <c r="JK577" s="44"/>
      <c r="JL577" s="44"/>
      <c r="JM577" s="44"/>
      <c r="JN577" s="44"/>
      <c r="JO577" s="44"/>
      <c r="JP577" s="44"/>
      <c r="JQ577" s="44"/>
      <c r="JR577" s="44"/>
      <c r="JS577" s="44"/>
      <c r="JT577" s="44"/>
      <c r="JU577" s="44"/>
      <c r="JV577" s="44"/>
      <c r="JW577" s="44"/>
      <c r="JX577" s="44"/>
      <c r="JY577" s="44"/>
      <c r="JZ577" s="44"/>
      <c r="KA577" s="44"/>
      <c r="KB577" s="44"/>
      <c r="KC577" s="44"/>
      <c r="KD577" s="44"/>
      <c r="KE577" s="44"/>
      <c r="KF577" s="44"/>
      <c r="KG577" s="44"/>
      <c r="KH577" s="44"/>
      <c r="KI577" s="44"/>
      <c r="KJ577" s="44"/>
      <c r="KK577" s="44"/>
      <c r="KL577" s="44"/>
      <c r="KM577" s="44"/>
      <c r="KN577" s="44"/>
      <c r="KO577" s="44"/>
      <c r="KP577" s="44"/>
      <c r="KQ577" s="44"/>
      <c r="KR577" s="44"/>
      <c r="KS577" s="44"/>
      <c r="KT577" s="44"/>
      <c r="KU577" s="44"/>
      <c r="KV577" s="44"/>
      <c r="KW577" s="44"/>
      <c r="KX577" s="44"/>
      <c r="KY577" s="44"/>
      <c r="KZ577" s="44"/>
      <c r="LA577" s="44"/>
      <c r="LB577" s="44"/>
      <c r="LC577" s="44"/>
      <c r="LD577" s="44"/>
      <c r="LE577" s="44"/>
      <c r="LF577" s="44"/>
      <c r="LG577" s="44"/>
      <c r="LH577" s="44"/>
      <c r="LI577" s="44"/>
      <c r="LJ577" s="44"/>
      <c r="LK577" s="44"/>
      <c r="LL577" s="44"/>
      <c r="LM577" s="44"/>
      <c r="LN577" s="44"/>
      <c r="LO577" s="44"/>
      <c r="LP577" s="44"/>
      <c r="LQ577" s="44"/>
      <c r="LR577" s="44"/>
      <c r="LS577" s="44"/>
      <c r="LT577" s="44"/>
      <c r="LU577" s="44"/>
      <c r="LV577" s="44"/>
      <c r="LW577" s="44"/>
      <c r="LX577" s="44"/>
      <c r="LY577" s="44"/>
      <c r="LZ577" s="44"/>
      <c r="MA577" s="44"/>
      <c r="MB577" s="44"/>
      <c r="MC577" s="44"/>
      <c r="MD577" s="44"/>
      <c r="ME577" s="44"/>
      <c r="MF577" s="44"/>
      <c r="MG577" s="44"/>
      <c r="MH577" s="44"/>
      <c r="MI577" s="44"/>
      <c r="MJ577" s="44"/>
      <c r="MK577" s="44"/>
      <c r="ML577" s="44"/>
      <c r="MM577" s="44"/>
      <c r="MN577" s="44"/>
      <c r="MO577" s="44"/>
      <c r="MP577" s="44"/>
      <c r="MQ577" s="44"/>
      <c r="MR577" s="44"/>
      <c r="MS577" s="44"/>
      <c r="MT577" s="44"/>
      <c r="MU577" s="44"/>
      <c r="MV577" s="44"/>
      <c r="MW577" s="44"/>
      <c r="MX577" s="44"/>
      <c r="MY577" s="44"/>
      <c r="MZ577" s="44"/>
      <c r="NA577" s="44"/>
      <c r="NB577" s="44"/>
      <c r="NC577" s="44"/>
      <c r="ND577" s="44"/>
      <c r="NE577" s="44"/>
      <c r="NF577" s="44"/>
      <c r="NG577" s="44"/>
      <c r="NH577" s="44"/>
      <c r="NI577" s="44"/>
      <c r="NJ577" s="44"/>
      <c r="NK577" s="44"/>
      <c r="NL577" s="44"/>
      <c r="NM577" s="44"/>
      <c r="NN577" s="44"/>
      <c r="NO577" s="44"/>
      <c r="NP577" s="44"/>
      <c r="NQ577" s="44"/>
      <c r="NR577" s="44"/>
      <c r="NS577" s="44"/>
      <c r="NT577" s="44"/>
      <c r="NU577" s="44"/>
      <c r="NV577" s="44"/>
      <c r="NW577" s="44"/>
      <c r="NX577" s="44"/>
      <c r="NY577" s="44"/>
      <c r="NZ577" s="44"/>
      <c r="OA577" s="44"/>
      <c r="OB577" s="44"/>
      <c r="OC577" s="44"/>
      <c r="OD577" s="44"/>
      <c r="OE577" s="44"/>
      <c r="OF577" s="44"/>
      <c r="OG577" s="44"/>
      <c r="OH577" s="44"/>
      <c r="OI577" s="44"/>
      <c r="OJ577" s="44"/>
      <c r="OK577" s="44"/>
      <c r="OL577" s="44"/>
      <c r="OM577" s="44"/>
      <c r="ON577" s="44"/>
      <c r="OO577" s="44"/>
      <c r="OP577" s="44"/>
      <c r="OQ577" s="44"/>
      <c r="OR577" s="44"/>
      <c r="OS577" s="44"/>
      <c r="OT577" s="44"/>
      <c r="OU577" s="44"/>
      <c r="OV577" s="44"/>
      <c r="OW577" s="44"/>
      <c r="OX577" s="44"/>
      <c r="OY577" s="44"/>
      <c r="OZ577" s="44"/>
      <c r="PA577" s="44"/>
      <c r="PB577" s="44"/>
      <c r="PC577" s="44"/>
      <c r="PD577" s="44"/>
      <c r="PE577" s="44"/>
      <c r="PF577" s="44"/>
      <c r="PG577" s="44"/>
      <c r="PH577" s="44"/>
      <c r="PI577" s="44"/>
      <c r="PJ577" s="44"/>
      <c r="PK577" s="44"/>
      <c r="PL577" s="44"/>
      <c r="PM577" s="44"/>
      <c r="PN577" s="44"/>
      <c r="PO577" s="44"/>
      <c r="PP577" s="44"/>
      <c r="PQ577" s="44"/>
      <c r="PR577" s="44"/>
      <c r="PS577" s="44"/>
      <c r="PT577" s="44"/>
      <c r="PU577" s="44"/>
      <c r="PV577" s="44"/>
      <c r="PW577" s="44"/>
      <c r="PX577" s="44"/>
      <c r="PY577" s="44"/>
      <c r="PZ577" s="44"/>
      <c r="QA577" s="44"/>
      <c r="QB577" s="44"/>
      <c r="QC577" s="44"/>
      <c r="QD577" s="44"/>
      <c r="QE577" s="44"/>
      <c r="QF577" s="44"/>
      <c r="QG577" s="44"/>
      <c r="QH577" s="44"/>
      <c r="QI577" s="44"/>
      <c r="QJ577" s="44"/>
      <c r="QK577" s="44"/>
      <c r="QL577" s="44"/>
      <c r="QM577" s="44"/>
      <c r="QN577" s="44"/>
      <c r="QO577" s="44"/>
      <c r="QP577" s="44"/>
      <c r="QQ577" s="44"/>
      <c r="QR577" s="44"/>
      <c r="QS577" s="44"/>
      <c r="QT577" s="44"/>
      <c r="QU577" s="44"/>
      <c r="QV577" s="44"/>
      <c r="QW577" s="44"/>
      <c r="QX577" s="44"/>
      <c r="QY577" s="44"/>
      <c r="QZ577" s="44"/>
      <c r="RA577" s="44"/>
      <c r="RB577" s="44"/>
      <c r="RC577" s="44"/>
      <c r="RD577" s="44"/>
      <c r="RE577" s="44"/>
      <c r="RF577" s="44"/>
      <c r="RG577" s="44"/>
      <c r="RH577" s="44"/>
      <c r="RI577" s="44"/>
      <c r="RJ577" s="44"/>
      <c r="RK577" s="44"/>
      <c r="RL577" s="44"/>
      <c r="RM577" s="44"/>
      <c r="RN577" s="44"/>
      <c r="RO577" s="44"/>
      <c r="RP577" s="44"/>
      <c r="RQ577" s="44"/>
      <c r="RR577" s="44"/>
      <c r="RS577" s="44"/>
      <c r="RT577" s="44"/>
      <c r="RU577" s="44"/>
      <c r="RV577" s="44"/>
      <c r="RW577" s="44"/>
      <c r="RX577" s="44"/>
      <c r="RY577" s="44"/>
      <c r="RZ577" s="44"/>
      <c r="SA577" s="44"/>
      <c r="SB577" s="44"/>
      <c r="SC577" s="44"/>
      <c r="SD577" s="44"/>
      <c r="SE577" s="44"/>
      <c r="SF577" s="44"/>
      <c r="SG577" s="44"/>
      <c r="SH577" s="44"/>
      <c r="SI577" s="44"/>
      <c r="SJ577" s="44"/>
      <c r="SK577" s="44"/>
      <c r="SL577" s="44"/>
      <c r="SM577" s="44"/>
      <c r="SN577" s="44"/>
      <c r="SO577" s="44"/>
      <c r="SP577" s="44"/>
      <c r="SQ577" s="44"/>
      <c r="SR577" s="44"/>
      <c r="SS577" s="44"/>
      <c r="ST577" s="44"/>
      <c r="SU577" s="44"/>
      <c r="SV577" s="44"/>
      <c r="SW577" s="44"/>
      <c r="SX577" s="44"/>
      <c r="SY577" s="44"/>
      <c r="SZ577" s="44"/>
      <c r="TA577" s="44"/>
      <c r="TB577" s="44"/>
      <c r="TC577" s="44"/>
      <c r="TD577" s="44"/>
      <c r="TE577" s="44"/>
      <c r="TF577" s="44"/>
      <c r="TG577" s="44"/>
      <c r="TH577" s="44"/>
      <c r="TI577" s="44"/>
      <c r="TJ577" s="44"/>
      <c r="TK577" s="44"/>
      <c r="TL577" s="44"/>
      <c r="TM577" s="44"/>
      <c r="TN577" s="44"/>
      <c r="TO577" s="44"/>
      <c r="TP577" s="44"/>
      <c r="TQ577" s="44"/>
      <c r="TR577" s="44"/>
      <c r="TS577" s="44"/>
      <c r="TT577" s="44"/>
      <c r="TU577" s="44"/>
      <c r="TV577" s="44"/>
      <c r="TW577" s="44"/>
      <c r="TX577" s="44"/>
      <c r="TY577" s="44"/>
      <c r="TZ577" s="44"/>
      <c r="UA577" s="44"/>
      <c r="UB577" s="44"/>
      <c r="UC577" s="44"/>
      <c r="UD577" s="44"/>
      <c r="UE577" s="44"/>
      <c r="UF577" s="44"/>
      <c r="UG577" s="44"/>
      <c r="UH577" s="44"/>
      <c r="UI577" s="44"/>
      <c r="UJ577" s="44"/>
      <c r="UK577" s="44"/>
      <c r="UL577" s="44"/>
      <c r="UM577" s="44"/>
      <c r="UN577" s="44"/>
      <c r="UO577" s="44"/>
      <c r="UP577" s="44"/>
      <c r="UQ577" s="44"/>
      <c r="UR577" s="44"/>
      <c r="US577" s="44"/>
      <c r="UT577" s="44"/>
      <c r="UU577" s="44"/>
      <c r="UV577" s="44"/>
      <c r="UW577" s="44"/>
      <c r="UX577" s="44"/>
      <c r="UY577" s="44"/>
      <c r="UZ577" s="44"/>
      <c r="VA577" s="44"/>
      <c r="VB577" s="44"/>
      <c r="VC577" s="44"/>
      <c r="VD577" s="44"/>
      <c r="VE577" s="44"/>
      <c r="VF577" s="44"/>
      <c r="VG577" s="44"/>
      <c r="VH577" s="44"/>
      <c r="VI577" s="44"/>
      <c r="VJ577" s="44"/>
      <c r="VK577" s="44"/>
      <c r="VL577" s="44"/>
      <c r="VM577" s="44"/>
      <c r="VN577" s="44"/>
      <c r="VO577" s="44"/>
      <c r="VP577" s="44"/>
      <c r="VQ577" s="44"/>
      <c r="VR577" s="44"/>
      <c r="VS577" s="44"/>
      <c r="VT577" s="44"/>
      <c r="VU577" s="44"/>
      <c r="VV577" s="44"/>
      <c r="VW577" s="44"/>
      <c r="VX577" s="44"/>
      <c r="VY577" s="44"/>
      <c r="VZ577" s="44"/>
      <c r="WA577" s="44"/>
      <c r="WB577" s="44"/>
      <c r="WC577" s="44"/>
      <c r="WD577" s="44"/>
      <c r="WE577" s="44"/>
      <c r="WF577" s="44"/>
      <c r="WG577" s="44"/>
      <c r="WH577" s="44"/>
      <c r="WI577" s="44"/>
      <c r="WJ577" s="44"/>
      <c r="WK577" s="44"/>
      <c r="WL577" s="44"/>
      <c r="WM577" s="44"/>
      <c r="WN577" s="44"/>
      <c r="WO577" s="44"/>
      <c r="WP577" s="44"/>
      <c r="WQ577" s="44"/>
      <c r="WR577" s="44"/>
      <c r="WS577" s="44"/>
      <c r="WT577" s="44"/>
      <c r="WU577" s="44"/>
      <c r="WV577" s="44"/>
      <c r="WW577" s="44"/>
      <c r="WX577" s="44"/>
      <c r="WY577" s="44"/>
      <c r="WZ577" s="44"/>
      <c r="XA577" s="44"/>
      <c r="XB577" s="44"/>
      <c r="XC577" s="44"/>
      <c r="XD577" s="44"/>
      <c r="XE577" s="44"/>
      <c r="XF577" s="44"/>
      <c r="XG577" s="44"/>
      <c r="XH577" s="44"/>
      <c r="XI577" s="44"/>
      <c r="XJ577" s="44"/>
      <c r="XK577" s="44"/>
      <c r="XL577" s="44"/>
      <c r="XM577" s="44"/>
      <c r="XN577" s="44"/>
      <c r="XO577" s="44"/>
      <c r="XP577" s="44"/>
      <c r="XQ577" s="44"/>
      <c r="XR577" s="44"/>
      <c r="XS577" s="44"/>
      <c r="XT577" s="44"/>
      <c r="XU577" s="44"/>
      <c r="XV577" s="44"/>
      <c r="XW577" s="44"/>
      <c r="XX577" s="44"/>
      <c r="XY577" s="44"/>
      <c r="XZ577" s="44"/>
      <c r="YA577" s="44"/>
      <c r="YB577" s="44"/>
      <c r="YC577" s="44"/>
      <c r="YD577" s="44"/>
      <c r="YE577" s="44"/>
      <c r="YF577" s="44"/>
      <c r="YG577" s="44"/>
      <c r="YH577" s="44"/>
      <c r="YI577" s="44"/>
      <c r="YJ577" s="44"/>
      <c r="YK577" s="44"/>
      <c r="YL577" s="44"/>
      <c r="YM577" s="44"/>
      <c r="YN577" s="44"/>
      <c r="YO577" s="44"/>
      <c r="YP577" s="44"/>
      <c r="YQ577" s="44"/>
      <c r="YR577" s="44"/>
      <c r="YS577" s="44"/>
      <c r="YT577" s="44"/>
      <c r="YU577" s="44"/>
      <c r="YV577" s="44"/>
      <c r="YW577" s="44"/>
      <c r="YX577" s="44"/>
      <c r="YY577" s="44"/>
      <c r="YZ577" s="44"/>
      <c r="ZA577" s="44"/>
      <c r="ZB577" s="44"/>
      <c r="ZC577" s="44"/>
      <c r="ZD577" s="44"/>
      <c r="ZE577" s="44"/>
      <c r="ZF577" s="44"/>
      <c r="ZG577" s="44"/>
      <c r="ZH577" s="44"/>
      <c r="ZI577" s="44"/>
      <c r="ZJ577" s="44"/>
      <c r="ZK577" s="44"/>
      <c r="ZL577" s="44"/>
      <c r="ZM577" s="44"/>
      <c r="ZN577" s="44"/>
      <c r="ZO577" s="44"/>
      <c r="ZP577" s="44"/>
      <c r="ZQ577" s="44"/>
      <c r="ZR577" s="44"/>
      <c r="ZS577" s="44"/>
      <c r="ZT577" s="44"/>
      <c r="ZU577" s="44"/>
      <c r="ZV577" s="44"/>
      <c r="ZW577" s="44"/>
      <c r="ZX577" s="44"/>
      <c r="ZY577" s="44"/>
      <c r="ZZ577" s="44"/>
      <c r="AAA577" s="44"/>
      <c r="AAB577" s="44"/>
      <c r="AAC577" s="44"/>
      <c r="AAD577" s="44"/>
      <c r="AAE577" s="44"/>
      <c r="AAF577" s="44"/>
      <c r="AAG577" s="44"/>
      <c r="AAH577" s="44"/>
      <c r="AAI577" s="44"/>
      <c r="AAJ577" s="44"/>
      <c r="AAK577" s="44"/>
      <c r="AAL577" s="44"/>
      <c r="AAM577" s="44"/>
      <c r="AAN577" s="44"/>
      <c r="AAO577" s="44"/>
      <c r="AAP577" s="44"/>
      <c r="AAQ577" s="44"/>
      <c r="AAR577" s="44"/>
      <c r="AAS577" s="44"/>
      <c r="AAT577" s="44"/>
      <c r="AAU577" s="44"/>
      <c r="AAV577" s="44"/>
      <c r="AAW577" s="44"/>
      <c r="AAX577" s="44"/>
      <c r="AAY577" s="44"/>
      <c r="AAZ577" s="44"/>
      <c r="ABA577" s="44"/>
      <c r="ABB577" s="44"/>
      <c r="ABC577" s="44"/>
      <c r="ABD577" s="44"/>
      <c r="ABE577" s="44"/>
      <c r="ABF577" s="44"/>
      <c r="ABG577" s="44"/>
      <c r="ABH577" s="44"/>
      <c r="ABI577" s="44"/>
      <c r="ABJ577" s="44"/>
      <c r="ABK577" s="44"/>
      <c r="ABL577" s="44"/>
      <c r="ABM577" s="44"/>
      <c r="ABN577" s="44"/>
      <c r="ABO577" s="44"/>
      <c r="ABP577" s="44"/>
      <c r="ABQ577" s="44"/>
      <c r="ABR577" s="44"/>
      <c r="ABS577" s="44"/>
      <c r="ABT577" s="44"/>
      <c r="ABU577" s="44"/>
      <c r="ABV577" s="44"/>
      <c r="ABW577" s="44"/>
      <c r="ABX577" s="44"/>
      <c r="ABY577" s="44"/>
      <c r="ABZ577" s="44"/>
      <c r="ACA577" s="44"/>
      <c r="ACB577" s="44"/>
      <c r="ACC577" s="44"/>
      <c r="ACD577" s="44"/>
      <c r="ACE577" s="44"/>
      <c r="ACF577" s="44"/>
      <c r="ACG577" s="44"/>
      <c r="ACH577" s="44"/>
      <c r="ACI577" s="44"/>
      <c r="ACJ577" s="44"/>
      <c r="ACK577" s="44"/>
      <c r="ACL577" s="44"/>
      <c r="ACM577" s="44"/>
      <c r="ACN577" s="44"/>
      <c r="ACO577" s="44"/>
      <c r="ACP577" s="44"/>
      <c r="ACQ577" s="44"/>
      <c r="ACR577" s="44"/>
      <c r="ACS577" s="44"/>
      <c r="ACT577" s="44"/>
      <c r="ACU577" s="44"/>
      <c r="ACV577" s="44"/>
      <c r="ACW577" s="44"/>
      <c r="ACX577" s="44"/>
      <c r="ACY577" s="44"/>
      <c r="ACZ577" s="44"/>
      <c r="ADA577" s="44"/>
      <c r="ADB577" s="44"/>
      <c r="ADC577" s="44"/>
      <c r="ADD577" s="44"/>
      <c r="ADE577" s="44"/>
      <c r="ADF577" s="44"/>
      <c r="ADG577" s="44"/>
      <c r="ADH577" s="44"/>
      <c r="ADI577" s="44"/>
      <c r="ADJ577" s="44"/>
      <c r="ADK577" s="44"/>
      <c r="ADL577" s="44"/>
      <c r="ADM577" s="44"/>
      <c r="ADN577" s="44"/>
      <c r="ADO577" s="44"/>
      <c r="ADP577" s="44"/>
      <c r="ADQ577" s="44"/>
      <c r="ADR577" s="44"/>
      <c r="ADS577" s="44"/>
      <c r="ADT577" s="44"/>
      <c r="ADU577" s="44"/>
      <c r="ADV577" s="44"/>
      <c r="ADW577" s="44"/>
      <c r="ADX577" s="44"/>
      <c r="ADY577" s="44"/>
      <c r="ADZ577" s="44"/>
      <c r="AEA577" s="44"/>
      <c r="AEB577" s="44"/>
      <c r="AEC577" s="44"/>
      <c r="AED577" s="44"/>
      <c r="AEE577" s="44"/>
      <c r="AEF577" s="44"/>
      <c r="AEG577" s="44"/>
      <c r="AEH577" s="44"/>
      <c r="AEI577" s="44"/>
      <c r="AEJ577" s="44"/>
      <c r="AEK577" s="44"/>
      <c r="AEL577" s="44"/>
      <c r="AEM577" s="44"/>
      <c r="AEN577" s="44"/>
      <c r="AEO577" s="44"/>
      <c r="AEP577" s="44"/>
      <c r="AEQ577" s="44"/>
      <c r="AER577" s="44"/>
      <c r="AES577" s="44"/>
      <c r="AET577" s="44"/>
      <c r="AEU577" s="44"/>
      <c r="AEV577" s="44"/>
      <c r="AEW577" s="44"/>
      <c r="AEX577" s="44"/>
      <c r="AEY577" s="44"/>
      <c r="AEZ577" s="44"/>
      <c r="AFA577" s="44"/>
      <c r="AFB577" s="44"/>
      <c r="AFC577" s="44"/>
      <c r="AFD577" s="44"/>
      <c r="AFE577" s="44"/>
      <c r="AFF577" s="44"/>
      <c r="AFG577" s="44"/>
      <c r="AFH577" s="44"/>
      <c r="AFI577" s="44"/>
      <c r="AFJ577" s="44"/>
      <c r="AFK577" s="44"/>
      <c r="AFL577" s="44"/>
      <c r="AFM577" s="44"/>
      <c r="AFN577" s="44"/>
      <c r="AFO577" s="44"/>
      <c r="AFP577" s="44"/>
      <c r="AFQ577" s="44"/>
      <c r="AFR577" s="44"/>
      <c r="AFS577" s="44"/>
      <c r="AFT577" s="44"/>
      <c r="AFU577" s="44"/>
      <c r="AFV577" s="44"/>
      <c r="AFW577" s="44"/>
      <c r="AFX577" s="44"/>
      <c r="AFY577" s="44"/>
      <c r="AFZ577" s="44"/>
      <c r="AGA577" s="44"/>
      <c r="AGB577" s="44"/>
      <c r="AGC577" s="44"/>
      <c r="AGD577" s="44"/>
      <c r="AGE577" s="44"/>
      <c r="AGF577" s="44"/>
      <c r="AGG577" s="44"/>
      <c r="AGH577" s="44"/>
      <c r="AGI577" s="44"/>
      <c r="AGJ577" s="44"/>
      <c r="AGK577" s="44"/>
      <c r="AGL577" s="44"/>
      <c r="AGM577" s="44"/>
      <c r="AGN577" s="44"/>
      <c r="AGO577" s="44"/>
      <c r="AGP577" s="44"/>
      <c r="AGQ577" s="44"/>
      <c r="AGR577" s="44"/>
      <c r="AGS577" s="44"/>
      <c r="AGT577" s="44"/>
      <c r="AGU577" s="44"/>
      <c r="AGV577" s="44"/>
      <c r="AGW577" s="44"/>
      <c r="AGX577" s="44"/>
      <c r="AGY577" s="44"/>
      <c r="AGZ577" s="44"/>
      <c r="AHA577" s="44"/>
      <c r="AHB577" s="44"/>
      <c r="AHC577" s="44"/>
      <c r="AHD577" s="44"/>
      <c r="AHE577" s="44"/>
      <c r="AHF577" s="44"/>
      <c r="AHG577" s="44"/>
      <c r="AHH577" s="44"/>
      <c r="AHI577" s="44"/>
      <c r="AHJ577" s="44"/>
      <c r="AHK577" s="44"/>
      <c r="AHL577" s="44"/>
      <c r="AHM577" s="44"/>
      <c r="AHN577" s="44"/>
      <c r="AHO577" s="44"/>
      <c r="AHP577" s="44"/>
      <c r="AHQ577" s="44"/>
      <c r="AHR577" s="44"/>
      <c r="AHS577" s="44"/>
      <c r="AHT577" s="44"/>
      <c r="AHU577" s="44"/>
      <c r="AHV577" s="44"/>
      <c r="AHW577" s="44"/>
      <c r="AHX577" s="44"/>
      <c r="AHY577" s="44"/>
      <c r="AHZ577" s="44"/>
      <c r="AIA577" s="44"/>
      <c r="AIB577" s="44"/>
      <c r="AIC577" s="44"/>
      <c r="AID577" s="44"/>
      <c r="AIE577" s="44"/>
      <c r="AIF577" s="44"/>
      <c r="AIG577" s="44"/>
      <c r="AIH577" s="44"/>
      <c r="AII577" s="44"/>
      <c r="AIJ577" s="44"/>
      <c r="AIK577" s="44"/>
      <c r="AIL577" s="44"/>
      <c r="AIM577" s="44"/>
      <c r="AIN577" s="44"/>
      <c r="AIO577" s="44"/>
      <c r="AIP577" s="44"/>
      <c r="AIQ577" s="44"/>
      <c r="AIR577" s="44"/>
      <c r="AIS577" s="44"/>
      <c r="AIT577" s="44"/>
      <c r="AIU577" s="44"/>
      <c r="AIV577" s="44"/>
      <c r="AIW577" s="44"/>
      <c r="AIX577" s="44"/>
      <c r="AIY577" s="44"/>
      <c r="AIZ577" s="44"/>
      <c r="AJA577" s="44"/>
      <c r="AJB577" s="44"/>
      <c r="AJC577" s="44"/>
      <c r="AJD577" s="44"/>
      <c r="AJE577" s="44"/>
      <c r="AJF577" s="44"/>
      <c r="AJG577" s="44"/>
      <c r="AJH577" s="44"/>
      <c r="AJI577" s="44"/>
      <c r="AJJ577" s="44"/>
      <c r="AJK577" s="44"/>
      <c r="AJL577" s="44"/>
      <c r="AJM577" s="44"/>
      <c r="AJN577" s="44"/>
      <c r="AJO577" s="44"/>
      <c r="AJP577" s="44"/>
      <c r="AJQ577" s="44"/>
      <c r="AJR577" s="44"/>
      <c r="AJS577" s="44"/>
      <c r="AJT577" s="44"/>
      <c r="AJU577" s="44"/>
      <c r="AJV577" s="44"/>
      <c r="AJW577" s="44"/>
      <c r="AJX577" s="44"/>
      <c r="AJY577" s="44"/>
      <c r="AJZ577" s="44"/>
      <c r="AKA577" s="44"/>
      <c r="AKB577" s="44"/>
      <c r="AKC577" s="44"/>
      <c r="AKD577" s="44"/>
      <c r="AKE577" s="44"/>
      <c r="AKF577" s="44"/>
      <c r="AKG577" s="44"/>
      <c r="AKH577" s="44"/>
      <c r="AKI577" s="44"/>
      <c r="AKJ577" s="44"/>
      <c r="AKK577" s="44"/>
      <c r="AKL577" s="44"/>
      <c r="AKM577" s="44"/>
      <c r="AKN577" s="44"/>
      <c r="AKO577" s="44"/>
      <c r="AKP577" s="44"/>
      <c r="AKQ577" s="44"/>
      <c r="AKR577" s="44"/>
      <c r="AKS577" s="44"/>
      <c r="AKT577" s="44"/>
      <c r="AKU577" s="44"/>
      <c r="AKV577" s="44"/>
      <c r="AKW577" s="44"/>
      <c r="AKX577" s="44"/>
      <c r="AKY577" s="44"/>
      <c r="AKZ577" s="44"/>
      <c r="ALA577" s="44"/>
      <c r="ALB577" s="44"/>
      <c r="ALC577" s="44"/>
      <c r="ALD577" s="44"/>
      <c r="ALE577" s="44"/>
      <c r="ALF577" s="44"/>
      <c r="ALG577" s="44"/>
      <c r="ALH577" s="44"/>
      <c r="ALI577" s="44"/>
      <c r="ALJ577" s="44"/>
      <c r="ALK577" s="44"/>
      <c r="ALL577" s="44"/>
      <c r="ALM577" s="44"/>
      <c r="ALN577" s="44"/>
      <c r="ALO577" s="44"/>
      <c r="ALP577" s="44"/>
      <c r="ALQ577" s="44"/>
      <c r="ALR577" s="44"/>
      <c r="ALS577" s="44"/>
      <c r="ALT577" s="44"/>
      <c r="ALU577" s="44"/>
      <c r="ALV577" s="44"/>
      <c r="ALW577" s="44"/>
      <c r="ALX577" s="44"/>
      <c r="ALY577" s="44"/>
      <c r="ALZ577" s="44"/>
      <c r="AMA577" s="44"/>
      <c r="AMB577" s="44"/>
      <c r="AMC577" s="44"/>
      <c r="AMD577" s="44"/>
      <c r="AME577" s="44"/>
      <c r="AMF577" s="44"/>
      <c r="AMG577" s="44"/>
      <c r="AMH577" s="44"/>
      <c r="AMI577" s="44"/>
      <c r="AMJ577" s="44"/>
      <c r="AMK577" s="44"/>
      <c r="AML577" s="44"/>
      <c r="AMM577" s="44"/>
      <c r="AMN577" s="44"/>
      <c r="AMO577" s="44"/>
      <c r="AMP577" s="44"/>
      <c r="AMQ577" s="44"/>
      <c r="AMR577" s="44"/>
      <c r="AMS577" s="44"/>
      <c r="AMT577" s="44"/>
      <c r="AMU577" s="44"/>
      <c r="AMV577" s="44"/>
      <c r="AMW577" s="44"/>
      <c r="AMX577" s="44"/>
      <c r="AMY577" s="44"/>
      <c r="AMZ577" s="44"/>
      <c r="ANA577" s="44"/>
      <c r="ANB577" s="44"/>
      <c r="ANC577" s="44"/>
      <c r="AND577" s="44"/>
      <c r="ANE577" s="44"/>
      <c r="ANF577" s="44"/>
      <c r="ANG577" s="44"/>
      <c r="ANH577" s="44"/>
      <c r="ANI577" s="44"/>
      <c r="ANJ577" s="44"/>
      <c r="ANK577" s="44"/>
      <c r="ANL577" s="44"/>
      <c r="ANM577" s="44"/>
      <c r="ANN577" s="44"/>
      <c r="ANO577" s="44"/>
      <c r="ANP577" s="44"/>
      <c r="ANQ577" s="44"/>
      <c r="ANR577" s="44"/>
      <c r="ANS577" s="44"/>
      <c r="ANT577" s="44"/>
      <c r="ANU577" s="44"/>
      <c r="ANV577" s="44"/>
      <c r="ANW577" s="44"/>
      <c r="ANX577" s="44"/>
      <c r="ANY577" s="44"/>
      <c r="ANZ577" s="44"/>
      <c r="AOA577" s="44"/>
      <c r="AOB577" s="44"/>
      <c r="AOC577" s="44"/>
      <c r="AOD577" s="44"/>
      <c r="AOE577" s="44"/>
      <c r="AOF577" s="44"/>
      <c r="AOG577" s="44"/>
      <c r="AOH577" s="44"/>
      <c r="AOI577" s="44"/>
      <c r="AOJ577" s="44"/>
      <c r="AOK577" s="44"/>
      <c r="AOL577" s="44"/>
      <c r="AOM577" s="44"/>
      <c r="AON577" s="44"/>
      <c r="AOO577" s="44"/>
      <c r="AOP577" s="44"/>
      <c r="AOQ577" s="44"/>
      <c r="AOR577" s="44"/>
      <c r="AOS577" s="44"/>
      <c r="AOT577" s="44"/>
      <c r="AOU577" s="44"/>
      <c r="AOV577" s="44"/>
      <c r="AOW577" s="44"/>
      <c r="AOX577" s="44"/>
      <c r="AOY577" s="44"/>
      <c r="AOZ577" s="44"/>
      <c r="APA577" s="44"/>
      <c r="APB577" s="44"/>
      <c r="APC577" s="44"/>
      <c r="APD577" s="44"/>
      <c r="APE577" s="44"/>
      <c r="APF577" s="44"/>
      <c r="APG577" s="44"/>
      <c r="APH577" s="44"/>
      <c r="API577" s="44"/>
      <c r="APJ577" s="44"/>
      <c r="APK577" s="44"/>
      <c r="APL577" s="44"/>
      <c r="APM577" s="44"/>
      <c r="APN577" s="44"/>
      <c r="APO577" s="44"/>
      <c r="APP577" s="44"/>
      <c r="APQ577" s="44"/>
      <c r="APR577" s="44"/>
      <c r="APS577" s="44"/>
      <c r="APT577" s="44"/>
      <c r="APU577" s="44"/>
      <c r="APV577" s="44"/>
      <c r="APW577" s="44"/>
      <c r="APX577" s="44"/>
      <c r="APY577" s="44"/>
      <c r="APZ577" s="44"/>
      <c r="AQA577" s="44"/>
      <c r="AQB577" s="44"/>
      <c r="AQC577" s="44"/>
      <c r="AQD577" s="44"/>
      <c r="AQE577" s="44"/>
      <c r="AQF577" s="44"/>
      <c r="AQG577" s="44"/>
      <c r="AQH577" s="44"/>
      <c r="AQI577" s="44"/>
      <c r="AQJ577" s="44"/>
      <c r="AQK577" s="44"/>
      <c r="AQL577" s="44"/>
      <c r="AQM577" s="44"/>
      <c r="AQN577" s="44"/>
      <c r="AQO577" s="44"/>
      <c r="AQP577" s="44"/>
      <c r="AQQ577" s="44"/>
      <c r="AQR577" s="44"/>
      <c r="AQS577" s="44"/>
      <c r="AQT577" s="44"/>
      <c r="AQU577" s="44"/>
      <c r="AQV577" s="44"/>
      <c r="AQW577" s="44"/>
      <c r="AQX577" s="44"/>
      <c r="AQY577" s="44"/>
      <c r="AQZ577" s="44"/>
      <c r="ARA577" s="44"/>
      <c r="ARB577" s="44"/>
      <c r="ARC577" s="44"/>
      <c r="ARD577" s="44"/>
      <c r="ARE577" s="44"/>
      <c r="ARF577" s="44"/>
      <c r="ARG577" s="44"/>
      <c r="ARH577" s="44"/>
      <c r="ARI577" s="44"/>
      <c r="ARJ577" s="44"/>
      <c r="ARK577" s="44"/>
      <c r="ARL577" s="44"/>
      <c r="ARM577" s="44"/>
      <c r="ARN577" s="44"/>
      <c r="ARO577" s="44"/>
      <c r="ARP577" s="44"/>
      <c r="ARQ577" s="44"/>
      <c r="ARR577" s="44"/>
      <c r="ARS577" s="44"/>
      <c r="ART577" s="44"/>
      <c r="ARU577" s="44"/>
      <c r="ARV577" s="44"/>
      <c r="ARW577" s="44"/>
      <c r="ARX577" s="44"/>
      <c r="ARY577" s="44"/>
      <c r="ARZ577" s="44"/>
      <c r="ASA577" s="44"/>
      <c r="ASB577" s="44"/>
      <c r="ASC577" s="44"/>
      <c r="ASD577" s="44"/>
      <c r="ASE577" s="44"/>
      <c r="ASF577" s="44"/>
      <c r="ASG577" s="44"/>
      <c r="ASH577" s="44"/>
      <c r="ASI577" s="44"/>
      <c r="ASJ577" s="44"/>
      <c r="ASK577" s="44"/>
      <c r="ASL577" s="44"/>
      <c r="ASM577" s="44"/>
      <c r="ASN577" s="44"/>
      <c r="ASO577" s="44"/>
      <c r="ASP577" s="44"/>
      <c r="ASQ577" s="44"/>
      <c r="ASR577" s="44"/>
      <c r="ASS577" s="44"/>
      <c r="AST577" s="44"/>
      <c r="ASU577" s="44"/>
      <c r="ASV577" s="44"/>
      <c r="ASW577" s="44"/>
      <c r="ASX577" s="44"/>
      <c r="ASY577" s="44"/>
      <c r="ASZ577" s="44"/>
      <c r="ATA577" s="44"/>
      <c r="ATB577" s="44"/>
      <c r="ATC577" s="44"/>
      <c r="ATD577" s="44"/>
      <c r="ATE577" s="44"/>
      <c r="ATF577" s="44"/>
      <c r="ATG577" s="44"/>
      <c r="ATH577" s="44"/>
      <c r="ATI577" s="44"/>
      <c r="ATJ577" s="44"/>
      <c r="ATK577" s="44"/>
      <c r="ATL577" s="44"/>
      <c r="ATM577" s="44"/>
      <c r="ATN577" s="44"/>
      <c r="ATO577" s="44"/>
      <c r="ATP577" s="44"/>
      <c r="ATQ577" s="44"/>
      <c r="ATR577" s="44"/>
      <c r="ATS577" s="44"/>
      <c r="ATT577" s="44"/>
      <c r="ATU577" s="44"/>
      <c r="ATV577" s="44"/>
      <c r="ATW577" s="44"/>
      <c r="ATX577" s="44"/>
      <c r="ATY577" s="44"/>
      <c r="ATZ577" s="44"/>
      <c r="AUA577" s="44"/>
      <c r="AUB577" s="44"/>
      <c r="AUC577" s="44"/>
      <c r="AUD577" s="44"/>
      <c r="AUE577" s="44"/>
      <c r="AUF577" s="44"/>
      <c r="AUG577" s="44"/>
      <c r="AUH577" s="44"/>
      <c r="AUI577" s="44"/>
      <c r="AUJ577" s="44"/>
      <c r="AUK577" s="44"/>
      <c r="AUL577" s="44"/>
      <c r="AUM577" s="44"/>
      <c r="AUN577" s="44"/>
      <c r="AUO577" s="44"/>
      <c r="AUP577" s="44"/>
      <c r="AUQ577" s="44"/>
      <c r="AUR577" s="44"/>
      <c r="AUS577" s="44"/>
      <c r="AUT577" s="44"/>
      <c r="AUU577" s="44"/>
      <c r="AUV577" s="44"/>
      <c r="AUW577" s="44"/>
      <c r="AUX577" s="44"/>
      <c r="AUY577" s="44"/>
      <c r="AUZ577" s="44"/>
      <c r="AVA577" s="44"/>
      <c r="AVB577" s="44"/>
      <c r="AVC577" s="44"/>
      <c r="AVD577" s="44"/>
      <c r="AVE577" s="44"/>
      <c r="AVF577" s="44"/>
      <c r="AVG577" s="44"/>
      <c r="AVH577" s="44"/>
      <c r="AVI577" s="44"/>
      <c r="AVJ577" s="44"/>
      <c r="AVK577" s="44"/>
      <c r="AVL577" s="44"/>
      <c r="AVM577" s="44"/>
      <c r="AVN577" s="44"/>
      <c r="AVO577" s="44"/>
      <c r="AVP577" s="44"/>
      <c r="AVQ577" s="44"/>
      <c r="AVR577" s="44"/>
      <c r="AVS577" s="44"/>
      <c r="AVT577" s="44"/>
      <c r="AVU577" s="44"/>
      <c r="AVV577" s="44"/>
      <c r="AVW577" s="44"/>
      <c r="AVX577" s="44"/>
      <c r="AVY577" s="44"/>
      <c r="AVZ577" s="44"/>
      <c r="AWA577" s="44"/>
      <c r="AWB577" s="44"/>
      <c r="AWC577" s="44"/>
      <c r="AWD577" s="44"/>
      <c r="AWE577" s="44"/>
      <c r="AWF577" s="44"/>
      <c r="AWG577" s="44"/>
      <c r="AWH577" s="44"/>
      <c r="AWI577" s="44"/>
      <c r="AWJ577" s="44"/>
      <c r="AWK577" s="44"/>
      <c r="AWL577" s="44"/>
      <c r="AWM577" s="44"/>
      <c r="AWN577" s="44"/>
      <c r="AWO577" s="44"/>
      <c r="AWP577" s="44"/>
      <c r="AWQ577" s="44"/>
      <c r="AWR577" s="44"/>
      <c r="AWS577" s="44"/>
      <c r="AWT577" s="44"/>
      <c r="AWU577" s="44"/>
      <c r="AWV577" s="44"/>
      <c r="AWW577" s="44"/>
      <c r="AWX577" s="44"/>
      <c r="AWY577" s="44"/>
      <c r="AWZ577" s="44"/>
      <c r="AXA577" s="44"/>
      <c r="AXB577" s="44"/>
      <c r="AXC577" s="44"/>
      <c r="AXD577" s="44"/>
      <c r="AXE577" s="44"/>
      <c r="AXF577" s="44"/>
      <c r="AXG577" s="44"/>
      <c r="AXH577" s="44"/>
      <c r="AXI577" s="44"/>
      <c r="AXJ577" s="44"/>
      <c r="AXK577" s="44"/>
      <c r="AXL577" s="44"/>
      <c r="AXM577" s="44"/>
      <c r="AXN577" s="44"/>
      <c r="AXO577" s="44"/>
      <c r="AXP577" s="44"/>
      <c r="AXQ577" s="44"/>
      <c r="AXR577" s="44"/>
      <c r="AXS577" s="44"/>
      <c r="AXT577" s="44"/>
      <c r="AXU577" s="44"/>
      <c r="AXV577" s="44"/>
      <c r="AXW577" s="44"/>
      <c r="AXX577" s="44"/>
      <c r="AXY577" s="44"/>
      <c r="AXZ577" s="44"/>
      <c r="AYA577" s="44"/>
      <c r="AYB577" s="44"/>
      <c r="AYC577" s="44"/>
      <c r="AYD577" s="44"/>
      <c r="AYE577" s="44"/>
      <c r="AYF577" s="44"/>
      <c r="AYG577" s="44"/>
      <c r="AYH577" s="44"/>
      <c r="AYI577" s="44"/>
      <c r="AYJ577" s="44"/>
      <c r="AYK577" s="44"/>
      <c r="AYL577" s="44"/>
      <c r="AYM577" s="44"/>
      <c r="AYN577" s="44"/>
      <c r="AYO577" s="44"/>
      <c r="AYP577" s="44"/>
      <c r="AYQ577" s="44"/>
      <c r="AYR577" s="44"/>
      <c r="AYS577" s="44"/>
      <c r="AYT577" s="44"/>
      <c r="AYU577" s="44"/>
      <c r="AYV577" s="44"/>
      <c r="AYW577" s="44"/>
      <c r="AYX577" s="44"/>
      <c r="AYY577" s="44"/>
      <c r="AYZ577" s="44"/>
      <c r="AZA577" s="44"/>
      <c r="AZB577" s="44"/>
      <c r="AZC577" s="44"/>
      <c r="AZD577" s="44"/>
      <c r="AZE577" s="44"/>
      <c r="AZF577" s="44"/>
      <c r="AZG577" s="44"/>
      <c r="AZH577" s="44"/>
      <c r="AZI577" s="44"/>
      <c r="AZJ577" s="44"/>
      <c r="AZK577" s="44"/>
      <c r="AZL577" s="44"/>
      <c r="AZM577" s="44"/>
      <c r="AZN577" s="44"/>
      <c r="AZO577" s="44"/>
      <c r="AZP577" s="44"/>
      <c r="AZQ577" s="44"/>
      <c r="AZR577" s="44"/>
      <c r="AZS577" s="44"/>
      <c r="AZT577" s="44"/>
      <c r="AZU577" s="44"/>
      <c r="AZV577" s="44"/>
      <c r="AZW577" s="44"/>
      <c r="AZX577" s="44"/>
      <c r="AZY577" s="44"/>
      <c r="AZZ577" s="44"/>
      <c r="BAA577" s="44"/>
      <c r="BAB577" s="44"/>
      <c r="BAC577" s="44"/>
      <c r="BAD577" s="44"/>
      <c r="BAE577" s="44"/>
      <c r="BAF577" s="44"/>
      <c r="BAG577" s="44"/>
      <c r="BAH577" s="44"/>
      <c r="BAI577" s="44"/>
      <c r="BAJ577" s="44"/>
      <c r="BAK577" s="44"/>
      <c r="BAL577" s="44"/>
      <c r="BAM577" s="44"/>
      <c r="BAN577" s="44"/>
      <c r="BAO577" s="44"/>
      <c r="BAP577" s="44"/>
      <c r="BAQ577" s="44"/>
      <c r="BAR577" s="44"/>
      <c r="BAS577" s="44"/>
      <c r="BAT577" s="44"/>
      <c r="BAU577" s="44"/>
      <c r="BAV577" s="44"/>
      <c r="BAW577" s="44"/>
      <c r="BAX577" s="44"/>
      <c r="BAY577" s="44"/>
      <c r="BAZ577" s="44"/>
      <c r="BBA577" s="44"/>
      <c r="BBB577" s="44"/>
      <c r="BBC577" s="44"/>
      <c r="BBD577" s="44"/>
      <c r="BBE577" s="44"/>
      <c r="BBF577" s="44"/>
      <c r="BBG577" s="44"/>
      <c r="BBH577" s="44"/>
      <c r="BBI577" s="44"/>
      <c r="BBJ577" s="44"/>
      <c r="BBK577" s="44"/>
      <c r="BBL577" s="44"/>
      <c r="BBM577" s="44"/>
      <c r="BBN577" s="44"/>
      <c r="BBO577" s="44"/>
      <c r="BBP577" s="44"/>
      <c r="BBQ577" s="44"/>
      <c r="BBR577" s="44"/>
      <c r="BBS577" s="44"/>
      <c r="BBT577" s="44"/>
      <c r="BBU577" s="44"/>
      <c r="BBV577" s="44"/>
      <c r="BBW577" s="44"/>
      <c r="BBX577" s="44"/>
      <c r="BBY577" s="44"/>
      <c r="BBZ577" s="44"/>
      <c r="BCA577" s="44"/>
      <c r="BCB577" s="44"/>
      <c r="BCC577" s="44"/>
      <c r="BCD577" s="44"/>
      <c r="BCE577" s="44"/>
      <c r="BCF577" s="44"/>
      <c r="BCG577" s="44"/>
      <c r="BCH577" s="44"/>
      <c r="BCI577" s="44"/>
      <c r="BCJ577" s="44"/>
      <c r="BCK577" s="44"/>
      <c r="BCL577" s="44"/>
      <c r="BCM577" s="44"/>
      <c r="BCN577" s="44"/>
      <c r="BCO577" s="44"/>
      <c r="BCP577" s="44"/>
      <c r="BCQ577" s="44"/>
      <c r="BCR577" s="44"/>
      <c r="BCS577" s="44"/>
      <c r="BCT577" s="44"/>
      <c r="BCU577" s="44"/>
      <c r="BCV577" s="44"/>
      <c r="BCW577" s="44"/>
      <c r="BCX577" s="44"/>
      <c r="BCY577" s="44"/>
      <c r="BCZ577" s="44"/>
      <c r="BDA577" s="44"/>
      <c r="BDB577" s="44"/>
      <c r="BDC577" s="44"/>
      <c r="BDD577" s="44"/>
      <c r="BDE577" s="44"/>
      <c r="BDF577" s="44"/>
      <c r="BDG577" s="44"/>
      <c r="BDH577" s="44"/>
      <c r="BDI577" s="44"/>
      <c r="BDJ577" s="44"/>
      <c r="BDK577" s="44"/>
      <c r="BDL577" s="44"/>
      <c r="BDM577" s="44"/>
      <c r="BDN577" s="44"/>
      <c r="BDO577" s="44"/>
      <c r="BDP577" s="44"/>
      <c r="BDQ577" s="44"/>
      <c r="BDR577" s="44"/>
      <c r="BDS577" s="44"/>
      <c r="BDT577" s="44"/>
      <c r="BDU577" s="44"/>
      <c r="BDV577" s="44"/>
      <c r="BDW577" s="44"/>
      <c r="BDX577" s="44"/>
      <c r="BDY577" s="44"/>
      <c r="BDZ577" s="44"/>
      <c r="BEA577" s="44"/>
      <c r="BEB577" s="44"/>
      <c r="BEC577" s="44"/>
      <c r="BED577" s="44"/>
      <c r="BEE577" s="44"/>
      <c r="BEF577" s="44"/>
      <c r="BEG577" s="44"/>
      <c r="BEH577" s="44"/>
      <c r="BEI577" s="44"/>
      <c r="BEJ577" s="44"/>
      <c r="BEK577" s="44"/>
      <c r="BEL577" s="44"/>
      <c r="BEM577" s="44"/>
      <c r="BEN577" s="44"/>
      <c r="BEO577" s="44"/>
      <c r="BEP577" s="44"/>
      <c r="BEQ577" s="44"/>
      <c r="BER577" s="44"/>
      <c r="BES577" s="44"/>
      <c r="BET577" s="44"/>
      <c r="BEU577" s="44"/>
      <c r="BEV577" s="44"/>
      <c r="BEW577" s="44"/>
      <c r="BEX577" s="44"/>
      <c r="BEY577" s="44"/>
      <c r="BEZ577" s="44"/>
      <c r="BFA577" s="44"/>
      <c r="BFB577" s="44"/>
      <c r="BFC577" s="44"/>
      <c r="BFD577" s="44"/>
      <c r="BFE577" s="44"/>
      <c r="BFF577" s="44"/>
      <c r="BFG577" s="44"/>
      <c r="BFH577" s="44"/>
      <c r="BFI577" s="44"/>
      <c r="BFJ577" s="44"/>
      <c r="BFK577" s="44"/>
      <c r="BFL577" s="44"/>
      <c r="BFM577" s="44"/>
      <c r="BFN577" s="44"/>
      <c r="BFO577" s="44"/>
      <c r="BFP577" s="44"/>
      <c r="BFQ577" s="44"/>
      <c r="BFR577" s="44"/>
      <c r="BFS577" s="44"/>
      <c r="BFT577" s="44"/>
      <c r="BFU577" s="44"/>
      <c r="BFV577" s="44"/>
      <c r="BFW577" s="44"/>
      <c r="BFX577" s="44"/>
      <c r="BFY577" s="44"/>
      <c r="BFZ577" s="44"/>
      <c r="BGA577" s="44"/>
      <c r="BGB577" s="44"/>
      <c r="BGC577" s="44"/>
      <c r="BGD577" s="44"/>
      <c r="BGE577" s="44"/>
      <c r="BGF577" s="44"/>
      <c r="BGG577" s="44"/>
      <c r="BGH577" s="44"/>
      <c r="BGI577" s="44"/>
      <c r="BGJ577" s="44"/>
      <c r="BGK577" s="44"/>
      <c r="BGL577" s="44"/>
      <c r="BGM577" s="44"/>
      <c r="BGN577" s="44"/>
      <c r="BGO577" s="44"/>
      <c r="BGP577" s="44"/>
      <c r="BGQ577" s="44"/>
      <c r="BGR577" s="44"/>
      <c r="BGS577" s="44"/>
      <c r="BGT577" s="44"/>
      <c r="BGU577" s="44"/>
      <c r="BGV577" s="44"/>
      <c r="BGW577" s="44"/>
      <c r="BGX577" s="44"/>
      <c r="BGY577" s="44"/>
      <c r="BGZ577" s="44"/>
      <c r="BHA577" s="44"/>
      <c r="BHB577" s="44"/>
      <c r="BHC577" s="44"/>
      <c r="BHD577" s="44"/>
      <c r="BHE577" s="44"/>
      <c r="BHF577" s="44"/>
      <c r="BHG577" s="44"/>
      <c r="BHH577" s="44"/>
      <c r="BHI577" s="44"/>
      <c r="BHJ577" s="44"/>
      <c r="BHK577" s="44"/>
      <c r="BHL577" s="44"/>
      <c r="BHM577" s="44"/>
      <c r="BHN577" s="44"/>
      <c r="BHO577" s="44"/>
      <c r="BHP577" s="44"/>
      <c r="BHQ577" s="44"/>
      <c r="BHR577" s="44"/>
      <c r="BHS577" s="44"/>
      <c r="BHT577" s="44"/>
      <c r="BHU577" s="44"/>
      <c r="BHV577" s="44"/>
      <c r="BHW577" s="44"/>
      <c r="BHX577" s="44"/>
      <c r="BHY577" s="44"/>
      <c r="BHZ577" s="44"/>
      <c r="BIA577" s="44"/>
      <c r="BIB577" s="44"/>
      <c r="BIC577" s="44"/>
      <c r="BID577" s="44"/>
      <c r="BIE577" s="44"/>
      <c r="BIF577" s="44"/>
      <c r="BIG577" s="44"/>
      <c r="BIH577" s="44"/>
      <c r="BII577" s="44"/>
      <c r="BIJ577" s="44"/>
      <c r="BIK577" s="44"/>
      <c r="BIL577" s="44"/>
      <c r="BIM577" s="44"/>
      <c r="BIN577" s="44"/>
      <c r="BIO577" s="44"/>
      <c r="BIP577" s="44"/>
      <c r="BIQ577" s="44"/>
      <c r="BIR577" s="44"/>
      <c r="BIS577" s="44"/>
      <c r="BIT577" s="44"/>
      <c r="BIU577" s="44"/>
      <c r="BIV577" s="44"/>
      <c r="BIW577" s="44"/>
      <c r="BIX577" s="44"/>
      <c r="BIY577" s="44"/>
      <c r="BIZ577" s="44"/>
      <c r="BJA577" s="44"/>
      <c r="BJB577" s="44"/>
      <c r="BJC577" s="44"/>
      <c r="BJD577" s="44"/>
      <c r="BJE577" s="44"/>
      <c r="BJF577" s="44"/>
      <c r="BJG577" s="44"/>
      <c r="BJH577" s="44"/>
      <c r="BJI577" s="44"/>
      <c r="BJJ577" s="44"/>
      <c r="BJK577" s="44"/>
      <c r="BJL577" s="44"/>
      <c r="BJM577" s="44"/>
      <c r="BJN577" s="44"/>
      <c r="BJO577" s="44"/>
      <c r="BJP577" s="44"/>
      <c r="BJQ577" s="44"/>
      <c r="BJR577" s="44"/>
      <c r="BJS577" s="44"/>
      <c r="BJT577" s="44"/>
      <c r="BJU577" s="44"/>
      <c r="BJV577" s="44"/>
      <c r="BJW577" s="44"/>
      <c r="BJX577" s="44"/>
      <c r="BJY577" s="44"/>
      <c r="BJZ577" s="44"/>
      <c r="BKA577" s="44"/>
      <c r="BKB577" s="44"/>
      <c r="BKC577" s="44"/>
      <c r="BKD577" s="44"/>
      <c r="BKE577" s="44"/>
      <c r="BKF577" s="44"/>
      <c r="BKG577" s="44"/>
      <c r="BKH577" s="44"/>
      <c r="BKI577" s="44"/>
      <c r="BKJ577" s="44"/>
      <c r="BKK577" s="44"/>
      <c r="BKL577" s="44"/>
      <c r="BKM577" s="44"/>
      <c r="BKN577" s="44"/>
      <c r="BKO577" s="44"/>
      <c r="BKP577" s="44"/>
      <c r="BKQ577" s="44"/>
      <c r="BKR577" s="44"/>
      <c r="BKS577" s="44"/>
      <c r="BKT577" s="44"/>
      <c r="BKU577" s="44"/>
      <c r="BKV577" s="44"/>
      <c r="BKW577" s="44"/>
      <c r="BKX577" s="44"/>
      <c r="BKY577" s="44"/>
      <c r="BKZ577" s="44"/>
      <c r="BLA577" s="44"/>
      <c r="BLB577" s="44"/>
      <c r="BLC577" s="44"/>
      <c r="BLD577" s="44"/>
      <c r="BLE577" s="44"/>
      <c r="BLF577" s="44"/>
      <c r="BLG577" s="44"/>
      <c r="BLH577" s="44"/>
      <c r="BLI577" s="44"/>
      <c r="BLJ577" s="44"/>
      <c r="BLK577" s="44"/>
      <c r="BLL577" s="44"/>
      <c r="BLM577" s="44"/>
      <c r="BLN577" s="44"/>
      <c r="BLO577" s="44"/>
      <c r="BLP577" s="44"/>
      <c r="BLQ577" s="44"/>
      <c r="BLR577" s="44"/>
      <c r="BLS577" s="44"/>
      <c r="BLT577" s="44"/>
      <c r="BLU577" s="44"/>
      <c r="BLV577" s="44"/>
      <c r="BLW577" s="44"/>
      <c r="BLX577" s="44"/>
      <c r="BLY577" s="44"/>
      <c r="BLZ577" s="44"/>
      <c r="BMA577" s="44"/>
      <c r="BMB577" s="44"/>
      <c r="BMC577" s="44"/>
      <c r="BMD577" s="44"/>
      <c r="BME577" s="44"/>
      <c r="BMF577" s="44"/>
      <c r="BMG577" s="44"/>
      <c r="BMH577" s="44"/>
      <c r="BMI577" s="44"/>
      <c r="BMJ577" s="44"/>
      <c r="BMK577" s="44"/>
      <c r="BML577" s="44"/>
      <c r="BMM577" s="44"/>
      <c r="BMN577" s="44"/>
      <c r="BMO577" s="44"/>
      <c r="BMP577" s="44"/>
      <c r="BMQ577" s="44"/>
      <c r="BMR577" s="44"/>
      <c r="BMS577" s="44"/>
      <c r="BMT577" s="44"/>
      <c r="BMU577" s="44"/>
      <c r="BMV577" s="44"/>
      <c r="BMW577" s="44"/>
      <c r="BMX577" s="44"/>
      <c r="BMY577" s="44"/>
      <c r="BMZ577" s="44"/>
      <c r="BNA577" s="44"/>
      <c r="BNB577" s="44"/>
      <c r="BNC577" s="44"/>
      <c r="BND577" s="44"/>
      <c r="BNE577" s="44"/>
      <c r="BNF577" s="44"/>
      <c r="BNG577" s="44"/>
      <c r="BNH577" s="44"/>
      <c r="BNI577" s="44"/>
      <c r="BNJ577" s="44"/>
      <c r="BNK577" s="44"/>
      <c r="BNL577" s="44"/>
      <c r="BNM577" s="44"/>
      <c r="BNN577" s="44"/>
      <c r="BNO577" s="44"/>
      <c r="BNP577" s="44"/>
      <c r="BNQ577" s="44"/>
      <c r="BNR577" s="44"/>
      <c r="BNS577" s="44"/>
      <c r="BNT577" s="44"/>
      <c r="BNU577" s="44"/>
      <c r="BNV577" s="44"/>
      <c r="BNW577" s="44"/>
      <c r="BNX577" s="44"/>
      <c r="BNY577" s="44"/>
      <c r="BNZ577" s="44"/>
      <c r="BOA577" s="44"/>
      <c r="BOB577" s="44"/>
      <c r="BOC577" s="44"/>
      <c r="BOD577" s="44"/>
      <c r="BOE577" s="44"/>
      <c r="BOF577" s="44"/>
      <c r="BOG577" s="44"/>
      <c r="BOH577" s="44"/>
      <c r="BOI577" s="44"/>
      <c r="BOJ577" s="44"/>
      <c r="BOK577" s="44"/>
      <c r="BOL577" s="44"/>
      <c r="BOM577" s="44"/>
      <c r="BON577" s="44"/>
      <c r="BOO577" s="44"/>
      <c r="BOP577" s="44"/>
      <c r="BOQ577" s="44"/>
      <c r="BOR577" s="44"/>
      <c r="BOS577" s="44"/>
      <c r="BOT577" s="44"/>
      <c r="BOU577" s="44"/>
      <c r="BOV577" s="44"/>
      <c r="BOW577" s="44"/>
      <c r="BOX577" s="44"/>
      <c r="BOY577" s="44"/>
      <c r="BOZ577" s="44"/>
      <c r="BPA577" s="44"/>
      <c r="BPB577" s="44"/>
      <c r="BPC577" s="44"/>
      <c r="BPD577" s="44"/>
      <c r="BPE577" s="44"/>
      <c r="BPF577" s="44"/>
      <c r="BPG577" s="44"/>
      <c r="BPH577" s="44"/>
      <c r="BPI577" s="44"/>
      <c r="BPJ577" s="44"/>
      <c r="BPK577" s="44"/>
      <c r="BPL577" s="44"/>
      <c r="BPM577" s="44"/>
      <c r="BPN577" s="44"/>
      <c r="BPO577" s="44"/>
      <c r="BPP577" s="44"/>
      <c r="BPQ577" s="44"/>
      <c r="BPR577" s="44"/>
      <c r="BPS577" s="44"/>
      <c r="BPT577" s="44"/>
      <c r="BPU577" s="44"/>
      <c r="BPV577" s="44"/>
      <c r="BPW577" s="44"/>
      <c r="BPX577" s="44"/>
      <c r="BPY577" s="44"/>
      <c r="BPZ577" s="44"/>
      <c r="BQA577" s="44"/>
      <c r="BQB577" s="44"/>
      <c r="BQC577" s="44"/>
      <c r="BQD577" s="44"/>
      <c r="BQE577" s="44"/>
      <c r="BQF577" s="44"/>
      <c r="BQG577" s="44"/>
      <c r="BQH577" s="44"/>
      <c r="BQI577" s="44"/>
      <c r="BQJ577" s="44"/>
      <c r="BQK577" s="44"/>
      <c r="BQL577" s="44"/>
      <c r="BQM577" s="44"/>
      <c r="BQN577" s="44"/>
      <c r="BQO577" s="44"/>
      <c r="BQP577" s="44"/>
      <c r="BQQ577" s="44"/>
      <c r="BQR577" s="44"/>
      <c r="BQS577" s="44"/>
      <c r="BQT577" s="44"/>
      <c r="BQU577" s="44"/>
      <c r="BQV577" s="44"/>
      <c r="BQW577" s="44"/>
      <c r="BQX577" s="44"/>
      <c r="BQY577" s="44"/>
      <c r="BQZ577" s="44"/>
      <c r="BRA577" s="44"/>
      <c r="BRB577" s="44"/>
      <c r="BRC577" s="44"/>
      <c r="BRD577" s="44"/>
      <c r="BRE577" s="44"/>
      <c r="BRF577" s="44"/>
      <c r="BRG577" s="44"/>
      <c r="BRH577" s="44"/>
      <c r="BRI577" s="44"/>
      <c r="BRJ577" s="44"/>
      <c r="BRK577" s="44"/>
      <c r="BRL577" s="44"/>
      <c r="BRM577" s="44"/>
      <c r="BRN577" s="44"/>
      <c r="BRO577" s="44"/>
      <c r="BRP577" s="44"/>
      <c r="BRQ577" s="44"/>
      <c r="BRR577" s="44"/>
      <c r="BRS577" s="44"/>
      <c r="BRT577" s="44"/>
      <c r="BRU577" s="44"/>
      <c r="BRV577" s="44"/>
      <c r="BRW577" s="44"/>
      <c r="BRX577" s="44"/>
      <c r="BRY577" s="44"/>
      <c r="BRZ577" s="44"/>
      <c r="BSA577" s="44"/>
      <c r="BSB577" s="44"/>
      <c r="BSC577" s="44"/>
      <c r="BSD577" s="44"/>
      <c r="BSE577" s="44"/>
      <c r="BSF577" s="44"/>
      <c r="BSG577" s="44"/>
      <c r="BSH577" s="44"/>
      <c r="BSI577" s="44"/>
      <c r="BSJ577" s="44"/>
      <c r="BSK577" s="44"/>
      <c r="BSL577" s="44"/>
      <c r="BSM577" s="44"/>
      <c r="BSN577" s="44"/>
      <c r="BSO577" s="44"/>
      <c r="BSP577" s="44"/>
      <c r="BSQ577" s="44"/>
      <c r="BSR577" s="44"/>
      <c r="BSS577" s="44"/>
      <c r="BST577" s="44"/>
      <c r="BSU577" s="44"/>
      <c r="BSV577" s="44"/>
      <c r="BSW577" s="44"/>
      <c r="BSX577" s="44"/>
      <c r="BSY577" s="44"/>
      <c r="BSZ577" s="44"/>
      <c r="BTA577" s="44"/>
      <c r="BTB577" s="44"/>
      <c r="BTC577" s="44"/>
      <c r="BTD577" s="44"/>
      <c r="BTE577" s="44"/>
      <c r="BTF577" s="44"/>
      <c r="BTG577" s="44"/>
      <c r="BTH577" s="44"/>
      <c r="BTI577" s="44"/>
      <c r="BTJ577" s="44"/>
      <c r="BTK577" s="44"/>
      <c r="BTL577" s="44"/>
      <c r="BTM577" s="44"/>
      <c r="BTN577" s="44"/>
      <c r="BTO577" s="44"/>
      <c r="BTP577" s="44"/>
      <c r="BTQ577" s="44"/>
      <c r="BTR577" s="44"/>
      <c r="BTS577" s="44"/>
      <c r="BTT577" s="44"/>
      <c r="BTU577" s="44"/>
      <c r="BTV577" s="44"/>
      <c r="BTW577" s="44"/>
      <c r="BTX577" s="44"/>
      <c r="BTY577" s="44"/>
      <c r="BTZ577" s="44"/>
      <c r="BUA577" s="44"/>
      <c r="BUB577" s="44"/>
      <c r="BUC577" s="44"/>
      <c r="BUD577" s="44"/>
      <c r="BUE577" s="44"/>
      <c r="BUF577" s="44"/>
      <c r="BUG577" s="44"/>
      <c r="BUH577" s="44"/>
      <c r="BUI577" s="44"/>
      <c r="BUJ577" s="44"/>
      <c r="BUK577" s="44"/>
      <c r="BUL577" s="44"/>
      <c r="BUM577" s="44"/>
      <c r="BUN577" s="44"/>
      <c r="BUO577" s="44"/>
      <c r="BUP577" s="44"/>
      <c r="BUQ577" s="44"/>
      <c r="BUR577" s="44"/>
      <c r="BUS577" s="44"/>
      <c r="BUT577" s="44"/>
      <c r="BUU577" s="44"/>
      <c r="BUV577" s="44"/>
      <c r="BUW577" s="44"/>
      <c r="BUX577" s="44"/>
      <c r="BUY577" s="44"/>
      <c r="BUZ577" s="44"/>
      <c r="BVA577" s="44"/>
      <c r="BVB577" s="44"/>
      <c r="BVC577" s="44"/>
      <c r="BVD577" s="44"/>
      <c r="BVE577" s="44"/>
      <c r="BVF577" s="44"/>
      <c r="BVG577" s="44"/>
      <c r="BVH577" s="44"/>
      <c r="BVI577" s="44"/>
      <c r="BVJ577" s="44"/>
      <c r="BVK577" s="44"/>
      <c r="BVL577" s="44"/>
      <c r="BVM577" s="44"/>
      <c r="BVN577" s="44"/>
      <c r="BVO577" s="44"/>
      <c r="BVP577" s="44"/>
      <c r="BVQ577" s="44"/>
      <c r="BVR577" s="44"/>
      <c r="BVS577" s="44"/>
      <c r="BVT577" s="44"/>
      <c r="BVU577" s="44"/>
      <c r="BVV577" s="44"/>
      <c r="BVW577" s="44"/>
      <c r="BVX577" s="44"/>
      <c r="BVY577" s="44"/>
      <c r="BVZ577" s="44"/>
      <c r="BWA577" s="44"/>
      <c r="BWB577" s="44"/>
      <c r="BWC577" s="44"/>
      <c r="BWD577" s="44"/>
      <c r="BWE577" s="44"/>
      <c r="BWF577" s="44"/>
      <c r="BWG577" s="44"/>
      <c r="BWH577" s="44"/>
      <c r="BWI577" s="44"/>
      <c r="BWJ577" s="44"/>
      <c r="BWK577" s="44"/>
      <c r="BWL577" s="44"/>
      <c r="BWM577" s="44"/>
      <c r="BWN577" s="44"/>
      <c r="BWO577" s="44"/>
      <c r="BWP577" s="44"/>
      <c r="BWQ577" s="44"/>
      <c r="BWR577" s="44"/>
      <c r="BWS577" s="44"/>
      <c r="BWT577" s="44"/>
      <c r="BWU577" s="44"/>
      <c r="BWV577" s="44"/>
      <c r="BWW577" s="44"/>
      <c r="BWX577" s="44"/>
      <c r="BWY577" s="44"/>
      <c r="BWZ577" s="44"/>
      <c r="BXA577" s="44"/>
      <c r="BXB577" s="44"/>
      <c r="BXC577" s="44"/>
      <c r="BXD577" s="44"/>
      <c r="BXE577" s="44"/>
      <c r="BXF577" s="44"/>
      <c r="BXG577" s="44"/>
      <c r="BXH577" s="44"/>
      <c r="BXI577" s="44"/>
      <c r="BXJ577" s="44"/>
      <c r="BXK577" s="44"/>
      <c r="BXL577" s="44"/>
      <c r="BXM577" s="44"/>
      <c r="BXN577" s="44"/>
      <c r="BXO577" s="44"/>
      <c r="BXP577" s="44"/>
      <c r="BXQ577" s="44"/>
      <c r="BXR577" s="44"/>
      <c r="BXS577" s="44"/>
      <c r="BXT577" s="44"/>
      <c r="BXU577" s="44"/>
      <c r="BXV577" s="44"/>
      <c r="BXW577" s="44"/>
      <c r="BXX577" s="44"/>
      <c r="BXY577" s="44"/>
      <c r="BXZ577" s="44"/>
      <c r="BYA577" s="44"/>
      <c r="BYB577" s="44"/>
      <c r="BYC577" s="44"/>
      <c r="BYD577" s="44"/>
      <c r="BYE577" s="44"/>
      <c r="BYF577" s="44"/>
      <c r="BYG577" s="44"/>
      <c r="BYH577" s="44"/>
      <c r="BYI577" s="44"/>
      <c r="BYJ577" s="44"/>
      <c r="BYK577" s="44"/>
      <c r="BYL577" s="44"/>
      <c r="BYM577" s="44"/>
      <c r="BYN577" s="44"/>
      <c r="BYO577" s="44"/>
      <c r="BYP577" s="44"/>
      <c r="BYQ577" s="44"/>
      <c r="BYR577" s="44"/>
      <c r="BYS577" s="44"/>
      <c r="BYT577" s="44"/>
      <c r="BYU577" s="44"/>
      <c r="BYV577" s="44"/>
      <c r="BYW577" s="44"/>
      <c r="BYX577" s="44"/>
      <c r="BYY577" s="44"/>
      <c r="BYZ577" s="44"/>
      <c r="BZA577" s="44"/>
      <c r="BZB577" s="44"/>
      <c r="BZC577" s="44"/>
      <c r="BZD577" s="44"/>
      <c r="BZE577" s="44"/>
      <c r="BZF577" s="44"/>
      <c r="BZG577" s="44"/>
      <c r="BZH577" s="44"/>
      <c r="BZI577" s="44"/>
      <c r="BZJ577" s="44"/>
      <c r="BZK577" s="44"/>
      <c r="BZL577" s="44"/>
      <c r="BZM577" s="44"/>
      <c r="BZN577" s="44"/>
      <c r="BZO577" s="44"/>
      <c r="BZP577" s="44"/>
      <c r="BZQ577" s="44"/>
      <c r="BZR577" s="44"/>
      <c r="BZS577" s="44"/>
      <c r="BZT577" s="44"/>
      <c r="BZU577" s="44"/>
      <c r="BZV577" s="44"/>
      <c r="BZW577" s="44"/>
      <c r="BZX577" s="44"/>
      <c r="BZY577" s="44"/>
      <c r="BZZ577" s="44"/>
      <c r="CAA577" s="44"/>
      <c r="CAB577" s="44"/>
      <c r="CAC577" s="44"/>
      <c r="CAD577" s="44"/>
      <c r="CAE577" s="44"/>
      <c r="CAF577" s="44"/>
      <c r="CAG577" s="44"/>
      <c r="CAH577" s="44"/>
      <c r="CAI577" s="44"/>
      <c r="CAJ577" s="44"/>
      <c r="CAK577" s="44"/>
      <c r="CAL577" s="44"/>
      <c r="CAM577" s="44"/>
      <c r="CAN577" s="44"/>
      <c r="CAO577" s="44"/>
      <c r="CAP577" s="44"/>
      <c r="CAQ577" s="44"/>
      <c r="CAR577" s="44"/>
      <c r="CAS577" s="44"/>
      <c r="CAT577" s="44"/>
      <c r="CAU577" s="44"/>
      <c r="CAV577" s="44"/>
      <c r="CAW577" s="44"/>
      <c r="CAX577" s="44"/>
      <c r="CAY577" s="44"/>
      <c r="CAZ577" s="44"/>
      <c r="CBA577" s="44"/>
      <c r="CBB577" s="44"/>
      <c r="CBC577" s="44"/>
      <c r="CBD577" s="44"/>
      <c r="CBE577" s="44"/>
      <c r="CBF577" s="44"/>
      <c r="CBG577" s="44"/>
      <c r="CBH577" s="44"/>
      <c r="CBI577" s="44"/>
      <c r="CBJ577" s="44"/>
      <c r="CBK577" s="44"/>
      <c r="CBL577" s="44"/>
      <c r="CBM577" s="44"/>
      <c r="CBN577" s="44"/>
      <c r="CBO577" s="44"/>
      <c r="CBP577" s="44"/>
      <c r="CBQ577" s="44"/>
      <c r="CBR577" s="44"/>
      <c r="CBS577" s="44"/>
      <c r="CBT577" s="44"/>
      <c r="CBU577" s="44"/>
      <c r="CBV577" s="44"/>
      <c r="CBW577" s="44"/>
      <c r="CBX577" s="44"/>
      <c r="CBY577" s="44"/>
      <c r="CBZ577" s="44"/>
      <c r="CCA577" s="44"/>
      <c r="CCB577" s="44"/>
      <c r="CCC577" s="44"/>
      <c r="CCD577" s="44"/>
      <c r="CCE577" s="44"/>
      <c r="CCF577" s="44"/>
      <c r="CCG577" s="44"/>
      <c r="CCH577" s="44"/>
      <c r="CCI577" s="44"/>
      <c r="CCJ577" s="44"/>
      <c r="CCK577" s="44"/>
      <c r="CCL577" s="44"/>
      <c r="CCM577" s="44"/>
      <c r="CCN577" s="44"/>
      <c r="CCO577" s="44"/>
      <c r="CCP577" s="44"/>
      <c r="CCQ577" s="44"/>
      <c r="CCR577" s="44"/>
      <c r="CCS577" s="44"/>
      <c r="CCT577" s="44"/>
      <c r="CCU577" s="44"/>
      <c r="CCV577" s="44"/>
      <c r="CCW577" s="44"/>
      <c r="CCX577" s="44"/>
      <c r="CCY577" s="44"/>
      <c r="CCZ577" s="44"/>
      <c r="CDA577" s="44"/>
      <c r="CDB577" s="44"/>
      <c r="CDC577" s="44"/>
      <c r="CDD577" s="44"/>
      <c r="CDE577" s="44"/>
      <c r="CDF577" s="44"/>
      <c r="CDG577" s="44"/>
      <c r="CDH577" s="44"/>
      <c r="CDI577" s="44"/>
      <c r="CDJ577" s="44"/>
      <c r="CDK577" s="44"/>
      <c r="CDL577" s="44"/>
      <c r="CDM577" s="44"/>
      <c r="CDN577" s="44"/>
      <c r="CDO577" s="44"/>
      <c r="CDP577" s="44"/>
      <c r="CDQ577" s="44"/>
      <c r="CDR577" s="44"/>
      <c r="CDS577" s="44"/>
      <c r="CDT577" s="44"/>
      <c r="CDU577" s="44"/>
      <c r="CDV577" s="44"/>
      <c r="CDW577" s="44"/>
      <c r="CDX577" s="44"/>
      <c r="CDY577" s="44"/>
      <c r="CDZ577" s="44"/>
      <c r="CEA577" s="44"/>
      <c r="CEB577" s="44"/>
      <c r="CEC577" s="44"/>
      <c r="CED577" s="44"/>
      <c r="CEE577" s="44"/>
      <c r="CEF577" s="44"/>
      <c r="CEG577" s="44"/>
      <c r="CEH577" s="44"/>
      <c r="CEI577" s="44"/>
      <c r="CEJ577" s="44"/>
      <c r="CEK577" s="44"/>
      <c r="CEL577" s="44"/>
      <c r="CEM577" s="44"/>
      <c r="CEN577" s="44"/>
      <c r="CEO577" s="44"/>
      <c r="CEP577" s="44"/>
      <c r="CEQ577" s="44"/>
      <c r="CER577" s="44"/>
      <c r="CES577" s="44"/>
      <c r="CET577" s="44"/>
      <c r="CEU577" s="44"/>
      <c r="CEV577" s="44"/>
      <c r="CEW577" s="44"/>
      <c r="CEX577" s="44"/>
      <c r="CEY577" s="44"/>
      <c r="CEZ577" s="44"/>
      <c r="CFA577" s="44"/>
      <c r="CFB577" s="44"/>
      <c r="CFC577" s="44"/>
      <c r="CFD577" s="44"/>
      <c r="CFE577" s="44"/>
      <c r="CFF577" s="44"/>
      <c r="CFG577" s="44"/>
      <c r="CFH577" s="44"/>
      <c r="CFI577" s="44"/>
      <c r="CFJ577" s="44"/>
      <c r="CFK577" s="44"/>
      <c r="CFL577" s="44"/>
      <c r="CFM577" s="44"/>
      <c r="CFN577" s="44"/>
      <c r="CFO577" s="44"/>
      <c r="CFP577" s="44"/>
      <c r="CFQ577" s="44"/>
      <c r="CFR577" s="44"/>
      <c r="CFS577" s="44"/>
      <c r="CFT577" s="44"/>
      <c r="CFU577" s="44"/>
      <c r="CFV577" s="44"/>
      <c r="CFW577" s="44"/>
      <c r="CFX577" s="44"/>
      <c r="CFY577" s="44"/>
      <c r="CFZ577" s="44"/>
      <c r="CGA577" s="44"/>
      <c r="CGB577" s="44"/>
      <c r="CGC577" s="44"/>
      <c r="CGD577" s="44"/>
      <c r="CGE577" s="44"/>
      <c r="CGF577" s="44"/>
      <c r="CGG577" s="44"/>
      <c r="CGH577" s="44"/>
      <c r="CGI577" s="44"/>
      <c r="CGJ577" s="44"/>
      <c r="CGK577" s="44"/>
      <c r="CGL577" s="44"/>
      <c r="CGM577" s="44"/>
      <c r="CGN577" s="44"/>
      <c r="CGO577" s="44"/>
      <c r="CGP577" s="44"/>
      <c r="CGQ577" s="44"/>
      <c r="CGR577" s="44"/>
      <c r="CGS577" s="44"/>
      <c r="CGT577" s="44"/>
      <c r="CGU577" s="44"/>
      <c r="CGV577" s="44"/>
      <c r="CGW577" s="44"/>
      <c r="CGX577" s="44"/>
      <c r="CGY577" s="44"/>
      <c r="CGZ577" s="44"/>
      <c r="CHA577" s="44"/>
      <c r="CHB577" s="44"/>
      <c r="CHC577" s="44"/>
      <c r="CHD577" s="44"/>
      <c r="CHE577" s="44"/>
      <c r="CHF577" s="44"/>
      <c r="CHG577" s="44"/>
      <c r="CHH577" s="44"/>
      <c r="CHI577" s="44"/>
      <c r="CHJ577" s="44"/>
      <c r="CHK577" s="44"/>
      <c r="CHL577" s="44"/>
      <c r="CHM577" s="44"/>
      <c r="CHN577" s="44"/>
      <c r="CHO577" s="44"/>
      <c r="CHP577" s="44"/>
      <c r="CHQ577" s="44"/>
      <c r="CHR577" s="44"/>
      <c r="CHS577" s="44"/>
      <c r="CHT577" s="44"/>
      <c r="CHU577" s="44"/>
      <c r="CHV577" s="44"/>
      <c r="CHW577" s="44"/>
      <c r="CHX577" s="44"/>
      <c r="CHY577" s="44"/>
      <c r="CHZ577" s="44"/>
      <c r="CIA577" s="44"/>
      <c r="CIB577" s="44"/>
      <c r="CIC577" s="44"/>
      <c r="CID577" s="44"/>
      <c r="CIE577" s="44"/>
      <c r="CIF577" s="44"/>
      <c r="CIG577" s="44"/>
      <c r="CIH577" s="44"/>
      <c r="CII577" s="44"/>
      <c r="CIJ577" s="44"/>
      <c r="CIK577" s="44"/>
      <c r="CIL577" s="44"/>
      <c r="CIM577" s="44"/>
      <c r="CIN577" s="44"/>
      <c r="CIO577" s="44"/>
      <c r="CIP577" s="44"/>
      <c r="CIQ577" s="44"/>
      <c r="CIR577" s="44"/>
      <c r="CIS577" s="44"/>
      <c r="CIT577" s="44"/>
      <c r="CIU577" s="44"/>
      <c r="CIV577" s="44"/>
      <c r="CIW577" s="44"/>
      <c r="CIX577" s="44"/>
      <c r="CIY577" s="44"/>
      <c r="CIZ577" s="44"/>
      <c r="CJA577" s="44"/>
      <c r="CJB577" s="44"/>
      <c r="CJC577" s="44"/>
      <c r="CJD577" s="44"/>
      <c r="CJE577" s="44"/>
      <c r="CJF577" s="44"/>
      <c r="CJG577" s="44"/>
      <c r="CJH577" s="44"/>
      <c r="CJI577" s="44"/>
      <c r="CJJ577" s="44"/>
      <c r="CJK577" s="44"/>
      <c r="CJL577" s="44"/>
      <c r="CJM577" s="44"/>
      <c r="CJN577" s="44"/>
      <c r="CJO577" s="44"/>
      <c r="CJP577" s="44"/>
      <c r="CJQ577" s="44"/>
      <c r="CJR577" s="44"/>
      <c r="CJS577" s="44"/>
      <c r="CJT577" s="44"/>
      <c r="CJU577" s="44"/>
      <c r="CJV577" s="44"/>
      <c r="CJW577" s="44"/>
      <c r="CJX577" s="44"/>
      <c r="CJY577" s="44"/>
      <c r="CJZ577" s="44"/>
      <c r="CKA577" s="44"/>
      <c r="CKB577" s="44"/>
      <c r="CKC577" s="44"/>
      <c r="CKD577" s="44"/>
      <c r="CKE577" s="44"/>
      <c r="CKF577" s="44"/>
      <c r="CKG577" s="44"/>
      <c r="CKH577" s="44"/>
      <c r="CKI577" s="44"/>
      <c r="CKJ577" s="44"/>
      <c r="CKK577" s="44"/>
      <c r="CKL577" s="44"/>
      <c r="CKM577" s="44"/>
      <c r="CKN577" s="44"/>
      <c r="CKO577" s="44"/>
      <c r="CKP577" s="44"/>
      <c r="CKQ577" s="44"/>
      <c r="CKR577" s="44"/>
      <c r="CKS577" s="44"/>
      <c r="CKT577" s="44"/>
      <c r="CKU577" s="44"/>
      <c r="CKV577" s="44"/>
      <c r="CKW577" s="44"/>
      <c r="CKX577" s="44"/>
      <c r="CKY577" s="44"/>
      <c r="CKZ577" s="44"/>
      <c r="CLA577" s="44"/>
      <c r="CLB577" s="44"/>
      <c r="CLC577" s="44"/>
      <c r="CLD577" s="44"/>
      <c r="CLE577" s="44"/>
      <c r="CLF577" s="44"/>
      <c r="CLG577" s="44"/>
      <c r="CLH577" s="44"/>
      <c r="CLI577" s="44"/>
      <c r="CLJ577" s="44"/>
      <c r="CLK577" s="44"/>
      <c r="CLL577" s="44"/>
      <c r="CLM577" s="44"/>
      <c r="CLN577" s="44"/>
      <c r="CLO577" s="44"/>
      <c r="CLP577" s="44"/>
      <c r="CLQ577" s="44"/>
      <c r="CLR577" s="44"/>
      <c r="CLS577" s="44"/>
      <c r="CLT577" s="44"/>
      <c r="CLU577" s="44"/>
      <c r="CLV577" s="44"/>
      <c r="CLW577" s="44"/>
      <c r="CLX577" s="44"/>
      <c r="CLY577" s="44"/>
      <c r="CLZ577" s="44"/>
      <c r="CMA577" s="44"/>
      <c r="CMB577" s="44"/>
      <c r="CMC577" s="44"/>
      <c r="CMD577" s="44"/>
      <c r="CME577" s="44"/>
      <c r="CMF577" s="44"/>
      <c r="CMG577" s="44"/>
      <c r="CMH577" s="44"/>
      <c r="CMI577" s="44"/>
      <c r="CMJ577" s="44"/>
      <c r="CMK577" s="44"/>
      <c r="CML577" s="44"/>
      <c r="CMM577" s="44"/>
      <c r="CMN577" s="44"/>
      <c r="CMO577" s="44"/>
      <c r="CMP577" s="44"/>
      <c r="CMQ577" s="44"/>
      <c r="CMR577" s="44"/>
      <c r="CMS577" s="44"/>
      <c r="CMT577" s="44"/>
      <c r="CMU577" s="44"/>
      <c r="CMV577" s="44"/>
      <c r="CMW577" s="44"/>
      <c r="CMX577" s="44"/>
      <c r="CMY577" s="44"/>
      <c r="CMZ577" s="44"/>
      <c r="CNA577" s="44"/>
      <c r="CNB577" s="44"/>
      <c r="CNC577" s="44"/>
      <c r="CND577" s="44"/>
      <c r="CNE577" s="44"/>
      <c r="CNF577" s="44"/>
      <c r="CNG577" s="44"/>
      <c r="CNH577" s="44"/>
      <c r="CNI577" s="44"/>
      <c r="CNJ577" s="44"/>
      <c r="CNK577" s="44"/>
      <c r="CNL577" s="44"/>
      <c r="CNM577" s="44"/>
      <c r="CNN577" s="44"/>
      <c r="CNO577" s="44"/>
      <c r="CNP577" s="44"/>
      <c r="CNQ577" s="44"/>
      <c r="CNR577" s="44"/>
      <c r="CNS577" s="44"/>
      <c r="CNT577" s="44"/>
      <c r="CNU577" s="44"/>
      <c r="CNV577" s="44"/>
      <c r="CNW577" s="44"/>
      <c r="CNX577" s="44"/>
      <c r="CNY577" s="44"/>
      <c r="CNZ577" s="44"/>
      <c r="COA577" s="44"/>
      <c r="COB577" s="44"/>
      <c r="COC577" s="44"/>
      <c r="COD577" s="44"/>
      <c r="COE577" s="44"/>
      <c r="COF577" s="44"/>
      <c r="COG577" s="44"/>
      <c r="COH577" s="44"/>
      <c r="COI577" s="44"/>
      <c r="COJ577" s="44"/>
      <c r="COK577" s="44"/>
      <c r="COL577" s="44"/>
      <c r="COM577" s="44"/>
      <c r="CON577" s="44"/>
      <c r="COO577" s="44"/>
      <c r="COP577" s="44"/>
      <c r="COQ577" s="44"/>
      <c r="COR577" s="44"/>
      <c r="COS577" s="44"/>
      <c r="COT577" s="44"/>
      <c r="COU577" s="44"/>
      <c r="COV577" s="44"/>
      <c r="COW577" s="44"/>
      <c r="COX577" s="44"/>
      <c r="COY577" s="44"/>
      <c r="COZ577" s="44"/>
      <c r="CPA577" s="44"/>
      <c r="CPB577" s="44"/>
      <c r="CPC577" s="44"/>
      <c r="CPD577" s="44"/>
      <c r="CPE577" s="44"/>
      <c r="CPF577" s="44"/>
      <c r="CPG577" s="44"/>
      <c r="CPH577" s="44"/>
      <c r="CPI577" s="44"/>
      <c r="CPJ577" s="44"/>
      <c r="CPK577" s="44"/>
      <c r="CPL577" s="44"/>
      <c r="CPM577" s="44"/>
      <c r="CPN577" s="44"/>
      <c r="CPO577" s="44"/>
      <c r="CPP577" s="44"/>
      <c r="CPQ577" s="44"/>
      <c r="CPR577" s="44"/>
      <c r="CPS577" s="44"/>
      <c r="CPT577" s="44"/>
      <c r="CPU577" s="44"/>
      <c r="CPV577" s="44"/>
      <c r="CPW577" s="44"/>
      <c r="CPX577" s="44"/>
      <c r="CPY577" s="44"/>
      <c r="CPZ577" s="44"/>
      <c r="CQA577" s="44"/>
      <c r="CQB577" s="44"/>
      <c r="CQC577" s="44"/>
      <c r="CQD577" s="44"/>
      <c r="CQE577" s="44"/>
      <c r="CQF577" s="44"/>
      <c r="CQG577" s="44"/>
      <c r="CQH577" s="44"/>
      <c r="CQI577" s="44"/>
      <c r="CQJ577" s="44"/>
      <c r="CQK577" s="44"/>
      <c r="CQL577" s="44"/>
      <c r="CQM577" s="44"/>
      <c r="CQN577" s="44"/>
      <c r="CQO577" s="44"/>
      <c r="CQP577" s="44"/>
      <c r="CQQ577" s="44"/>
      <c r="CQR577" s="44"/>
      <c r="CQS577" s="44"/>
      <c r="CQT577" s="44"/>
      <c r="CQU577" s="44"/>
      <c r="CQV577" s="44"/>
      <c r="CQW577" s="44"/>
      <c r="CQX577" s="44"/>
      <c r="CQY577" s="44"/>
      <c r="CQZ577" s="44"/>
      <c r="CRA577" s="44"/>
      <c r="CRB577" s="44"/>
      <c r="CRC577" s="44"/>
      <c r="CRD577" s="44"/>
      <c r="CRE577" s="44"/>
      <c r="CRF577" s="44"/>
      <c r="CRG577" s="44"/>
      <c r="CRH577" s="44"/>
      <c r="CRI577" s="44"/>
      <c r="CRJ577" s="44"/>
      <c r="CRK577" s="44"/>
      <c r="CRL577" s="44"/>
      <c r="CRM577" s="44"/>
      <c r="CRN577" s="44"/>
      <c r="CRO577" s="44"/>
      <c r="CRP577" s="44"/>
      <c r="CRQ577" s="44"/>
      <c r="CRR577" s="44"/>
      <c r="CRS577" s="44"/>
      <c r="CRT577" s="44"/>
      <c r="CRU577" s="44"/>
      <c r="CRV577" s="44"/>
      <c r="CRW577" s="44"/>
      <c r="CRX577" s="44"/>
      <c r="CRY577" s="44"/>
      <c r="CRZ577" s="44"/>
      <c r="CSA577" s="44"/>
      <c r="CSB577" s="44"/>
      <c r="CSC577" s="44"/>
      <c r="CSD577" s="44"/>
      <c r="CSE577" s="44"/>
      <c r="CSF577" s="44"/>
      <c r="CSG577" s="44"/>
      <c r="CSH577" s="44"/>
      <c r="CSI577" s="44"/>
      <c r="CSJ577" s="44"/>
      <c r="CSK577" s="44"/>
      <c r="CSL577" s="44"/>
      <c r="CSM577" s="44"/>
      <c r="CSN577" s="44"/>
      <c r="CSO577" s="44"/>
      <c r="CSP577" s="44"/>
      <c r="CSQ577" s="44"/>
      <c r="CSR577" s="44"/>
      <c r="CSS577" s="44"/>
      <c r="CST577" s="44"/>
      <c r="CSU577" s="44"/>
      <c r="CSV577" s="44"/>
      <c r="CSW577" s="44"/>
      <c r="CSX577" s="44"/>
      <c r="CSY577" s="44"/>
      <c r="CSZ577" s="44"/>
      <c r="CTA577" s="44"/>
      <c r="CTB577" s="44"/>
      <c r="CTC577" s="44"/>
      <c r="CTD577" s="44"/>
      <c r="CTE577" s="44"/>
      <c r="CTF577" s="44"/>
      <c r="CTG577" s="44"/>
      <c r="CTH577" s="44"/>
      <c r="CTI577" s="44"/>
      <c r="CTJ577" s="44"/>
      <c r="CTK577" s="44"/>
      <c r="CTL577" s="44"/>
      <c r="CTM577" s="44"/>
      <c r="CTN577" s="44"/>
      <c r="CTO577" s="44"/>
      <c r="CTP577" s="44"/>
      <c r="CTQ577" s="44"/>
      <c r="CTR577" s="44"/>
      <c r="CTS577" s="44"/>
      <c r="CTT577" s="44"/>
      <c r="CTU577" s="44"/>
      <c r="CTV577" s="44"/>
      <c r="CTW577" s="44"/>
      <c r="CTX577" s="44"/>
      <c r="CTY577" s="44"/>
      <c r="CTZ577" s="44"/>
      <c r="CUA577" s="44"/>
      <c r="CUB577" s="44"/>
      <c r="CUC577" s="44"/>
      <c r="CUD577" s="44"/>
      <c r="CUE577" s="44"/>
      <c r="CUF577" s="44"/>
      <c r="CUG577" s="44"/>
      <c r="CUH577" s="44"/>
      <c r="CUI577" s="44"/>
      <c r="CUJ577" s="44"/>
      <c r="CUK577" s="44"/>
      <c r="CUL577" s="44"/>
      <c r="CUM577" s="44"/>
      <c r="CUN577" s="44"/>
      <c r="CUO577" s="44"/>
      <c r="CUP577" s="44"/>
      <c r="CUQ577" s="44"/>
      <c r="CUR577" s="44"/>
      <c r="CUS577" s="44"/>
      <c r="CUT577" s="44"/>
      <c r="CUU577" s="44"/>
      <c r="CUV577" s="44"/>
      <c r="CUW577" s="44"/>
      <c r="CUX577" s="44"/>
      <c r="CUY577" s="44"/>
      <c r="CUZ577" s="44"/>
      <c r="CVA577" s="44"/>
      <c r="CVB577" s="44"/>
      <c r="CVC577" s="44"/>
      <c r="CVD577" s="44"/>
      <c r="CVE577" s="44"/>
      <c r="CVF577" s="44"/>
      <c r="CVG577" s="44"/>
      <c r="CVH577" s="44"/>
      <c r="CVI577" s="44"/>
      <c r="CVJ577" s="44"/>
      <c r="CVK577" s="44"/>
      <c r="CVL577" s="44"/>
      <c r="CVM577" s="44"/>
      <c r="CVN577" s="44"/>
      <c r="CVO577" s="44"/>
      <c r="CVP577" s="44"/>
      <c r="CVQ577" s="44"/>
      <c r="CVR577" s="44"/>
      <c r="CVS577" s="44"/>
      <c r="CVT577" s="44"/>
      <c r="CVU577" s="44"/>
      <c r="CVV577" s="44"/>
      <c r="CVW577" s="44"/>
      <c r="CVX577" s="44"/>
      <c r="CVY577" s="44"/>
      <c r="CVZ577" s="44"/>
      <c r="CWA577" s="44"/>
      <c r="CWB577" s="44"/>
      <c r="CWC577" s="44"/>
      <c r="CWD577" s="44"/>
      <c r="CWE577" s="44"/>
      <c r="CWF577" s="44"/>
      <c r="CWG577" s="44"/>
      <c r="CWH577" s="44"/>
      <c r="CWI577" s="44"/>
      <c r="CWJ577" s="44"/>
      <c r="CWK577" s="44"/>
      <c r="CWL577" s="44"/>
      <c r="CWM577" s="44"/>
      <c r="CWN577" s="44"/>
      <c r="CWO577" s="44"/>
      <c r="CWP577" s="44"/>
      <c r="CWQ577" s="44"/>
      <c r="CWR577" s="44"/>
      <c r="CWS577" s="44"/>
      <c r="CWT577" s="44"/>
      <c r="CWU577" s="44"/>
      <c r="CWV577" s="44"/>
      <c r="CWW577" s="44"/>
      <c r="CWX577" s="44"/>
      <c r="CWY577" s="44"/>
      <c r="CWZ577" s="44"/>
      <c r="CXA577" s="44"/>
      <c r="CXB577" s="44"/>
      <c r="CXC577" s="44"/>
      <c r="CXD577" s="44"/>
      <c r="CXE577" s="44"/>
      <c r="CXF577" s="44"/>
      <c r="CXG577" s="44"/>
      <c r="CXH577" s="44"/>
      <c r="CXI577" s="44"/>
      <c r="CXJ577" s="44"/>
      <c r="CXK577" s="44"/>
      <c r="CXL577" s="44"/>
      <c r="CXM577" s="44"/>
      <c r="CXN577" s="44"/>
      <c r="CXO577" s="44"/>
      <c r="CXP577" s="44"/>
      <c r="CXQ577" s="44"/>
      <c r="CXR577" s="44"/>
      <c r="CXS577" s="44"/>
      <c r="CXT577" s="44"/>
      <c r="CXU577" s="44"/>
      <c r="CXV577" s="44"/>
      <c r="CXW577" s="44"/>
      <c r="CXX577" s="44"/>
      <c r="CXY577" s="44"/>
      <c r="CXZ577" s="44"/>
      <c r="CYA577" s="44"/>
      <c r="CYB577" s="44"/>
      <c r="CYC577" s="44"/>
      <c r="CYD577" s="44"/>
      <c r="CYE577" s="44"/>
      <c r="CYF577" s="44"/>
      <c r="CYG577" s="44"/>
      <c r="CYH577" s="44"/>
      <c r="CYI577" s="44"/>
      <c r="CYJ577" s="44"/>
      <c r="CYK577" s="44"/>
      <c r="CYL577" s="44"/>
      <c r="CYM577" s="44"/>
      <c r="CYN577" s="44"/>
      <c r="CYO577" s="44"/>
      <c r="CYP577" s="44"/>
      <c r="CYQ577" s="44"/>
      <c r="CYR577" s="44"/>
      <c r="CYS577" s="44"/>
      <c r="CYT577" s="44"/>
      <c r="CYU577" s="44"/>
      <c r="CYV577" s="44"/>
      <c r="CYW577" s="44"/>
      <c r="CYX577" s="44"/>
      <c r="CYY577" s="44"/>
      <c r="CYZ577" s="44"/>
      <c r="CZA577" s="44"/>
      <c r="CZB577" s="44"/>
      <c r="CZC577" s="44"/>
      <c r="CZD577" s="44"/>
      <c r="CZE577" s="44"/>
      <c r="CZF577" s="44"/>
      <c r="CZG577" s="44"/>
      <c r="CZH577" s="44"/>
      <c r="CZI577" s="44"/>
      <c r="CZJ577" s="44"/>
      <c r="CZK577" s="44"/>
      <c r="CZL577" s="44"/>
      <c r="CZM577" s="44"/>
      <c r="CZN577" s="44"/>
      <c r="CZO577" s="44"/>
      <c r="CZP577" s="44"/>
      <c r="CZQ577" s="44"/>
      <c r="CZR577" s="44"/>
      <c r="CZS577" s="44"/>
      <c r="CZT577" s="44"/>
      <c r="CZU577" s="44"/>
      <c r="CZV577" s="44"/>
      <c r="CZW577" s="44"/>
      <c r="CZX577" s="44"/>
      <c r="CZY577" s="44"/>
      <c r="CZZ577" s="44"/>
      <c r="DAA577" s="44"/>
      <c r="DAB577" s="44"/>
      <c r="DAC577" s="44"/>
      <c r="DAD577" s="44"/>
      <c r="DAE577" s="44"/>
      <c r="DAF577" s="44"/>
      <c r="DAG577" s="44"/>
      <c r="DAH577" s="44"/>
      <c r="DAI577" s="44"/>
      <c r="DAJ577" s="44"/>
      <c r="DAK577" s="44"/>
      <c r="DAL577" s="44"/>
      <c r="DAM577" s="44"/>
      <c r="DAN577" s="44"/>
      <c r="DAO577" s="44"/>
      <c r="DAP577" s="44"/>
      <c r="DAQ577" s="44"/>
      <c r="DAR577" s="44"/>
      <c r="DAS577" s="44"/>
      <c r="DAT577" s="44"/>
      <c r="DAU577" s="44"/>
      <c r="DAV577" s="44"/>
      <c r="DAW577" s="44"/>
      <c r="DAX577" s="44"/>
      <c r="DAY577" s="44"/>
      <c r="DAZ577" s="44"/>
      <c r="DBA577" s="44"/>
      <c r="DBB577" s="44"/>
      <c r="DBC577" s="44"/>
      <c r="DBD577" s="44"/>
      <c r="DBE577" s="44"/>
      <c r="DBF577" s="44"/>
      <c r="DBG577" s="44"/>
      <c r="DBH577" s="44"/>
      <c r="DBI577" s="44"/>
      <c r="DBJ577" s="44"/>
      <c r="DBK577" s="44"/>
      <c r="DBL577" s="44"/>
      <c r="DBM577" s="44"/>
      <c r="DBN577" s="44"/>
      <c r="DBO577" s="44"/>
      <c r="DBP577" s="44"/>
      <c r="DBQ577" s="44"/>
      <c r="DBR577" s="44"/>
      <c r="DBS577" s="44"/>
      <c r="DBT577" s="44"/>
      <c r="DBU577" s="44"/>
      <c r="DBV577" s="44"/>
      <c r="DBW577" s="44"/>
      <c r="DBX577" s="44"/>
      <c r="DBY577" s="44"/>
      <c r="DBZ577" s="44"/>
      <c r="DCA577" s="44"/>
      <c r="DCB577" s="44"/>
      <c r="DCC577" s="44"/>
      <c r="DCD577" s="44"/>
      <c r="DCE577" s="44"/>
      <c r="DCF577" s="44"/>
      <c r="DCG577" s="44"/>
      <c r="DCH577" s="44"/>
      <c r="DCI577" s="44"/>
      <c r="DCJ577" s="44"/>
      <c r="DCK577" s="44"/>
      <c r="DCL577" s="44"/>
      <c r="DCM577" s="44"/>
      <c r="DCN577" s="44"/>
      <c r="DCO577" s="44"/>
      <c r="DCP577" s="44"/>
      <c r="DCQ577" s="44"/>
      <c r="DCR577" s="44"/>
      <c r="DCS577" s="44"/>
      <c r="DCT577" s="44"/>
      <c r="DCU577" s="44"/>
      <c r="DCV577" s="44"/>
      <c r="DCW577" s="44"/>
      <c r="DCX577" s="44"/>
      <c r="DCY577" s="44"/>
      <c r="DCZ577" s="44"/>
      <c r="DDA577" s="44"/>
      <c r="DDB577" s="44"/>
      <c r="DDC577" s="44"/>
      <c r="DDD577" s="44"/>
      <c r="DDE577" s="44"/>
      <c r="DDF577" s="44"/>
      <c r="DDG577" s="44"/>
      <c r="DDH577" s="44"/>
      <c r="DDI577" s="44"/>
      <c r="DDJ577" s="44"/>
      <c r="DDK577" s="44"/>
      <c r="DDL577" s="44"/>
      <c r="DDM577" s="44"/>
      <c r="DDN577" s="44"/>
      <c r="DDO577" s="44"/>
      <c r="DDP577" s="44"/>
      <c r="DDQ577" s="44"/>
      <c r="DDR577" s="44"/>
      <c r="DDS577" s="44"/>
      <c r="DDT577" s="44"/>
      <c r="DDU577" s="44"/>
      <c r="DDV577" s="44"/>
      <c r="DDW577" s="44"/>
      <c r="DDX577" s="44"/>
      <c r="DDY577" s="44"/>
      <c r="DDZ577" s="44"/>
      <c r="DEA577" s="44"/>
      <c r="DEB577" s="44"/>
      <c r="DEC577" s="44"/>
      <c r="DED577" s="44"/>
      <c r="DEE577" s="44"/>
      <c r="DEF577" s="44"/>
      <c r="DEG577" s="44"/>
      <c r="DEH577" s="44"/>
      <c r="DEI577" s="44"/>
      <c r="DEJ577" s="44"/>
      <c r="DEK577" s="44"/>
      <c r="DEL577" s="44"/>
      <c r="DEM577" s="44"/>
      <c r="DEN577" s="44"/>
      <c r="DEO577" s="44"/>
      <c r="DEP577" s="44"/>
      <c r="DEQ577" s="44"/>
      <c r="DER577" s="44"/>
      <c r="DES577" s="44"/>
      <c r="DET577" s="44"/>
      <c r="DEU577" s="44"/>
      <c r="DEV577" s="44"/>
      <c r="DEW577" s="44"/>
      <c r="DEX577" s="44"/>
      <c r="DEY577" s="44"/>
      <c r="DEZ577" s="44"/>
      <c r="DFA577" s="44"/>
      <c r="DFB577" s="44"/>
      <c r="DFC577" s="44"/>
      <c r="DFD577" s="44"/>
      <c r="DFE577" s="44"/>
      <c r="DFF577" s="44"/>
      <c r="DFG577" s="44"/>
      <c r="DFH577" s="44"/>
      <c r="DFI577" s="44"/>
      <c r="DFJ577" s="44"/>
      <c r="DFK577" s="44"/>
      <c r="DFL577" s="44"/>
      <c r="DFM577" s="44"/>
      <c r="DFN577" s="44"/>
      <c r="DFO577" s="44"/>
      <c r="DFP577" s="44"/>
      <c r="DFQ577" s="44"/>
      <c r="DFR577" s="44"/>
      <c r="DFS577" s="44"/>
      <c r="DFT577" s="44"/>
      <c r="DFU577" s="44"/>
      <c r="DFV577" s="44"/>
      <c r="DFW577" s="44"/>
      <c r="DFX577" s="44"/>
      <c r="DFY577" s="44"/>
      <c r="DFZ577" s="44"/>
      <c r="DGA577" s="44"/>
      <c r="DGB577" s="44"/>
      <c r="DGC577" s="44"/>
      <c r="DGD577" s="44"/>
      <c r="DGE577" s="44"/>
      <c r="DGF577" s="44"/>
      <c r="DGG577" s="44"/>
      <c r="DGH577" s="44"/>
      <c r="DGI577" s="44"/>
      <c r="DGJ577" s="44"/>
      <c r="DGK577" s="44"/>
      <c r="DGL577" s="44"/>
      <c r="DGM577" s="44"/>
      <c r="DGN577" s="44"/>
      <c r="DGO577" s="44"/>
      <c r="DGP577" s="44"/>
      <c r="DGQ577" s="44"/>
      <c r="DGR577" s="44"/>
      <c r="DGS577" s="44"/>
      <c r="DGT577" s="44"/>
      <c r="DGU577" s="44"/>
      <c r="DGV577" s="44"/>
      <c r="DGW577" s="44"/>
      <c r="DGX577" s="44"/>
      <c r="DGY577" s="44"/>
      <c r="DGZ577" s="44"/>
      <c r="DHA577" s="44"/>
      <c r="DHB577" s="44"/>
      <c r="DHC577" s="44"/>
      <c r="DHD577" s="44"/>
      <c r="DHE577" s="44"/>
      <c r="DHF577" s="44"/>
      <c r="DHG577" s="44"/>
      <c r="DHH577" s="44"/>
      <c r="DHI577" s="44"/>
      <c r="DHJ577" s="44"/>
      <c r="DHK577" s="44"/>
      <c r="DHL577" s="44"/>
      <c r="DHM577" s="44"/>
      <c r="DHN577" s="44"/>
      <c r="DHO577" s="44"/>
      <c r="DHP577" s="44"/>
      <c r="DHQ577" s="44"/>
      <c r="DHR577" s="44"/>
      <c r="DHS577" s="44"/>
      <c r="DHT577" s="44"/>
      <c r="DHU577" s="44"/>
      <c r="DHV577" s="44"/>
      <c r="DHW577" s="44"/>
      <c r="DHX577" s="44"/>
      <c r="DHY577" s="44"/>
      <c r="DHZ577" s="44"/>
      <c r="DIA577" s="44"/>
      <c r="DIB577" s="44"/>
      <c r="DIC577" s="44"/>
      <c r="DID577" s="44"/>
      <c r="DIE577" s="44"/>
      <c r="DIF577" s="44"/>
      <c r="DIG577" s="44"/>
      <c r="DIH577" s="44"/>
      <c r="DII577" s="44"/>
      <c r="DIJ577" s="44"/>
      <c r="DIK577" s="44"/>
      <c r="DIL577" s="44"/>
      <c r="DIM577" s="44"/>
      <c r="DIN577" s="44"/>
      <c r="DIO577" s="44"/>
      <c r="DIP577" s="44"/>
      <c r="DIQ577" s="44"/>
      <c r="DIR577" s="44"/>
      <c r="DIS577" s="44"/>
      <c r="DIT577" s="44"/>
      <c r="DIU577" s="44"/>
      <c r="DIV577" s="44"/>
      <c r="DIW577" s="44"/>
      <c r="DIX577" s="44"/>
      <c r="DIY577" s="44"/>
      <c r="DIZ577" s="44"/>
      <c r="DJA577" s="44"/>
      <c r="DJB577" s="44"/>
      <c r="DJC577" s="44"/>
      <c r="DJD577" s="44"/>
      <c r="DJE577" s="44"/>
      <c r="DJF577" s="44"/>
      <c r="DJG577" s="44"/>
      <c r="DJH577" s="44"/>
      <c r="DJI577" s="44"/>
      <c r="DJJ577" s="44"/>
      <c r="DJK577" s="44"/>
      <c r="DJL577" s="44"/>
      <c r="DJM577" s="44"/>
      <c r="DJN577" s="44"/>
      <c r="DJO577" s="44"/>
      <c r="DJP577" s="44"/>
      <c r="DJQ577" s="44"/>
      <c r="DJR577" s="44"/>
      <c r="DJS577" s="44"/>
      <c r="DJT577" s="44"/>
      <c r="DJU577" s="44"/>
      <c r="DJV577" s="44"/>
      <c r="DJW577" s="44"/>
      <c r="DJX577" s="44"/>
      <c r="DJY577" s="44"/>
      <c r="DJZ577" s="44"/>
      <c r="DKA577" s="44"/>
      <c r="DKB577" s="44"/>
      <c r="DKC577" s="44"/>
      <c r="DKD577" s="44"/>
      <c r="DKE577" s="44"/>
      <c r="DKF577" s="44"/>
      <c r="DKG577" s="44"/>
      <c r="DKH577" s="44"/>
      <c r="DKI577" s="44"/>
      <c r="DKJ577" s="44"/>
      <c r="DKK577" s="44"/>
      <c r="DKL577" s="44"/>
      <c r="DKM577" s="44"/>
      <c r="DKN577" s="44"/>
      <c r="DKO577" s="44"/>
      <c r="DKP577" s="44"/>
      <c r="DKQ577" s="44"/>
      <c r="DKR577" s="44"/>
      <c r="DKS577" s="44"/>
      <c r="DKT577" s="44"/>
      <c r="DKU577" s="44"/>
      <c r="DKV577" s="44"/>
      <c r="DKW577" s="44"/>
      <c r="DKX577" s="44"/>
      <c r="DKY577" s="44"/>
      <c r="DKZ577" s="44"/>
      <c r="DLA577" s="44"/>
      <c r="DLB577" s="44"/>
      <c r="DLC577" s="44"/>
      <c r="DLD577" s="44"/>
      <c r="DLE577" s="44"/>
      <c r="DLF577" s="44"/>
      <c r="DLG577" s="44"/>
      <c r="DLH577" s="44"/>
      <c r="DLI577" s="44"/>
      <c r="DLJ577" s="44"/>
      <c r="DLK577" s="44"/>
      <c r="DLL577" s="44"/>
      <c r="DLM577" s="44"/>
      <c r="DLN577" s="44"/>
      <c r="DLO577" s="44"/>
      <c r="DLP577" s="44"/>
      <c r="DLQ577" s="44"/>
      <c r="DLR577" s="44"/>
      <c r="DLS577" s="44"/>
      <c r="DLT577" s="44"/>
      <c r="DLU577" s="44"/>
      <c r="DLV577" s="44"/>
      <c r="DLW577" s="44"/>
      <c r="DLX577" s="44"/>
      <c r="DLY577" s="44"/>
      <c r="DLZ577" s="44"/>
      <c r="DMA577" s="44"/>
      <c r="DMB577" s="44"/>
      <c r="DMC577" s="44"/>
      <c r="DMD577" s="44"/>
      <c r="DME577" s="44"/>
      <c r="DMF577" s="44"/>
      <c r="DMG577" s="44"/>
      <c r="DMH577" s="44"/>
      <c r="DMI577" s="44"/>
      <c r="DMJ577" s="44"/>
      <c r="DMK577" s="44"/>
      <c r="DML577" s="44"/>
      <c r="DMM577" s="44"/>
      <c r="DMN577" s="44"/>
      <c r="DMO577" s="44"/>
      <c r="DMP577" s="44"/>
      <c r="DMQ577" s="44"/>
      <c r="DMR577" s="44"/>
      <c r="DMS577" s="44"/>
      <c r="DMT577" s="44"/>
      <c r="DMU577" s="44"/>
      <c r="DMV577" s="44"/>
      <c r="DMW577" s="44"/>
      <c r="DMX577" s="44"/>
      <c r="DMY577" s="44"/>
      <c r="DMZ577" s="44"/>
      <c r="DNA577" s="44"/>
      <c r="DNB577" s="44"/>
      <c r="DNC577" s="44"/>
      <c r="DND577" s="44"/>
      <c r="DNE577" s="44"/>
      <c r="DNF577" s="44"/>
      <c r="DNG577" s="44"/>
      <c r="DNH577" s="44"/>
      <c r="DNI577" s="44"/>
      <c r="DNJ577" s="44"/>
      <c r="DNK577" s="44"/>
      <c r="DNL577" s="44"/>
      <c r="DNM577" s="44"/>
      <c r="DNN577" s="44"/>
      <c r="DNO577" s="44"/>
      <c r="DNP577" s="44"/>
      <c r="DNQ577" s="44"/>
      <c r="DNR577" s="44"/>
      <c r="DNS577" s="44"/>
      <c r="DNT577" s="44"/>
      <c r="DNU577" s="44"/>
      <c r="DNV577" s="44"/>
      <c r="DNW577" s="44"/>
      <c r="DNX577" s="44"/>
      <c r="DNY577" s="44"/>
      <c r="DNZ577" s="44"/>
      <c r="DOA577" s="44"/>
      <c r="DOB577" s="44"/>
      <c r="DOC577" s="44"/>
      <c r="DOD577" s="44"/>
      <c r="DOE577" s="44"/>
      <c r="DOF577" s="44"/>
      <c r="DOG577" s="44"/>
      <c r="DOH577" s="44"/>
      <c r="DOI577" s="44"/>
      <c r="DOJ577" s="44"/>
      <c r="DOK577" s="44"/>
      <c r="DOL577" s="44"/>
      <c r="DOM577" s="44"/>
      <c r="DON577" s="44"/>
      <c r="DOO577" s="44"/>
      <c r="DOP577" s="44"/>
      <c r="DOQ577" s="44"/>
      <c r="DOR577" s="44"/>
      <c r="DOS577" s="44"/>
      <c r="DOT577" s="44"/>
      <c r="DOU577" s="44"/>
      <c r="DOV577" s="44"/>
      <c r="DOW577" s="44"/>
      <c r="DOX577" s="44"/>
      <c r="DOY577" s="44"/>
      <c r="DOZ577" s="44"/>
      <c r="DPA577" s="44"/>
      <c r="DPB577" s="44"/>
      <c r="DPC577" s="44"/>
      <c r="DPD577" s="44"/>
      <c r="DPE577" s="44"/>
      <c r="DPF577" s="44"/>
      <c r="DPG577" s="44"/>
      <c r="DPH577" s="44"/>
      <c r="DPI577" s="44"/>
      <c r="DPJ577" s="44"/>
      <c r="DPK577" s="44"/>
      <c r="DPL577" s="44"/>
      <c r="DPM577" s="44"/>
      <c r="DPN577" s="44"/>
      <c r="DPO577" s="44"/>
      <c r="DPP577" s="44"/>
      <c r="DPQ577" s="44"/>
      <c r="DPR577" s="44"/>
      <c r="DPS577" s="44"/>
      <c r="DPT577" s="44"/>
      <c r="DPU577" s="44"/>
      <c r="DPV577" s="44"/>
      <c r="DPW577" s="44"/>
      <c r="DPX577" s="44"/>
      <c r="DPY577" s="44"/>
      <c r="DPZ577" s="44"/>
      <c r="DQA577" s="44"/>
      <c r="DQB577" s="44"/>
      <c r="DQC577" s="44"/>
      <c r="DQD577" s="44"/>
      <c r="DQE577" s="44"/>
      <c r="DQF577" s="44"/>
      <c r="DQG577" s="44"/>
      <c r="DQH577" s="44"/>
      <c r="DQI577" s="44"/>
      <c r="DQJ577" s="44"/>
      <c r="DQK577" s="44"/>
      <c r="DQL577" s="44"/>
      <c r="DQM577" s="44"/>
      <c r="DQN577" s="44"/>
      <c r="DQO577" s="44"/>
      <c r="DQP577" s="44"/>
      <c r="DQQ577" s="44"/>
      <c r="DQR577" s="44"/>
      <c r="DQS577" s="44"/>
      <c r="DQT577" s="44"/>
      <c r="DQU577" s="44"/>
      <c r="DQV577" s="44"/>
      <c r="DQW577" s="44"/>
      <c r="DQX577" s="44"/>
      <c r="DQY577" s="44"/>
      <c r="DQZ577" s="44"/>
      <c r="DRA577" s="44"/>
      <c r="DRB577" s="44"/>
      <c r="DRC577" s="44"/>
      <c r="DRD577" s="44"/>
      <c r="DRE577" s="44"/>
      <c r="DRF577" s="44"/>
      <c r="DRG577" s="44"/>
      <c r="DRH577" s="44"/>
      <c r="DRI577" s="44"/>
      <c r="DRJ577" s="44"/>
      <c r="DRK577" s="44"/>
      <c r="DRL577" s="44"/>
      <c r="DRM577" s="44"/>
      <c r="DRN577" s="44"/>
      <c r="DRO577" s="44"/>
      <c r="DRP577" s="44"/>
      <c r="DRQ577" s="44"/>
      <c r="DRR577" s="44"/>
      <c r="DRS577" s="44"/>
      <c r="DRT577" s="44"/>
      <c r="DRU577" s="44"/>
      <c r="DRV577" s="44"/>
      <c r="DRW577" s="44"/>
      <c r="DRX577" s="44"/>
      <c r="DRY577" s="44"/>
      <c r="DRZ577" s="44"/>
      <c r="DSA577" s="44"/>
      <c r="DSB577" s="44"/>
      <c r="DSC577" s="44"/>
      <c r="DSD577" s="44"/>
      <c r="DSE577" s="44"/>
      <c r="DSF577" s="44"/>
      <c r="DSG577" s="44"/>
      <c r="DSH577" s="44"/>
      <c r="DSI577" s="44"/>
      <c r="DSJ577" s="44"/>
      <c r="DSK577" s="44"/>
      <c r="DSL577" s="44"/>
      <c r="DSM577" s="44"/>
      <c r="DSN577" s="44"/>
      <c r="DSO577" s="44"/>
      <c r="DSP577" s="44"/>
      <c r="DSQ577" s="44"/>
      <c r="DSR577" s="44"/>
      <c r="DSS577" s="44"/>
      <c r="DST577" s="44"/>
      <c r="DSU577" s="44"/>
      <c r="DSV577" s="44"/>
      <c r="DSW577" s="44"/>
      <c r="DSX577" s="44"/>
      <c r="DSY577" s="44"/>
      <c r="DSZ577" s="44"/>
      <c r="DTA577" s="44"/>
      <c r="DTB577" s="44"/>
      <c r="DTC577" s="44"/>
      <c r="DTD577" s="44"/>
      <c r="DTE577" s="44"/>
      <c r="DTF577" s="44"/>
      <c r="DTG577" s="44"/>
      <c r="DTH577" s="44"/>
      <c r="DTI577" s="44"/>
      <c r="DTJ577" s="44"/>
      <c r="DTK577" s="44"/>
      <c r="DTL577" s="44"/>
      <c r="DTM577" s="44"/>
      <c r="DTN577" s="44"/>
      <c r="DTO577" s="44"/>
      <c r="DTP577" s="44"/>
      <c r="DTQ577" s="44"/>
      <c r="DTR577" s="44"/>
      <c r="DTS577" s="44"/>
      <c r="DTT577" s="44"/>
      <c r="DTU577" s="44"/>
      <c r="DTV577" s="44"/>
      <c r="DTW577" s="44"/>
      <c r="DTX577" s="44"/>
      <c r="DTY577" s="44"/>
      <c r="DTZ577" s="44"/>
      <c r="DUA577" s="44"/>
      <c r="DUB577" s="44"/>
      <c r="DUC577" s="44"/>
      <c r="DUD577" s="44"/>
      <c r="DUE577" s="44"/>
      <c r="DUF577" s="44"/>
      <c r="DUG577" s="44"/>
      <c r="DUH577" s="44"/>
      <c r="DUI577" s="44"/>
      <c r="DUJ577" s="44"/>
      <c r="DUK577" s="44"/>
      <c r="DUL577" s="44"/>
      <c r="DUM577" s="44"/>
      <c r="DUN577" s="44"/>
      <c r="DUO577" s="44"/>
      <c r="DUP577" s="44"/>
      <c r="DUQ577" s="44"/>
      <c r="DUR577" s="44"/>
      <c r="DUS577" s="44"/>
      <c r="DUT577" s="44"/>
      <c r="DUU577" s="44"/>
      <c r="DUV577" s="44"/>
      <c r="DUW577" s="44"/>
      <c r="DUX577" s="44"/>
      <c r="DUY577" s="44"/>
      <c r="DUZ577" s="44"/>
      <c r="DVA577" s="44"/>
      <c r="DVB577" s="44"/>
      <c r="DVC577" s="44"/>
      <c r="DVD577" s="44"/>
      <c r="DVE577" s="44"/>
      <c r="DVF577" s="44"/>
      <c r="DVG577" s="44"/>
      <c r="DVH577" s="44"/>
      <c r="DVI577" s="44"/>
      <c r="DVJ577" s="44"/>
      <c r="DVK577" s="44"/>
      <c r="DVL577" s="44"/>
      <c r="DVM577" s="44"/>
      <c r="DVN577" s="44"/>
      <c r="DVO577" s="44"/>
      <c r="DVP577" s="44"/>
      <c r="DVQ577" s="44"/>
      <c r="DVR577" s="44"/>
      <c r="DVS577" s="44"/>
      <c r="DVT577" s="44"/>
      <c r="DVU577" s="44"/>
      <c r="DVV577" s="44"/>
      <c r="DVW577" s="44"/>
      <c r="DVX577" s="44"/>
      <c r="DVY577" s="44"/>
      <c r="DVZ577" s="44"/>
      <c r="DWA577" s="44"/>
      <c r="DWB577" s="44"/>
      <c r="DWC577" s="44"/>
      <c r="DWD577" s="44"/>
      <c r="DWE577" s="44"/>
      <c r="DWF577" s="44"/>
      <c r="DWG577" s="44"/>
      <c r="DWH577" s="44"/>
      <c r="DWI577" s="44"/>
      <c r="DWJ577" s="44"/>
      <c r="DWK577" s="44"/>
      <c r="DWL577" s="44"/>
      <c r="DWM577" s="44"/>
      <c r="DWN577" s="44"/>
      <c r="DWO577" s="44"/>
      <c r="DWP577" s="44"/>
      <c r="DWQ577" s="44"/>
      <c r="DWR577" s="44"/>
      <c r="DWS577" s="44"/>
      <c r="DWT577" s="44"/>
      <c r="DWU577" s="44"/>
      <c r="DWV577" s="44"/>
      <c r="DWW577" s="44"/>
      <c r="DWX577" s="44"/>
      <c r="DWY577" s="44"/>
      <c r="DWZ577" s="44"/>
      <c r="DXA577" s="44"/>
      <c r="DXB577" s="44"/>
      <c r="DXC577" s="44"/>
      <c r="DXD577" s="44"/>
      <c r="DXE577" s="44"/>
      <c r="DXF577" s="44"/>
      <c r="DXG577" s="44"/>
      <c r="DXH577" s="44"/>
      <c r="DXI577" s="44"/>
      <c r="DXJ577" s="44"/>
      <c r="DXK577" s="44"/>
      <c r="DXL577" s="44"/>
      <c r="DXM577" s="44"/>
      <c r="DXN577" s="44"/>
      <c r="DXO577" s="44"/>
      <c r="DXP577" s="44"/>
      <c r="DXQ577" s="44"/>
      <c r="DXR577" s="44"/>
      <c r="DXS577" s="44"/>
      <c r="DXT577" s="44"/>
      <c r="DXU577" s="44"/>
      <c r="DXV577" s="44"/>
      <c r="DXW577" s="44"/>
      <c r="DXX577" s="44"/>
      <c r="DXY577" s="44"/>
      <c r="DXZ577" s="44"/>
      <c r="DYA577" s="44"/>
      <c r="DYB577" s="44"/>
      <c r="DYC577" s="44"/>
      <c r="DYD577" s="44"/>
      <c r="DYE577" s="44"/>
      <c r="DYF577" s="44"/>
      <c r="DYG577" s="44"/>
      <c r="DYH577" s="44"/>
      <c r="DYI577" s="44"/>
      <c r="DYJ577" s="44"/>
      <c r="DYK577" s="44"/>
      <c r="DYL577" s="44"/>
      <c r="DYM577" s="44"/>
      <c r="DYN577" s="44"/>
      <c r="DYO577" s="44"/>
      <c r="DYP577" s="44"/>
      <c r="DYQ577" s="44"/>
      <c r="DYR577" s="44"/>
      <c r="DYS577" s="44"/>
      <c r="DYT577" s="44"/>
      <c r="DYU577" s="44"/>
      <c r="DYV577" s="44"/>
      <c r="DYW577" s="44"/>
      <c r="DYX577" s="44"/>
      <c r="DYY577" s="44"/>
      <c r="DYZ577" s="44"/>
      <c r="DZA577" s="44"/>
      <c r="DZB577" s="44"/>
      <c r="DZC577" s="44"/>
      <c r="DZD577" s="44"/>
      <c r="DZE577" s="44"/>
      <c r="DZF577" s="44"/>
      <c r="DZG577" s="44"/>
      <c r="DZH577" s="44"/>
      <c r="DZI577" s="44"/>
      <c r="DZJ577" s="44"/>
      <c r="DZK577" s="44"/>
      <c r="DZL577" s="44"/>
      <c r="DZM577" s="44"/>
      <c r="DZN577" s="44"/>
      <c r="DZO577" s="44"/>
      <c r="DZP577" s="44"/>
      <c r="DZQ577" s="44"/>
      <c r="DZR577" s="44"/>
      <c r="DZS577" s="44"/>
      <c r="DZT577" s="44"/>
      <c r="DZU577" s="44"/>
      <c r="DZV577" s="44"/>
      <c r="DZW577" s="44"/>
      <c r="DZX577" s="44"/>
      <c r="DZY577" s="44"/>
      <c r="DZZ577" s="44"/>
      <c r="EAA577" s="44"/>
      <c r="EAB577" s="44"/>
      <c r="EAC577" s="44"/>
      <c r="EAD577" s="44"/>
      <c r="EAE577" s="44"/>
      <c r="EAF577" s="44"/>
      <c r="EAG577" s="44"/>
      <c r="EAH577" s="44"/>
      <c r="EAI577" s="44"/>
      <c r="EAJ577" s="44"/>
      <c r="EAK577" s="44"/>
      <c r="EAL577" s="44"/>
      <c r="EAM577" s="44"/>
      <c r="EAN577" s="44"/>
      <c r="EAO577" s="44"/>
      <c r="EAP577" s="44"/>
      <c r="EAQ577" s="44"/>
      <c r="EAR577" s="44"/>
      <c r="EAS577" s="44"/>
      <c r="EAT577" s="44"/>
      <c r="EAU577" s="44"/>
      <c r="EAV577" s="44"/>
      <c r="EAW577" s="44"/>
      <c r="EAX577" s="44"/>
      <c r="EAY577" s="44"/>
      <c r="EAZ577" s="44"/>
      <c r="EBA577" s="44"/>
      <c r="EBB577" s="44"/>
      <c r="EBC577" s="44"/>
      <c r="EBD577" s="44"/>
      <c r="EBE577" s="44"/>
      <c r="EBF577" s="44"/>
      <c r="EBG577" s="44"/>
      <c r="EBH577" s="44"/>
      <c r="EBI577" s="44"/>
      <c r="EBJ577" s="44"/>
      <c r="EBK577" s="44"/>
      <c r="EBL577" s="44"/>
      <c r="EBM577" s="44"/>
      <c r="EBN577" s="44"/>
      <c r="EBO577" s="44"/>
      <c r="EBP577" s="44"/>
      <c r="EBQ577" s="44"/>
      <c r="EBR577" s="44"/>
      <c r="EBS577" s="44"/>
      <c r="EBT577" s="44"/>
      <c r="EBU577" s="44"/>
      <c r="EBV577" s="44"/>
      <c r="EBW577" s="44"/>
      <c r="EBX577" s="44"/>
      <c r="EBY577" s="44"/>
      <c r="EBZ577" s="44"/>
      <c r="ECA577" s="44"/>
      <c r="ECB577" s="44"/>
      <c r="ECC577" s="44"/>
      <c r="ECD577" s="44"/>
      <c r="ECE577" s="44"/>
      <c r="ECF577" s="44"/>
      <c r="ECG577" s="44"/>
      <c r="ECH577" s="44"/>
      <c r="ECI577" s="44"/>
      <c r="ECJ577" s="44"/>
      <c r="ECK577" s="44"/>
      <c r="ECL577" s="44"/>
      <c r="ECM577" s="44"/>
      <c r="ECN577" s="44"/>
      <c r="ECO577" s="44"/>
      <c r="ECP577" s="44"/>
      <c r="ECQ577" s="44"/>
      <c r="ECR577" s="44"/>
      <c r="ECS577" s="44"/>
      <c r="ECT577" s="44"/>
      <c r="ECU577" s="44"/>
      <c r="ECV577" s="44"/>
      <c r="ECW577" s="44"/>
      <c r="ECX577" s="44"/>
      <c r="ECY577" s="44"/>
      <c r="ECZ577" s="44"/>
      <c r="EDA577" s="44"/>
      <c r="EDB577" s="44"/>
      <c r="EDC577" s="44"/>
      <c r="EDD577" s="44"/>
      <c r="EDE577" s="44"/>
      <c r="EDF577" s="44"/>
      <c r="EDG577" s="44"/>
      <c r="EDH577" s="44"/>
      <c r="EDI577" s="44"/>
      <c r="EDJ577" s="44"/>
      <c r="EDK577" s="44"/>
      <c r="EDL577" s="44"/>
      <c r="EDM577" s="44"/>
      <c r="EDN577" s="44"/>
      <c r="EDO577" s="44"/>
      <c r="EDP577" s="44"/>
      <c r="EDQ577" s="44"/>
      <c r="EDR577" s="44"/>
      <c r="EDS577" s="44"/>
      <c r="EDT577" s="44"/>
      <c r="EDU577" s="44"/>
      <c r="EDV577" s="44"/>
      <c r="EDW577" s="44"/>
      <c r="EDX577" s="44"/>
      <c r="EDY577" s="44"/>
      <c r="EDZ577" s="44"/>
      <c r="EEA577" s="44"/>
      <c r="EEB577" s="44"/>
      <c r="EEC577" s="44"/>
      <c r="EED577" s="44"/>
      <c r="EEE577" s="44"/>
      <c r="EEF577" s="44"/>
      <c r="EEG577" s="44"/>
      <c r="EEH577" s="44"/>
      <c r="EEI577" s="44"/>
      <c r="EEJ577" s="44"/>
      <c r="EEK577" s="44"/>
      <c r="EEL577" s="44"/>
      <c r="EEM577" s="44"/>
      <c r="EEN577" s="44"/>
      <c r="EEO577" s="44"/>
      <c r="EEP577" s="44"/>
      <c r="EEQ577" s="44"/>
      <c r="EER577" s="44"/>
      <c r="EES577" s="44"/>
      <c r="EET577" s="44"/>
      <c r="EEU577" s="44"/>
      <c r="EEV577" s="44"/>
      <c r="EEW577" s="44"/>
      <c r="EEX577" s="44"/>
      <c r="EEY577" s="44"/>
      <c r="EEZ577" s="44"/>
      <c r="EFA577" s="44"/>
      <c r="EFB577" s="44"/>
      <c r="EFC577" s="44"/>
      <c r="EFD577" s="44"/>
      <c r="EFE577" s="44"/>
      <c r="EFF577" s="44"/>
      <c r="EFG577" s="44"/>
      <c r="EFH577" s="44"/>
      <c r="EFI577" s="44"/>
      <c r="EFJ577" s="44"/>
      <c r="EFK577" s="44"/>
      <c r="EFL577" s="44"/>
      <c r="EFM577" s="44"/>
      <c r="EFN577" s="44"/>
      <c r="EFO577" s="44"/>
      <c r="EFP577" s="44"/>
      <c r="EFQ577" s="44"/>
      <c r="EFR577" s="44"/>
      <c r="EFS577" s="44"/>
      <c r="EFT577" s="44"/>
      <c r="EFU577" s="44"/>
      <c r="EFV577" s="44"/>
      <c r="EFW577" s="44"/>
      <c r="EFX577" s="44"/>
      <c r="EFY577" s="44"/>
      <c r="EFZ577" s="44"/>
      <c r="EGA577" s="44"/>
      <c r="EGB577" s="44"/>
      <c r="EGC577" s="44"/>
      <c r="EGD577" s="44"/>
      <c r="EGE577" s="44"/>
      <c r="EGF577" s="44"/>
      <c r="EGG577" s="44"/>
      <c r="EGH577" s="44"/>
      <c r="EGI577" s="44"/>
      <c r="EGJ577" s="44"/>
      <c r="EGK577" s="44"/>
      <c r="EGL577" s="44"/>
      <c r="EGM577" s="44"/>
      <c r="EGN577" s="44"/>
      <c r="EGO577" s="44"/>
      <c r="EGP577" s="44"/>
      <c r="EGQ577" s="44"/>
      <c r="EGR577" s="44"/>
      <c r="EGS577" s="44"/>
      <c r="EGT577" s="44"/>
      <c r="EGU577" s="44"/>
      <c r="EGV577" s="44"/>
      <c r="EGW577" s="44"/>
      <c r="EGX577" s="44"/>
      <c r="EGY577" s="44"/>
      <c r="EGZ577" s="44"/>
      <c r="EHA577" s="44"/>
      <c r="EHB577" s="44"/>
      <c r="EHC577" s="44"/>
      <c r="EHD577" s="44"/>
      <c r="EHE577" s="44"/>
      <c r="EHF577" s="44"/>
      <c r="EHG577" s="44"/>
      <c r="EHH577" s="44"/>
      <c r="EHI577" s="44"/>
      <c r="EHJ577" s="44"/>
      <c r="EHK577" s="44"/>
      <c r="EHL577" s="44"/>
      <c r="EHM577" s="44"/>
      <c r="EHN577" s="44"/>
      <c r="EHO577" s="44"/>
      <c r="EHP577" s="44"/>
      <c r="EHQ577" s="44"/>
      <c r="EHR577" s="44"/>
      <c r="EHS577" s="44"/>
      <c r="EHT577" s="44"/>
      <c r="EHU577" s="44"/>
      <c r="EHV577" s="44"/>
      <c r="EHW577" s="44"/>
      <c r="EHX577" s="44"/>
      <c r="EHY577" s="44"/>
      <c r="EHZ577" s="44"/>
      <c r="EIA577" s="44"/>
      <c r="EIB577" s="44"/>
      <c r="EIC577" s="44"/>
      <c r="EID577" s="44"/>
      <c r="EIE577" s="44"/>
      <c r="EIF577" s="44"/>
      <c r="EIG577" s="44"/>
      <c r="EIH577" s="44"/>
      <c r="EII577" s="44"/>
      <c r="EIJ577" s="44"/>
      <c r="EIK577" s="44"/>
      <c r="EIL577" s="44"/>
      <c r="EIM577" s="44"/>
      <c r="EIN577" s="44"/>
      <c r="EIO577" s="44"/>
      <c r="EIP577" s="44"/>
      <c r="EIQ577" s="44"/>
      <c r="EIR577" s="44"/>
      <c r="EIS577" s="44"/>
      <c r="EIT577" s="44"/>
      <c r="EIU577" s="44"/>
      <c r="EIV577" s="44"/>
      <c r="EIW577" s="44"/>
      <c r="EIX577" s="44"/>
      <c r="EIY577" s="44"/>
      <c r="EIZ577" s="44"/>
      <c r="EJA577" s="44"/>
      <c r="EJB577" s="44"/>
      <c r="EJC577" s="44"/>
      <c r="EJD577" s="44"/>
      <c r="EJE577" s="44"/>
      <c r="EJF577" s="44"/>
      <c r="EJG577" s="44"/>
      <c r="EJH577" s="44"/>
      <c r="EJI577" s="44"/>
      <c r="EJJ577" s="44"/>
      <c r="EJK577" s="44"/>
      <c r="EJL577" s="44"/>
      <c r="EJM577" s="44"/>
      <c r="EJN577" s="44"/>
      <c r="EJO577" s="44"/>
      <c r="EJP577" s="44"/>
      <c r="EJQ577" s="44"/>
      <c r="EJR577" s="44"/>
      <c r="EJS577" s="44"/>
      <c r="EJT577" s="44"/>
      <c r="EJU577" s="44"/>
      <c r="EJV577" s="44"/>
      <c r="EJW577" s="44"/>
      <c r="EJX577" s="44"/>
      <c r="EJY577" s="44"/>
      <c r="EJZ577" s="44"/>
      <c r="EKA577" s="44"/>
      <c r="EKB577" s="44"/>
      <c r="EKC577" s="44"/>
      <c r="EKD577" s="44"/>
      <c r="EKE577" s="44"/>
      <c r="EKF577" s="44"/>
      <c r="EKG577" s="44"/>
      <c r="EKH577" s="44"/>
      <c r="EKI577" s="44"/>
      <c r="EKJ577" s="44"/>
      <c r="EKK577" s="44"/>
      <c r="EKL577" s="44"/>
      <c r="EKM577" s="44"/>
      <c r="EKN577" s="44"/>
      <c r="EKO577" s="44"/>
      <c r="EKP577" s="44"/>
      <c r="EKQ577" s="44"/>
      <c r="EKR577" s="44"/>
      <c r="EKS577" s="44"/>
      <c r="EKT577" s="44"/>
      <c r="EKU577" s="44"/>
      <c r="EKV577" s="44"/>
      <c r="EKW577" s="44"/>
      <c r="EKX577" s="44"/>
      <c r="EKY577" s="44"/>
      <c r="EKZ577" s="44"/>
      <c r="ELA577" s="44"/>
      <c r="ELB577" s="44"/>
      <c r="ELC577" s="44"/>
      <c r="ELD577" s="44"/>
      <c r="ELE577" s="44"/>
      <c r="ELF577" s="44"/>
      <c r="ELG577" s="44"/>
      <c r="ELH577" s="44"/>
      <c r="ELI577" s="44"/>
      <c r="ELJ577" s="44"/>
      <c r="ELK577" s="44"/>
      <c r="ELL577" s="44"/>
      <c r="ELM577" s="44"/>
      <c r="ELN577" s="44"/>
      <c r="ELO577" s="44"/>
      <c r="ELP577" s="44"/>
      <c r="ELQ577" s="44"/>
      <c r="ELR577" s="44"/>
      <c r="ELS577" s="44"/>
      <c r="ELT577" s="44"/>
      <c r="ELU577" s="44"/>
      <c r="ELV577" s="44"/>
      <c r="ELW577" s="44"/>
      <c r="ELX577" s="44"/>
      <c r="ELY577" s="44"/>
      <c r="ELZ577" s="44"/>
      <c r="EMA577" s="44"/>
      <c r="EMB577" s="44"/>
      <c r="EMC577" s="44"/>
      <c r="EMD577" s="44"/>
      <c r="EME577" s="44"/>
      <c r="EMF577" s="44"/>
      <c r="EMG577" s="44"/>
      <c r="EMH577" s="44"/>
      <c r="EMI577" s="44"/>
      <c r="EMJ577" s="44"/>
      <c r="EMK577" s="44"/>
      <c r="EML577" s="44"/>
      <c r="EMM577" s="44"/>
      <c r="EMN577" s="44"/>
      <c r="EMO577" s="44"/>
      <c r="EMP577" s="44"/>
      <c r="EMQ577" s="44"/>
      <c r="EMR577" s="44"/>
      <c r="EMS577" s="44"/>
      <c r="EMT577" s="44"/>
      <c r="EMU577" s="44"/>
      <c r="EMV577" s="44"/>
      <c r="EMW577" s="44"/>
      <c r="EMX577" s="44"/>
      <c r="EMY577" s="44"/>
      <c r="EMZ577" s="44"/>
      <c r="ENA577" s="44"/>
      <c r="ENB577" s="44"/>
      <c r="ENC577" s="44"/>
      <c r="END577" s="44"/>
      <c r="ENE577" s="44"/>
      <c r="ENF577" s="44"/>
      <c r="ENG577" s="44"/>
      <c r="ENH577" s="44"/>
      <c r="ENI577" s="44"/>
      <c r="ENJ577" s="44"/>
      <c r="ENK577" s="44"/>
      <c r="ENL577" s="44"/>
      <c r="ENM577" s="44"/>
      <c r="ENN577" s="44"/>
      <c r="ENO577" s="44"/>
      <c r="ENP577" s="44"/>
      <c r="ENQ577" s="44"/>
      <c r="ENR577" s="44"/>
      <c r="ENS577" s="44"/>
      <c r="ENT577" s="44"/>
      <c r="ENU577" s="44"/>
      <c r="ENV577" s="44"/>
      <c r="ENW577" s="44"/>
      <c r="ENX577" s="44"/>
      <c r="ENY577" s="44"/>
      <c r="ENZ577" s="44"/>
      <c r="EOA577" s="44"/>
      <c r="EOB577" s="44"/>
      <c r="EOC577" s="44"/>
      <c r="EOD577" s="44"/>
      <c r="EOE577" s="44"/>
      <c r="EOF577" s="44"/>
      <c r="EOG577" s="44"/>
      <c r="EOH577" s="44"/>
      <c r="EOI577" s="44"/>
      <c r="EOJ577" s="44"/>
      <c r="EOK577" s="44"/>
      <c r="EOL577" s="44"/>
      <c r="EOM577" s="44"/>
      <c r="EON577" s="44"/>
      <c r="EOO577" s="44"/>
      <c r="EOP577" s="44"/>
      <c r="EOQ577" s="44"/>
      <c r="EOR577" s="44"/>
      <c r="EOS577" s="44"/>
      <c r="EOT577" s="44"/>
      <c r="EOU577" s="44"/>
      <c r="EOV577" s="44"/>
      <c r="EOW577" s="44"/>
      <c r="EOX577" s="44"/>
      <c r="EOY577" s="44"/>
      <c r="EOZ577" s="44"/>
      <c r="EPA577" s="44"/>
      <c r="EPB577" s="44"/>
      <c r="EPC577" s="44"/>
      <c r="EPD577" s="44"/>
      <c r="EPE577" s="44"/>
      <c r="EPF577" s="44"/>
      <c r="EPG577" s="44"/>
      <c r="EPH577" s="44"/>
      <c r="EPI577" s="44"/>
      <c r="EPJ577" s="44"/>
      <c r="EPK577" s="44"/>
      <c r="EPL577" s="44"/>
      <c r="EPM577" s="44"/>
      <c r="EPN577" s="44"/>
      <c r="EPO577" s="44"/>
      <c r="EPP577" s="44"/>
      <c r="EPQ577" s="44"/>
      <c r="EPR577" s="44"/>
      <c r="EPS577" s="44"/>
      <c r="EPT577" s="44"/>
      <c r="EPU577" s="44"/>
      <c r="EPV577" s="44"/>
      <c r="EPW577" s="44"/>
      <c r="EPX577" s="44"/>
      <c r="EPY577" s="44"/>
      <c r="EPZ577" s="44"/>
      <c r="EQA577" s="44"/>
      <c r="EQB577" s="44"/>
      <c r="EQC577" s="44"/>
      <c r="EQD577" s="44"/>
      <c r="EQE577" s="44"/>
      <c r="EQF577" s="44"/>
      <c r="EQG577" s="44"/>
      <c r="EQH577" s="44"/>
      <c r="EQI577" s="44"/>
      <c r="EQJ577" s="44"/>
      <c r="EQK577" s="44"/>
      <c r="EQL577" s="44"/>
      <c r="EQM577" s="44"/>
      <c r="EQN577" s="44"/>
      <c r="EQO577" s="44"/>
      <c r="EQP577" s="44"/>
      <c r="EQQ577" s="44"/>
      <c r="EQR577" s="44"/>
      <c r="EQS577" s="44"/>
      <c r="EQT577" s="44"/>
      <c r="EQU577" s="44"/>
      <c r="EQV577" s="44"/>
      <c r="EQW577" s="44"/>
      <c r="EQX577" s="44"/>
      <c r="EQY577" s="44"/>
      <c r="EQZ577" s="44"/>
      <c r="ERA577" s="44"/>
      <c r="ERB577" s="44"/>
      <c r="ERC577" s="44"/>
      <c r="ERD577" s="44"/>
      <c r="ERE577" s="44"/>
      <c r="ERF577" s="44"/>
      <c r="ERG577" s="44"/>
      <c r="ERH577" s="44"/>
      <c r="ERI577" s="44"/>
      <c r="ERJ577" s="44"/>
      <c r="ERK577" s="44"/>
      <c r="ERL577" s="44"/>
      <c r="ERM577" s="44"/>
      <c r="ERN577" s="44"/>
      <c r="ERO577" s="44"/>
      <c r="ERP577" s="44"/>
      <c r="ERQ577" s="44"/>
      <c r="ERR577" s="44"/>
      <c r="ERS577" s="44"/>
      <c r="ERT577" s="44"/>
      <c r="ERU577" s="44"/>
      <c r="ERV577" s="44"/>
      <c r="ERW577" s="44"/>
      <c r="ERX577" s="44"/>
      <c r="ERY577" s="44"/>
      <c r="ERZ577" s="44"/>
      <c r="ESA577" s="44"/>
      <c r="ESB577" s="44"/>
      <c r="ESC577" s="44"/>
      <c r="ESD577" s="44"/>
      <c r="ESE577" s="44"/>
      <c r="ESF577" s="44"/>
      <c r="ESG577" s="44"/>
      <c r="ESH577" s="44"/>
      <c r="ESI577" s="44"/>
      <c r="ESJ577" s="44"/>
      <c r="ESK577" s="44"/>
      <c r="ESL577" s="44"/>
      <c r="ESM577" s="44"/>
      <c r="ESN577" s="44"/>
      <c r="ESO577" s="44"/>
      <c r="ESP577" s="44"/>
      <c r="ESQ577" s="44"/>
      <c r="ESR577" s="44"/>
      <c r="ESS577" s="44"/>
      <c r="EST577" s="44"/>
      <c r="ESU577" s="44"/>
      <c r="ESV577" s="44"/>
      <c r="ESW577" s="44"/>
      <c r="ESX577" s="44"/>
      <c r="ESY577" s="44"/>
      <c r="ESZ577" s="44"/>
      <c r="ETA577" s="44"/>
      <c r="ETB577" s="44"/>
      <c r="ETC577" s="44"/>
      <c r="ETD577" s="44"/>
      <c r="ETE577" s="44"/>
      <c r="ETF577" s="44"/>
      <c r="ETG577" s="44"/>
      <c r="ETH577" s="44"/>
      <c r="ETI577" s="44"/>
      <c r="ETJ577" s="44"/>
      <c r="ETK577" s="44"/>
      <c r="ETL577" s="44"/>
      <c r="ETM577" s="44"/>
      <c r="ETN577" s="44"/>
      <c r="ETO577" s="44"/>
      <c r="ETP577" s="44"/>
      <c r="ETQ577" s="44"/>
      <c r="ETR577" s="44"/>
      <c r="ETS577" s="44"/>
      <c r="ETT577" s="44"/>
      <c r="ETU577" s="44"/>
      <c r="ETV577" s="44"/>
      <c r="ETW577" s="44"/>
      <c r="ETX577" s="44"/>
      <c r="ETY577" s="44"/>
      <c r="ETZ577" s="44"/>
      <c r="EUA577" s="44"/>
      <c r="EUB577" s="44"/>
      <c r="EUC577" s="44"/>
      <c r="EUD577" s="44"/>
      <c r="EUE577" s="44"/>
      <c r="EUF577" s="44"/>
      <c r="EUG577" s="44"/>
      <c r="EUH577" s="44"/>
      <c r="EUI577" s="44"/>
      <c r="EUJ577" s="44"/>
      <c r="EUK577" s="44"/>
      <c r="EUL577" s="44"/>
      <c r="EUM577" s="44"/>
      <c r="EUN577" s="44"/>
      <c r="EUO577" s="44"/>
      <c r="EUP577" s="44"/>
      <c r="EUQ577" s="44"/>
      <c r="EUR577" s="44"/>
      <c r="EUS577" s="44"/>
      <c r="EUT577" s="44"/>
      <c r="EUU577" s="44"/>
      <c r="EUV577" s="44"/>
      <c r="EUW577" s="44"/>
      <c r="EUX577" s="44"/>
      <c r="EUY577" s="44"/>
      <c r="EUZ577" s="44"/>
      <c r="EVA577" s="44"/>
      <c r="EVB577" s="44"/>
      <c r="EVC577" s="44"/>
      <c r="EVD577" s="44"/>
      <c r="EVE577" s="44"/>
      <c r="EVF577" s="44"/>
      <c r="EVG577" s="44"/>
      <c r="EVH577" s="44"/>
      <c r="EVI577" s="44"/>
      <c r="EVJ577" s="44"/>
      <c r="EVK577" s="44"/>
      <c r="EVL577" s="44"/>
      <c r="EVM577" s="44"/>
      <c r="EVN577" s="44"/>
      <c r="EVO577" s="44"/>
      <c r="EVP577" s="44"/>
      <c r="EVQ577" s="44"/>
      <c r="EVR577" s="44"/>
      <c r="EVS577" s="44"/>
      <c r="EVT577" s="44"/>
      <c r="EVU577" s="44"/>
      <c r="EVV577" s="44"/>
      <c r="EVW577" s="44"/>
      <c r="EVX577" s="44"/>
      <c r="EVY577" s="44"/>
      <c r="EVZ577" s="44"/>
      <c r="EWA577" s="44"/>
      <c r="EWB577" s="44"/>
      <c r="EWC577" s="44"/>
      <c r="EWD577" s="44"/>
      <c r="EWE577" s="44"/>
      <c r="EWF577" s="44"/>
      <c r="EWG577" s="44"/>
      <c r="EWH577" s="44"/>
      <c r="EWI577" s="44"/>
      <c r="EWJ577" s="44"/>
      <c r="EWK577" s="44"/>
      <c r="EWL577" s="44"/>
      <c r="EWM577" s="44"/>
      <c r="EWN577" s="44"/>
      <c r="EWO577" s="44"/>
      <c r="EWP577" s="44"/>
      <c r="EWQ577" s="44"/>
      <c r="EWR577" s="44"/>
      <c r="EWS577" s="44"/>
      <c r="EWT577" s="44"/>
      <c r="EWU577" s="44"/>
      <c r="EWV577" s="44"/>
      <c r="EWW577" s="44"/>
      <c r="EWX577" s="44"/>
      <c r="EWY577" s="44"/>
      <c r="EWZ577" s="44"/>
      <c r="EXA577" s="44"/>
      <c r="EXB577" s="44"/>
      <c r="EXC577" s="44"/>
      <c r="EXD577" s="44"/>
      <c r="EXE577" s="44"/>
      <c r="EXF577" s="44"/>
      <c r="EXG577" s="44"/>
      <c r="EXH577" s="44"/>
      <c r="EXI577" s="44"/>
      <c r="EXJ577" s="44"/>
      <c r="EXK577" s="44"/>
      <c r="EXL577" s="44"/>
      <c r="EXM577" s="44"/>
      <c r="EXN577" s="44"/>
      <c r="EXO577" s="44"/>
      <c r="EXP577" s="44"/>
      <c r="EXQ577" s="44"/>
      <c r="EXR577" s="44"/>
      <c r="EXS577" s="44"/>
      <c r="EXT577" s="44"/>
      <c r="EXU577" s="44"/>
      <c r="EXV577" s="44"/>
      <c r="EXW577" s="44"/>
      <c r="EXX577" s="44"/>
      <c r="EXY577" s="44"/>
      <c r="EXZ577" s="44"/>
      <c r="EYA577" s="44"/>
      <c r="EYB577" s="44"/>
      <c r="EYC577" s="44"/>
      <c r="EYD577" s="44"/>
      <c r="EYE577" s="44"/>
      <c r="EYF577" s="44"/>
      <c r="EYG577" s="44"/>
      <c r="EYH577" s="44"/>
      <c r="EYI577" s="44"/>
      <c r="EYJ577" s="44"/>
      <c r="EYK577" s="44"/>
      <c r="EYL577" s="44"/>
      <c r="EYM577" s="44"/>
      <c r="EYN577" s="44"/>
      <c r="EYO577" s="44"/>
      <c r="EYP577" s="44"/>
      <c r="EYQ577" s="44"/>
      <c r="EYR577" s="44"/>
      <c r="EYS577" s="44"/>
      <c r="EYT577" s="44"/>
      <c r="EYU577" s="44"/>
      <c r="EYV577" s="44"/>
      <c r="EYW577" s="44"/>
      <c r="EYX577" s="44"/>
      <c r="EYY577" s="44"/>
      <c r="EYZ577" s="44"/>
      <c r="EZA577" s="44"/>
      <c r="EZB577" s="44"/>
      <c r="EZC577" s="44"/>
      <c r="EZD577" s="44"/>
      <c r="EZE577" s="44"/>
      <c r="EZF577" s="44"/>
      <c r="EZG577" s="44"/>
      <c r="EZH577" s="44"/>
      <c r="EZI577" s="44"/>
      <c r="EZJ577" s="44"/>
      <c r="EZK577" s="44"/>
      <c r="EZL577" s="44"/>
      <c r="EZM577" s="44"/>
      <c r="EZN577" s="44"/>
      <c r="EZO577" s="44"/>
      <c r="EZP577" s="44"/>
      <c r="EZQ577" s="44"/>
      <c r="EZR577" s="44"/>
      <c r="EZS577" s="44"/>
      <c r="EZT577" s="44"/>
      <c r="EZU577" s="44"/>
      <c r="EZV577" s="44"/>
      <c r="EZW577" s="44"/>
      <c r="EZX577" s="44"/>
      <c r="EZY577" s="44"/>
      <c r="EZZ577" s="44"/>
      <c r="FAA577" s="44"/>
      <c r="FAB577" s="44"/>
      <c r="FAC577" s="44"/>
      <c r="FAD577" s="44"/>
      <c r="FAE577" s="44"/>
      <c r="FAF577" s="44"/>
      <c r="FAG577" s="44"/>
      <c r="FAH577" s="44"/>
      <c r="FAI577" s="44"/>
      <c r="FAJ577" s="44"/>
      <c r="FAK577" s="44"/>
      <c r="FAL577" s="44"/>
      <c r="FAM577" s="44"/>
      <c r="FAN577" s="44"/>
      <c r="FAO577" s="44"/>
      <c r="FAP577" s="44"/>
      <c r="FAQ577" s="44"/>
      <c r="FAR577" s="44"/>
      <c r="FAS577" s="44"/>
      <c r="FAT577" s="44"/>
      <c r="FAU577" s="44"/>
      <c r="FAV577" s="44"/>
      <c r="FAW577" s="44"/>
      <c r="FAX577" s="44"/>
      <c r="FAY577" s="44"/>
      <c r="FAZ577" s="44"/>
      <c r="FBA577" s="44"/>
      <c r="FBB577" s="44"/>
      <c r="FBC577" s="44"/>
      <c r="FBD577" s="44"/>
      <c r="FBE577" s="44"/>
      <c r="FBF577" s="44"/>
      <c r="FBG577" s="44"/>
      <c r="FBH577" s="44"/>
      <c r="FBI577" s="44"/>
      <c r="FBJ577" s="44"/>
      <c r="FBK577" s="44"/>
      <c r="FBL577" s="44"/>
      <c r="FBM577" s="44"/>
      <c r="FBN577" s="44"/>
      <c r="FBO577" s="44"/>
      <c r="FBP577" s="44"/>
      <c r="FBQ577" s="44"/>
      <c r="FBR577" s="44"/>
      <c r="FBS577" s="44"/>
      <c r="FBT577" s="44"/>
      <c r="FBU577" s="44"/>
      <c r="FBV577" s="44"/>
      <c r="FBW577" s="44"/>
      <c r="FBX577" s="44"/>
      <c r="FBY577" s="44"/>
      <c r="FBZ577" s="44"/>
      <c r="FCA577" s="44"/>
      <c r="FCB577" s="44"/>
      <c r="FCC577" s="44"/>
      <c r="FCD577" s="44"/>
      <c r="FCE577" s="44"/>
      <c r="FCF577" s="44"/>
      <c r="FCG577" s="44"/>
      <c r="FCH577" s="44"/>
      <c r="FCI577" s="44"/>
      <c r="FCJ577" s="44"/>
      <c r="FCK577" s="44"/>
      <c r="FCL577" s="44"/>
      <c r="FCM577" s="44"/>
      <c r="FCN577" s="44"/>
      <c r="FCO577" s="44"/>
      <c r="FCP577" s="44"/>
      <c r="FCQ577" s="44"/>
      <c r="FCR577" s="44"/>
      <c r="FCS577" s="44"/>
      <c r="FCT577" s="44"/>
      <c r="FCU577" s="44"/>
      <c r="FCV577" s="44"/>
      <c r="FCW577" s="44"/>
      <c r="FCX577" s="44"/>
      <c r="FCY577" s="44"/>
      <c r="FCZ577" s="44"/>
      <c r="FDA577" s="44"/>
      <c r="FDB577" s="44"/>
      <c r="FDC577" s="44"/>
      <c r="FDD577" s="44"/>
      <c r="FDE577" s="44"/>
      <c r="FDF577" s="44"/>
      <c r="FDG577" s="44"/>
      <c r="FDH577" s="44"/>
      <c r="FDI577" s="44"/>
      <c r="FDJ577" s="44"/>
      <c r="FDK577" s="44"/>
      <c r="FDL577" s="44"/>
      <c r="FDM577" s="44"/>
      <c r="FDN577" s="44"/>
      <c r="FDO577" s="44"/>
      <c r="FDP577" s="44"/>
      <c r="FDQ577" s="44"/>
      <c r="FDR577" s="44"/>
      <c r="FDS577" s="44"/>
      <c r="FDT577" s="44"/>
      <c r="FDU577" s="44"/>
      <c r="FDV577" s="44"/>
      <c r="FDW577" s="44"/>
      <c r="FDX577" s="44"/>
      <c r="FDY577" s="44"/>
      <c r="FDZ577" s="44"/>
      <c r="FEA577" s="44"/>
      <c r="FEB577" s="44"/>
      <c r="FEC577" s="44"/>
      <c r="FED577" s="44"/>
      <c r="FEE577" s="44"/>
      <c r="FEF577" s="44"/>
      <c r="FEG577" s="44"/>
      <c r="FEH577" s="44"/>
      <c r="FEI577" s="44"/>
      <c r="FEJ577" s="44"/>
      <c r="FEK577" s="44"/>
      <c r="FEL577" s="44"/>
      <c r="FEM577" s="44"/>
      <c r="FEN577" s="44"/>
      <c r="FEO577" s="44"/>
      <c r="FEP577" s="44"/>
      <c r="FEQ577" s="44"/>
      <c r="FER577" s="44"/>
      <c r="FES577" s="44"/>
      <c r="FET577" s="44"/>
      <c r="FEU577" s="44"/>
      <c r="FEV577" s="44"/>
      <c r="FEW577" s="44"/>
      <c r="FEX577" s="44"/>
      <c r="FEY577" s="44"/>
      <c r="FEZ577" s="44"/>
      <c r="FFA577" s="44"/>
      <c r="FFB577" s="44"/>
      <c r="FFC577" s="44"/>
      <c r="FFD577" s="44"/>
      <c r="FFE577" s="44"/>
      <c r="FFF577" s="44"/>
      <c r="FFG577" s="44"/>
      <c r="FFH577" s="44"/>
      <c r="FFI577" s="44"/>
      <c r="FFJ577" s="44"/>
      <c r="FFK577" s="44"/>
      <c r="FFL577" s="44"/>
      <c r="FFM577" s="44"/>
      <c r="FFN577" s="44"/>
      <c r="FFO577" s="44"/>
      <c r="FFP577" s="44"/>
      <c r="FFQ577" s="44"/>
      <c r="FFR577" s="44"/>
      <c r="FFS577" s="44"/>
      <c r="FFT577" s="44"/>
      <c r="FFU577" s="44"/>
      <c r="FFV577" s="44"/>
      <c r="FFW577" s="44"/>
      <c r="FFX577" s="44"/>
      <c r="FFY577" s="44"/>
      <c r="FFZ577" s="44"/>
      <c r="FGA577" s="44"/>
      <c r="FGB577" s="44"/>
      <c r="FGC577" s="44"/>
      <c r="FGD577" s="44"/>
      <c r="FGE577" s="44"/>
      <c r="FGF577" s="44"/>
      <c r="FGG577" s="44"/>
      <c r="FGH577" s="44"/>
      <c r="FGI577" s="44"/>
      <c r="FGJ577" s="44"/>
      <c r="FGK577" s="44"/>
      <c r="FGL577" s="44"/>
      <c r="FGM577" s="44"/>
      <c r="FGN577" s="44"/>
      <c r="FGO577" s="44"/>
      <c r="FGP577" s="44"/>
      <c r="FGQ577" s="44"/>
      <c r="FGR577" s="44"/>
      <c r="FGS577" s="44"/>
      <c r="FGT577" s="44"/>
      <c r="FGU577" s="44"/>
      <c r="FGV577" s="44"/>
      <c r="FGW577" s="44"/>
      <c r="FGX577" s="44"/>
      <c r="FGY577" s="44"/>
      <c r="FGZ577" s="44"/>
      <c r="FHA577" s="44"/>
      <c r="FHB577" s="44"/>
      <c r="FHC577" s="44"/>
      <c r="FHD577" s="44"/>
      <c r="FHE577" s="44"/>
      <c r="FHF577" s="44"/>
      <c r="FHG577" s="44"/>
      <c r="FHH577" s="44"/>
      <c r="FHI577" s="44"/>
      <c r="FHJ577" s="44"/>
      <c r="FHK577" s="44"/>
      <c r="FHL577" s="44"/>
      <c r="FHM577" s="44"/>
      <c r="FHN577" s="44"/>
      <c r="FHO577" s="44"/>
      <c r="FHP577" s="44"/>
      <c r="FHQ577" s="44"/>
      <c r="FHR577" s="44"/>
      <c r="FHS577" s="44"/>
      <c r="FHT577" s="44"/>
      <c r="FHU577" s="44"/>
      <c r="FHV577" s="44"/>
      <c r="FHW577" s="44"/>
      <c r="FHX577" s="44"/>
      <c r="FHY577" s="44"/>
      <c r="FHZ577" s="44"/>
      <c r="FIA577" s="44"/>
      <c r="FIB577" s="44"/>
      <c r="FIC577" s="44"/>
      <c r="FID577" s="44"/>
      <c r="FIE577" s="44"/>
      <c r="FIF577" s="44"/>
      <c r="FIG577" s="44"/>
      <c r="FIH577" s="44"/>
      <c r="FII577" s="44"/>
      <c r="FIJ577" s="44"/>
      <c r="FIK577" s="44"/>
      <c r="FIL577" s="44"/>
      <c r="FIM577" s="44"/>
      <c r="FIN577" s="44"/>
      <c r="FIO577" s="44"/>
      <c r="FIP577" s="44"/>
      <c r="FIQ577" s="44"/>
      <c r="FIR577" s="44"/>
      <c r="FIS577" s="44"/>
      <c r="FIT577" s="44"/>
      <c r="FIU577" s="44"/>
      <c r="FIV577" s="44"/>
      <c r="FIW577" s="44"/>
      <c r="FIX577" s="44"/>
      <c r="FIY577" s="44"/>
      <c r="FIZ577" s="44"/>
      <c r="FJA577" s="44"/>
      <c r="FJB577" s="44"/>
      <c r="FJC577" s="44"/>
      <c r="FJD577" s="44"/>
      <c r="FJE577" s="44"/>
      <c r="FJF577" s="44"/>
      <c r="FJG577" s="44"/>
      <c r="FJH577" s="44"/>
      <c r="FJI577" s="44"/>
      <c r="FJJ577" s="44"/>
      <c r="FJK577" s="44"/>
      <c r="FJL577" s="44"/>
      <c r="FJM577" s="44"/>
      <c r="FJN577" s="44"/>
      <c r="FJO577" s="44"/>
      <c r="FJP577" s="44"/>
      <c r="FJQ577" s="44"/>
      <c r="FJR577" s="44"/>
      <c r="FJS577" s="44"/>
      <c r="FJT577" s="44"/>
      <c r="FJU577" s="44"/>
      <c r="FJV577" s="44"/>
      <c r="FJW577" s="44"/>
      <c r="FJX577" s="44"/>
      <c r="FJY577" s="44"/>
      <c r="FJZ577" s="44"/>
      <c r="FKA577" s="44"/>
      <c r="FKB577" s="44"/>
      <c r="FKC577" s="44"/>
      <c r="FKD577" s="44"/>
      <c r="FKE577" s="44"/>
      <c r="FKF577" s="44"/>
      <c r="FKG577" s="44"/>
      <c r="FKH577" s="44"/>
      <c r="FKI577" s="44"/>
      <c r="FKJ577" s="44"/>
      <c r="FKK577" s="44"/>
      <c r="FKL577" s="44"/>
      <c r="FKM577" s="44"/>
      <c r="FKN577" s="44"/>
      <c r="FKO577" s="44"/>
      <c r="FKP577" s="44"/>
      <c r="FKQ577" s="44"/>
      <c r="FKR577" s="44"/>
      <c r="FKS577" s="44"/>
      <c r="FKT577" s="44"/>
      <c r="FKU577" s="44"/>
      <c r="FKV577" s="44"/>
      <c r="FKW577" s="44"/>
      <c r="FKX577" s="44"/>
      <c r="FKY577" s="44"/>
      <c r="FKZ577" s="44"/>
      <c r="FLA577" s="44"/>
      <c r="FLB577" s="44"/>
      <c r="FLC577" s="44"/>
      <c r="FLD577" s="44"/>
      <c r="FLE577" s="44"/>
      <c r="FLF577" s="44"/>
      <c r="FLG577" s="44"/>
      <c r="FLH577" s="44"/>
      <c r="FLI577" s="44"/>
      <c r="FLJ577" s="44"/>
      <c r="FLK577" s="44"/>
      <c r="FLL577" s="44"/>
      <c r="FLM577" s="44"/>
      <c r="FLN577" s="44"/>
      <c r="FLO577" s="44"/>
      <c r="FLP577" s="44"/>
      <c r="FLQ577" s="44"/>
      <c r="FLR577" s="44"/>
      <c r="FLS577" s="44"/>
      <c r="FLT577" s="44"/>
      <c r="FLU577" s="44"/>
      <c r="FLV577" s="44"/>
      <c r="FLW577" s="44"/>
      <c r="FLX577" s="44"/>
      <c r="FLY577" s="44"/>
      <c r="FLZ577" s="44"/>
      <c r="FMA577" s="44"/>
      <c r="FMB577" s="44"/>
      <c r="FMC577" s="44"/>
      <c r="FMD577" s="44"/>
      <c r="FME577" s="44"/>
      <c r="FMF577" s="44"/>
      <c r="FMG577" s="44"/>
      <c r="FMH577" s="44"/>
      <c r="FMI577" s="44"/>
      <c r="FMJ577" s="44"/>
      <c r="FMK577" s="44"/>
      <c r="FML577" s="44"/>
      <c r="FMM577" s="44"/>
      <c r="FMN577" s="44"/>
      <c r="FMO577" s="44"/>
      <c r="FMP577" s="44"/>
      <c r="FMQ577" s="44"/>
      <c r="FMR577" s="44"/>
      <c r="FMS577" s="44"/>
      <c r="FMT577" s="44"/>
      <c r="FMU577" s="44"/>
      <c r="FMV577" s="44"/>
      <c r="FMW577" s="44"/>
      <c r="FMX577" s="44"/>
      <c r="FMY577" s="44"/>
      <c r="FMZ577" s="44"/>
      <c r="FNA577" s="44"/>
      <c r="FNB577" s="44"/>
      <c r="FNC577" s="44"/>
      <c r="FND577" s="44"/>
      <c r="FNE577" s="44"/>
      <c r="FNF577" s="44"/>
      <c r="FNG577" s="44"/>
      <c r="FNH577" s="44"/>
      <c r="FNI577" s="44"/>
      <c r="FNJ577" s="44"/>
      <c r="FNK577" s="44"/>
      <c r="FNL577" s="44"/>
      <c r="FNM577" s="44"/>
      <c r="FNN577" s="44"/>
      <c r="FNO577" s="44"/>
      <c r="FNP577" s="44"/>
      <c r="FNQ577" s="44"/>
      <c r="FNR577" s="44"/>
      <c r="FNS577" s="44"/>
      <c r="FNT577" s="44"/>
      <c r="FNU577" s="44"/>
      <c r="FNV577" s="44"/>
      <c r="FNW577" s="44"/>
      <c r="FNX577" s="44"/>
      <c r="FNY577" s="44"/>
      <c r="FNZ577" s="44"/>
      <c r="FOA577" s="44"/>
      <c r="FOB577" s="44"/>
      <c r="FOC577" s="44"/>
      <c r="FOD577" s="44"/>
      <c r="FOE577" s="44"/>
      <c r="FOF577" s="44"/>
      <c r="FOG577" s="44"/>
      <c r="FOH577" s="44"/>
      <c r="FOI577" s="44"/>
      <c r="FOJ577" s="44"/>
      <c r="FOK577" s="44"/>
      <c r="FOL577" s="44"/>
      <c r="FOM577" s="44"/>
      <c r="FON577" s="44"/>
      <c r="FOO577" s="44"/>
      <c r="FOP577" s="44"/>
      <c r="FOQ577" s="44"/>
      <c r="FOR577" s="44"/>
      <c r="FOS577" s="44"/>
      <c r="FOT577" s="44"/>
      <c r="FOU577" s="44"/>
      <c r="FOV577" s="44"/>
      <c r="FOW577" s="44"/>
      <c r="FOX577" s="44"/>
      <c r="FOY577" s="44"/>
      <c r="FOZ577" s="44"/>
      <c r="FPA577" s="44"/>
      <c r="FPB577" s="44"/>
      <c r="FPC577" s="44"/>
      <c r="FPD577" s="44"/>
      <c r="FPE577" s="44"/>
      <c r="FPF577" s="44"/>
      <c r="FPG577" s="44"/>
      <c r="FPH577" s="44"/>
      <c r="FPI577" s="44"/>
      <c r="FPJ577" s="44"/>
      <c r="FPK577" s="44"/>
      <c r="FPL577" s="44"/>
      <c r="FPM577" s="44"/>
      <c r="FPN577" s="44"/>
      <c r="FPO577" s="44"/>
      <c r="FPP577" s="44"/>
      <c r="FPQ577" s="44"/>
      <c r="FPR577" s="44"/>
      <c r="FPS577" s="44"/>
      <c r="FPT577" s="44"/>
      <c r="FPU577" s="44"/>
      <c r="FPV577" s="44"/>
      <c r="FPW577" s="44"/>
      <c r="FPX577" s="44"/>
      <c r="FPY577" s="44"/>
      <c r="FPZ577" s="44"/>
      <c r="FQA577" s="44"/>
      <c r="FQB577" s="44"/>
      <c r="FQC577" s="44"/>
      <c r="FQD577" s="44"/>
      <c r="FQE577" s="44"/>
      <c r="FQF577" s="44"/>
      <c r="FQG577" s="44"/>
      <c r="FQH577" s="44"/>
      <c r="FQI577" s="44"/>
      <c r="FQJ577" s="44"/>
      <c r="FQK577" s="44"/>
      <c r="FQL577" s="44"/>
      <c r="FQM577" s="44"/>
      <c r="FQN577" s="44"/>
      <c r="FQO577" s="44"/>
      <c r="FQP577" s="44"/>
      <c r="FQQ577" s="44"/>
      <c r="FQR577" s="44"/>
      <c r="FQS577" s="44"/>
      <c r="FQT577" s="44"/>
      <c r="FQU577" s="44"/>
      <c r="FQV577" s="44"/>
      <c r="FQW577" s="44"/>
      <c r="FQX577" s="44"/>
      <c r="FQY577" s="44"/>
      <c r="FQZ577" s="44"/>
      <c r="FRA577" s="44"/>
      <c r="FRB577" s="44"/>
      <c r="FRC577" s="44"/>
      <c r="FRD577" s="44"/>
      <c r="FRE577" s="44"/>
      <c r="FRF577" s="44"/>
      <c r="FRG577" s="44"/>
      <c r="FRH577" s="44"/>
      <c r="FRI577" s="44"/>
      <c r="FRJ577" s="44"/>
      <c r="FRK577" s="44"/>
      <c r="FRL577" s="44"/>
      <c r="FRM577" s="44"/>
      <c r="FRN577" s="44"/>
      <c r="FRO577" s="44"/>
      <c r="FRP577" s="44"/>
      <c r="FRQ577" s="44"/>
      <c r="FRR577" s="44"/>
      <c r="FRS577" s="44"/>
      <c r="FRT577" s="44"/>
      <c r="FRU577" s="44"/>
      <c r="FRV577" s="44"/>
      <c r="FRW577" s="44"/>
      <c r="FRX577" s="44"/>
      <c r="FRY577" s="44"/>
      <c r="FRZ577" s="44"/>
      <c r="FSA577" s="44"/>
      <c r="FSB577" s="44"/>
      <c r="FSC577" s="44"/>
      <c r="FSD577" s="44"/>
      <c r="FSE577" s="44"/>
      <c r="FSF577" s="44"/>
      <c r="FSG577" s="44"/>
      <c r="FSH577" s="44"/>
      <c r="FSI577" s="44"/>
      <c r="FSJ577" s="44"/>
      <c r="FSK577" s="44"/>
      <c r="FSL577" s="44"/>
      <c r="FSM577" s="44"/>
      <c r="FSN577" s="44"/>
      <c r="FSO577" s="44"/>
      <c r="FSP577" s="44"/>
      <c r="FSQ577" s="44"/>
      <c r="FSR577" s="44"/>
      <c r="FSS577" s="44"/>
      <c r="FST577" s="44"/>
      <c r="FSU577" s="44"/>
      <c r="FSV577" s="44"/>
      <c r="FSW577" s="44"/>
      <c r="FSX577" s="44"/>
      <c r="FSY577" s="44"/>
      <c r="FSZ577" s="44"/>
      <c r="FTA577" s="44"/>
      <c r="FTB577" s="44"/>
      <c r="FTC577" s="44"/>
      <c r="FTD577" s="44"/>
      <c r="FTE577" s="44"/>
      <c r="FTF577" s="44"/>
      <c r="FTG577" s="44"/>
      <c r="FTH577" s="44"/>
      <c r="FTI577" s="44"/>
      <c r="FTJ577" s="44"/>
      <c r="FTK577" s="44"/>
      <c r="FTL577" s="44"/>
      <c r="FTM577" s="44"/>
      <c r="FTN577" s="44"/>
      <c r="FTO577" s="44"/>
      <c r="FTP577" s="44"/>
      <c r="FTQ577" s="44"/>
      <c r="FTR577" s="44"/>
      <c r="FTS577" s="44"/>
      <c r="FTT577" s="44"/>
      <c r="FTU577" s="44"/>
      <c r="FTV577" s="44"/>
      <c r="FTW577" s="44"/>
      <c r="FTX577" s="44"/>
      <c r="FTY577" s="44"/>
      <c r="FTZ577" s="44"/>
      <c r="FUA577" s="44"/>
      <c r="FUB577" s="44"/>
      <c r="FUC577" s="44"/>
      <c r="FUD577" s="44"/>
      <c r="FUE577" s="44"/>
      <c r="FUF577" s="44"/>
      <c r="FUG577" s="44"/>
      <c r="FUH577" s="44"/>
      <c r="FUI577" s="44"/>
      <c r="FUJ577" s="44"/>
      <c r="FUK577" s="44"/>
      <c r="FUL577" s="44"/>
      <c r="FUM577" s="44"/>
      <c r="FUN577" s="44"/>
      <c r="FUO577" s="44"/>
      <c r="FUP577" s="44"/>
      <c r="FUQ577" s="44"/>
      <c r="FUR577" s="44"/>
      <c r="FUS577" s="44"/>
      <c r="FUT577" s="44"/>
      <c r="FUU577" s="44"/>
      <c r="FUV577" s="44"/>
      <c r="FUW577" s="44"/>
      <c r="FUX577" s="44"/>
      <c r="FUY577" s="44"/>
      <c r="FUZ577" s="44"/>
      <c r="FVA577" s="44"/>
      <c r="FVB577" s="44"/>
      <c r="FVC577" s="44"/>
      <c r="FVD577" s="44"/>
      <c r="FVE577" s="44"/>
      <c r="FVF577" s="44"/>
      <c r="FVG577" s="44"/>
      <c r="FVH577" s="44"/>
      <c r="FVI577" s="44"/>
      <c r="FVJ577" s="44"/>
      <c r="FVK577" s="44"/>
      <c r="FVL577" s="44"/>
      <c r="FVM577" s="44"/>
      <c r="FVN577" s="44"/>
      <c r="FVO577" s="44"/>
      <c r="FVP577" s="44"/>
      <c r="FVQ577" s="44"/>
      <c r="FVR577" s="44"/>
      <c r="FVS577" s="44"/>
      <c r="FVT577" s="44"/>
      <c r="FVU577" s="44"/>
      <c r="FVV577" s="44"/>
      <c r="FVW577" s="44"/>
      <c r="FVX577" s="44"/>
      <c r="FVY577" s="44"/>
      <c r="FVZ577" s="44"/>
      <c r="FWA577" s="44"/>
      <c r="FWB577" s="44"/>
      <c r="FWC577" s="44"/>
      <c r="FWD577" s="44"/>
      <c r="FWE577" s="44"/>
      <c r="FWF577" s="44"/>
      <c r="FWG577" s="44"/>
      <c r="FWH577" s="44"/>
      <c r="FWI577" s="44"/>
      <c r="FWJ577" s="44"/>
      <c r="FWK577" s="44"/>
      <c r="FWL577" s="44"/>
      <c r="FWM577" s="44"/>
      <c r="FWN577" s="44"/>
      <c r="FWO577" s="44"/>
      <c r="FWP577" s="44"/>
      <c r="FWQ577" s="44"/>
      <c r="FWR577" s="44"/>
      <c r="FWS577" s="44"/>
      <c r="FWT577" s="44"/>
      <c r="FWU577" s="44"/>
      <c r="FWV577" s="44"/>
      <c r="FWW577" s="44"/>
      <c r="FWX577" s="44"/>
      <c r="FWY577" s="44"/>
      <c r="FWZ577" s="44"/>
      <c r="FXA577" s="44"/>
      <c r="FXB577" s="44"/>
      <c r="FXC577" s="44"/>
      <c r="FXD577" s="44"/>
      <c r="FXE577" s="44"/>
      <c r="FXF577" s="44"/>
      <c r="FXG577" s="44"/>
      <c r="FXH577" s="44"/>
      <c r="FXI577" s="44"/>
      <c r="FXJ577" s="44"/>
      <c r="FXK577" s="44"/>
      <c r="FXL577" s="44"/>
      <c r="FXM577" s="44"/>
      <c r="FXN577" s="44"/>
      <c r="FXO577" s="44"/>
      <c r="FXP577" s="44"/>
      <c r="FXQ577" s="44"/>
      <c r="FXR577" s="44"/>
      <c r="FXS577" s="44"/>
      <c r="FXT577" s="44"/>
      <c r="FXU577" s="44"/>
      <c r="FXV577" s="44"/>
      <c r="FXW577" s="44"/>
      <c r="FXX577" s="44"/>
      <c r="FXY577" s="44"/>
      <c r="FXZ577" s="44"/>
      <c r="FYA577" s="44"/>
      <c r="FYB577" s="44"/>
      <c r="FYC577" s="44"/>
      <c r="FYD577" s="44"/>
      <c r="FYE577" s="44"/>
      <c r="FYF577" s="44"/>
      <c r="FYG577" s="44"/>
      <c r="FYH577" s="44"/>
      <c r="FYI577" s="44"/>
      <c r="FYJ577" s="44"/>
      <c r="FYK577" s="44"/>
      <c r="FYL577" s="44"/>
      <c r="FYM577" s="44"/>
      <c r="FYN577" s="44"/>
      <c r="FYO577" s="44"/>
      <c r="FYP577" s="44"/>
      <c r="FYQ577" s="44"/>
      <c r="FYR577" s="44"/>
      <c r="FYS577" s="44"/>
      <c r="FYT577" s="44"/>
      <c r="FYU577" s="44"/>
      <c r="FYV577" s="44"/>
      <c r="FYW577" s="44"/>
      <c r="FYX577" s="44"/>
      <c r="FYY577" s="44"/>
      <c r="FYZ577" s="44"/>
      <c r="FZA577" s="44"/>
      <c r="FZB577" s="44"/>
      <c r="FZC577" s="44"/>
      <c r="FZD577" s="44"/>
      <c r="FZE577" s="44"/>
      <c r="FZF577" s="44"/>
      <c r="FZG577" s="44"/>
      <c r="FZH577" s="44"/>
      <c r="FZI577" s="44"/>
      <c r="FZJ577" s="44"/>
      <c r="FZK577" s="44"/>
      <c r="FZL577" s="44"/>
      <c r="FZM577" s="44"/>
      <c r="FZN577" s="44"/>
      <c r="FZO577" s="44"/>
      <c r="FZP577" s="44"/>
      <c r="FZQ577" s="44"/>
      <c r="FZR577" s="44"/>
      <c r="FZS577" s="44"/>
      <c r="FZT577" s="44"/>
      <c r="FZU577" s="44"/>
      <c r="FZV577" s="44"/>
      <c r="FZW577" s="44"/>
      <c r="FZX577" s="44"/>
      <c r="FZY577" s="44"/>
      <c r="FZZ577" s="44"/>
      <c r="GAA577" s="44"/>
      <c r="GAB577" s="44"/>
      <c r="GAC577" s="44"/>
      <c r="GAD577" s="44"/>
      <c r="GAE577" s="44"/>
      <c r="GAF577" s="44"/>
      <c r="GAG577" s="44"/>
      <c r="GAH577" s="44"/>
      <c r="GAI577" s="44"/>
      <c r="GAJ577" s="44"/>
      <c r="GAK577" s="44"/>
      <c r="GAL577" s="44"/>
      <c r="GAM577" s="44"/>
      <c r="GAN577" s="44"/>
      <c r="GAO577" s="44"/>
      <c r="GAP577" s="44"/>
      <c r="GAQ577" s="44"/>
      <c r="GAR577" s="44"/>
      <c r="GAS577" s="44"/>
      <c r="GAT577" s="44"/>
      <c r="GAU577" s="44"/>
      <c r="GAV577" s="44"/>
      <c r="GAW577" s="44"/>
      <c r="GAX577" s="44"/>
      <c r="GAY577" s="44"/>
      <c r="GAZ577" s="44"/>
      <c r="GBA577" s="44"/>
      <c r="GBB577" s="44"/>
      <c r="GBC577" s="44"/>
      <c r="GBD577" s="44"/>
      <c r="GBE577" s="44"/>
      <c r="GBF577" s="44"/>
      <c r="GBG577" s="44"/>
      <c r="GBH577" s="44"/>
      <c r="GBI577" s="44"/>
      <c r="GBJ577" s="44"/>
      <c r="GBK577" s="44"/>
      <c r="GBL577" s="44"/>
      <c r="GBM577" s="44"/>
      <c r="GBN577" s="44"/>
      <c r="GBO577" s="44"/>
      <c r="GBP577" s="44"/>
      <c r="GBQ577" s="44"/>
      <c r="GBR577" s="44"/>
      <c r="GBS577" s="44"/>
      <c r="GBT577" s="44"/>
      <c r="GBU577" s="44"/>
      <c r="GBV577" s="44"/>
      <c r="GBW577" s="44"/>
      <c r="GBX577" s="44"/>
      <c r="GBY577" s="44"/>
      <c r="GBZ577" s="44"/>
      <c r="GCA577" s="44"/>
      <c r="GCB577" s="44"/>
      <c r="GCC577" s="44"/>
      <c r="GCD577" s="44"/>
      <c r="GCE577" s="44"/>
      <c r="GCF577" s="44"/>
      <c r="GCG577" s="44"/>
      <c r="GCH577" s="44"/>
      <c r="GCI577" s="44"/>
      <c r="GCJ577" s="44"/>
      <c r="GCK577" s="44"/>
      <c r="GCL577" s="44"/>
      <c r="GCM577" s="44"/>
      <c r="GCN577" s="44"/>
      <c r="GCO577" s="44"/>
      <c r="GCP577" s="44"/>
      <c r="GCQ577" s="44"/>
      <c r="GCR577" s="44"/>
      <c r="GCS577" s="44"/>
      <c r="GCT577" s="44"/>
      <c r="GCU577" s="44"/>
      <c r="GCV577" s="44"/>
      <c r="GCW577" s="44"/>
      <c r="GCX577" s="44"/>
      <c r="GCY577" s="44"/>
      <c r="GCZ577" s="44"/>
      <c r="GDA577" s="44"/>
      <c r="GDB577" s="44"/>
      <c r="GDC577" s="44"/>
      <c r="GDD577" s="44"/>
      <c r="GDE577" s="44"/>
      <c r="GDF577" s="44"/>
      <c r="GDG577" s="44"/>
      <c r="GDH577" s="44"/>
      <c r="GDI577" s="44"/>
      <c r="GDJ577" s="44"/>
      <c r="GDK577" s="44"/>
      <c r="GDL577" s="44"/>
      <c r="GDM577" s="44"/>
      <c r="GDN577" s="44"/>
      <c r="GDO577" s="44"/>
      <c r="GDP577" s="44"/>
      <c r="GDQ577" s="44"/>
      <c r="GDR577" s="44"/>
      <c r="GDS577" s="44"/>
      <c r="GDT577" s="44"/>
      <c r="GDU577" s="44"/>
      <c r="GDV577" s="44"/>
      <c r="GDW577" s="44"/>
      <c r="GDX577" s="44"/>
      <c r="GDY577" s="44"/>
      <c r="GDZ577" s="44"/>
      <c r="GEA577" s="44"/>
      <c r="GEB577" s="44"/>
      <c r="GEC577" s="44"/>
      <c r="GED577" s="44"/>
      <c r="GEE577" s="44"/>
      <c r="GEF577" s="44"/>
      <c r="GEG577" s="44"/>
      <c r="GEH577" s="44"/>
      <c r="GEI577" s="44"/>
      <c r="GEJ577" s="44"/>
      <c r="GEK577" s="44"/>
      <c r="GEL577" s="44"/>
      <c r="GEM577" s="44"/>
      <c r="GEN577" s="44"/>
      <c r="GEO577" s="44"/>
      <c r="GEP577" s="44"/>
      <c r="GEQ577" s="44"/>
      <c r="GER577" s="44"/>
      <c r="GES577" s="44"/>
      <c r="GET577" s="44"/>
      <c r="GEU577" s="44"/>
      <c r="GEV577" s="44"/>
      <c r="GEW577" s="44"/>
      <c r="GEX577" s="44"/>
      <c r="GEY577" s="44"/>
      <c r="GEZ577" s="44"/>
      <c r="GFA577" s="44"/>
      <c r="GFB577" s="44"/>
      <c r="GFC577" s="44"/>
      <c r="GFD577" s="44"/>
      <c r="GFE577" s="44"/>
      <c r="GFF577" s="44"/>
      <c r="GFG577" s="44"/>
      <c r="GFH577" s="44"/>
      <c r="GFI577" s="44"/>
      <c r="GFJ577" s="44"/>
      <c r="GFK577" s="44"/>
      <c r="GFL577" s="44"/>
      <c r="GFM577" s="44"/>
      <c r="GFN577" s="44"/>
      <c r="GFO577" s="44"/>
      <c r="GFP577" s="44"/>
      <c r="GFQ577" s="44"/>
      <c r="GFR577" s="44"/>
      <c r="GFS577" s="44"/>
      <c r="GFT577" s="44"/>
      <c r="GFU577" s="44"/>
      <c r="GFV577" s="44"/>
      <c r="GFW577" s="44"/>
      <c r="GFX577" s="44"/>
      <c r="GFY577" s="44"/>
      <c r="GFZ577" s="44"/>
      <c r="GGA577" s="44"/>
      <c r="GGB577" s="44"/>
      <c r="GGC577" s="44"/>
      <c r="GGD577" s="44"/>
      <c r="GGE577" s="44"/>
      <c r="GGF577" s="44"/>
      <c r="GGG577" s="44"/>
      <c r="GGH577" s="44"/>
      <c r="GGI577" s="44"/>
      <c r="GGJ577" s="44"/>
      <c r="GGK577" s="44"/>
      <c r="GGL577" s="44"/>
      <c r="GGM577" s="44"/>
      <c r="GGN577" s="44"/>
      <c r="GGO577" s="44"/>
      <c r="GGP577" s="44"/>
      <c r="GGQ577" s="44"/>
      <c r="GGR577" s="44"/>
      <c r="GGS577" s="44"/>
      <c r="GGT577" s="44"/>
      <c r="GGU577" s="44"/>
      <c r="GGV577" s="44"/>
      <c r="GGW577" s="44"/>
      <c r="GGX577" s="44"/>
      <c r="GGY577" s="44"/>
      <c r="GGZ577" s="44"/>
      <c r="GHA577" s="44"/>
      <c r="GHB577" s="44"/>
      <c r="GHC577" s="44"/>
      <c r="GHD577" s="44"/>
      <c r="GHE577" s="44"/>
      <c r="GHF577" s="44"/>
      <c r="GHG577" s="44"/>
      <c r="GHH577" s="44"/>
      <c r="GHI577" s="44"/>
      <c r="GHJ577" s="44"/>
      <c r="GHK577" s="44"/>
      <c r="GHL577" s="44"/>
      <c r="GHM577" s="44"/>
      <c r="GHN577" s="44"/>
      <c r="GHO577" s="44"/>
      <c r="GHP577" s="44"/>
      <c r="GHQ577" s="44"/>
      <c r="GHR577" s="44"/>
      <c r="GHS577" s="44"/>
      <c r="GHT577" s="44"/>
      <c r="GHU577" s="44"/>
      <c r="GHV577" s="44"/>
      <c r="GHW577" s="44"/>
      <c r="GHX577" s="44"/>
      <c r="GHY577" s="44"/>
      <c r="GHZ577" s="44"/>
      <c r="GIA577" s="44"/>
      <c r="GIB577" s="44"/>
      <c r="GIC577" s="44"/>
      <c r="GID577" s="44"/>
      <c r="GIE577" s="44"/>
      <c r="GIF577" s="44"/>
      <c r="GIG577" s="44"/>
      <c r="GIH577" s="44"/>
      <c r="GII577" s="44"/>
      <c r="GIJ577" s="44"/>
      <c r="GIK577" s="44"/>
      <c r="GIL577" s="44"/>
      <c r="GIM577" s="44"/>
      <c r="GIN577" s="44"/>
      <c r="GIO577" s="44"/>
      <c r="GIP577" s="44"/>
      <c r="GIQ577" s="44"/>
      <c r="GIR577" s="44"/>
      <c r="GIS577" s="44"/>
      <c r="GIT577" s="44"/>
      <c r="GIU577" s="44"/>
      <c r="GIV577" s="44"/>
      <c r="GIW577" s="44"/>
      <c r="GIX577" s="44"/>
      <c r="GIY577" s="44"/>
      <c r="GIZ577" s="44"/>
      <c r="GJA577" s="44"/>
      <c r="GJB577" s="44"/>
      <c r="GJC577" s="44"/>
      <c r="GJD577" s="44"/>
      <c r="GJE577" s="44"/>
      <c r="GJF577" s="44"/>
      <c r="GJG577" s="44"/>
      <c r="GJH577" s="44"/>
      <c r="GJI577" s="44"/>
      <c r="GJJ577" s="44"/>
      <c r="GJK577" s="44"/>
      <c r="GJL577" s="44"/>
      <c r="GJM577" s="44"/>
      <c r="GJN577" s="44"/>
      <c r="GJO577" s="44"/>
      <c r="GJP577" s="44"/>
      <c r="GJQ577" s="44"/>
      <c r="GJR577" s="44"/>
      <c r="GJS577" s="44"/>
      <c r="GJT577" s="44"/>
      <c r="GJU577" s="44"/>
      <c r="GJV577" s="44"/>
      <c r="GJW577" s="44"/>
      <c r="GJX577" s="44"/>
      <c r="GJY577" s="44"/>
      <c r="GJZ577" s="44"/>
      <c r="GKA577" s="44"/>
      <c r="GKB577" s="44"/>
      <c r="GKC577" s="44"/>
      <c r="GKD577" s="44"/>
      <c r="GKE577" s="44"/>
      <c r="GKF577" s="44"/>
      <c r="GKG577" s="44"/>
      <c r="GKH577" s="44"/>
      <c r="GKI577" s="44"/>
      <c r="GKJ577" s="44"/>
      <c r="GKK577" s="44"/>
      <c r="GKL577" s="44"/>
      <c r="GKM577" s="44"/>
      <c r="GKN577" s="44"/>
      <c r="GKO577" s="44"/>
      <c r="GKP577" s="44"/>
      <c r="GKQ577" s="44"/>
      <c r="GKR577" s="44"/>
      <c r="GKS577" s="44"/>
      <c r="GKT577" s="44"/>
      <c r="GKU577" s="44"/>
      <c r="GKV577" s="44"/>
      <c r="GKW577" s="44"/>
      <c r="GKX577" s="44"/>
      <c r="GKY577" s="44"/>
      <c r="GKZ577" s="44"/>
      <c r="GLA577" s="44"/>
      <c r="GLB577" s="44"/>
      <c r="GLC577" s="44"/>
      <c r="GLD577" s="44"/>
      <c r="GLE577" s="44"/>
      <c r="GLF577" s="44"/>
      <c r="GLG577" s="44"/>
      <c r="GLH577" s="44"/>
      <c r="GLI577" s="44"/>
      <c r="GLJ577" s="44"/>
      <c r="GLK577" s="44"/>
      <c r="GLL577" s="44"/>
      <c r="GLM577" s="44"/>
      <c r="GLN577" s="44"/>
      <c r="GLO577" s="44"/>
      <c r="GLP577" s="44"/>
      <c r="GLQ577" s="44"/>
      <c r="GLR577" s="44"/>
      <c r="GLS577" s="44"/>
      <c r="GLT577" s="44"/>
      <c r="GLU577" s="44"/>
      <c r="GLV577" s="44"/>
      <c r="GLW577" s="44"/>
      <c r="GLX577" s="44"/>
      <c r="GLY577" s="44"/>
      <c r="GLZ577" s="44"/>
      <c r="GMA577" s="44"/>
      <c r="GMB577" s="44"/>
      <c r="GMC577" s="44"/>
      <c r="GMD577" s="44"/>
      <c r="GME577" s="44"/>
      <c r="GMF577" s="44"/>
      <c r="GMG577" s="44"/>
      <c r="GMH577" s="44"/>
      <c r="GMI577" s="44"/>
      <c r="GMJ577" s="44"/>
      <c r="GMK577" s="44"/>
      <c r="GML577" s="44"/>
      <c r="GMM577" s="44"/>
      <c r="GMN577" s="44"/>
      <c r="GMO577" s="44"/>
      <c r="GMP577" s="44"/>
      <c r="GMQ577" s="44"/>
      <c r="GMR577" s="44"/>
      <c r="GMS577" s="44"/>
      <c r="GMT577" s="44"/>
      <c r="GMU577" s="44"/>
      <c r="GMV577" s="44"/>
      <c r="GMW577" s="44"/>
      <c r="GMX577" s="44"/>
      <c r="GMY577" s="44"/>
      <c r="GMZ577" s="44"/>
      <c r="GNA577" s="44"/>
      <c r="GNB577" s="44"/>
      <c r="GNC577" s="44"/>
      <c r="GND577" s="44"/>
      <c r="GNE577" s="44"/>
      <c r="GNF577" s="44"/>
      <c r="GNG577" s="44"/>
      <c r="GNH577" s="44"/>
      <c r="GNI577" s="44"/>
      <c r="GNJ577" s="44"/>
      <c r="GNK577" s="44"/>
      <c r="GNL577" s="44"/>
      <c r="GNM577" s="44"/>
      <c r="GNN577" s="44"/>
      <c r="GNO577" s="44"/>
      <c r="GNP577" s="44"/>
      <c r="GNQ577" s="44"/>
      <c r="GNR577" s="44"/>
      <c r="GNS577" s="44"/>
      <c r="GNT577" s="44"/>
      <c r="GNU577" s="44"/>
      <c r="GNV577" s="44"/>
      <c r="GNW577" s="44"/>
      <c r="GNX577" s="44"/>
      <c r="GNY577" s="44"/>
      <c r="GNZ577" s="44"/>
      <c r="GOA577" s="44"/>
      <c r="GOB577" s="44"/>
      <c r="GOC577" s="44"/>
      <c r="GOD577" s="44"/>
      <c r="GOE577" s="44"/>
      <c r="GOF577" s="44"/>
      <c r="GOG577" s="44"/>
      <c r="GOH577" s="44"/>
      <c r="GOI577" s="44"/>
      <c r="GOJ577" s="44"/>
      <c r="GOK577" s="44"/>
      <c r="GOL577" s="44"/>
      <c r="GOM577" s="44"/>
      <c r="GON577" s="44"/>
      <c r="GOO577" s="44"/>
      <c r="GOP577" s="44"/>
      <c r="GOQ577" s="44"/>
      <c r="GOR577" s="44"/>
      <c r="GOS577" s="44"/>
      <c r="GOT577" s="44"/>
      <c r="GOU577" s="44"/>
      <c r="GOV577" s="44"/>
      <c r="GOW577" s="44"/>
      <c r="GOX577" s="44"/>
      <c r="GOY577" s="44"/>
      <c r="GOZ577" s="44"/>
      <c r="GPA577" s="44"/>
      <c r="GPB577" s="44"/>
      <c r="GPC577" s="44"/>
      <c r="GPD577" s="44"/>
      <c r="GPE577" s="44"/>
      <c r="GPF577" s="44"/>
      <c r="GPG577" s="44"/>
      <c r="GPH577" s="44"/>
      <c r="GPI577" s="44"/>
      <c r="GPJ577" s="44"/>
      <c r="GPK577" s="44"/>
      <c r="GPL577" s="44"/>
      <c r="GPM577" s="44"/>
      <c r="GPN577" s="44"/>
      <c r="GPO577" s="44"/>
      <c r="GPP577" s="44"/>
      <c r="GPQ577" s="44"/>
      <c r="GPR577" s="44"/>
      <c r="GPS577" s="44"/>
      <c r="GPT577" s="44"/>
      <c r="GPU577" s="44"/>
      <c r="GPV577" s="44"/>
      <c r="GPW577" s="44"/>
      <c r="GPX577" s="44"/>
      <c r="GPY577" s="44"/>
      <c r="GPZ577" s="44"/>
      <c r="GQA577" s="44"/>
      <c r="GQB577" s="44"/>
      <c r="GQC577" s="44"/>
      <c r="GQD577" s="44"/>
      <c r="GQE577" s="44"/>
      <c r="GQF577" s="44"/>
      <c r="GQG577" s="44"/>
      <c r="GQH577" s="44"/>
      <c r="GQI577" s="44"/>
      <c r="GQJ577" s="44"/>
      <c r="GQK577" s="44"/>
      <c r="GQL577" s="44"/>
      <c r="GQM577" s="44"/>
      <c r="GQN577" s="44"/>
      <c r="GQO577" s="44"/>
      <c r="GQP577" s="44"/>
      <c r="GQQ577" s="44"/>
      <c r="GQR577" s="44"/>
      <c r="GQS577" s="44"/>
      <c r="GQT577" s="44"/>
      <c r="GQU577" s="44"/>
      <c r="GQV577" s="44"/>
      <c r="GQW577" s="44"/>
      <c r="GQX577" s="44"/>
      <c r="GQY577" s="44"/>
      <c r="GQZ577" s="44"/>
      <c r="GRA577" s="44"/>
      <c r="GRB577" s="44"/>
      <c r="GRC577" s="44"/>
      <c r="GRD577" s="44"/>
      <c r="GRE577" s="44"/>
      <c r="GRF577" s="44"/>
      <c r="GRG577" s="44"/>
      <c r="GRH577" s="44"/>
      <c r="GRI577" s="44"/>
      <c r="GRJ577" s="44"/>
      <c r="GRK577" s="44"/>
      <c r="GRL577" s="44"/>
      <c r="GRM577" s="44"/>
      <c r="GRN577" s="44"/>
      <c r="GRO577" s="44"/>
      <c r="GRP577" s="44"/>
      <c r="GRQ577" s="44"/>
      <c r="GRR577" s="44"/>
      <c r="GRS577" s="44"/>
      <c r="GRT577" s="44"/>
      <c r="GRU577" s="44"/>
      <c r="GRV577" s="44"/>
      <c r="GRW577" s="44"/>
      <c r="GRX577" s="44"/>
      <c r="GRY577" s="44"/>
      <c r="GRZ577" s="44"/>
      <c r="GSA577" s="44"/>
      <c r="GSB577" s="44"/>
      <c r="GSC577" s="44"/>
      <c r="GSD577" s="44"/>
      <c r="GSE577" s="44"/>
      <c r="GSF577" s="44"/>
      <c r="GSG577" s="44"/>
      <c r="GSH577" s="44"/>
      <c r="GSI577" s="44"/>
      <c r="GSJ577" s="44"/>
      <c r="GSK577" s="44"/>
      <c r="GSL577" s="44"/>
      <c r="GSM577" s="44"/>
      <c r="GSN577" s="44"/>
      <c r="GSO577" s="44"/>
      <c r="GSP577" s="44"/>
      <c r="GSQ577" s="44"/>
      <c r="GSR577" s="44"/>
      <c r="GSS577" s="44"/>
      <c r="GST577" s="44"/>
      <c r="GSU577" s="44"/>
      <c r="GSV577" s="44"/>
      <c r="GSW577" s="44"/>
      <c r="GSX577" s="44"/>
      <c r="GSY577" s="44"/>
      <c r="GSZ577" s="44"/>
      <c r="GTA577" s="44"/>
      <c r="GTB577" s="44"/>
      <c r="GTC577" s="44"/>
      <c r="GTD577" s="44"/>
      <c r="GTE577" s="44"/>
      <c r="GTF577" s="44"/>
      <c r="GTG577" s="44"/>
      <c r="GTH577" s="44"/>
      <c r="GTI577" s="44"/>
      <c r="GTJ577" s="44"/>
      <c r="GTK577" s="44"/>
      <c r="GTL577" s="44"/>
      <c r="GTM577" s="44"/>
      <c r="GTN577" s="44"/>
      <c r="GTO577" s="44"/>
      <c r="GTP577" s="44"/>
      <c r="GTQ577" s="44"/>
      <c r="GTR577" s="44"/>
      <c r="GTS577" s="44"/>
      <c r="GTT577" s="44"/>
      <c r="GTU577" s="44"/>
      <c r="GTV577" s="44"/>
      <c r="GTW577" s="44"/>
      <c r="GTX577" s="44"/>
      <c r="GTY577" s="44"/>
      <c r="GTZ577" s="44"/>
      <c r="GUA577" s="44"/>
      <c r="GUB577" s="44"/>
      <c r="GUC577" s="44"/>
      <c r="GUD577" s="44"/>
      <c r="GUE577" s="44"/>
      <c r="GUF577" s="44"/>
      <c r="GUG577" s="44"/>
      <c r="GUH577" s="44"/>
      <c r="GUI577" s="44"/>
      <c r="GUJ577" s="44"/>
      <c r="GUK577" s="44"/>
      <c r="GUL577" s="44"/>
      <c r="GUM577" s="44"/>
      <c r="GUN577" s="44"/>
      <c r="GUO577" s="44"/>
      <c r="GUP577" s="44"/>
      <c r="GUQ577" s="44"/>
      <c r="GUR577" s="44"/>
      <c r="GUS577" s="44"/>
      <c r="GUT577" s="44"/>
      <c r="GUU577" s="44"/>
      <c r="GUV577" s="44"/>
      <c r="GUW577" s="44"/>
      <c r="GUX577" s="44"/>
      <c r="GUY577" s="44"/>
      <c r="GUZ577" s="44"/>
      <c r="GVA577" s="44"/>
      <c r="GVB577" s="44"/>
      <c r="GVC577" s="44"/>
      <c r="GVD577" s="44"/>
      <c r="GVE577" s="44"/>
      <c r="GVF577" s="44"/>
      <c r="GVG577" s="44"/>
      <c r="GVH577" s="44"/>
      <c r="GVI577" s="44"/>
      <c r="GVJ577" s="44"/>
      <c r="GVK577" s="44"/>
      <c r="GVL577" s="44"/>
      <c r="GVM577" s="44"/>
      <c r="GVN577" s="44"/>
      <c r="GVO577" s="44"/>
      <c r="GVP577" s="44"/>
      <c r="GVQ577" s="44"/>
      <c r="GVR577" s="44"/>
      <c r="GVS577" s="44"/>
      <c r="GVT577" s="44"/>
      <c r="GVU577" s="44"/>
      <c r="GVV577" s="44"/>
      <c r="GVW577" s="44"/>
      <c r="GVX577" s="44"/>
      <c r="GVY577" s="44"/>
      <c r="GVZ577" s="44"/>
      <c r="GWA577" s="44"/>
      <c r="GWB577" s="44"/>
      <c r="GWC577" s="44"/>
      <c r="GWD577" s="44"/>
      <c r="GWE577" s="44"/>
      <c r="GWF577" s="44"/>
      <c r="GWG577" s="44"/>
      <c r="GWH577" s="44"/>
      <c r="GWI577" s="44"/>
      <c r="GWJ577" s="44"/>
      <c r="GWK577" s="44"/>
      <c r="GWL577" s="44"/>
      <c r="GWM577" s="44"/>
      <c r="GWN577" s="44"/>
      <c r="GWO577" s="44"/>
      <c r="GWP577" s="44"/>
      <c r="GWQ577" s="44"/>
      <c r="GWR577" s="44"/>
      <c r="GWS577" s="44"/>
      <c r="GWT577" s="44"/>
      <c r="GWU577" s="44"/>
      <c r="GWV577" s="44"/>
      <c r="GWW577" s="44"/>
      <c r="GWX577" s="44"/>
      <c r="GWY577" s="44"/>
      <c r="GWZ577" s="44"/>
      <c r="GXA577" s="44"/>
      <c r="GXB577" s="44"/>
      <c r="GXC577" s="44"/>
      <c r="GXD577" s="44"/>
      <c r="GXE577" s="44"/>
      <c r="GXF577" s="44"/>
      <c r="GXG577" s="44"/>
      <c r="GXH577" s="44"/>
      <c r="GXI577" s="44"/>
      <c r="GXJ577" s="44"/>
      <c r="GXK577" s="44"/>
      <c r="GXL577" s="44"/>
      <c r="GXM577" s="44"/>
      <c r="GXN577" s="44"/>
      <c r="GXO577" s="44"/>
      <c r="GXP577" s="44"/>
      <c r="GXQ577" s="44"/>
      <c r="GXR577" s="44"/>
      <c r="GXS577" s="44"/>
      <c r="GXT577" s="44"/>
      <c r="GXU577" s="44"/>
      <c r="GXV577" s="44"/>
      <c r="GXW577" s="44"/>
      <c r="GXX577" s="44"/>
      <c r="GXY577" s="44"/>
      <c r="GXZ577" s="44"/>
      <c r="GYA577" s="44"/>
      <c r="GYB577" s="44"/>
      <c r="GYC577" s="44"/>
      <c r="GYD577" s="44"/>
      <c r="GYE577" s="44"/>
      <c r="GYF577" s="44"/>
      <c r="GYG577" s="44"/>
      <c r="GYH577" s="44"/>
      <c r="GYI577" s="44"/>
      <c r="GYJ577" s="44"/>
      <c r="GYK577" s="44"/>
      <c r="GYL577" s="44"/>
      <c r="GYM577" s="44"/>
      <c r="GYN577" s="44"/>
      <c r="GYO577" s="44"/>
      <c r="GYP577" s="44"/>
      <c r="GYQ577" s="44"/>
      <c r="GYR577" s="44"/>
      <c r="GYS577" s="44"/>
      <c r="GYT577" s="44"/>
      <c r="GYU577" s="44"/>
      <c r="GYV577" s="44"/>
      <c r="GYW577" s="44"/>
      <c r="GYX577" s="44"/>
      <c r="GYY577" s="44"/>
      <c r="GYZ577" s="44"/>
      <c r="GZA577" s="44"/>
      <c r="GZB577" s="44"/>
      <c r="GZC577" s="44"/>
      <c r="GZD577" s="44"/>
      <c r="GZE577" s="44"/>
      <c r="GZF577" s="44"/>
      <c r="GZG577" s="44"/>
      <c r="GZH577" s="44"/>
      <c r="GZI577" s="44"/>
      <c r="GZJ577" s="44"/>
      <c r="GZK577" s="44"/>
      <c r="GZL577" s="44"/>
      <c r="GZM577" s="44"/>
      <c r="GZN577" s="44"/>
      <c r="GZO577" s="44"/>
      <c r="GZP577" s="44"/>
      <c r="GZQ577" s="44"/>
      <c r="GZR577" s="44"/>
      <c r="GZS577" s="44"/>
      <c r="GZT577" s="44"/>
      <c r="GZU577" s="44"/>
      <c r="GZV577" s="44"/>
      <c r="GZW577" s="44"/>
      <c r="GZX577" s="44"/>
      <c r="GZY577" s="44"/>
      <c r="GZZ577" s="44"/>
      <c r="HAA577" s="44"/>
      <c r="HAB577" s="44"/>
      <c r="HAC577" s="44"/>
      <c r="HAD577" s="44"/>
      <c r="HAE577" s="44"/>
      <c r="HAF577" s="44"/>
      <c r="HAG577" s="44"/>
      <c r="HAH577" s="44"/>
      <c r="HAI577" s="44"/>
      <c r="HAJ577" s="44"/>
      <c r="HAK577" s="44"/>
      <c r="HAL577" s="44"/>
      <c r="HAM577" s="44"/>
      <c r="HAN577" s="44"/>
      <c r="HAO577" s="44"/>
      <c r="HAP577" s="44"/>
      <c r="HAQ577" s="44"/>
      <c r="HAR577" s="44"/>
      <c r="HAS577" s="44"/>
      <c r="HAT577" s="44"/>
      <c r="HAU577" s="44"/>
      <c r="HAV577" s="44"/>
      <c r="HAW577" s="44"/>
      <c r="HAX577" s="44"/>
      <c r="HAY577" s="44"/>
      <c r="HAZ577" s="44"/>
      <c r="HBA577" s="44"/>
      <c r="HBB577" s="44"/>
      <c r="HBC577" s="44"/>
      <c r="HBD577" s="44"/>
      <c r="HBE577" s="44"/>
      <c r="HBF577" s="44"/>
      <c r="HBG577" s="44"/>
      <c r="HBH577" s="44"/>
      <c r="HBI577" s="44"/>
      <c r="HBJ577" s="44"/>
      <c r="HBK577" s="44"/>
      <c r="HBL577" s="44"/>
      <c r="HBM577" s="44"/>
      <c r="HBN577" s="44"/>
      <c r="HBO577" s="44"/>
      <c r="HBP577" s="44"/>
      <c r="HBQ577" s="44"/>
      <c r="HBR577" s="44"/>
      <c r="HBS577" s="44"/>
      <c r="HBT577" s="44"/>
      <c r="HBU577" s="44"/>
      <c r="HBV577" s="44"/>
      <c r="HBW577" s="44"/>
      <c r="HBX577" s="44"/>
      <c r="HBY577" s="44"/>
      <c r="HBZ577" s="44"/>
      <c r="HCA577" s="44"/>
      <c r="HCB577" s="44"/>
      <c r="HCC577" s="44"/>
      <c r="HCD577" s="44"/>
      <c r="HCE577" s="44"/>
      <c r="HCF577" s="44"/>
      <c r="HCG577" s="44"/>
      <c r="HCH577" s="44"/>
      <c r="HCI577" s="44"/>
      <c r="HCJ577" s="44"/>
      <c r="HCK577" s="44"/>
      <c r="HCL577" s="44"/>
      <c r="HCM577" s="44"/>
      <c r="HCN577" s="44"/>
      <c r="HCO577" s="44"/>
      <c r="HCP577" s="44"/>
      <c r="HCQ577" s="44"/>
      <c r="HCR577" s="44"/>
      <c r="HCS577" s="44"/>
      <c r="HCT577" s="44"/>
      <c r="HCU577" s="44"/>
      <c r="HCV577" s="44"/>
      <c r="HCW577" s="44"/>
      <c r="HCX577" s="44"/>
      <c r="HCY577" s="44"/>
      <c r="HCZ577" s="44"/>
      <c r="HDA577" s="44"/>
      <c r="HDB577" s="44"/>
      <c r="HDC577" s="44"/>
      <c r="HDD577" s="44"/>
      <c r="HDE577" s="44"/>
      <c r="HDF577" s="44"/>
      <c r="HDG577" s="44"/>
      <c r="HDH577" s="44"/>
      <c r="HDI577" s="44"/>
      <c r="HDJ577" s="44"/>
      <c r="HDK577" s="44"/>
      <c r="HDL577" s="44"/>
      <c r="HDM577" s="44"/>
      <c r="HDN577" s="44"/>
      <c r="HDO577" s="44"/>
      <c r="HDP577" s="44"/>
      <c r="HDQ577" s="44"/>
      <c r="HDR577" s="44"/>
      <c r="HDS577" s="44"/>
      <c r="HDT577" s="44"/>
      <c r="HDU577" s="44"/>
      <c r="HDV577" s="44"/>
      <c r="HDW577" s="44"/>
      <c r="HDX577" s="44"/>
      <c r="HDY577" s="44"/>
      <c r="HDZ577" s="44"/>
      <c r="HEA577" s="44"/>
      <c r="HEB577" s="44"/>
      <c r="HEC577" s="44"/>
      <c r="HED577" s="44"/>
      <c r="HEE577" s="44"/>
      <c r="HEF577" s="44"/>
      <c r="HEG577" s="44"/>
      <c r="HEH577" s="44"/>
      <c r="HEI577" s="44"/>
      <c r="HEJ577" s="44"/>
      <c r="HEK577" s="44"/>
      <c r="HEL577" s="44"/>
      <c r="HEM577" s="44"/>
      <c r="HEN577" s="44"/>
      <c r="HEO577" s="44"/>
      <c r="HEP577" s="44"/>
      <c r="HEQ577" s="44"/>
      <c r="HER577" s="44"/>
      <c r="HES577" s="44"/>
      <c r="HET577" s="44"/>
      <c r="HEU577" s="44"/>
      <c r="HEV577" s="44"/>
      <c r="HEW577" s="44"/>
      <c r="HEX577" s="44"/>
      <c r="HEY577" s="44"/>
      <c r="HEZ577" s="44"/>
      <c r="HFA577" s="44"/>
      <c r="HFB577" s="44"/>
      <c r="HFC577" s="44"/>
      <c r="HFD577" s="44"/>
      <c r="HFE577" s="44"/>
      <c r="HFF577" s="44"/>
      <c r="HFG577" s="44"/>
      <c r="HFH577" s="44"/>
      <c r="HFI577" s="44"/>
      <c r="HFJ577" s="44"/>
      <c r="HFK577" s="44"/>
      <c r="HFL577" s="44"/>
      <c r="HFM577" s="44"/>
      <c r="HFN577" s="44"/>
      <c r="HFO577" s="44"/>
      <c r="HFP577" s="44"/>
      <c r="HFQ577" s="44"/>
      <c r="HFR577" s="44"/>
      <c r="HFS577" s="44"/>
      <c r="HFT577" s="44"/>
      <c r="HFU577" s="44"/>
      <c r="HFV577" s="44"/>
      <c r="HFW577" s="44"/>
      <c r="HFX577" s="44"/>
      <c r="HFY577" s="44"/>
      <c r="HFZ577" s="44"/>
      <c r="HGA577" s="44"/>
      <c r="HGB577" s="44"/>
      <c r="HGC577" s="44"/>
      <c r="HGD577" s="44"/>
      <c r="HGE577" s="44"/>
      <c r="HGF577" s="44"/>
      <c r="HGG577" s="44"/>
      <c r="HGH577" s="44"/>
      <c r="HGI577" s="44"/>
      <c r="HGJ577" s="44"/>
      <c r="HGK577" s="44"/>
      <c r="HGL577" s="44"/>
      <c r="HGM577" s="44"/>
      <c r="HGN577" s="44"/>
      <c r="HGO577" s="44"/>
      <c r="HGP577" s="44"/>
      <c r="HGQ577" s="44"/>
      <c r="HGR577" s="44"/>
      <c r="HGS577" s="44"/>
      <c r="HGT577" s="44"/>
      <c r="HGU577" s="44"/>
      <c r="HGV577" s="44"/>
      <c r="HGW577" s="44"/>
      <c r="HGX577" s="44"/>
      <c r="HGY577" s="44"/>
      <c r="HGZ577" s="44"/>
      <c r="HHA577" s="44"/>
      <c r="HHB577" s="44"/>
      <c r="HHC577" s="44"/>
      <c r="HHD577" s="44"/>
      <c r="HHE577" s="44"/>
      <c r="HHF577" s="44"/>
      <c r="HHG577" s="44"/>
      <c r="HHH577" s="44"/>
      <c r="HHI577" s="44"/>
      <c r="HHJ577" s="44"/>
      <c r="HHK577" s="44"/>
      <c r="HHL577" s="44"/>
      <c r="HHM577" s="44"/>
      <c r="HHN577" s="44"/>
      <c r="HHO577" s="44"/>
      <c r="HHP577" s="44"/>
      <c r="HHQ577" s="44"/>
      <c r="HHR577" s="44"/>
      <c r="HHS577" s="44"/>
      <c r="HHT577" s="44"/>
      <c r="HHU577" s="44"/>
      <c r="HHV577" s="44"/>
      <c r="HHW577" s="44"/>
      <c r="HHX577" s="44"/>
      <c r="HHY577" s="44"/>
      <c r="HHZ577" s="44"/>
      <c r="HIA577" s="44"/>
      <c r="HIB577" s="44"/>
      <c r="HIC577" s="44"/>
      <c r="HID577" s="44"/>
      <c r="HIE577" s="44"/>
      <c r="HIF577" s="44"/>
      <c r="HIG577" s="44"/>
      <c r="HIH577" s="44"/>
      <c r="HII577" s="44"/>
      <c r="HIJ577" s="44"/>
      <c r="HIK577" s="44"/>
      <c r="HIL577" s="44"/>
      <c r="HIM577" s="44"/>
      <c r="HIN577" s="44"/>
      <c r="HIO577" s="44"/>
      <c r="HIP577" s="44"/>
      <c r="HIQ577" s="44"/>
      <c r="HIR577" s="44"/>
      <c r="HIS577" s="44"/>
      <c r="HIT577" s="44"/>
      <c r="HIU577" s="44"/>
      <c r="HIV577" s="44"/>
      <c r="HIW577" s="44"/>
      <c r="HIX577" s="44"/>
      <c r="HIY577" s="44"/>
      <c r="HIZ577" s="44"/>
      <c r="HJA577" s="44"/>
      <c r="HJB577" s="44"/>
      <c r="HJC577" s="44"/>
      <c r="HJD577" s="44"/>
      <c r="HJE577" s="44"/>
      <c r="HJF577" s="44"/>
      <c r="HJG577" s="44"/>
      <c r="HJH577" s="44"/>
      <c r="HJI577" s="44"/>
      <c r="HJJ577" s="44"/>
      <c r="HJK577" s="44"/>
      <c r="HJL577" s="44"/>
      <c r="HJM577" s="44"/>
      <c r="HJN577" s="44"/>
      <c r="HJO577" s="44"/>
      <c r="HJP577" s="44"/>
      <c r="HJQ577" s="44"/>
      <c r="HJR577" s="44"/>
      <c r="HJS577" s="44"/>
      <c r="HJT577" s="44"/>
      <c r="HJU577" s="44"/>
      <c r="HJV577" s="44"/>
      <c r="HJW577" s="44"/>
      <c r="HJX577" s="44"/>
      <c r="HJY577" s="44"/>
      <c r="HJZ577" s="44"/>
      <c r="HKA577" s="44"/>
      <c r="HKB577" s="44"/>
      <c r="HKC577" s="44"/>
      <c r="HKD577" s="44"/>
      <c r="HKE577" s="44"/>
      <c r="HKF577" s="44"/>
      <c r="HKG577" s="44"/>
      <c r="HKH577" s="44"/>
      <c r="HKI577" s="44"/>
      <c r="HKJ577" s="44"/>
      <c r="HKK577" s="44"/>
      <c r="HKL577" s="44"/>
      <c r="HKM577" s="44"/>
      <c r="HKN577" s="44"/>
      <c r="HKO577" s="44"/>
      <c r="HKP577" s="44"/>
      <c r="HKQ577" s="44"/>
      <c r="HKR577" s="44"/>
      <c r="HKS577" s="44"/>
      <c r="HKT577" s="44"/>
      <c r="HKU577" s="44"/>
      <c r="HKV577" s="44"/>
      <c r="HKW577" s="44"/>
      <c r="HKX577" s="44"/>
      <c r="HKY577" s="44"/>
      <c r="HKZ577" s="44"/>
      <c r="HLA577" s="44"/>
      <c r="HLB577" s="44"/>
      <c r="HLC577" s="44"/>
      <c r="HLD577" s="44"/>
      <c r="HLE577" s="44"/>
      <c r="HLF577" s="44"/>
      <c r="HLG577" s="44"/>
      <c r="HLH577" s="44"/>
      <c r="HLI577" s="44"/>
      <c r="HLJ577" s="44"/>
      <c r="HLK577" s="44"/>
      <c r="HLL577" s="44"/>
      <c r="HLM577" s="44"/>
      <c r="HLN577" s="44"/>
      <c r="HLO577" s="44"/>
      <c r="HLP577" s="44"/>
      <c r="HLQ577" s="44"/>
      <c r="HLR577" s="44"/>
      <c r="HLS577" s="44"/>
      <c r="HLT577" s="44"/>
      <c r="HLU577" s="44"/>
      <c r="HLV577" s="44"/>
      <c r="HLW577" s="44"/>
      <c r="HLX577" s="44"/>
      <c r="HLY577" s="44"/>
      <c r="HLZ577" s="44"/>
      <c r="HMA577" s="44"/>
      <c r="HMB577" s="44"/>
      <c r="HMC577" s="44"/>
      <c r="HMD577" s="44"/>
      <c r="HME577" s="44"/>
      <c r="HMF577" s="44"/>
      <c r="HMG577" s="44"/>
      <c r="HMH577" s="44"/>
      <c r="HMI577" s="44"/>
      <c r="HMJ577" s="44"/>
      <c r="HMK577" s="44"/>
      <c r="HML577" s="44"/>
      <c r="HMM577" s="44"/>
      <c r="HMN577" s="44"/>
      <c r="HMO577" s="44"/>
      <c r="HMP577" s="44"/>
      <c r="HMQ577" s="44"/>
      <c r="HMR577" s="44"/>
      <c r="HMS577" s="44"/>
      <c r="HMT577" s="44"/>
      <c r="HMU577" s="44"/>
      <c r="HMV577" s="44"/>
      <c r="HMW577" s="44"/>
      <c r="HMX577" s="44"/>
      <c r="HMY577" s="44"/>
      <c r="HMZ577" s="44"/>
      <c r="HNA577" s="44"/>
      <c r="HNB577" s="44"/>
      <c r="HNC577" s="44"/>
      <c r="HND577" s="44"/>
      <c r="HNE577" s="44"/>
      <c r="HNF577" s="44"/>
      <c r="HNG577" s="44"/>
      <c r="HNH577" s="44"/>
      <c r="HNI577" s="44"/>
      <c r="HNJ577" s="44"/>
      <c r="HNK577" s="44"/>
      <c r="HNL577" s="44"/>
      <c r="HNM577" s="44"/>
      <c r="HNN577" s="44"/>
      <c r="HNO577" s="44"/>
      <c r="HNP577" s="44"/>
      <c r="HNQ577" s="44"/>
      <c r="HNR577" s="44"/>
      <c r="HNS577" s="44"/>
      <c r="HNT577" s="44"/>
      <c r="HNU577" s="44"/>
      <c r="HNV577" s="44"/>
      <c r="HNW577" s="44"/>
      <c r="HNX577" s="44"/>
      <c r="HNY577" s="44"/>
      <c r="HNZ577" s="44"/>
      <c r="HOA577" s="44"/>
      <c r="HOB577" s="44"/>
      <c r="HOC577" s="44"/>
      <c r="HOD577" s="44"/>
      <c r="HOE577" s="44"/>
      <c r="HOF577" s="44"/>
      <c r="HOG577" s="44"/>
      <c r="HOH577" s="44"/>
      <c r="HOI577" s="44"/>
      <c r="HOJ577" s="44"/>
      <c r="HOK577" s="44"/>
      <c r="HOL577" s="44"/>
      <c r="HOM577" s="44"/>
      <c r="HON577" s="44"/>
      <c r="HOO577" s="44"/>
      <c r="HOP577" s="44"/>
      <c r="HOQ577" s="44"/>
      <c r="HOR577" s="44"/>
      <c r="HOS577" s="44"/>
      <c r="HOT577" s="44"/>
      <c r="HOU577" s="44"/>
      <c r="HOV577" s="44"/>
      <c r="HOW577" s="44"/>
      <c r="HOX577" s="44"/>
      <c r="HOY577" s="44"/>
      <c r="HOZ577" s="44"/>
      <c r="HPA577" s="44"/>
      <c r="HPB577" s="44"/>
      <c r="HPC577" s="44"/>
      <c r="HPD577" s="44"/>
      <c r="HPE577" s="44"/>
      <c r="HPF577" s="44"/>
      <c r="HPG577" s="44"/>
      <c r="HPH577" s="44"/>
      <c r="HPI577" s="44"/>
      <c r="HPJ577" s="44"/>
      <c r="HPK577" s="44"/>
      <c r="HPL577" s="44"/>
      <c r="HPM577" s="44"/>
      <c r="HPN577" s="44"/>
      <c r="HPO577" s="44"/>
      <c r="HPP577" s="44"/>
      <c r="HPQ577" s="44"/>
      <c r="HPR577" s="44"/>
      <c r="HPS577" s="44"/>
      <c r="HPT577" s="44"/>
      <c r="HPU577" s="44"/>
      <c r="HPV577" s="44"/>
      <c r="HPW577" s="44"/>
      <c r="HPX577" s="44"/>
      <c r="HPY577" s="44"/>
      <c r="HPZ577" s="44"/>
      <c r="HQA577" s="44"/>
      <c r="HQB577" s="44"/>
      <c r="HQC577" s="44"/>
      <c r="HQD577" s="44"/>
      <c r="HQE577" s="44"/>
      <c r="HQF577" s="44"/>
      <c r="HQG577" s="44"/>
      <c r="HQH577" s="44"/>
      <c r="HQI577" s="44"/>
      <c r="HQJ577" s="44"/>
      <c r="HQK577" s="44"/>
      <c r="HQL577" s="44"/>
      <c r="HQM577" s="44"/>
      <c r="HQN577" s="44"/>
      <c r="HQO577" s="44"/>
      <c r="HQP577" s="44"/>
      <c r="HQQ577" s="44"/>
      <c r="HQR577" s="44"/>
      <c r="HQS577" s="44"/>
      <c r="HQT577" s="44"/>
      <c r="HQU577" s="44"/>
      <c r="HQV577" s="44"/>
      <c r="HQW577" s="44"/>
      <c r="HQX577" s="44"/>
      <c r="HQY577" s="44"/>
      <c r="HQZ577" s="44"/>
      <c r="HRA577" s="44"/>
      <c r="HRB577" s="44"/>
      <c r="HRC577" s="44"/>
      <c r="HRD577" s="44"/>
      <c r="HRE577" s="44"/>
      <c r="HRF577" s="44"/>
      <c r="HRG577" s="44"/>
      <c r="HRH577" s="44"/>
      <c r="HRI577" s="44"/>
      <c r="HRJ577" s="44"/>
      <c r="HRK577" s="44"/>
      <c r="HRL577" s="44"/>
      <c r="HRM577" s="44"/>
      <c r="HRN577" s="44"/>
      <c r="HRO577" s="44"/>
      <c r="HRP577" s="44"/>
      <c r="HRQ577" s="44"/>
      <c r="HRR577" s="44"/>
      <c r="HRS577" s="44"/>
      <c r="HRT577" s="44"/>
      <c r="HRU577" s="44"/>
      <c r="HRV577" s="44"/>
      <c r="HRW577" s="44"/>
      <c r="HRX577" s="44"/>
      <c r="HRY577" s="44"/>
      <c r="HRZ577" s="44"/>
      <c r="HSA577" s="44"/>
      <c r="HSB577" s="44"/>
      <c r="HSC577" s="44"/>
      <c r="HSD577" s="44"/>
      <c r="HSE577" s="44"/>
      <c r="HSF577" s="44"/>
      <c r="HSG577" s="44"/>
      <c r="HSH577" s="44"/>
      <c r="HSI577" s="44"/>
      <c r="HSJ577" s="44"/>
      <c r="HSK577" s="44"/>
      <c r="HSL577" s="44"/>
      <c r="HSM577" s="44"/>
      <c r="HSN577" s="44"/>
      <c r="HSO577" s="44"/>
      <c r="HSP577" s="44"/>
      <c r="HSQ577" s="44"/>
      <c r="HSR577" s="44"/>
      <c r="HSS577" s="44"/>
      <c r="HST577" s="44"/>
      <c r="HSU577" s="44"/>
      <c r="HSV577" s="44"/>
      <c r="HSW577" s="44"/>
      <c r="HSX577" s="44"/>
      <c r="HSY577" s="44"/>
      <c r="HSZ577" s="44"/>
      <c r="HTA577" s="44"/>
      <c r="HTB577" s="44"/>
      <c r="HTC577" s="44"/>
      <c r="HTD577" s="44"/>
      <c r="HTE577" s="44"/>
      <c r="HTF577" s="44"/>
      <c r="HTG577" s="44"/>
      <c r="HTH577" s="44"/>
      <c r="HTI577" s="44"/>
      <c r="HTJ577" s="44"/>
      <c r="HTK577" s="44"/>
      <c r="HTL577" s="44"/>
      <c r="HTM577" s="44"/>
      <c r="HTN577" s="44"/>
      <c r="HTO577" s="44"/>
      <c r="HTP577" s="44"/>
      <c r="HTQ577" s="44"/>
      <c r="HTR577" s="44"/>
      <c r="HTS577" s="44"/>
      <c r="HTT577" s="44"/>
      <c r="HTU577" s="44"/>
      <c r="HTV577" s="44"/>
      <c r="HTW577" s="44"/>
      <c r="HTX577" s="44"/>
      <c r="HTY577" s="44"/>
      <c r="HTZ577" s="44"/>
      <c r="HUA577" s="44"/>
      <c r="HUB577" s="44"/>
      <c r="HUC577" s="44"/>
      <c r="HUD577" s="44"/>
      <c r="HUE577" s="44"/>
      <c r="HUF577" s="44"/>
      <c r="HUG577" s="44"/>
      <c r="HUH577" s="44"/>
      <c r="HUI577" s="44"/>
      <c r="HUJ577" s="44"/>
      <c r="HUK577" s="44"/>
      <c r="HUL577" s="44"/>
      <c r="HUM577" s="44"/>
      <c r="HUN577" s="44"/>
      <c r="HUO577" s="44"/>
      <c r="HUP577" s="44"/>
      <c r="HUQ577" s="44"/>
      <c r="HUR577" s="44"/>
      <c r="HUS577" s="44"/>
      <c r="HUT577" s="44"/>
      <c r="HUU577" s="44"/>
      <c r="HUV577" s="44"/>
      <c r="HUW577" s="44"/>
      <c r="HUX577" s="44"/>
      <c r="HUY577" s="44"/>
      <c r="HUZ577" s="44"/>
      <c r="HVA577" s="44"/>
      <c r="HVB577" s="44"/>
      <c r="HVC577" s="44"/>
      <c r="HVD577" s="44"/>
      <c r="HVE577" s="44"/>
      <c r="HVF577" s="44"/>
      <c r="HVG577" s="44"/>
      <c r="HVH577" s="44"/>
      <c r="HVI577" s="44"/>
      <c r="HVJ577" s="44"/>
      <c r="HVK577" s="44"/>
      <c r="HVL577" s="44"/>
      <c r="HVM577" s="44"/>
      <c r="HVN577" s="44"/>
      <c r="HVO577" s="44"/>
      <c r="HVP577" s="44"/>
      <c r="HVQ577" s="44"/>
      <c r="HVR577" s="44"/>
      <c r="HVS577" s="44"/>
      <c r="HVT577" s="44"/>
      <c r="HVU577" s="44"/>
      <c r="HVV577" s="44"/>
      <c r="HVW577" s="44"/>
      <c r="HVX577" s="44"/>
      <c r="HVY577" s="44"/>
      <c r="HVZ577" s="44"/>
      <c r="HWA577" s="44"/>
      <c r="HWB577" s="44"/>
      <c r="HWC577" s="44"/>
      <c r="HWD577" s="44"/>
      <c r="HWE577" s="44"/>
      <c r="HWF577" s="44"/>
      <c r="HWG577" s="44"/>
      <c r="HWH577" s="44"/>
      <c r="HWI577" s="44"/>
      <c r="HWJ577" s="44"/>
      <c r="HWK577" s="44"/>
      <c r="HWL577" s="44"/>
      <c r="HWM577" s="44"/>
      <c r="HWN577" s="44"/>
      <c r="HWO577" s="44"/>
      <c r="HWP577" s="44"/>
      <c r="HWQ577" s="44"/>
      <c r="HWR577" s="44"/>
      <c r="HWS577" s="44"/>
      <c r="HWT577" s="44"/>
      <c r="HWU577" s="44"/>
      <c r="HWV577" s="44"/>
      <c r="HWW577" s="44"/>
      <c r="HWX577" s="44"/>
      <c r="HWY577" s="44"/>
      <c r="HWZ577" s="44"/>
      <c r="HXA577" s="44"/>
      <c r="HXB577" s="44"/>
      <c r="HXC577" s="44"/>
      <c r="HXD577" s="44"/>
      <c r="HXE577" s="44"/>
      <c r="HXF577" s="44"/>
      <c r="HXG577" s="44"/>
      <c r="HXH577" s="44"/>
      <c r="HXI577" s="44"/>
      <c r="HXJ577" s="44"/>
      <c r="HXK577" s="44"/>
      <c r="HXL577" s="44"/>
      <c r="HXM577" s="44"/>
      <c r="HXN577" s="44"/>
      <c r="HXO577" s="44"/>
      <c r="HXP577" s="44"/>
      <c r="HXQ577" s="44"/>
      <c r="HXR577" s="44"/>
      <c r="HXS577" s="44"/>
      <c r="HXT577" s="44"/>
      <c r="HXU577" s="44"/>
      <c r="HXV577" s="44"/>
      <c r="HXW577" s="44"/>
      <c r="HXX577" s="44"/>
      <c r="HXY577" s="44"/>
      <c r="HXZ577" s="44"/>
      <c r="HYA577" s="44"/>
      <c r="HYB577" s="44"/>
      <c r="HYC577" s="44"/>
      <c r="HYD577" s="44"/>
      <c r="HYE577" s="44"/>
      <c r="HYF577" s="44"/>
      <c r="HYG577" s="44"/>
      <c r="HYH577" s="44"/>
      <c r="HYI577" s="44"/>
      <c r="HYJ577" s="44"/>
      <c r="HYK577" s="44"/>
      <c r="HYL577" s="44"/>
      <c r="HYM577" s="44"/>
      <c r="HYN577" s="44"/>
      <c r="HYO577" s="44"/>
      <c r="HYP577" s="44"/>
      <c r="HYQ577" s="44"/>
      <c r="HYR577" s="44"/>
      <c r="HYS577" s="44"/>
      <c r="HYT577" s="44"/>
      <c r="HYU577" s="44"/>
      <c r="HYV577" s="44"/>
      <c r="HYW577" s="44"/>
      <c r="HYX577" s="44"/>
      <c r="HYY577" s="44"/>
      <c r="HYZ577" s="44"/>
      <c r="HZA577" s="44"/>
      <c r="HZB577" s="44"/>
      <c r="HZC577" s="44"/>
      <c r="HZD577" s="44"/>
      <c r="HZE577" s="44"/>
      <c r="HZF577" s="44"/>
      <c r="HZG577" s="44"/>
      <c r="HZH577" s="44"/>
      <c r="HZI577" s="44"/>
      <c r="HZJ577" s="44"/>
      <c r="HZK577" s="44"/>
      <c r="HZL577" s="44"/>
      <c r="HZM577" s="44"/>
      <c r="HZN577" s="44"/>
      <c r="HZO577" s="44"/>
      <c r="HZP577" s="44"/>
      <c r="HZQ577" s="44"/>
      <c r="HZR577" s="44"/>
      <c r="HZS577" s="44"/>
      <c r="HZT577" s="44"/>
      <c r="HZU577" s="44"/>
      <c r="HZV577" s="44"/>
      <c r="HZW577" s="44"/>
      <c r="HZX577" s="44"/>
      <c r="HZY577" s="44"/>
      <c r="HZZ577" s="44"/>
      <c r="IAA577" s="44"/>
      <c r="IAB577" s="44"/>
      <c r="IAC577" s="44"/>
      <c r="IAD577" s="44"/>
      <c r="IAE577" s="44"/>
      <c r="IAF577" s="44"/>
      <c r="IAG577" s="44"/>
      <c r="IAH577" s="44"/>
      <c r="IAI577" s="44"/>
      <c r="IAJ577" s="44"/>
      <c r="IAK577" s="44"/>
      <c r="IAL577" s="44"/>
      <c r="IAM577" s="44"/>
      <c r="IAN577" s="44"/>
      <c r="IAO577" s="44"/>
      <c r="IAP577" s="44"/>
      <c r="IAQ577" s="44"/>
      <c r="IAR577" s="44"/>
      <c r="IAS577" s="44"/>
      <c r="IAT577" s="44"/>
      <c r="IAU577" s="44"/>
      <c r="IAV577" s="44"/>
      <c r="IAW577" s="44"/>
      <c r="IAX577" s="44"/>
      <c r="IAY577" s="44"/>
      <c r="IAZ577" s="44"/>
      <c r="IBA577" s="44"/>
      <c r="IBB577" s="44"/>
      <c r="IBC577" s="44"/>
      <c r="IBD577" s="44"/>
      <c r="IBE577" s="44"/>
      <c r="IBF577" s="44"/>
      <c r="IBG577" s="44"/>
      <c r="IBH577" s="44"/>
      <c r="IBI577" s="44"/>
      <c r="IBJ577" s="44"/>
      <c r="IBK577" s="44"/>
      <c r="IBL577" s="44"/>
      <c r="IBM577" s="44"/>
      <c r="IBN577" s="44"/>
      <c r="IBO577" s="44"/>
      <c r="IBP577" s="44"/>
      <c r="IBQ577" s="44"/>
      <c r="IBR577" s="44"/>
      <c r="IBS577" s="44"/>
      <c r="IBT577" s="44"/>
      <c r="IBU577" s="44"/>
      <c r="IBV577" s="44"/>
      <c r="IBW577" s="44"/>
      <c r="IBX577" s="44"/>
      <c r="IBY577" s="44"/>
      <c r="IBZ577" s="44"/>
      <c r="ICA577" s="44"/>
      <c r="ICB577" s="44"/>
      <c r="ICC577" s="44"/>
      <c r="ICD577" s="44"/>
      <c r="ICE577" s="44"/>
      <c r="ICF577" s="44"/>
      <c r="ICG577" s="44"/>
      <c r="ICH577" s="44"/>
      <c r="ICI577" s="44"/>
      <c r="ICJ577" s="44"/>
      <c r="ICK577" s="44"/>
      <c r="ICL577" s="44"/>
      <c r="ICM577" s="44"/>
      <c r="ICN577" s="44"/>
      <c r="ICO577" s="44"/>
      <c r="ICP577" s="44"/>
      <c r="ICQ577" s="44"/>
      <c r="ICR577" s="44"/>
      <c r="ICS577" s="44"/>
      <c r="ICT577" s="44"/>
      <c r="ICU577" s="44"/>
      <c r="ICV577" s="44"/>
      <c r="ICW577" s="44"/>
      <c r="ICX577" s="44"/>
      <c r="ICY577" s="44"/>
      <c r="ICZ577" s="44"/>
      <c r="IDA577" s="44"/>
      <c r="IDB577" s="44"/>
      <c r="IDC577" s="44"/>
      <c r="IDD577" s="44"/>
      <c r="IDE577" s="44"/>
      <c r="IDF577" s="44"/>
      <c r="IDG577" s="44"/>
      <c r="IDH577" s="44"/>
      <c r="IDI577" s="44"/>
      <c r="IDJ577" s="44"/>
      <c r="IDK577" s="44"/>
      <c r="IDL577" s="44"/>
      <c r="IDM577" s="44"/>
      <c r="IDN577" s="44"/>
      <c r="IDO577" s="44"/>
      <c r="IDP577" s="44"/>
      <c r="IDQ577" s="44"/>
      <c r="IDR577" s="44"/>
      <c r="IDS577" s="44"/>
      <c r="IDT577" s="44"/>
      <c r="IDU577" s="44"/>
      <c r="IDV577" s="44"/>
      <c r="IDW577" s="44"/>
      <c r="IDX577" s="44"/>
      <c r="IDY577" s="44"/>
      <c r="IDZ577" s="44"/>
      <c r="IEA577" s="44"/>
      <c r="IEB577" s="44"/>
      <c r="IEC577" s="44"/>
      <c r="IED577" s="44"/>
      <c r="IEE577" s="44"/>
      <c r="IEF577" s="44"/>
      <c r="IEG577" s="44"/>
      <c r="IEH577" s="44"/>
      <c r="IEI577" s="44"/>
      <c r="IEJ577" s="44"/>
      <c r="IEK577" s="44"/>
      <c r="IEL577" s="44"/>
      <c r="IEM577" s="44"/>
      <c r="IEN577" s="44"/>
      <c r="IEO577" s="44"/>
      <c r="IEP577" s="44"/>
      <c r="IEQ577" s="44"/>
      <c r="IER577" s="44"/>
      <c r="IES577" s="44"/>
      <c r="IET577" s="44"/>
      <c r="IEU577" s="44"/>
      <c r="IEV577" s="44"/>
      <c r="IEW577" s="44"/>
      <c r="IEX577" s="44"/>
      <c r="IEY577" s="44"/>
      <c r="IEZ577" s="44"/>
      <c r="IFA577" s="44"/>
      <c r="IFB577" s="44"/>
      <c r="IFC577" s="44"/>
      <c r="IFD577" s="44"/>
      <c r="IFE577" s="44"/>
      <c r="IFF577" s="44"/>
      <c r="IFG577" s="44"/>
      <c r="IFH577" s="44"/>
      <c r="IFI577" s="44"/>
      <c r="IFJ577" s="44"/>
      <c r="IFK577" s="44"/>
      <c r="IFL577" s="44"/>
      <c r="IFM577" s="44"/>
      <c r="IFN577" s="44"/>
      <c r="IFO577" s="44"/>
      <c r="IFP577" s="44"/>
      <c r="IFQ577" s="44"/>
      <c r="IFR577" s="44"/>
      <c r="IFS577" s="44"/>
      <c r="IFT577" s="44"/>
      <c r="IFU577" s="44"/>
      <c r="IFV577" s="44"/>
      <c r="IFW577" s="44"/>
      <c r="IFX577" s="44"/>
      <c r="IFY577" s="44"/>
      <c r="IFZ577" s="44"/>
      <c r="IGA577" s="44"/>
      <c r="IGB577" s="44"/>
      <c r="IGC577" s="44"/>
      <c r="IGD577" s="44"/>
      <c r="IGE577" s="44"/>
      <c r="IGF577" s="44"/>
      <c r="IGG577" s="44"/>
      <c r="IGH577" s="44"/>
      <c r="IGI577" s="44"/>
      <c r="IGJ577" s="44"/>
      <c r="IGK577" s="44"/>
      <c r="IGL577" s="44"/>
      <c r="IGM577" s="44"/>
      <c r="IGN577" s="44"/>
      <c r="IGO577" s="44"/>
      <c r="IGP577" s="44"/>
      <c r="IGQ577" s="44"/>
      <c r="IGR577" s="44"/>
      <c r="IGS577" s="44"/>
      <c r="IGT577" s="44"/>
      <c r="IGU577" s="44"/>
      <c r="IGV577" s="44"/>
      <c r="IGW577" s="44"/>
      <c r="IGX577" s="44"/>
      <c r="IGY577" s="44"/>
      <c r="IGZ577" s="44"/>
      <c r="IHA577" s="44"/>
      <c r="IHB577" s="44"/>
      <c r="IHC577" s="44"/>
      <c r="IHD577" s="44"/>
      <c r="IHE577" s="44"/>
      <c r="IHF577" s="44"/>
      <c r="IHG577" s="44"/>
      <c r="IHH577" s="44"/>
      <c r="IHI577" s="44"/>
      <c r="IHJ577" s="44"/>
      <c r="IHK577" s="44"/>
      <c r="IHL577" s="44"/>
      <c r="IHM577" s="44"/>
      <c r="IHN577" s="44"/>
      <c r="IHO577" s="44"/>
      <c r="IHP577" s="44"/>
      <c r="IHQ577" s="44"/>
      <c r="IHR577" s="44"/>
      <c r="IHS577" s="44"/>
      <c r="IHT577" s="44"/>
      <c r="IHU577" s="44"/>
      <c r="IHV577" s="44"/>
      <c r="IHW577" s="44"/>
      <c r="IHX577" s="44"/>
      <c r="IHY577" s="44"/>
      <c r="IHZ577" s="44"/>
      <c r="IIA577" s="44"/>
      <c r="IIB577" s="44"/>
      <c r="IIC577" s="44"/>
      <c r="IID577" s="44"/>
      <c r="IIE577" s="44"/>
      <c r="IIF577" s="44"/>
      <c r="IIG577" s="44"/>
      <c r="IIH577" s="44"/>
      <c r="III577" s="44"/>
      <c r="IIJ577" s="44"/>
      <c r="IIK577" s="44"/>
      <c r="IIL577" s="44"/>
      <c r="IIM577" s="44"/>
      <c r="IIN577" s="44"/>
      <c r="IIO577" s="44"/>
      <c r="IIP577" s="44"/>
      <c r="IIQ577" s="44"/>
      <c r="IIR577" s="44"/>
      <c r="IIS577" s="44"/>
      <c r="IIT577" s="44"/>
      <c r="IIU577" s="44"/>
      <c r="IIV577" s="44"/>
      <c r="IIW577" s="44"/>
      <c r="IIX577" s="44"/>
      <c r="IIY577" s="44"/>
      <c r="IIZ577" s="44"/>
      <c r="IJA577" s="44"/>
      <c r="IJB577" s="44"/>
      <c r="IJC577" s="44"/>
      <c r="IJD577" s="44"/>
      <c r="IJE577" s="44"/>
      <c r="IJF577" s="44"/>
      <c r="IJG577" s="44"/>
      <c r="IJH577" s="44"/>
      <c r="IJI577" s="44"/>
      <c r="IJJ577" s="44"/>
      <c r="IJK577" s="44"/>
      <c r="IJL577" s="44"/>
      <c r="IJM577" s="44"/>
      <c r="IJN577" s="44"/>
      <c r="IJO577" s="44"/>
      <c r="IJP577" s="44"/>
      <c r="IJQ577" s="44"/>
      <c r="IJR577" s="44"/>
      <c r="IJS577" s="44"/>
      <c r="IJT577" s="44"/>
      <c r="IJU577" s="44"/>
      <c r="IJV577" s="44"/>
      <c r="IJW577" s="44"/>
      <c r="IJX577" s="44"/>
      <c r="IJY577" s="44"/>
      <c r="IJZ577" s="44"/>
      <c r="IKA577" s="44"/>
      <c r="IKB577" s="44"/>
      <c r="IKC577" s="44"/>
      <c r="IKD577" s="44"/>
      <c r="IKE577" s="44"/>
      <c r="IKF577" s="44"/>
      <c r="IKG577" s="44"/>
      <c r="IKH577" s="44"/>
      <c r="IKI577" s="44"/>
      <c r="IKJ577" s="44"/>
      <c r="IKK577" s="44"/>
      <c r="IKL577" s="44"/>
      <c r="IKM577" s="44"/>
      <c r="IKN577" s="44"/>
      <c r="IKO577" s="44"/>
      <c r="IKP577" s="44"/>
      <c r="IKQ577" s="44"/>
      <c r="IKR577" s="44"/>
      <c r="IKS577" s="44"/>
      <c r="IKT577" s="44"/>
      <c r="IKU577" s="44"/>
      <c r="IKV577" s="44"/>
      <c r="IKW577" s="44"/>
      <c r="IKX577" s="44"/>
      <c r="IKY577" s="44"/>
      <c r="IKZ577" s="44"/>
      <c r="ILA577" s="44"/>
      <c r="ILB577" s="44"/>
      <c r="ILC577" s="44"/>
      <c r="ILD577" s="44"/>
      <c r="ILE577" s="44"/>
      <c r="ILF577" s="44"/>
      <c r="ILG577" s="44"/>
      <c r="ILH577" s="44"/>
      <c r="ILI577" s="44"/>
      <c r="ILJ577" s="44"/>
      <c r="ILK577" s="44"/>
      <c r="ILL577" s="44"/>
      <c r="ILM577" s="44"/>
      <c r="ILN577" s="44"/>
      <c r="ILO577" s="44"/>
      <c r="ILP577" s="44"/>
      <c r="ILQ577" s="44"/>
      <c r="ILR577" s="44"/>
      <c r="ILS577" s="44"/>
      <c r="ILT577" s="44"/>
      <c r="ILU577" s="44"/>
      <c r="ILV577" s="44"/>
      <c r="ILW577" s="44"/>
      <c r="ILX577" s="44"/>
      <c r="ILY577" s="44"/>
      <c r="ILZ577" s="44"/>
      <c r="IMA577" s="44"/>
      <c r="IMB577" s="44"/>
      <c r="IMC577" s="44"/>
      <c r="IMD577" s="44"/>
      <c r="IME577" s="44"/>
      <c r="IMF577" s="44"/>
      <c r="IMG577" s="44"/>
      <c r="IMH577" s="44"/>
      <c r="IMI577" s="44"/>
      <c r="IMJ577" s="44"/>
      <c r="IMK577" s="44"/>
      <c r="IML577" s="44"/>
      <c r="IMM577" s="44"/>
      <c r="IMN577" s="44"/>
      <c r="IMO577" s="44"/>
      <c r="IMP577" s="44"/>
      <c r="IMQ577" s="44"/>
      <c r="IMR577" s="44"/>
      <c r="IMS577" s="44"/>
      <c r="IMT577" s="44"/>
      <c r="IMU577" s="44"/>
      <c r="IMV577" s="44"/>
      <c r="IMW577" s="44"/>
      <c r="IMX577" s="44"/>
      <c r="IMY577" s="44"/>
      <c r="IMZ577" s="44"/>
      <c r="INA577" s="44"/>
      <c r="INB577" s="44"/>
      <c r="INC577" s="44"/>
      <c r="IND577" s="44"/>
      <c r="INE577" s="44"/>
      <c r="INF577" s="44"/>
      <c r="ING577" s="44"/>
      <c r="INH577" s="44"/>
      <c r="INI577" s="44"/>
      <c r="INJ577" s="44"/>
      <c r="INK577" s="44"/>
      <c r="INL577" s="44"/>
      <c r="INM577" s="44"/>
      <c r="INN577" s="44"/>
      <c r="INO577" s="44"/>
      <c r="INP577" s="44"/>
      <c r="INQ577" s="44"/>
      <c r="INR577" s="44"/>
      <c r="INS577" s="44"/>
      <c r="INT577" s="44"/>
      <c r="INU577" s="44"/>
      <c r="INV577" s="44"/>
      <c r="INW577" s="44"/>
      <c r="INX577" s="44"/>
      <c r="INY577" s="44"/>
      <c r="INZ577" s="44"/>
      <c r="IOA577" s="44"/>
      <c r="IOB577" s="44"/>
      <c r="IOC577" s="44"/>
      <c r="IOD577" s="44"/>
      <c r="IOE577" s="44"/>
      <c r="IOF577" s="44"/>
      <c r="IOG577" s="44"/>
      <c r="IOH577" s="44"/>
      <c r="IOI577" s="44"/>
      <c r="IOJ577" s="44"/>
      <c r="IOK577" s="44"/>
      <c r="IOL577" s="44"/>
      <c r="IOM577" s="44"/>
      <c r="ION577" s="44"/>
      <c r="IOO577" s="44"/>
      <c r="IOP577" s="44"/>
      <c r="IOQ577" s="44"/>
      <c r="IOR577" s="44"/>
      <c r="IOS577" s="44"/>
      <c r="IOT577" s="44"/>
      <c r="IOU577" s="44"/>
      <c r="IOV577" s="44"/>
      <c r="IOW577" s="44"/>
      <c r="IOX577" s="44"/>
      <c r="IOY577" s="44"/>
      <c r="IOZ577" s="44"/>
      <c r="IPA577" s="44"/>
      <c r="IPB577" s="44"/>
      <c r="IPC577" s="44"/>
      <c r="IPD577" s="44"/>
      <c r="IPE577" s="44"/>
      <c r="IPF577" s="44"/>
      <c r="IPG577" s="44"/>
      <c r="IPH577" s="44"/>
      <c r="IPI577" s="44"/>
      <c r="IPJ577" s="44"/>
      <c r="IPK577" s="44"/>
      <c r="IPL577" s="44"/>
      <c r="IPM577" s="44"/>
      <c r="IPN577" s="44"/>
      <c r="IPO577" s="44"/>
      <c r="IPP577" s="44"/>
      <c r="IPQ577" s="44"/>
      <c r="IPR577" s="44"/>
      <c r="IPS577" s="44"/>
      <c r="IPT577" s="44"/>
      <c r="IPU577" s="44"/>
      <c r="IPV577" s="44"/>
      <c r="IPW577" s="44"/>
      <c r="IPX577" s="44"/>
      <c r="IPY577" s="44"/>
      <c r="IPZ577" s="44"/>
      <c r="IQA577" s="44"/>
      <c r="IQB577" s="44"/>
      <c r="IQC577" s="44"/>
      <c r="IQD577" s="44"/>
      <c r="IQE577" s="44"/>
      <c r="IQF577" s="44"/>
      <c r="IQG577" s="44"/>
      <c r="IQH577" s="44"/>
      <c r="IQI577" s="44"/>
      <c r="IQJ577" s="44"/>
      <c r="IQK577" s="44"/>
      <c r="IQL577" s="44"/>
      <c r="IQM577" s="44"/>
      <c r="IQN577" s="44"/>
      <c r="IQO577" s="44"/>
      <c r="IQP577" s="44"/>
      <c r="IQQ577" s="44"/>
      <c r="IQR577" s="44"/>
      <c r="IQS577" s="44"/>
      <c r="IQT577" s="44"/>
      <c r="IQU577" s="44"/>
      <c r="IQV577" s="44"/>
      <c r="IQW577" s="44"/>
      <c r="IQX577" s="44"/>
      <c r="IQY577" s="44"/>
      <c r="IQZ577" s="44"/>
      <c r="IRA577" s="44"/>
      <c r="IRB577" s="44"/>
      <c r="IRC577" s="44"/>
      <c r="IRD577" s="44"/>
      <c r="IRE577" s="44"/>
      <c r="IRF577" s="44"/>
      <c r="IRG577" s="44"/>
      <c r="IRH577" s="44"/>
      <c r="IRI577" s="44"/>
      <c r="IRJ577" s="44"/>
      <c r="IRK577" s="44"/>
      <c r="IRL577" s="44"/>
      <c r="IRM577" s="44"/>
      <c r="IRN577" s="44"/>
      <c r="IRO577" s="44"/>
      <c r="IRP577" s="44"/>
      <c r="IRQ577" s="44"/>
      <c r="IRR577" s="44"/>
      <c r="IRS577" s="44"/>
      <c r="IRT577" s="44"/>
      <c r="IRU577" s="44"/>
      <c r="IRV577" s="44"/>
      <c r="IRW577" s="44"/>
      <c r="IRX577" s="44"/>
      <c r="IRY577" s="44"/>
      <c r="IRZ577" s="44"/>
      <c r="ISA577" s="44"/>
      <c r="ISB577" s="44"/>
      <c r="ISC577" s="44"/>
      <c r="ISD577" s="44"/>
      <c r="ISE577" s="44"/>
      <c r="ISF577" s="44"/>
      <c r="ISG577" s="44"/>
      <c r="ISH577" s="44"/>
      <c r="ISI577" s="44"/>
      <c r="ISJ577" s="44"/>
      <c r="ISK577" s="44"/>
      <c r="ISL577" s="44"/>
      <c r="ISM577" s="44"/>
      <c r="ISN577" s="44"/>
      <c r="ISO577" s="44"/>
      <c r="ISP577" s="44"/>
      <c r="ISQ577" s="44"/>
      <c r="ISR577" s="44"/>
      <c r="ISS577" s="44"/>
      <c r="IST577" s="44"/>
      <c r="ISU577" s="44"/>
      <c r="ISV577" s="44"/>
      <c r="ISW577" s="44"/>
      <c r="ISX577" s="44"/>
      <c r="ISY577" s="44"/>
      <c r="ISZ577" s="44"/>
      <c r="ITA577" s="44"/>
      <c r="ITB577" s="44"/>
      <c r="ITC577" s="44"/>
      <c r="ITD577" s="44"/>
      <c r="ITE577" s="44"/>
      <c r="ITF577" s="44"/>
      <c r="ITG577" s="44"/>
      <c r="ITH577" s="44"/>
      <c r="ITI577" s="44"/>
      <c r="ITJ577" s="44"/>
      <c r="ITK577" s="44"/>
      <c r="ITL577" s="44"/>
      <c r="ITM577" s="44"/>
      <c r="ITN577" s="44"/>
      <c r="ITO577" s="44"/>
      <c r="ITP577" s="44"/>
      <c r="ITQ577" s="44"/>
      <c r="ITR577" s="44"/>
      <c r="ITS577" s="44"/>
      <c r="ITT577" s="44"/>
      <c r="ITU577" s="44"/>
      <c r="ITV577" s="44"/>
      <c r="ITW577" s="44"/>
      <c r="ITX577" s="44"/>
      <c r="ITY577" s="44"/>
      <c r="ITZ577" s="44"/>
      <c r="IUA577" s="44"/>
      <c r="IUB577" s="44"/>
      <c r="IUC577" s="44"/>
      <c r="IUD577" s="44"/>
      <c r="IUE577" s="44"/>
      <c r="IUF577" s="44"/>
      <c r="IUG577" s="44"/>
      <c r="IUH577" s="44"/>
      <c r="IUI577" s="44"/>
      <c r="IUJ577" s="44"/>
      <c r="IUK577" s="44"/>
      <c r="IUL577" s="44"/>
      <c r="IUM577" s="44"/>
      <c r="IUN577" s="44"/>
      <c r="IUO577" s="44"/>
      <c r="IUP577" s="44"/>
      <c r="IUQ577" s="44"/>
      <c r="IUR577" s="44"/>
      <c r="IUS577" s="44"/>
      <c r="IUT577" s="44"/>
      <c r="IUU577" s="44"/>
      <c r="IUV577" s="44"/>
      <c r="IUW577" s="44"/>
      <c r="IUX577" s="44"/>
      <c r="IUY577" s="44"/>
      <c r="IUZ577" s="44"/>
      <c r="IVA577" s="44"/>
      <c r="IVB577" s="44"/>
      <c r="IVC577" s="44"/>
      <c r="IVD577" s="44"/>
      <c r="IVE577" s="44"/>
      <c r="IVF577" s="44"/>
      <c r="IVG577" s="44"/>
      <c r="IVH577" s="44"/>
      <c r="IVI577" s="44"/>
      <c r="IVJ577" s="44"/>
      <c r="IVK577" s="44"/>
      <c r="IVL577" s="44"/>
      <c r="IVM577" s="44"/>
      <c r="IVN577" s="44"/>
      <c r="IVO577" s="44"/>
      <c r="IVP577" s="44"/>
      <c r="IVQ577" s="44"/>
      <c r="IVR577" s="44"/>
      <c r="IVS577" s="44"/>
      <c r="IVT577" s="44"/>
      <c r="IVU577" s="44"/>
      <c r="IVV577" s="44"/>
      <c r="IVW577" s="44"/>
      <c r="IVX577" s="44"/>
      <c r="IVY577" s="44"/>
      <c r="IVZ577" s="44"/>
      <c r="IWA577" s="44"/>
      <c r="IWB577" s="44"/>
      <c r="IWC577" s="44"/>
      <c r="IWD577" s="44"/>
      <c r="IWE577" s="44"/>
      <c r="IWF577" s="44"/>
      <c r="IWG577" s="44"/>
      <c r="IWH577" s="44"/>
      <c r="IWI577" s="44"/>
      <c r="IWJ577" s="44"/>
      <c r="IWK577" s="44"/>
      <c r="IWL577" s="44"/>
      <c r="IWM577" s="44"/>
      <c r="IWN577" s="44"/>
      <c r="IWO577" s="44"/>
      <c r="IWP577" s="44"/>
      <c r="IWQ577" s="44"/>
      <c r="IWR577" s="44"/>
      <c r="IWS577" s="44"/>
      <c r="IWT577" s="44"/>
      <c r="IWU577" s="44"/>
      <c r="IWV577" s="44"/>
      <c r="IWW577" s="44"/>
      <c r="IWX577" s="44"/>
      <c r="IWY577" s="44"/>
      <c r="IWZ577" s="44"/>
      <c r="IXA577" s="44"/>
      <c r="IXB577" s="44"/>
      <c r="IXC577" s="44"/>
      <c r="IXD577" s="44"/>
      <c r="IXE577" s="44"/>
      <c r="IXF577" s="44"/>
      <c r="IXG577" s="44"/>
      <c r="IXH577" s="44"/>
      <c r="IXI577" s="44"/>
      <c r="IXJ577" s="44"/>
      <c r="IXK577" s="44"/>
      <c r="IXL577" s="44"/>
      <c r="IXM577" s="44"/>
      <c r="IXN577" s="44"/>
      <c r="IXO577" s="44"/>
      <c r="IXP577" s="44"/>
      <c r="IXQ577" s="44"/>
      <c r="IXR577" s="44"/>
      <c r="IXS577" s="44"/>
      <c r="IXT577" s="44"/>
      <c r="IXU577" s="44"/>
      <c r="IXV577" s="44"/>
      <c r="IXW577" s="44"/>
      <c r="IXX577" s="44"/>
      <c r="IXY577" s="44"/>
      <c r="IXZ577" s="44"/>
      <c r="IYA577" s="44"/>
      <c r="IYB577" s="44"/>
      <c r="IYC577" s="44"/>
      <c r="IYD577" s="44"/>
      <c r="IYE577" s="44"/>
      <c r="IYF577" s="44"/>
      <c r="IYG577" s="44"/>
      <c r="IYH577" s="44"/>
      <c r="IYI577" s="44"/>
      <c r="IYJ577" s="44"/>
      <c r="IYK577" s="44"/>
      <c r="IYL577" s="44"/>
      <c r="IYM577" s="44"/>
      <c r="IYN577" s="44"/>
      <c r="IYO577" s="44"/>
      <c r="IYP577" s="44"/>
      <c r="IYQ577" s="44"/>
      <c r="IYR577" s="44"/>
      <c r="IYS577" s="44"/>
      <c r="IYT577" s="44"/>
      <c r="IYU577" s="44"/>
      <c r="IYV577" s="44"/>
      <c r="IYW577" s="44"/>
      <c r="IYX577" s="44"/>
      <c r="IYY577" s="44"/>
      <c r="IYZ577" s="44"/>
      <c r="IZA577" s="44"/>
      <c r="IZB577" s="44"/>
      <c r="IZC577" s="44"/>
      <c r="IZD577" s="44"/>
      <c r="IZE577" s="44"/>
      <c r="IZF577" s="44"/>
      <c r="IZG577" s="44"/>
      <c r="IZH577" s="44"/>
      <c r="IZI577" s="44"/>
      <c r="IZJ577" s="44"/>
      <c r="IZK577" s="44"/>
      <c r="IZL577" s="44"/>
      <c r="IZM577" s="44"/>
      <c r="IZN577" s="44"/>
      <c r="IZO577" s="44"/>
      <c r="IZP577" s="44"/>
      <c r="IZQ577" s="44"/>
      <c r="IZR577" s="44"/>
      <c r="IZS577" s="44"/>
      <c r="IZT577" s="44"/>
      <c r="IZU577" s="44"/>
      <c r="IZV577" s="44"/>
      <c r="IZW577" s="44"/>
      <c r="IZX577" s="44"/>
      <c r="IZY577" s="44"/>
      <c r="IZZ577" s="44"/>
      <c r="JAA577" s="44"/>
      <c r="JAB577" s="44"/>
      <c r="JAC577" s="44"/>
      <c r="JAD577" s="44"/>
      <c r="JAE577" s="44"/>
      <c r="JAF577" s="44"/>
      <c r="JAG577" s="44"/>
      <c r="JAH577" s="44"/>
      <c r="JAI577" s="44"/>
      <c r="JAJ577" s="44"/>
      <c r="JAK577" s="44"/>
      <c r="JAL577" s="44"/>
      <c r="JAM577" s="44"/>
      <c r="JAN577" s="44"/>
      <c r="JAO577" s="44"/>
      <c r="JAP577" s="44"/>
      <c r="JAQ577" s="44"/>
      <c r="JAR577" s="44"/>
      <c r="JAS577" s="44"/>
      <c r="JAT577" s="44"/>
      <c r="JAU577" s="44"/>
      <c r="JAV577" s="44"/>
      <c r="JAW577" s="44"/>
      <c r="JAX577" s="44"/>
      <c r="JAY577" s="44"/>
      <c r="JAZ577" s="44"/>
      <c r="JBA577" s="44"/>
      <c r="JBB577" s="44"/>
      <c r="JBC577" s="44"/>
      <c r="JBD577" s="44"/>
      <c r="JBE577" s="44"/>
      <c r="JBF577" s="44"/>
      <c r="JBG577" s="44"/>
      <c r="JBH577" s="44"/>
      <c r="JBI577" s="44"/>
      <c r="JBJ577" s="44"/>
      <c r="JBK577" s="44"/>
      <c r="JBL577" s="44"/>
      <c r="JBM577" s="44"/>
      <c r="JBN577" s="44"/>
      <c r="JBO577" s="44"/>
      <c r="JBP577" s="44"/>
      <c r="JBQ577" s="44"/>
      <c r="JBR577" s="44"/>
      <c r="JBS577" s="44"/>
      <c r="JBT577" s="44"/>
      <c r="JBU577" s="44"/>
      <c r="JBV577" s="44"/>
      <c r="JBW577" s="44"/>
      <c r="JBX577" s="44"/>
      <c r="JBY577" s="44"/>
      <c r="JBZ577" s="44"/>
      <c r="JCA577" s="44"/>
      <c r="JCB577" s="44"/>
      <c r="JCC577" s="44"/>
      <c r="JCD577" s="44"/>
      <c r="JCE577" s="44"/>
      <c r="JCF577" s="44"/>
      <c r="JCG577" s="44"/>
      <c r="JCH577" s="44"/>
      <c r="JCI577" s="44"/>
      <c r="JCJ577" s="44"/>
      <c r="JCK577" s="44"/>
      <c r="JCL577" s="44"/>
      <c r="JCM577" s="44"/>
      <c r="JCN577" s="44"/>
      <c r="JCO577" s="44"/>
      <c r="JCP577" s="44"/>
      <c r="JCQ577" s="44"/>
      <c r="JCR577" s="44"/>
      <c r="JCS577" s="44"/>
      <c r="JCT577" s="44"/>
      <c r="JCU577" s="44"/>
      <c r="JCV577" s="44"/>
      <c r="JCW577" s="44"/>
      <c r="JCX577" s="44"/>
      <c r="JCY577" s="44"/>
      <c r="JCZ577" s="44"/>
      <c r="JDA577" s="44"/>
      <c r="JDB577" s="44"/>
      <c r="JDC577" s="44"/>
      <c r="JDD577" s="44"/>
      <c r="JDE577" s="44"/>
      <c r="JDF577" s="44"/>
      <c r="JDG577" s="44"/>
      <c r="JDH577" s="44"/>
      <c r="JDI577" s="44"/>
      <c r="JDJ577" s="44"/>
      <c r="JDK577" s="44"/>
      <c r="JDL577" s="44"/>
      <c r="JDM577" s="44"/>
      <c r="JDN577" s="44"/>
      <c r="JDO577" s="44"/>
      <c r="JDP577" s="44"/>
      <c r="JDQ577" s="44"/>
      <c r="JDR577" s="44"/>
      <c r="JDS577" s="44"/>
      <c r="JDT577" s="44"/>
      <c r="JDU577" s="44"/>
      <c r="JDV577" s="44"/>
      <c r="JDW577" s="44"/>
      <c r="JDX577" s="44"/>
      <c r="JDY577" s="44"/>
      <c r="JDZ577" s="44"/>
      <c r="JEA577" s="44"/>
      <c r="JEB577" s="44"/>
      <c r="JEC577" s="44"/>
      <c r="JED577" s="44"/>
      <c r="JEE577" s="44"/>
      <c r="JEF577" s="44"/>
      <c r="JEG577" s="44"/>
      <c r="JEH577" s="44"/>
      <c r="JEI577" s="44"/>
      <c r="JEJ577" s="44"/>
      <c r="JEK577" s="44"/>
      <c r="JEL577" s="44"/>
      <c r="JEM577" s="44"/>
      <c r="JEN577" s="44"/>
      <c r="JEO577" s="44"/>
      <c r="JEP577" s="44"/>
      <c r="JEQ577" s="44"/>
      <c r="JER577" s="44"/>
      <c r="JES577" s="44"/>
      <c r="JET577" s="44"/>
      <c r="JEU577" s="44"/>
      <c r="JEV577" s="44"/>
      <c r="JEW577" s="44"/>
      <c r="JEX577" s="44"/>
      <c r="JEY577" s="44"/>
      <c r="JEZ577" s="44"/>
      <c r="JFA577" s="44"/>
      <c r="JFB577" s="44"/>
      <c r="JFC577" s="44"/>
      <c r="JFD577" s="44"/>
      <c r="JFE577" s="44"/>
      <c r="JFF577" s="44"/>
      <c r="JFG577" s="44"/>
      <c r="JFH577" s="44"/>
      <c r="JFI577" s="44"/>
      <c r="JFJ577" s="44"/>
      <c r="JFK577" s="44"/>
      <c r="JFL577" s="44"/>
      <c r="JFM577" s="44"/>
      <c r="JFN577" s="44"/>
      <c r="JFO577" s="44"/>
      <c r="JFP577" s="44"/>
      <c r="JFQ577" s="44"/>
      <c r="JFR577" s="44"/>
      <c r="JFS577" s="44"/>
      <c r="JFT577" s="44"/>
      <c r="JFU577" s="44"/>
      <c r="JFV577" s="44"/>
      <c r="JFW577" s="44"/>
      <c r="JFX577" s="44"/>
      <c r="JFY577" s="44"/>
      <c r="JFZ577" s="44"/>
      <c r="JGA577" s="44"/>
      <c r="JGB577" s="44"/>
      <c r="JGC577" s="44"/>
      <c r="JGD577" s="44"/>
      <c r="JGE577" s="44"/>
      <c r="JGF577" s="44"/>
      <c r="JGG577" s="44"/>
      <c r="JGH577" s="44"/>
      <c r="JGI577" s="44"/>
      <c r="JGJ577" s="44"/>
      <c r="JGK577" s="44"/>
      <c r="JGL577" s="44"/>
      <c r="JGM577" s="44"/>
      <c r="JGN577" s="44"/>
      <c r="JGO577" s="44"/>
      <c r="JGP577" s="44"/>
      <c r="JGQ577" s="44"/>
      <c r="JGR577" s="44"/>
      <c r="JGS577" s="44"/>
      <c r="JGT577" s="44"/>
      <c r="JGU577" s="44"/>
      <c r="JGV577" s="44"/>
      <c r="JGW577" s="44"/>
      <c r="JGX577" s="44"/>
      <c r="JGY577" s="44"/>
      <c r="JGZ577" s="44"/>
      <c r="JHA577" s="44"/>
      <c r="JHB577" s="44"/>
      <c r="JHC577" s="44"/>
      <c r="JHD577" s="44"/>
      <c r="JHE577" s="44"/>
      <c r="JHF577" s="44"/>
      <c r="JHG577" s="44"/>
      <c r="JHH577" s="44"/>
      <c r="JHI577" s="44"/>
      <c r="JHJ577" s="44"/>
      <c r="JHK577" s="44"/>
      <c r="JHL577" s="44"/>
      <c r="JHM577" s="44"/>
      <c r="JHN577" s="44"/>
      <c r="JHO577" s="44"/>
      <c r="JHP577" s="44"/>
      <c r="JHQ577" s="44"/>
      <c r="JHR577" s="44"/>
      <c r="JHS577" s="44"/>
      <c r="JHT577" s="44"/>
      <c r="JHU577" s="44"/>
      <c r="JHV577" s="44"/>
      <c r="JHW577" s="44"/>
      <c r="JHX577" s="44"/>
      <c r="JHY577" s="44"/>
      <c r="JHZ577" s="44"/>
      <c r="JIA577" s="44"/>
      <c r="JIB577" s="44"/>
      <c r="JIC577" s="44"/>
      <c r="JID577" s="44"/>
      <c r="JIE577" s="44"/>
      <c r="JIF577" s="44"/>
      <c r="JIG577" s="44"/>
      <c r="JIH577" s="44"/>
      <c r="JII577" s="44"/>
      <c r="JIJ577" s="44"/>
      <c r="JIK577" s="44"/>
      <c r="JIL577" s="44"/>
      <c r="JIM577" s="44"/>
      <c r="JIN577" s="44"/>
      <c r="JIO577" s="44"/>
      <c r="JIP577" s="44"/>
      <c r="JIQ577" s="44"/>
      <c r="JIR577" s="44"/>
      <c r="JIS577" s="44"/>
      <c r="JIT577" s="44"/>
      <c r="JIU577" s="44"/>
      <c r="JIV577" s="44"/>
      <c r="JIW577" s="44"/>
      <c r="JIX577" s="44"/>
      <c r="JIY577" s="44"/>
      <c r="JIZ577" s="44"/>
      <c r="JJA577" s="44"/>
      <c r="JJB577" s="44"/>
      <c r="JJC577" s="44"/>
      <c r="JJD577" s="44"/>
      <c r="JJE577" s="44"/>
      <c r="JJF577" s="44"/>
      <c r="JJG577" s="44"/>
      <c r="JJH577" s="44"/>
      <c r="JJI577" s="44"/>
      <c r="JJJ577" s="44"/>
      <c r="JJK577" s="44"/>
      <c r="JJL577" s="44"/>
      <c r="JJM577" s="44"/>
      <c r="JJN577" s="44"/>
      <c r="JJO577" s="44"/>
      <c r="JJP577" s="44"/>
      <c r="JJQ577" s="44"/>
      <c r="JJR577" s="44"/>
      <c r="JJS577" s="44"/>
      <c r="JJT577" s="44"/>
      <c r="JJU577" s="44"/>
      <c r="JJV577" s="44"/>
      <c r="JJW577" s="44"/>
      <c r="JJX577" s="44"/>
      <c r="JJY577" s="44"/>
      <c r="JJZ577" s="44"/>
      <c r="JKA577" s="44"/>
      <c r="JKB577" s="44"/>
      <c r="JKC577" s="44"/>
      <c r="JKD577" s="44"/>
      <c r="JKE577" s="44"/>
      <c r="JKF577" s="44"/>
      <c r="JKG577" s="44"/>
      <c r="JKH577" s="44"/>
      <c r="JKI577" s="44"/>
      <c r="JKJ577" s="44"/>
      <c r="JKK577" s="44"/>
      <c r="JKL577" s="44"/>
      <c r="JKM577" s="44"/>
      <c r="JKN577" s="44"/>
      <c r="JKO577" s="44"/>
      <c r="JKP577" s="44"/>
      <c r="JKQ577" s="44"/>
      <c r="JKR577" s="44"/>
      <c r="JKS577" s="44"/>
      <c r="JKT577" s="44"/>
      <c r="JKU577" s="44"/>
      <c r="JKV577" s="44"/>
      <c r="JKW577" s="44"/>
      <c r="JKX577" s="44"/>
      <c r="JKY577" s="44"/>
      <c r="JKZ577" s="44"/>
      <c r="JLA577" s="44"/>
      <c r="JLB577" s="44"/>
      <c r="JLC577" s="44"/>
      <c r="JLD577" s="44"/>
      <c r="JLE577" s="44"/>
      <c r="JLF577" s="44"/>
      <c r="JLG577" s="44"/>
      <c r="JLH577" s="44"/>
      <c r="JLI577" s="44"/>
      <c r="JLJ577" s="44"/>
      <c r="JLK577" s="44"/>
      <c r="JLL577" s="44"/>
      <c r="JLM577" s="44"/>
      <c r="JLN577" s="44"/>
      <c r="JLO577" s="44"/>
      <c r="JLP577" s="44"/>
      <c r="JLQ577" s="44"/>
      <c r="JLR577" s="44"/>
      <c r="JLS577" s="44"/>
      <c r="JLT577" s="44"/>
      <c r="JLU577" s="44"/>
      <c r="JLV577" s="44"/>
      <c r="JLW577" s="44"/>
      <c r="JLX577" s="44"/>
      <c r="JLY577" s="44"/>
      <c r="JLZ577" s="44"/>
      <c r="JMA577" s="44"/>
      <c r="JMB577" s="44"/>
      <c r="JMC577" s="44"/>
      <c r="JMD577" s="44"/>
      <c r="JME577" s="44"/>
      <c r="JMF577" s="44"/>
      <c r="JMG577" s="44"/>
      <c r="JMH577" s="44"/>
      <c r="JMI577" s="44"/>
      <c r="JMJ577" s="44"/>
      <c r="JMK577" s="44"/>
      <c r="JML577" s="44"/>
      <c r="JMM577" s="44"/>
      <c r="JMN577" s="44"/>
      <c r="JMO577" s="44"/>
      <c r="JMP577" s="44"/>
      <c r="JMQ577" s="44"/>
      <c r="JMR577" s="44"/>
      <c r="JMS577" s="44"/>
      <c r="JMT577" s="44"/>
      <c r="JMU577" s="44"/>
      <c r="JMV577" s="44"/>
      <c r="JMW577" s="44"/>
      <c r="JMX577" s="44"/>
      <c r="JMY577" s="44"/>
      <c r="JMZ577" s="44"/>
      <c r="JNA577" s="44"/>
      <c r="JNB577" s="44"/>
      <c r="JNC577" s="44"/>
      <c r="JND577" s="44"/>
      <c r="JNE577" s="44"/>
      <c r="JNF577" s="44"/>
      <c r="JNG577" s="44"/>
      <c r="JNH577" s="44"/>
      <c r="JNI577" s="44"/>
      <c r="JNJ577" s="44"/>
      <c r="JNK577" s="44"/>
      <c r="JNL577" s="44"/>
      <c r="JNM577" s="44"/>
      <c r="JNN577" s="44"/>
      <c r="JNO577" s="44"/>
      <c r="JNP577" s="44"/>
      <c r="JNQ577" s="44"/>
      <c r="JNR577" s="44"/>
      <c r="JNS577" s="44"/>
      <c r="JNT577" s="44"/>
      <c r="JNU577" s="44"/>
      <c r="JNV577" s="44"/>
      <c r="JNW577" s="44"/>
      <c r="JNX577" s="44"/>
      <c r="JNY577" s="44"/>
      <c r="JNZ577" s="44"/>
      <c r="JOA577" s="44"/>
      <c r="JOB577" s="44"/>
      <c r="JOC577" s="44"/>
      <c r="JOD577" s="44"/>
      <c r="JOE577" s="44"/>
      <c r="JOF577" s="44"/>
      <c r="JOG577" s="44"/>
      <c r="JOH577" s="44"/>
      <c r="JOI577" s="44"/>
      <c r="JOJ577" s="44"/>
      <c r="JOK577" s="44"/>
      <c r="JOL577" s="44"/>
      <c r="JOM577" s="44"/>
      <c r="JON577" s="44"/>
      <c r="JOO577" s="44"/>
      <c r="JOP577" s="44"/>
      <c r="JOQ577" s="44"/>
      <c r="JOR577" s="44"/>
      <c r="JOS577" s="44"/>
      <c r="JOT577" s="44"/>
      <c r="JOU577" s="44"/>
      <c r="JOV577" s="44"/>
      <c r="JOW577" s="44"/>
      <c r="JOX577" s="44"/>
      <c r="JOY577" s="44"/>
      <c r="JOZ577" s="44"/>
      <c r="JPA577" s="44"/>
      <c r="JPB577" s="44"/>
      <c r="JPC577" s="44"/>
      <c r="JPD577" s="44"/>
      <c r="JPE577" s="44"/>
      <c r="JPF577" s="44"/>
      <c r="JPG577" s="44"/>
      <c r="JPH577" s="44"/>
      <c r="JPI577" s="44"/>
      <c r="JPJ577" s="44"/>
      <c r="JPK577" s="44"/>
      <c r="JPL577" s="44"/>
      <c r="JPM577" s="44"/>
      <c r="JPN577" s="44"/>
      <c r="JPO577" s="44"/>
      <c r="JPP577" s="44"/>
      <c r="JPQ577" s="44"/>
      <c r="JPR577" s="44"/>
      <c r="JPS577" s="44"/>
      <c r="JPT577" s="44"/>
      <c r="JPU577" s="44"/>
      <c r="JPV577" s="44"/>
      <c r="JPW577" s="44"/>
      <c r="JPX577" s="44"/>
      <c r="JPY577" s="44"/>
      <c r="JPZ577" s="44"/>
      <c r="JQA577" s="44"/>
      <c r="JQB577" s="44"/>
      <c r="JQC577" s="44"/>
      <c r="JQD577" s="44"/>
      <c r="JQE577" s="44"/>
      <c r="JQF577" s="44"/>
      <c r="JQG577" s="44"/>
      <c r="JQH577" s="44"/>
      <c r="JQI577" s="44"/>
      <c r="JQJ577" s="44"/>
      <c r="JQK577" s="44"/>
      <c r="JQL577" s="44"/>
      <c r="JQM577" s="44"/>
      <c r="JQN577" s="44"/>
      <c r="JQO577" s="44"/>
      <c r="JQP577" s="44"/>
      <c r="JQQ577" s="44"/>
      <c r="JQR577" s="44"/>
      <c r="JQS577" s="44"/>
      <c r="JQT577" s="44"/>
      <c r="JQU577" s="44"/>
      <c r="JQV577" s="44"/>
      <c r="JQW577" s="44"/>
      <c r="JQX577" s="44"/>
      <c r="JQY577" s="44"/>
      <c r="JQZ577" s="44"/>
      <c r="JRA577" s="44"/>
      <c r="JRB577" s="44"/>
      <c r="JRC577" s="44"/>
      <c r="JRD577" s="44"/>
      <c r="JRE577" s="44"/>
      <c r="JRF577" s="44"/>
      <c r="JRG577" s="44"/>
      <c r="JRH577" s="44"/>
      <c r="JRI577" s="44"/>
      <c r="JRJ577" s="44"/>
      <c r="JRK577" s="44"/>
      <c r="JRL577" s="44"/>
      <c r="JRM577" s="44"/>
      <c r="JRN577" s="44"/>
      <c r="JRO577" s="44"/>
      <c r="JRP577" s="44"/>
      <c r="JRQ577" s="44"/>
      <c r="JRR577" s="44"/>
      <c r="JRS577" s="44"/>
      <c r="JRT577" s="44"/>
      <c r="JRU577" s="44"/>
      <c r="JRV577" s="44"/>
      <c r="JRW577" s="44"/>
      <c r="JRX577" s="44"/>
      <c r="JRY577" s="44"/>
      <c r="JRZ577" s="44"/>
      <c r="JSA577" s="44"/>
      <c r="JSB577" s="44"/>
      <c r="JSC577" s="44"/>
      <c r="JSD577" s="44"/>
      <c r="JSE577" s="44"/>
      <c r="JSF577" s="44"/>
      <c r="JSG577" s="44"/>
      <c r="JSH577" s="44"/>
      <c r="JSI577" s="44"/>
      <c r="JSJ577" s="44"/>
      <c r="JSK577" s="44"/>
      <c r="JSL577" s="44"/>
      <c r="JSM577" s="44"/>
      <c r="JSN577" s="44"/>
      <c r="JSO577" s="44"/>
      <c r="JSP577" s="44"/>
      <c r="JSQ577" s="44"/>
      <c r="JSR577" s="44"/>
      <c r="JSS577" s="44"/>
      <c r="JST577" s="44"/>
      <c r="JSU577" s="44"/>
      <c r="JSV577" s="44"/>
      <c r="JSW577" s="44"/>
      <c r="JSX577" s="44"/>
      <c r="JSY577" s="44"/>
      <c r="JSZ577" s="44"/>
      <c r="JTA577" s="44"/>
      <c r="JTB577" s="44"/>
      <c r="JTC577" s="44"/>
      <c r="JTD577" s="44"/>
      <c r="JTE577" s="44"/>
      <c r="JTF577" s="44"/>
      <c r="JTG577" s="44"/>
      <c r="JTH577" s="44"/>
      <c r="JTI577" s="44"/>
      <c r="JTJ577" s="44"/>
      <c r="JTK577" s="44"/>
      <c r="JTL577" s="44"/>
      <c r="JTM577" s="44"/>
      <c r="JTN577" s="44"/>
      <c r="JTO577" s="44"/>
      <c r="JTP577" s="44"/>
      <c r="JTQ577" s="44"/>
      <c r="JTR577" s="44"/>
      <c r="JTS577" s="44"/>
      <c r="JTT577" s="44"/>
      <c r="JTU577" s="44"/>
      <c r="JTV577" s="44"/>
      <c r="JTW577" s="44"/>
      <c r="JTX577" s="44"/>
      <c r="JTY577" s="44"/>
      <c r="JTZ577" s="44"/>
      <c r="JUA577" s="44"/>
      <c r="JUB577" s="44"/>
      <c r="JUC577" s="44"/>
      <c r="JUD577" s="44"/>
      <c r="JUE577" s="44"/>
      <c r="JUF577" s="44"/>
      <c r="JUG577" s="44"/>
      <c r="JUH577" s="44"/>
      <c r="JUI577" s="44"/>
      <c r="JUJ577" s="44"/>
      <c r="JUK577" s="44"/>
      <c r="JUL577" s="44"/>
      <c r="JUM577" s="44"/>
      <c r="JUN577" s="44"/>
      <c r="JUO577" s="44"/>
      <c r="JUP577" s="44"/>
      <c r="JUQ577" s="44"/>
      <c r="JUR577" s="44"/>
      <c r="JUS577" s="44"/>
      <c r="JUT577" s="44"/>
      <c r="JUU577" s="44"/>
      <c r="JUV577" s="44"/>
      <c r="JUW577" s="44"/>
      <c r="JUX577" s="44"/>
      <c r="JUY577" s="44"/>
      <c r="JUZ577" s="44"/>
      <c r="JVA577" s="44"/>
      <c r="JVB577" s="44"/>
      <c r="JVC577" s="44"/>
      <c r="JVD577" s="44"/>
      <c r="JVE577" s="44"/>
      <c r="JVF577" s="44"/>
      <c r="JVG577" s="44"/>
      <c r="JVH577" s="44"/>
      <c r="JVI577" s="44"/>
      <c r="JVJ577" s="44"/>
      <c r="JVK577" s="44"/>
      <c r="JVL577" s="44"/>
      <c r="JVM577" s="44"/>
      <c r="JVN577" s="44"/>
      <c r="JVO577" s="44"/>
      <c r="JVP577" s="44"/>
      <c r="JVQ577" s="44"/>
      <c r="JVR577" s="44"/>
      <c r="JVS577" s="44"/>
      <c r="JVT577" s="44"/>
      <c r="JVU577" s="44"/>
      <c r="JVV577" s="44"/>
      <c r="JVW577" s="44"/>
      <c r="JVX577" s="44"/>
      <c r="JVY577" s="44"/>
      <c r="JVZ577" s="44"/>
      <c r="JWA577" s="44"/>
      <c r="JWB577" s="44"/>
      <c r="JWC577" s="44"/>
      <c r="JWD577" s="44"/>
      <c r="JWE577" s="44"/>
      <c r="JWF577" s="44"/>
      <c r="JWG577" s="44"/>
      <c r="JWH577" s="44"/>
      <c r="JWI577" s="44"/>
      <c r="JWJ577" s="44"/>
      <c r="JWK577" s="44"/>
      <c r="JWL577" s="44"/>
      <c r="JWM577" s="44"/>
      <c r="JWN577" s="44"/>
      <c r="JWO577" s="44"/>
      <c r="JWP577" s="44"/>
      <c r="JWQ577" s="44"/>
      <c r="JWR577" s="44"/>
      <c r="JWS577" s="44"/>
      <c r="JWT577" s="44"/>
      <c r="JWU577" s="44"/>
      <c r="JWV577" s="44"/>
      <c r="JWW577" s="44"/>
      <c r="JWX577" s="44"/>
      <c r="JWY577" s="44"/>
      <c r="JWZ577" s="44"/>
      <c r="JXA577" s="44"/>
      <c r="JXB577" s="44"/>
      <c r="JXC577" s="44"/>
      <c r="JXD577" s="44"/>
      <c r="JXE577" s="44"/>
      <c r="JXF577" s="44"/>
      <c r="JXG577" s="44"/>
      <c r="JXH577" s="44"/>
      <c r="JXI577" s="44"/>
      <c r="JXJ577" s="44"/>
      <c r="JXK577" s="44"/>
      <c r="JXL577" s="44"/>
      <c r="JXM577" s="44"/>
      <c r="JXN577" s="44"/>
      <c r="JXO577" s="44"/>
      <c r="JXP577" s="44"/>
      <c r="JXQ577" s="44"/>
      <c r="JXR577" s="44"/>
      <c r="JXS577" s="44"/>
      <c r="JXT577" s="44"/>
      <c r="JXU577" s="44"/>
      <c r="JXV577" s="44"/>
      <c r="JXW577" s="44"/>
      <c r="JXX577" s="44"/>
      <c r="JXY577" s="44"/>
      <c r="JXZ577" s="44"/>
      <c r="JYA577" s="44"/>
      <c r="JYB577" s="44"/>
      <c r="JYC577" s="44"/>
      <c r="JYD577" s="44"/>
      <c r="JYE577" s="44"/>
      <c r="JYF577" s="44"/>
      <c r="JYG577" s="44"/>
      <c r="JYH577" s="44"/>
      <c r="JYI577" s="44"/>
      <c r="JYJ577" s="44"/>
      <c r="JYK577" s="44"/>
      <c r="JYL577" s="44"/>
      <c r="JYM577" s="44"/>
      <c r="JYN577" s="44"/>
      <c r="JYO577" s="44"/>
      <c r="JYP577" s="44"/>
      <c r="JYQ577" s="44"/>
      <c r="JYR577" s="44"/>
      <c r="JYS577" s="44"/>
      <c r="JYT577" s="44"/>
      <c r="JYU577" s="44"/>
      <c r="JYV577" s="44"/>
      <c r="JYW577" s="44"/>
      <c r="JYX577" s="44"/>
      <c r="JYY577" s="44"/>
      <c r="JYZ577" s="44"/>
      <c r="JZA577" s="44"/>
      <c r="JZB577" s="44"/>
      <c r="JZC577" s="44"/>
      <c r="JZD577" s="44"/>
      <c r="JZE577" s="44"/>
      <c r="JZF577" s="44"/>
      <c r="JZG577" s="44"/>
      <c r="JZH577" s="44"/>
      <c r="JZI577" s="44"/>
      <c r="JZJ577" s="44"/>
      <c r="JZK577" s="44"/>
      <c r="JZL577" s="44"/>
      <c r="JZM577" s="44"/>
      <c r="JZN577" s="44"/>
      <c r="JZO577" s="44"/>
      <c r="JZP577" s="44"/>
      <c r="JZQ577" s="44"/>
      <c r="JZR577" s="44"/>
      <c r="JZS577" s="44"/>
      <c r="JZT577" s="44"/>
      <c r="JZU577" s="44"/>
      <c r="JZV577" s="44"/>
      <c r="JZW577" s="44"/>
      <c r="JZX577" s="44"/>
      <c r="JZY577" s="44"/>
      <c r="JZZ577" s="44"/>
      <c r="KAA577" s="44"/>
      <c r="KAB577" s="44"/>
      <c r="KAC577" s="44"/>
      <c r="KAD577" s="44"/>
      <c r="KAE577" s="44"/>
      <c r="KAF577" s="44"/>
      <c r="KAG577" s="44"/>
      <c r="KAH577" s="44"/>
      <c r="KAI577" s="44"/>
      <c r="KAJ577" s="44"/>
      <c r="KAK577" s="44"/>
      <c r="KAL577" s="44"/>
      <c r="KAM577" s="44"/>
      <c r="KAN577" s="44"/>
      <c r="KAO577" s="44"/>
      <c r="KAP577" s="44"/>
      <c r="KAQ577" s="44"/>
      <c r="KAR577" s="44"/>
      <c r="KAS577" s="44"/>
      <c r="KAT577" s="44"/>
      <c r="KAU577" s="44"/>
      <c r="KAV577" s="44"/>
      <c r="KAW577" s="44"/>
      <c r="KAX577" s="44"/>
      <c r="KAY577" s="44"/>
      <c r="KAZ577" s="44"/>
      <c r="KBA577" s="44"/>
      <c r="KBB577" s="44"/>
      <c r="KBC577" s="44"/>
      <c r="KBD577" s="44"/>
      <c r="KBE577" s="44"/>
      <c r="KBF577" s="44"/>
      <c r="KBG577" s="44"/>
      <c r="KBH577" s="44"/>
      <c r="KBI577" s="44"/>
      <c r="KBJ577" s="44"/>
      <c r="KBK577" s="44"/>
      <c r="KBL577" s="44"/>
      <c r="KBM577" s="44"/>
      <c r="KBN577" s="44"/>
      <c r="KBO577" s="44"/>
      <c r="KBP577" s="44"/>
      <c r="KBQ577" s="44"/>
      <c r="KBR577" s="44"/>
      <c r="KBS577" s="44"/>
      <c r="KBT577" s="44"/>
      <c r="KBU577" s="44"/>
      <c r="KBV577" s="44"/>
      <c r="KBW577" s="44"/>
      <c r="KBX577" s="44"/>
      <c r="KBY577" s="44"/>
      <c r="KBZ577" s="44"/>
      <c r="KCA577" s="44"/>
      <c r="KCB577" s="44"/>
      <c r="KCC577" s="44"/>
      <c r="KCD577" s="44"/>
      <c r="KCE577" s="44"/>
      <c r="KCF577" s="44"/>
      <c r="KCG577" s="44"/>
      <c r="KCH577" s="44"/>
      <c r="KCI577" s="44"/>
      <c r="KCJ577" s="44"/>
      <c r="KCK577" s="44"/>
      <c r="KCL577" s="44"/>
      <c r="KCM577" s="44"/>
      <c r="KCN577" s="44"/>
      <c r="KCO577" s="44"/>
      <c r="KCP577" s="44"/>
      <c r="KCQ577" s="44"/>
      <c r="KCR577" s="44"/>
      <c r="KCS577" s="44"/>
      <c r="KCT577" s="44"/>
      <c r="KCU577" s="44"/>
      <c r="KCV577" s="44"/>
      <c r="KCW577" s="44"/>
      <c r="KCX577" s="44"/>
      <c r="KCY577" s="44"/>
      <c r="KCZ577" s="44"/>
      <c r="KDA577" s="44"/>
      <c r="KDB577" s="44"/>
      <c r="KDC577" s="44"/>
      <c r="KDD577" s="44"/>
      <c r="KDE577" s="44"/>
      <c r="KDF577" s="44"/>
      <c r="KDG577" s="44"/>
      <c r="KDH577" s="44"/>
      <c r="KDI577" s="44"/>
      <c r="KDJ577" s="44"/>
      <c r="KDK577" s="44"/>
      <c r="KDL577" s="44"/>
      <c r="KDM577" s="44"/>
      <c r="KDN577" s="44"/>
      <c r="KDO577" s="44"/>
      <c r="KDP577" s="44"/>
      <c r="KDQ577" s="44"/>
      <c r="KDR577" s="44"/>
      <c r="KDS577" s="44"/>
      <c r="KDT577" s="44"/>
      <c r="KDU577" s="44"/>
      <c r="KDV577" s="44"/>
      <c r="KDW577" s="44"/>
      <c r="KDX577" s="44"/>
      <c r="KDY577" s="44"/>
      <c r="KDZ577" s="44"/>
      <c r="KEA577" s="44"/>
      <c r="KEB577" s="44"/>
      <c r="KEC577" s="44"/>
      <c r="KED577" s="44"/>
      <c r="KEE577" s="44"/>
      <c r="KEF577" s="44"/>
      <c r="KEG577" s="44"/>
      <c r="KEH577" s="44"/>
      <c r="KEI577" s="44"/>
      <c r="KEJ577" s="44"/>
      <c r="KEK577" s="44"/>
      <c r="KEL577" s="44"/>
      <c r="KEM577" s="44"/>
      <c r="KEN577" s="44"/>
      <c r="KEO577" s="44"/>
      <c r="KEP577" s="44"/>
      <c r="KEQ577" s="44"/>
      <c r="KER577" s="44"/>
      <c r="KES577" s="44"/>
      <c r="KET577" s="44"/>
      <c r="KEU577" s="44"/>
      <c r="KEV577" s="44"/>
      <c r="KEW577" s="44"/>
      <c r="KEX577" s="44"/>
      <c r="KEY577" s="44"/>
      <c r="KEZ577" s="44"/>
      <c r="KFA577" s="44"/>
      <c r="KFB577" s="44"/>
      <c r="KFC577" s="44"/>
      <c r="KFD577" s="44"/>
      <c r="KFE577" s="44"/>
      <c r="KFF577" s="44"/>
      <c r="KFG577" s="44"/>
      <c r="KFH577" s="44"/>
      <c r="KFI577" s="44"/>
      <c r="KFJ577" s="44"/>
      <c r="KFK577" s="44"/>
      <c r="KFL577" s="44"/>
      <c r="KFM577" s="44"/>
      <c r="KFN577" s="44"/>
      <c r="KFO577" s="44"/>
      <c r="KFP577" s="44"/>
      <c r="KFQ577" s="44"/>
      <c r="KFR577" s="44"/>
      <c r="KFS577" s="44"/>
      <c r="KFT577" s="44"/>
      <c r="KFU577" s="44"/>
      <c r="KFV577" s="44"/>
      <c r="KFW577" s="44"/>
      <c r="KFX577" s="44"/>
      <c r="KFY577" s="44"/>
      <c r="KFZ577" s="44"/>
      <c r="KGA577" s="44"/>
      <c r="KGB577" s="44"/>
      <c r="KGC577" s="44"/>
      <c r="KGD577" s="44"/>
      <c r="KGE577" s="44"/>
      <c r="KGF577" s="44"/>
      <c r="KGG577" s="44"/>
      <c r="KGH577" s="44"/>
      <c r="KGI577" s="44"/>
      <c r="KGJ577" s="44"/>
      <c r="KGK577" s="44"/>
      <c r="KGL577" s="44"/>
      <c r="KGM577" s="44"/>
      <c r="KGN577" s="44"/>
      <c r="KGO577" s="44"/>
      <c r="KGP577" s="44"/>
      <c r="KGQ577" s="44"/>
      <c r="KGR577" s="44"/>
      <c r="KGS577" s="44"/>
      <c r="KGT577" s="44"/>
      <c r="KGU577" s="44"/>
      <c r="KGV577" s="44"/>
      <c r="KGW577" s="44"/>
      <c r="KGX577" s="44"/>
      <c r="KGY577" s="44"/>
      <c r="KGZ577" s="44"/>
      <c r="KHA577" s="44"/>
      <c r="KHB577" s="44"/>
      <c r="KHC577" s="44"/>
      <c r="KHD577" s="44"/>
      <c r="KHE577" s="44"/>
      <c r="KHF577" s="44"/>
      <c r="KHG577" s="44"/>
      <c r="KHH577" s="44"/>
      <c r="KHI577" s="44"/>
      <c r="KHJ577" s="44"/>
      <c r="KHK577" s="44"/>
      <c r="KHL577" s="44"/>
      <c r="KHM577" s="44"/>
      <c r="KHN577" s="44"/>
      <c r="KHO577" s="44"/>
      <c r="KHP577" s="44"/>
      <c r="KHQ577" s="44"/>
      <c r="KHR577" s="44"/>
      <c r="KHS577" s="44"/>
      <c r="KHT577" s="44"/>
      <c r="KHU577" s="44"/>
      <c r="KHV577" s="44"/>
      <c r="KHW577" s="44"/>
      <c r="KHX577" s="44"/>
      <c r="KHY577" s="44"/>
      <c r="KHZ577" s="44"/>
      <c r="KIA577" s="44"/>
      <c r="KIB577" s="44"/>
      <c r="KIC577" s="44"/>
      <c r="KID577" s="44"/>
      <c r="KIE577" s="44"/>
      <c r="KIF577" s="44"/>
      <c r="KIG577" s="44"/>
      <c r="KIH577" s="44"/>
      <c r="KII577" s="44"/>
      <c r="KIJ577" s="44"/>
      <c r="KIK577" s="44"/>
      <c r="KIL577" s="44"/>
      <c r="KIM577" s="44"/>
      <c r="KIN577" s="44"/>
      <c r="KIO577" s="44"/>
      <c r="KIP577" s="44"/>
      <c r="KIQ577" s="44"/>
      <c r="KIR577" s="44"/>
      <c r="KIS577" s="44"/>
      <c r="KIT577" s="44"/>
      <c r="KIU577" s="44"/>
      <c r="KIV577" s="44"/>
      <c r="KIW577" s="44"/>
      <c r="KIX577" s="44"/>
      <c r="KIY577" s="44"/>
      <c r="KIZ577" s="44"/>
      <c r="KJA577" s="44"/>
      <c r="KJB577" s="44"/>
      <c r="KJC577" s="44"/>
      <c r="KJD577" s="44"/>
      <c r="KJE577" s="44"/>
      <c r="KJF577" s="44"/>
      <c r="KJG577" s="44"/>
      <c r="KJH577" s="44"/>
      <c r="KJI577" s="44"/>
      <c r="KJJ577" s="44"/>
      <c r="KJK577" s="44"/>
      <c r="KJL577" s="44"/>
      <c r="KJM577" s="44"/>
      <c r="KJN577" s="44"/>
      <c r="KJO577" s="44"/>
      <c r="KJP577" s="44"/>
      <c r="KJQ577" s="44"/>
      <c r="KJR577" s="44"/>
      <c r="KJS577" s="44"/>
      <c r="KJT577" s="44"/>
      <c r="KJU577" s="44"/>
      <c r="KJV577" s="44"/>
      <c r="KJW577" s="44"/>
      <c r="KJX577" s="44"/>
      <c r="KJY577" s="44"/>
      <c r="KJZ577" s="44"/>
      <c r="KKA577" s="44"/>
      <c r="KKB577" s="44"/>
      <c r="KKC577" s="44"/>
      <c r="KKD577" s="44"/>
      <c r="KKE577" s="44"/>
      <c r="KKF577" s="44"/>
      <c r="KKG577" s="44"/>
      <c r="KKH577" s="44"/>
      <c r="KKI577" s="44"/>
      <c r="KKJ577" s="44"/>
      <c r="KKK577" s="44"/>
      <c r="KKL577" s="44"/>
      <c r="KKM577" s="44"/>
      <c r="KKN577" s="44"/>
      <c r="KKO577" s="44"/>
      <c r="KKP577" s="44"/>
      <c r="KKQ577" s="44"/>
      <c r="KKR577" s="44"/>
      <c r="KKS577" s="44"/>
      <c r="KKT577" s="44"/>
      <c r="KKU577" s="44"/>
      <c r="KKV577" s="44"/>
      <c r="KKW577" s="44"/>
      <c r="KKX577" s="44"/>
      <c r="KKY577" s="44"/>
      <c r="KKZ577" s="44"/>
      <c r="KLA577" s="44"/>
      <c r="KLB577" s="44"/>
      <c r="KLC577" s="44"/>
      <c r="KLD577" s="44"/>
      <c r="KLE577" s="44"/>
      <c r="KLF577" s="44"/>
      <c r="KLG577" s="44"/>
      <c r="KLH577" s="44"/>
      <c r="KLI577" s="44"/>
      <c r="KLJ577" s="44"/>
      <c r="KLK577" s="44"/>
      <c r="KLL577" s="44"/>
      <c r="KLM577" s="44"/>
      <c r="KLN577" s="44"/>
      <c r="KLO577" s="44"/>
      <c r="KLP577" s="44"/>
      <c r="KLQ577" s="44"/>
      <c r="KLR577" s="44"/>
      <c r="KLS577" s="44"/>
      <c r="KLT577" s="44"/>
      <c r="KLU577" s="44"/>
      <c r="KLV577" s="44"/>
      <c r="KLW577" s="44"/>
      <c r="KLX577" s="44"/>
      <c r="KLY577" s="44"/>
      <c r="KLZ577" s="44"/>
      <c r="KMA577" s="44"/>
      <c r="KMB577" s="44"/>
      <c r="KMC577" s="44"/>
      <c r="KMD577" s="44"/>
      <c r="KME577" s="44"/>
      <c r="KMF577" s="44"/>
      <c r="KMG577" s="44"/>
      <c r="KMH577" s="44"/>
      <c r="KMI577" s="44"/>
      <c r="KMJ577" s="44"/>
      <c r="KMK577" s="44"/>
      <c r="KML577" s="44"/>
      <c r="KMM577" s="44"/>
      <c r="KMN577" s="44"/>
      <c r="KMO577" s="44"/>
      <c r="KMP577" s="44"/>
      <c r="KMQ577" s="44"/>
      <c r="KMR577" s="44"/>
      <c r="KMS577" s="44"/>
      <c r="KMT577" s="44"/>
      <c r="KMU577" s="44"/>
      <c r="KMV577" s="44"/>
      <c r="KMW577" s="44"/>
      <c r="KMX577" s="44"/>
      <c r="KMY577" s="44"/>
      <c r="KMZ577" s="44"/>
      <c r="KNA577" s="44"/>
      <c r="KNB577" s="44"/>
      <c r="KNC577" s="44"/>
      <c r="KND577" s="44"/>
      <c r="KNE577" s="44"/>
      <c r="KNF577" s="44"/>
      <c r="KNG577" s="44"/>
      <c r="KNH577" s="44"/>
      <c r="KNI577" s="44"/>
      <c r="KNJ577" s="44"/>
      <c r="KNK577" s="44"/>
      <c r="KNL577" s="44"/>
      <c r="KNM577" s="44"/>
      <c r="KNN577" s="44"/>
      <c r="KNO577" s="44"/>
      <c r="KNP577" s="44"/>
      <c r="KNQ577" s="44"/>
      <c r="KNR577" s="44"/>
      <c r="KNS577" s="44"/>
      <c r="KNT577" s="44"/>
      <c r="KNU577" s="44"/>
      <c r="KNV577" s="44"/>
      <c r="KNW577" s="44"/>
      <c r="KNX577" s="44"/>
      <c r="KNY577" s="44"/>
      <c r="KNZ577" s="44"/>
      <c r="KOA577" s="44"/>
      <c r="KOB577" s="44"/>
      <c r="KOC577" s="44"/>
      <c r="KOD577" s="44"/>
      <c r="KOE577" s="44"/>
      <c r="KOF577" s="44"/>
      <c r="KOG577" s="44"/>
      <c r="KOH577" s="44"/>
      <c r="KOI577" s="44"/>
      <c r="KOJ577" s="44"/>
      <c r="KOK577" s="44"/>
      <c r="KOL577" s="44"/>
      <c r="KOM577" s="44"/>
      <c r="KON577" s="44"/>
      <c r="KOO577" s="44"/>
      <c r="KOP577" s="44"/>
      <c r="KOQ577" s="44"/>
      <c r="KOR577" s="44"/>
      <c r="KOS577" s="44"/>
      <c r="KOT577" s="44"/>
      <c r="KOU577" s="44"/>
      <c r="KOV577" s="44"/>
      <c r="KOW577" s="44"/>
      <c r="KOX577" s="44"/>
      <c r="KOY577" s="44"/>
      <c r="KOZ577" s="44"/>
      <c r="KPA577" s="44"/>
      <c r="KPB577" s="44"/>
      <c r="KPC577" s="44"/>
      <c r="KPD577" s="44"/>
      <c r="KPE577" s="44"/>
      <c r="KPF577" s="44"/>
      <c r="KPG577" s="44"/>
      <c r="KPH577" s="44"/>
      <c r="KPI577" s="44"/>
      <c r="KPJ577" s="44"/>
      <c r="KPK577" s="44"/>
      <c r="KPL577" s="44"/>
      <c r="KPM577" s="44"/>
      <c r="KPN577" s="44"/>
      <c r="KPO577" s="44"/>
      <c r="KPP577" s="44"/>
      <c r="KPQ577" s="44"/>
      <c r="KPR577" s="44"/>
      <c r="KPS577" s="44"/>
      <c r="KPT577" s="44"/>
      <c r="KPU577" s="44"/>
      <c r="KPV577" s="44"/>
      <c r="KPW577" s="44"/>
      <c r="KPX577" s="44"/>
      <c r="KPY577" s="44"/>
      <c r="KPZ577" s="44"/>
      <c r="KQA577" s="44"/>
      <c r="KQB577" s="44"/>
      <c r="KQC577" s="44"/>
      <c r="KQD577" s="44"/>
      <c r="KQE577" s="44"/>
      <c r="KQF577" s="44"/>
      <c r="KQG577" s="44"/>
      <c r="KQH577" s="44"/>
      <c r="KQI577" s="44"/>
      <c r="KQJ577" s="44"/>
      <c r="KQK577" s="44"/>
      <c r="KQL577" s="44"/>
      <c r="KQM577" s="44"/>
      <c r="KQN577" s="44"/>
      <c r="KQO577" s="44"/>
      <c r="KQP577" s="44"/>
      <c r="KQQ577" s="44"/>
      <c r="KQR577" s="44"/>
      <c r="KQS577" s="44"/>
      <c r="KQT577" s="44"/>
      <c r="KQU577" s="44"/>
      <c r="KQV577" s="44"/>
      <c r="KQW577" s="44"/>
      <c r="KQX577" s="44"/>
      <c r="KQY577" s="44"/>
      <c r="KQZ577" s="44"/>
      <c r="KRA577" s="44"/>
      <c r="KRB577" s="44"/>
      <c r="KRC577" s="44"/>
      <c r="KRD577" s="44"/>
      <c r="KRE577" s="44"/>
      <c r="KRF577" s="44"/>
      <c r="KRG577" s="44"/>
      <c r="KRH577" s="44"/>
      <c r="KRI577" s="44"/>
      <c r="KRJ577" s="44"/>
      <c r="KRK577" s="44"/>
      <c r="KRL577" s="44"/>
      <c r="KRM577" s="44"/>
      <c r="KRN577" s="44"/>
      <c r="KRO577" s="44"/>
      <c r="KRP577" s="44"/>
      <c r="KRQ577" s="44"/>
      <c r="KRR577" s="44"/>
      <c r="KRS577" s="44"/>
      <c r="KRT577" s="44"/>
      <c r="KRU577" s="44"/>
      <c r="KRV577" s="44"/>
      <c r="KRW577" s="44"/>
      <c r="KRX577" s="44"/>
      <c r="KRY577" s="44"/>
      <c r="KRZ577" s="44"/>
      <c r="KSA577" s="44"/>
      <c r="KSB577" s="44"/>
      <c r="KSC577" s="44"/>
      <c r="KSD577" s="44"/>
      <c r="KSE577" s="44"/>
      <c r="KSF577" s="44"/>
      <c r="KSG577" s="44"/>
      <c r="KSH577" s="44"/>
      <c r="KSI577" s="44"/>
      <c r="KSJ577" s="44"/>
      <c r="KSK577" s="44"/>
      <c r="KSL577" s="44"/>
      <c r="KSM577" s="44"/>
      <c r="KSN577" s="44"/>
      <c r="KSO577" s="44"/>
      <c r="KSP577" s="44"/>
      <c r="KSQ577" s="44"/>
      <c r="KSR577" s="44"/>
      <c r="KSS577" s="44"/>
      <c r="KST577" s="44"/>
      <c r="KSU577" s="44"/>
      <c r="KSV577" s="44"/>
      <c r="KSW577" s="44"/>
      <c r="KSX577" s="44"/>
      <c r="KSY577" s="44"/>
      <c r="KSZ577" s="44"/>
      <c r="KTA577" s="44"/>
      <c r="KTB577" s="44"/>
      <c r="KTC577" s="44"/>
      <c r="KTD577" s="44"/>
      <c r="KTE577" s="44"/>
      <c r="KTF577" s="44"/>
      <c r="KTG577" s="44"/>
      <c r="KTH577" s="44"/>
      <c r="KTI577" s="44"/>
      <c r="KTJ577" s="44"/>
      <c r="KTK577" s="44"/>
      <c r="KTL577" s="44"/>
      <c r="KTM577" s="44"/>
      <c r="KTN577" s="44"/>
      <c r="KTO577" s="44"/>
      <c r="KTP577" s="44"/>
      <c r="KTQ577" s="44"/>
      <c r="KTR577" s="44"/>
      <c r="KTS577" s="44"/>
      <c r="KTT577" s="44"/>
      <c r="KTU577" s="44"/>
      <c r="KTV577" s="44"/>
      <c r="KTW577" s="44"/>
      <c r="KTX577" s="44"/>
      <c r="KTY577" s="44"/>
      <c r="KTZ577" s="44"/>
      <c r="KUA577" s="44"/>
      <c r="KUB577" s="44"/>
      <c r="KUC577" s="44"/>
      <c r="KUD577" s="44"/>
      <c r="KUE577" s="44"/>
      <c r="KUF577" s="44"/>
      <c r="KUG577" s="44"/>
      <c r="KUH577" s="44"/>
      <c r="KUI577" s="44"/>
      <c r="KUJ577" s="44"/>
      <c r="KUK577" s="44"/>
      <c r="KUL577" s="44"/>
      <c r="KUM577" s="44"/>
      <c r="KUN577" s="44"/>
      <c r="KUO577" s="44"/>
      <c r="KUP577" s="44"/>
      <c r="KUQ577" s="44"/>
      <c r="KUR577" s="44"/>
      <c r="KUS577" s="44"/>
      <c r="KUT577" s="44"/>
      <c r="KUU577" s="44"/>
      <c r="KUV577" s="44"/>
      <c r="KUW577" s="44"/>
      <c r="KUX577" s="44"/>
      <c r="KUY577" s="44"/>
      <c r="KUZ577" s="44"/>
      <c r="KVA577" s="44"/>
      <c r="KVB577" s="44"/>
      <c r="KVC577" s="44"/>
      <c r="KVD577" s="44"/>
      <c r="KVE577" s="44"/>
      <c r="KVF577" s="44"/>
      <c r="KVG577" s="44"/>
      <c r="KVH577" s="44"/>
      <c r="KVI577" s="44"/>
      <c r="KVJ577" s="44"/>
      <c r="KVK577" s="44"/>
      <c r="KVL577" s="44"/>
      <c r="KVM577" s="44"/>
      <c r="KVN577" s="44"/>
      <c r="KVO577" s="44"/>
      <c r="KVP577" s="44"/>
      <c r="KVQ577" s="44"/>
      <c r="KVR577" s="44"/>
      <c r="KVS577" s="44"/>
      <c r="KVT577" s="44"/>
      <c r="KVU577" s="44"/>
      <c r="KVV577" s="44"/>
      <c r="KVW577" s="44"/>
      <c r="KVX577" s="44"/>
      <c r="KVY577" s="44"/>
      <c r="KVZ577" s="44"/>
      <c r="KWA577" s="44"/>
      <c r="KWB577" s="44"/>
      <c r="KWC577" s="44"/>
      <c r="KWD577" s="44"/>
      <c r="KWE577" s="44"/>
      <c r="KWF577" s="44"/>
      <c r="KWG577" s="44"/>
      <c r="KWH577" s="44"/>
      <c r="KWI577" s="44"/>
      <c r="KWJ577" s="44"/>
      <c r="KWK577" s="44"/>
      <c r="KWL577" s="44"/>
      <c r="KWM577" s="44"/>
      <c r="KWN577" s="44"/>
      <c r="KWO577" s="44"/>
      <c r="KWP577" s="44"/>
      <c r="KWQ577" s="44"/>
      <c r="KWR577" s="44"/>
      <c r="KWS577" s="44"/>
      <c r="KWT577" s="44"/>
      <c r="KWU577" s="44"/>
      <c r="KWV577" s="44"/>
      <c r="KWW577" s="44"/>
      <c r="KWX577" s="44"/>
      <c r="KWY577" s="44"/>
      <c r="KWZ577" s="44"/>
      <c r="KXA577" s="44"/>
      <c r="KXB577" s="44"/>
      <c r="KXC577" s="44"/>
      <c r="KXD577" s="44"/>
      <c r="KXE577" s="44"/>
      <c r="KXF577" s="44"/>
      <c r="KXG577" s="44"/>
      <c r="KXH577" s="44"/>
      <c r="KXI577" s="44"/>
      <c r="KXJ577" s="44"/>
      <c r="KXK577" s="44"/>
      <c r="KXL577" s="44"/>
      <c r="KXM577" s="44"/>
      <c r="KXN577" s="44"/>
      <c r="KXO577" s="44"/>
      <c r="KXP577" s="44"/>
      <c r="KXQ577" s="44"/>
      <c r="KXR577" s="44"/>
      <c r="KXS577" s="44"/>
      <c r="KXT577" s="44"/>
      <c r="KXU577" s="44"/>
      <c r="KXV577" s="44"/>
      <c r="KXW577" s="44"/>
      <c r="KXX577" s="44"/>
      <c r="KXY577" s="44"/>
      <c r="KXZ577" s="44"/>
      <c r="KYA577" s="44"/>
      <c r="KYB577" s="44"/>
      <c r="KYC577" s="44"/>
      <c r="KYD577" s="44"/>
      <c r="KYE577" s="44"/>
      <c r="KYF577" s="44"/>
      <c r="KYG577" s="44"/>
      <c r="KYH577" s="44"/>
      <c r="KYI577" s="44"/>
      <c r="KYJ577" s="44"/>
      <c r="KYK577" s="44"/>
      <c r="KYL577" s="44"/>
      <c r="KYM577" s="44"/>
      <c r="KYN577" s="44"/>
      <c r="KYO577" s="44"/>
      <c r="KYP577" s="44"/>
      <c r="KYQ577" s="44"/>
      <c r="KYR577" s="44"/>
      <c r="KYS577" s="44"/>
      <c r="KYT577" s="44"/>
      <c r="KYU577" s="44"/>
      <c r="KYV577" s="44"/>
      <c r="KYW577" s="44"/>
      <c r="KYX577" s="44"/>
      <c r="KYY577" s="44"/>
      <c r="KYZ577" s="44"/>
      <c r="KZA577" s="44"/>
      <c r="KZB577" s="44"/>
      <c r="KZC577" s="44"/>
      <c r="KZD577" s="44"/>
      <c r="KZE577" s="44"/>
      <c r="KZF577" s="44"/>
      <c r="KZG577" s="44"/>
      <c r="KZH577" s="44"/>
      <c r="KZI577" s="44"/>
      <c r="KZJ577" s="44"/>
      <c r="KZK577" s="44"/>
      <c r="KZL577" s="44"/>
      <c r="KZM577" s="44"/>
      <c r="KZN577" s="44"/>
      <c r="KZO577" s="44"/>
      <c r="KZP577" s="44"/>
      <c r="KZQ577" s="44"/>
      <c r="KZR577" s="44"/>
      <c r="KZS577" s="44"/>
      <c r="KZT577" s="44"/>
      <c r="KZU577" s="44"/>
      <c r="KZV577" s="44"/>
      <c r="KZW577" s="44"/>
      <c r="KZX577" s="44"/>
      <c r="KZY577" s="44"/>
      <c r="KZZ577" s="44"/>
      <c r="LAA577" s="44"/>
      <c r="LAB577" s="44"/>
      <c r="LAC577" s="44"/>
      <c r="LAD577" s="44"/>
      <c r="LAE577" s="44"/>
      <c r="LAF577" s="44"/>
      <c r="LAG577" s="44"/>
      <c r="LAH577" s="44"/>
      <c r="LAI577" s="44"/>
      <c r="LAJ577" s="44"/>
      <c r="LAK577" s="44"/>
      <c r="LAL577" s="44"/>
      <c r="LAM577" s="44"/>
      <c r="LAN577" s="44"/>
      <c r="LAO577" s="44"/>
      <c r="LAP577" s="44"/>
      <c r="LAQ577" s="44"/>
      <c r="LAR577" s="44"/>
      <c r="LAS577" s="44"/>
      <c r="LAT577" s="44"/>
      <c r="LAU577" s="44"/>
      <c r="LAV577" s="44"/>
      <c r="LAW577" s="44"/>
      <c r="LAX577" s="44"/>
      <c r="LAY577" s="44"/>
      <c r="LAZ577" s="44"/>
      <c r="LBA577" s="44"/>
      <c r="LBB577" s="44"/>
      <c r="LBC577" s="44"/>
      <c r="LBD577" s="44"/>
      <c r="LBE577" s="44"/>
      <c r="LBF577" s="44"/>
      <c r="LBG577" s="44"/>
      <c r="LBH577" s="44"/>
      <c r="LBI577" s="44"/>
      <c r="LBJ577" s="44"/>
      <c r="LBK577" s="44"/>
      <c r="LBL577" s="44"/>
      <c r="LBM577" s="44"/>
      <c r="LBN577" s="44"/>
      <c r="LBO577" s="44"/>
      <c r="LBP577" s="44"/>
      <c r="LBQ577" s="44"/>
      <c r="LBR577" s="44"/>
      <c r="LBS577" s="44"/>
      <c r="LBT577" s="44"/>
      <c r="LBU577" s="44"/>
      <c r="LBV577" s="44"/>
      <c r="LBW577" s="44"/>
      <c r="LBX577" s="44"/>
      <c r="LBY577" s="44"/>
      <c r="LBZ577" s="44"/>
      <c r="LCA577" s="44"/>
      <c r="LCB577" s="44"/>
      <c r="LCC577" s="44"/>
      <c r="LCD577" s="44"/>
      <c r="LCE577" s="44"/>
      <c r="LCF577" s="44"/>
      <c r="LCG577" s="44"/>
      <c r="LCH577" s="44"/>
      <c r="LCI577" s="44"/>
      <c r="LCJ577" s="44"/>
      <c r="LCK577" s="44"/>
      <c r="LCL577" s="44"/>
      <c r="LCM577" s="44"/>
      <c r="LCN577" s="44"/>
      <c r="LCO577" s="44"/>
      <c r="LCP577" s="44"/>
      <c r="LCQ577" s="44"/>
      <c r="LCR577" s="44"/>
      <c r="LCS577" s="44"/>
      <c r="LCT577" s="44"/>
      <c r="LCU577" s="44"/>
      <c r="LCV577" s="44"/>
      <c r="LCW577" s="44"/>
      <c r="LCX577" s="44"/>
      <c r="LCY577" s="44"/>
      <c r="LCZ577" s="44"/>
      <c r="LDA577" s="44"/>
      <c r="LDB577" s="44"/>
      <c r="LDC577" s="44"/>
      <c r="LDD577" s="44"/>
      <c r="LDE577" s="44"/>
      <c r="LDF577" s="44"/>
      <c r="LDG577" s="44"/>
      <c r="LDH577" s="44"/>
      <c r="LDI577" s="44"/>
      <c r="LDJ577" s="44"/>
      <c r="LDK577" s="44"/>
      <c r="LDL577" s="44"/>
      <c r="LDM577" s="44"/>
      <c r="LDN577" s="44"/>
      <c r="LDO577" s="44"/>
      <c r="LDP577" s="44"/>
      <c r="LDQ577" s="44"/>
      <c r="LDR577" s="44"/>
      <c r="LDS577" s="44"/>
      <c r="LDT577" s="44"/>
      <c r="LDU577" s="44"/>
      <c r="LDV577" s="44"/>
      <c r="LDW577" s="44"/>
      <c r="LDX577" s="44"/>
      <c r="LDY577" s="44"/>
      <c r="LDZ577" s="44"/>
      <c r="LEA577" s="44"/>
      <c r="LEB577" s="44"/>
      <c r="LEC577" s="44"/>
      <c r="LED577" s="44"/>
      <c r="LEE577" s="44"/>
      <c r="LEF577" s="44"/>
      <c r="LEG577" s="44"/>
      <c r="LEH577" s="44"/>
      <c r="LEI577" s="44"/>
      <c r="LEJ577" s="44"/>
      <c r="LEK577" s="44"/>
      <c r="LEL577" s="44"/>
      <c r="LEM577" s="44"/>
      <c r="LEN577" s="44"/>
      <c r="LEO577" s="44"/>
      <c r="LEP577" s="44"/>
      <c r="LEQ577" s="44"/>
      <c r="LER577" s="44"/>
      <c r="LES577" s="44"/>
      <c r="LET577" s="44"/>
      <c r="LEU577" s="44"/>
      <c r="LEV577" s="44"/>
      <c r="LEW577" s="44"/>
      <c r="LEX577" s="44"/>
      <c r="LEY577" s="44"/>
      <c r="LEZ577" s="44"/>
      <c r="LFA577" s="44"/>
      <c r="LFB577" s="44"/>
      <c r="LFC577" s="44"/>
      <c r="LFD577" s="44"/>
      <c r="LFE577" s="44"/>
      <c r="LFF577" s="44"/>
      <c r="LFG577" s="44"/>
      <c r="LFH577" s="44"/>
      <c r="LFI577" s="44"/>
      <c r="LFJ577" s="44"/>
      <c r="LFK577" s="44"/>
      <c r="LFL577" s="44"/>
      <c r="LFM577" s="44"/>
      <c r="LFN577" s="44"/>
      <c r="LFO577" s="44"/>
      <c r="LFP577" s="44"/>
      <c r="LFQ577" s="44"/>
      <c r="LFR577" s="44"/>
      <c r="LFS577" s="44"/>
      <c r="LFT577" s="44"/>
      <c r="LFU577" s="44"/>
      <c r="LFV577" s="44"/>
      <c r="LFW577" s="44"/>
      <c r="LFX577" s="44"/>
      <c r="LFY577" s="44"/>
      <c r="LFZ577" s="44"/>
      <c r="LGA577" s="44"/>
      <c r="LGB577" s="44"/>
      <c r="LGC577" s="44"/>
      <c r="LGD577" s="44"/>
      <c r="LGE577" s="44"/>
      <c r="LGF577" s="44"/>
      <c r="LGG577" s="44"/>
      <c r="LGH577" s="44"/>
      <c r="LGI577" s="44"/>
      <c r="LGJ577" s="44"/>
      <c r="LGK577" s="44"/>
      <c r="LGL577" s="44"/>
      <c r="LGM577" s="44"/>
      <c r="LGN577" s="44"/>
      <c r="LGO577" s="44"/>
      <c r="LGP577" s="44"/>
      <c r="LGQ577" s="44"/>
      <c r="LGR577" s="44"/>
      <c r="LGS577" s="44"/>
      <c r="LGT577" s="44"/>
      <c r="LGU577" s="44"/>
      <c r="LGV577" s="44"/>
      <c r="LGW577" s="44"/>
      <c r="LGX577" s="44"/>
      <c r="LGY577" s="44"/>
      <c r="LGZ577" s="44"/>
      <c r="LHA577" s="44"/>
      <c r="LHB577" s="44"/>
      <c r="LHC577" s="44"/>
      <c r="LHD577" s="44"/>
      <c r="LHE577" s="44"/>
      <c r="LHF577" s="44"/>
      <c r="LHG577" s="44"/>
      <c r="LHH577" s="44"/>
      <c r="LHI577" s="44"/>
      <c r="LHJ577" s="44"/>
      <c r="LHK577" s="44"/>
      <c r="LHL577" s="44"/>
      <c r="LHM577" s="44"/>
      <c r="LHN577" s="44"/>
      <c r="LHO577" s="44"/>
      <c r="LHP577" s="44"/>
      <c r="LHQ577" s="44"/>
      <c r="LHR577" s="44"/>
      <c r="LHS577" s="44"/>
      <c r="LHT577" s="44"/>
      <c r="LHU577" s="44"/>
      <c r="LHV577" s="44"/>
      <c r="LHW577" s="44"/>
      <c r="LHX577" s="44"/>
      <c r="LHY577" s="44"/>
      <c r="LHZ577" s="44"/>
      <c r="LIA577" s="44"/>
      <c r="LIB577" s="44"/>
      <c r="LIC577" s="44"/>
      <c r="LID577" s="44"/>
      <c r="LIE577" s="44"/>
      <c r="LIF577" s="44"/>
      <c r="LIG577" s="44"/>
      <c r="LIH577" s="44"/>
      <c r="LII577" s="44"/>
      <c r="LIJ577" s="44"/>
      <c r="LIK577" s="44"/>
      <c r="LIL577" s="44"/>
      <c r="LIM577" s="44"/>
      <c r="LIN577" s="44"/>
      <c r="LIO577" s="44"/>
      <c r="LIP577" s="44"/>
      <c r="LIQ577" s="44"/>
      <c r="LIR577" s="44"/>
      <c r="LIS577" s="44"/>
      <c r="LIT577" s="44"/>
      <c r="LIU577" s="44"/>
      <c r="LIV577" s="44"/>
      <c r="LIW577" s="44"/>
      <c r="LIX577" s="44"/>
      <c r="LIY577" s="44"/>
      <c r="LIZ577" s="44"/>
      <c r="LJA577" s="44"/>
      <c r="LJB577" s="44"/>
      <c r="LJC577" s="44"/>
      <c r="LJD577" s="44"/>
      <c r="LJE577" s="44"/>
      <c r="LJF577" s="44"/>
      <c r="LJG577" s="44"/>
      <c r="LJH577" s="44"/>
      <c r="LJI577" s="44"/>
      <c r="LJJ577" s="44"/>
      <c r="LJK577" s="44"/>
      <c r="LJL577" s="44"/>
      <c r="LJM577" s="44"/>
      <c r="LJN577" s="44"/>
      <c r="LJO577" s="44"/>
      <c r="LJP577" s="44"/>
      <c r="LJQ577" s="44"/>
      <c r="LJR577" s="44"/>
      <c r="LJS577" s="44"/>
      <c r="LJT577" s="44"/>
      <c r="LJU577" s="44"/>
      <c r="LJV577" s="44"/>
      <c r="LJW577" s="44"/>
      <c r="LJX577" s="44"/>
      <c r="LJY577" s="44"/>
      <c r="LJZ577" s="44"/>
      <c r="LKA577" s="44"/>
      <c r="LKB577" s="44"/>
      <c r="LKC577" s="44"/>
      <c r="LKD577" s="44"/>
      <c r="LKE577" s="44"/>
      <c r="LKF577" s="44"/>
      <c r="LKG577" s="44"/>
      <c r="LKH577" s="44"/>
      <c r="LKI577" s="44"/>
      <c r="LKJ577" s="44"/>
      <c r="LKK577" s="44"/>
      <c r="LKL577" s="44"/>
      <c r="LKM577" s="44"/>
      <c r="LKN577" s="44"/>
      <c r="LKO577" s="44"/>
      <c r="LKP577" s="44"/>
      <c r="LKQ577" s="44"/>
      <c r="LKR577" s="44"/>
      <c r="LKS577" s="44"/>
      <c r="LKT577" s="44"/>
      <c r="LKU577" s="44"/>
      <c r="LKV577" s="44"/>
      <c r="LKW577" s="44"/>
      <c r="LKX577" s="44"/>
      <c r="LKY577" s="44"/>
      <c r="LKZ577" s="44"/>
      <c r="LLA577" s="44"/>
      <c r="LLB577" s="44"/>
      <c r="LLC577" s="44"/>
      <c r="LLD577" s="44"/>
      <c r="LLE577" s="44"/>
      <c r="LLF577" s="44"/>
      <c r="LLG577" s="44"/>
      <c r="LLH577" s="44"/>
      <c r="LLI577" s="44"/>
      <c r="LLJ577" s="44"/>
      <c r="LLK577" s="44"/>
      <c r="LLL577" s="44"/>
      <c r="LLM577" s="44"/>
      <c r="LLN577" s="44"/>
      <c r="LLO577" s="44"/>
      <c r="LLP577" s="44"/>
      <c r="LLQ577" s="44"/>
      <c r="LLR577" s="44"/>
      <c r="LLS577" s="44"/>
      <c r="LLT577" s="44"/>
      <c r="LLU577" s="44"/>
      <c r="LLV577" s="44"/>
      <c r="LLW577" s="44"/>
      <c r="LLX577" s="44"/>
      <c r="LLY577" s="44"/>
      <c r="LLZ577" s="44"/>
      <c r="LMA577" s="44"/>
      <c r="LMB577" s="44"/>
      <c r="LMC577" s="44"/>
      <c r="LMD577" s="44"/>
      <c r="LME577" s="44"/>
      <c r="LMF577" s="44"/>
      <c r="LMG577" s="44"/>
      <c r="LMH577" s="44"/>
      <c r="LMI577" s="44"/>
      <c r="LMJ577" s="44"/>
      <c r="LMK577" s="44"/>
      <c r="LML577" s="44"/>
      <c r="LMM577" s="44"/>
      <c r="LMN577" s="44"/>
      <c r="LMO577" s="44"/>
      <c r="LMP577" s="44"/>
      <c r="LMQ577" s="44"/>
      <c r="LMR577" s="44"/>
      <c r="LMS577" s="44"/>
      <c r="LMT577" s="44"/>
      <c r="LMU577" s="44"/>
      <c r="LMV577" s="44"/>
      <c r="LMW577" s="44"/>
      <c r="LMX577" s="44"/>
      <c r="LMY577" s="44"/>
      <c r="LMZ577" s="44"/>
      <c r="LNA577" s="44"/>
      <c r="LNB577" s="44"/>
      <c r="LNC577" s="44"/>
      <c r="LND577" s="44"/>
      <c r="LNE577" s="44"/>
      <c r="LNF577" s="44"/>
      <c r="LNG577" s="44"/>
      <c r="LNH577" s="44"/>
      <c r="LNI577" s="44"/>
      <c r="LNJ577" s="44"/>
      <c r="LNK577" s="44"/>
      <c r="LNL577" s="44"/>
      <c r="LNM577" s="44"/>
      <c r="LNN577" s="44"/>
      <c r="LNO577" s="44"/>
      <c r="LNP577" s="44"/>
      <c r="LNQ577" s="44"/>
      <c r="LNR577" s="44"/>
      <c r="LNS577" s="44"/>
      <c r="LNT577" s="44"/>
      <c r="LNU577" s="44"/>
      <c r="LNV577" s="44"/>
      <c r="LNW577" s="44"/>
      <c r="LNX577" s="44"/>
      <c r="LNY577" s="44"/>
      <c r="LNZ577" s="44"/>
      <c r="LOA577" s="44"/>
      <c r="LOB577" s="44"/>
      <c r="LOC577" s="44"/>
      <c r="LOD577" s="44"/>
      <c r="LOE577" s="44"/>
      <c r="LOF577" s="44"/>
      <c r="LOG577" s="44"/>
      <c r="LOH577" s="44"/>
      <c r="LOI577" s="44"/>
      <c r="LOJ577" s="44"/>
      <c r="LOK577" s="44"/>
      <c r="LOL577" s="44"/>
      <c r="LOM577" s="44"/>
      <c r="LON577" s="44"/>
      <c r="LOO577" s="44"/>
      <c r="LOP577" s="44"/>
      <c r="LOQ577" s="44"/>
      <c r="LOR577" s="44"/>
      <c r="LOS577" s="44"/>
      <c r="LOT577" s="44"/>
      <c r="LOU577" s="44"/>
      <c r="LOV577" s="44"/>
      <c r="LOW577" s="44"/>
      <c r="LOX577" s="44"/>
      <c r="LOY577" s="44"/>
      <c r="LOZ577" s="44"/>
      <c r="LPA577" s="44"/>
      <c r="LPB577" s="44"/>
      <c r="LPC577" s="44"/>
      <c r="LPD577" s="44"/>
      <c r="LPE577" s="44"/>
      <c r="LPF577" s="44"/>
      <c r="LPG577" s="44"/>
      <c r="LPH577" s="44"/>
      <c r="LPI577" s="44"/>
      <c r="LPJ577" s="44"/>
      <c r="LPK577" s="44"/>
      <c r="LPL577" s="44"/>
      <c r="LPM577" s="44"/>
      <c r="LPN577" s="44"/>
      <c r="LPO577" s="44"/>
      <c r="LPP577" s="44"/>
      <c r="LPQ577" s="44"/>
      <c r="LPR577" s="44"/>
      <c r="LPS577" s="44"/>
      <c r="LPT577" s="44"/>
      <c r="LPU577" s="44"/>
      <c r="LPV577" s="44"/>
      <c r="LPW577" s="44"/>
      <c r="LPX577" s="44"/>
      <c r="LPY577" s="44"/>
      <c r="LPZ577" s="44"/>
      <c r="LQA577" s="44"/>
      <c r="LQB577" s="44"/>
      <c r="LQC577" s="44"/>
      <c r="LQD577" s="44"/>
      <c r="LQE577" s="44"/>
      <c r="LQF577" s="44"/>
      <c r="LQG577" s="44"/>
      <c r="LQH577" s="44"/>
      <c r="LQI577" s="44"/>
      <c r="LQJ577" s="44"/>
      <c r="LQK577" s="44"/>
      <c r="LQL577" s="44"/>
      <c r="LQM577" s="44"/>
      <c r="LQN577" s="44"/>
      <c r="LQO577" s="44"/>
      <c r="LQP577" s="44"/>
      <c r="LQQ577" s="44"/>
      <c r="LQR577" s="44"/>
      <c r="LQS577" s="44"/>
      <c r="LQT577" s="44"/>
      <c r="LQU577" s="44"/>
      <c r="LQV577" s="44"/>
      <c r="LQW577" s="44"/>
      <c r="LQX577" s="44"/>
      <c r="LQY577" s="44"/>
      <c r="LQZ577" s="44"/>
      <c r="LRA577" s="44"/>
      <c r="LRB577" s="44"/>
      <c r="LRC577" s="44"/>
      <c r="LRD577" s="44"/>
      <c r="LRE577" s="44"/>
      <c r="LRF577" s="44"/>
      <c r="LRG577" s="44"/>
      <c r="LRH577" s="44"/>
      <c r="LRI577" s="44"/>
      <c r="LRJ577" s="44"/>
      <c r="LRK577" s="44"/>
      <c r="LRL577" s="44"/>
      <c r="LRM577" s="44"/>
      <c r="LRN577" s="44"/>
      <c r="LRO577" s="44"/>
      <c r="LRP577" s="44"/>
      <c r="LRQ577" s="44"/>
      <c r="LRR577" s="44"/>
      <c r="LRS577" s="44"/>
      <c r="LRT577" s="44"/>
      <c r="LRU577" s="44"/>
      <c r="LRV577" s="44"/>
      <c r="LRW577" s="44"/>
      <c r="LRX577" s="44"/>
      <c r="LRY577" s="44"/>
      <c r="LRZ577" s="44"/>
      <c r="LSA577" s="44"/>
      <c r="LSB577" s="44"/>
      <c r="LSC577" s="44"/>
      <c r="LSD577" s="44"/>
      <c r="LSE577" s="44"/>
      <c r="LSF577" s="44"/>
      <c r="LSG577" s="44"/>
      <c r="LSH577" s="44"/>
      <c r="LSI577" s="44"/>
      <c r="LSJ577" s="44"/>
      <c r="LSK577" s="44"/>
      <c r="LSL577" s="44"/>
      <c r="LSM577" s="44"/>
      <c r="LSN577" s="44"/>
      <c r="LSO577" s="44"/>
      <c r="LSP577" s="44"/>
      <c r="LSQ577" s="44"/>
      <c r="LSR577" s="44"/>
      <c r="LSS577" s="44"/>
      <c r="LST577" s="44"/>
      <c r="LSU577" s="44"/>
      <c r="LSV577" s="44"/>
      <c r="LSW577" s="44"/>
      <c r="LSX577" s="44"/>
      <c r="LSY577" s="44"/>
      <c r="LSZ577" s="44"/>
      <c r="LTA577" s="44"/>
      <c r="LTB577" s="44"/>
      <c r="LTC577" s="44"/>
      <c r="LTD577" s="44"/>
      <c r="LTE577" s="44"/>
      <c r="LTF577" s="44"/>
      <c r="LTG577" s="44"/>
      <c r="LTH577" s="44"/>
      <c r="LTI577" s="44"/>
      <c r="LTJ577" s="44"/>
      <c r="LTK577" s="44"/>
      <c r="LTL577" s="44"/>
      <c r="LTM577" s="44"/>
      <c r="LTN577" s="44"/>
      <c r="LTO577" s="44"/>
      <c r="LTP577" s="44"/>
      <c r="LTQ577" s="44"/>
      <c r="LTR577" s="44"/>
      <c r="LTS577" s="44"/>
      <c r="LTT577" s="44"/>
      <c r="LTU577" s="44"/>
      <c r="LTV577" s="44"/>
      <c r="LTW577" s="44"/>
      <c r="LTX577" s="44"/>
      <c r="LTY577" s="44"/>
      <c r="LTZ577" s="44"/>
      <c r="LUA577" s="44"/>
      <c r="LUB577" s="44"/>
      <c r="LUC577" s="44"/>
      <c r="LUD577" s="44"/>
      <c r="LUE577" s="44"/>
      <c r="LUF577" s="44"/>
      <c r="LUG577" s="44"/>
      <c r="LUH577" s="44"/>
      <c r="LUI577" s="44"/>
      <c r="LUJ577" s="44"/>
      <c r="LUK577" s="44"/>
      <c r="LUL577" s="44"/>
      <c r="LUM577" s="44"/>
      <c r="LUN577" s="44"/>
      <c r="LUO577" s="44"/>
      <c r="LUP577" s="44"/>
      <c r="LUQ577" s="44"/>
      <c r="LUR577" s="44"/>
      <c r="LUS577" s="44"/>
      <c r="LUT577" s="44"/>
      <c r="LUU577" s="44"/>
      <c r="LUV577" s="44"/>
      <c r="LUW577" s="44"/>
      <c r="LUX577" s="44"/>
      <c r="LUY577" s="44"/>
      <c r="LUZ577" s="44"/>
      <c r="LVA577" s="44"/>
      <c r="LVB577" s="44"/>
      <c r="LVC577" s="44"/>
      <c r="LVD577" s="44"/>
      <c r="LVE577" s="44"/>
      <c r="LVF577" s="44"/>
      <c r="LVG577" s="44"/>
      <c r="LVH577" s="44"/>
      <c r="LVI577" s="44"/>
      <c r="LVJ577" s="44"/>
      <c r="LVK577" s="44"/>
      <c r="LVL577" s="44"/>
      <c r="LVM577" s="44"/>
      <c r="LVN577" s="44"/>
      <c r="LVO577" s="44"/>
      <c r="LVP577" s="44"/>
      <c r="LVQ577" s="44"/>
      <c r="LVR577" s="44"/>
      <c r="LVS577" s="44"/>
      <c r="LVT577" s="44"/>
      <c r="LVU577" s="44"/>
      <c r="LVV577" s="44"/>
      <c r="LVW577" s="44"/>
      <c r="LVX577" s="44"/>
      <c r="LVY577" s="44"/>
      <c r="LVZ577" s="44"/>
      <c r="LWA577" s="44"/>
      <c r="LWB577" s="44"/>
      <c r="LWC577" s="44"/>
      <c r="LWD577" s="44"/>
      <c r="LWE577" s="44"/>
      <c r="LWF577" s="44"/>
      <c r="LWG577" s="44"/>
      <c r="LWH577" s="44"/>
      <c r="LWI577" s="44"/>
      <c r="LWJ577" s="44"/>
      <c r="LWK577" s="44"/>
      <c r="LWL577" s="44"/>
      <c r="LWM577" s="44"/>
      <c r="LWN577" s="44"/>
      <c r="LWO577" s="44"/>
      <c r="LWP577" s="44"/>
      <c r="LWQ577" s="44"/>
      <c r="LWR577" s="44"/>
      <c r="LWS577" s="44"/>
      <c r="LWT577" s="44"/>
      <c r="LWU577" s="44"/>
      <c r="LWV577" s="44"/>
      <c r="LWW577" s="44"/>
      <c r="LWX577" s="44"/>
      <c r="LWY577" s="44"/>
      <c r="LWZ577" s="44"/>
      <c r="LXA577" s="44"/>
      <c r="LXB577" s="44"/>
      <c r="LXC577" s="44"/>
      <c r="LXD577" s="44"/>
      <c r="LXE577" s="44"/>
      <c r="LXF577" s="44"/>
      <c r="LXG577" s="44"/>
      <c r="LXH577" s="44"/>
      <c r="LXI577" s="44"/>
      <c r="LXJ577" s="44"/>
      <c r="LXK577" s="44"/>
      <c r="LXL577" s="44"/>
      <c r="LXM577" s="44"/>
      <c r="LXN577" s="44"/>
      <c r="LXO577" s="44"/>
      <c r="LXP577" s="44"/>
      <c r="LXQ577" s="44"/>
      <c r="LXR577" s="44"/>
      <c r="LXS577" s="44"/>
      <c r="LXT577" s="44"/>
      <c r="LXU577" s="44"/>
      <c r="LXV577" s="44"/>
      <c r="LXW577" s="44"/>
      <c r="LXX577" s="44"/>
      <c r="LXY577" s="44"/>
      <c r="LXZ577" s="44"/>
      <c r="LYA577" s="44"/>
      <c r="LYB577" s="44"/>
      <c r="LYC577" s="44"/>
      <c r="LYD577" s="44"/>
      <c r="LYE577" s="44"/>
      <c r="LYF577" s="44"/>
      <c r="LYG577" s="44"/>
      <c r="LYH577" s="44"/>
      <c r="LYI577" s="44"/>
      <c r="LYJ577" s="44"/>
      <c r="LYK577" s="44"/>
      <c r="LYL577" s="44"/>
      <c r="LYM577" s="44"/>
      <c r="LYN577" s="44"/>
      <c r="LYO577" s="44"/>
      <c r="LYP577" s="44"/>
      <c r="LYQ577" s="44"/>
      <c r="LYR577" s="44"/>
      <c r="LYS577" s="44"/>
      <c r="LYT577" s="44"/>
      <c r="LYU577" s="44"/>
      <c r="LYV577" s="44"/>
      <c r="LYW577" s="44"/>
      <c r="LYX577" s="44"/>
      <c r="LYY577" s="44"/>
      <c r="LYZ577" s="44"/>
      <c r="LZA577" s="44"/>
      <c r="LZB577" s="44"/>
      <c r="LZC577" s="44"/>
      <c r="LZD577" s="44"/>
      <c r="LZE577" s="44"/>
      <c r="LZF577" s="44"/>
      <c r="LZG577" s="44"/>
      <c r="LZH577" s="44"/>
      <c r="LZI577" s="44"/>
      <c r="LZJ577" s="44"/>
      <c r="LZK577" s="44"/>
      <c r="LZL577" s="44"/>
      <c r="LZM577" s="44"/>
      <c r="LZN577" s="44"/>
      <c r="LZO577" s="44"/>
      <c r="LZP577" s="44"/>
      <c r="LZQ577" s="44"/>
      <c r="LZR577" s="44"/>
      <c r="LZS577" s="44"/>
      <c r="LZT577" s="44"/>
      <c r="LZU577" s="44"/>
      <c r="LZV577" s="44"/>
      <c r="LZW577" s="44"/>
      <c r="LZX577" s="44"/>
      <c r="LZY577" s="44"/>
      <c r="LZZ577" s="44"/>
      <c r="MAA577" s="44"/>
      <c r="MAB577" s="44"/>
      <c r="MAC577" s="44"/>
      <c r="MAD577" s="44"/>
      <c r="MAE577" s="44"/>
      <c r="MAF577" s="44"/>
      <c r="MAG577" s="44"/>
      <c r="MAH577" s="44"/>
      <c r="MAI577" s="44"/>
      <c r="MAJ577" s="44"/>
      <c r="MAK577" s="44"/>
      <c r="MAL577" s="44"/>
      <c r="MAM577" s="44"/>
      <c r="MAN577" s="44"/>
      <c r="MAO577" s="44"/>
      <c r="MAP577" s="44"/>
      <c r="MAQ577" s="44"/>
      <c r="MAR577" s="44"/>
      <c r="MAS577" s="44"/>
      <c r="MAT577" s="44"/>
      <c r="MAU577" s="44"/>
      <c r="MAV577" s="44"/>
      <c r="MAW577" s="44"/>
      <c r="MAX577" s="44"/>
      <c r="MAY577" s="44"/>
      <c r="MAZ577" s="44"/>
      <c r="MBA577" s="44"/>
      <c r="MBB577" s="44"/>
      <c r="MBC577" s="44"/>
      <c r="MBD577" s="44"/>
      <c r="MBE577" s="44"/>
      <c r="MBF577" s="44"/>
      <c r="MBG577" s="44"/>
      <c r="MBH577" s="44"/>
      <c r="MBI577" s="44"/>
      <c r="MBJ577" s="44"/>
      <c r="MBK577" s="44"/>
      <c r="MBL577" s="44"/>
      <c r="MBM577" s="44"/>
      <c r="MBN577" s="44"/>
      <c r="MBO577" s="44"/>
      <c r="MBP577" s="44"/>
      <c r="MBQ577" s="44"/>
      <c r="MBR577" s="44"/>
      <c r="MBS577" s="44"/>
      <c r="MBT577" s="44"/>
      <c r="MBU577" s="44"/>
      <c r="MBV577" s="44"/>
      <c r="MBW577" s="44"/>
      <c r="MBX577" s="44"/>
      <c r="MBY577" s="44"/>
      <c r="MBZ577" s="44"/>
      <c r="MCA577" s="44"/>
      <c r="MCB577" s="44"/>
      <c r="MCC577" s="44"/>
      <c r="MCD577" s="44"/>
      <c r="MCE577" s="44"/>
      <c r="MCF577" s="44"/>
      <c r="MCG577" s="44"/>
      <c r="MCH577" s="44"/>
      <c r="MCI577" s="44"/>
      <c r="MCJ577" s="44"/>
      <c r="MCK577" s="44"/>
      <c r="MCL577" s="44"/>
      <c r="MCM577" s="44"/>
      <c r="MCN577" s="44"/>
      <c r="MCO577" s="44"/>
      <c r="MCP577" s="44"/>
      <c r="MCQ577" s="44"/>
      <c r="MCR577" s="44"/>
      <c r="MCS577" s="44"/>
      <c r="MCT577" s="44"/>
      <c r="MCU577" s="44"/>
      <c r="MCV577" s="44"/>
      <c r="MCW577" s="44"/>
      <c r="MCX577" s="44"/>
      <c r="MCY577" s="44"/>
      <c r="MCZ577" s="44"/>
      <c r="MDA577" s="44"/>
      <c r="MDB577" s="44"/>
      <c r="MDC577" s="44"/>
      <c r="MDD577" s="44"/>
      <c r="MDE577" s="44"/>
      <c r="MDF577" s="44"/>
      <c r="MDG577" s="44"/>
      <c r="MDH577" s="44"/>
      <c r="MDI577" s="44"/>
      <c r="MDJ577" s="44"/>
      <c r="MDK577" s="44"/>
      <c r="MDL577" s="44"/>
      <c r="MDM577" s="44"/>
      <c r="MDN577" s="44"/>
      <c r="MDO577" s="44"/>
      <c r="MDP577" s="44"/>
      <c r="MDQ577" s="44"/>
      <c r="MDR577" s="44"/>
      <c r="MDS577" s="44"/>
      <c r="MDT577" s="44"/>
      <c r="MDU577" s="44"/>
      <c r="MDV577" s="44"/>
      <c r="MDW577" s="44"/>
      <c r="MDX577" s="44"/>
      <c r="MDY577" s="44"/>
      <c r="MDZ577" s="44"/>
      <c r="MEA577" s="44"/>
      <c r="MEB577" s="44"/>
      <c r="MEC577" s="44"/>
      <c r="MED577" s="44"/>
      <c r="MEE577" s="44"/>
      <c r="MEF577" s="44"/>
      <c r="MEG577" s="44"/>
      <c r="MEH577" s="44"/>
      <c r="MEI577" s="44"/>
      <c r="MEJ577" s="44"/>
      <c r="MEK577" s="44"/>
      <c r="MEL577" s="44"/>
      <c r="MEM577" s="44"/>
      <c r="MEN577" s="44"/>
      <c r="MEO577" s="44"/>
      <c r="MEP577" s="44"/>
      <c r="MEQ577" s="44"/>
      <c r="MER577" s="44"/>
      <c r="MES577" s="44"/>
      <c r="MET577" s="44"/>
      <c r="MEU577" s="44"/>
      <c r="MEV577" s="44"/>
      <c r="MEW577" s="44"/>
      <c r="MEX577" s="44"/>
      <c r="MEY577" s="44"/>
      <c r="MEZ577" s="44"/>
      <c r="MFA577" s="44"/>
      <c r="MFB577" s="44"/>
      <c r="MFC577" s="44"/>
      <c r="MFD577" s="44"/>
      <c r="MFE577" s="44"/>
      <c r="MFF577" s="44"/>
      <c r="MFG577" s="44"/>
      <c r="MFH577" s="44"/>
      <c r="MFI577" s="44"/>
      <c r="MFJ577" s="44"/>
      <c r="MFK577" s="44"/>
      <c r="MFL577" s="44"/>
      <c r="MFM577" s="44"/>
      <c r="MFN577" s="44"/>
      <c r="MFO577" s="44"/>
      <c r="MFP577" s="44"/>
      <c r="MFQ577" s="44"/>
      <c r="MFR577" s="44"/>
      <c r="MFS577" s="44"/>
      <c r="MFT577" s="44"/>
      <c r="MFU577" s="44"/>
      <c r="MFV577" s="44"/>
      <c r="MFW577" s="44"/>
      <c r="MFX577" s="44"/>
      <c r="MFY577" s="44"/>
      <c r="MFZ577" s="44"/>
      <c r="MGA577" s="44"/>
      <c r="MGB577" s="44"/>
      <c r="MGC577" s="44"/>
      <c r="MGD577" s="44"/>
      <c r="MGE577" s="44"/>
      <c r="MGF577" s="44"/>
      <c r="MGG577" s="44"/>
      <c r="MGH577" s="44"/>
      <c r="MGI577" s="44"/>
      <c r="MGJ577" s="44"/>
      <c r="MGK577" s="44"/>
      <c r="MGL577" s="44"/>
      <c r="MGM577" s="44"/>
      <c r="MGN577" s="44"/>
      <c r="MGO577" s="44"/>
      <c r="MGP577" s="44"/>
      <c r="MGQ577" s="44"/>
      <c r="MGR577" s="44"/>
      <c r="MGS577" s="44"/>
      <c r="MGT577" s="44"/>
      <c r="MGU577" s="44"/>
      <c r="MGV577" s="44"/>
      <c r="MGW577" s="44"/>
      <c r="MGX577" s="44"/>
      <c r="MGY577" s="44"/>
      <c r="MGZ577" s="44"/>
      <c r="MHA577" s="44"/>
      <c r="MHB577" s="44"/>
      <c r="MHC577" s="44"/>
      <c r="MHD577" s="44"/>
      <c r="MHE577" s="44"/>
      <c r="MHF577" s="44"/>
      <c r="MHG577" s="44"/>
      <c r="MHH577" s="44"/>
      <c r="MHI577" s="44"/>
      <c r="MHJ577" s="44"/>
      <c r="MHK577" s="44"/>
      <c r="MHL577" s="44"/>
      <c r="MHM577" s="44"/>
      <c r="MHN577" s="44"/>
      <c r="MHO577" s="44"/>
      <c r="MHP577" s="44"/>
      <c r="MHQ577" s="44"/>
      <c r="MHR577" s="44"/>
      <c r="MHS577" s="44"/>
      <c r="MHT577" s="44"/>
      <c r="MHU577" s="44"/>
      <c r="MHV577" s="44"/>
      <c r="MHW577" s="44"/>
      <c r="MHX577" s="44"/>
      <c r="MHY577" s="44"/>
      <c r="MHZ577" s="44"/>
      <c r="MIA577" s="44"/>
      <c r="MIB577" s="44"/>
      <c r="MIC577" s="44"/>
      <c r="MID577" s="44"/>
      <c r="MIE577" s="44"/>
      <c r="MIF577" s="44"/>
      <c r="MIG577" s="44"/>
      <c r="MIH577" s="44"/>
      <c r="MII577" s="44"/>
      <c r="MIJ577" s="44"/>
      <c r="MIK577" s="44"/>
      <c r="MIL577" s="44"/>
      <c r="MIM577" s="44"/>
      <c r="MIN577" s="44"/>
      <c r="MIO577" s="44"/>
      <c r="MIP577" s="44"/>
      <c r="MIQ577" s="44"/>
      <c r="MIR577" s="44"/>
      <c r="MIS577" s="44"/>
      <c r="MIT577" s="44"/>
      <c r="MIU577" s="44"/>
      <c r="MIV577" s="44"/>
      <c r="MIW577" s="44"/>
      <c r="MIX577" s="44"/>
      <c r="MIY577" s="44"/>
      <c r="MIZ577" s="44"/>
      <c r="MJA577" s="44"/>
      <c r="MJB577" s="44"/>
      <c r="MJC577" s="44"/>
      <c r="MJD577" s="44"/>
      <c r="MJE577" s="44"/>
      <c r="MJF577" s="44"/>
      <c r="MJG577" s="44"/>
      <c r="MJH577" s="44"/>
      <c r="MJI577" s="44"/>
      <c r="MJJ577" s="44"/>
      <c r="MJK577" s="44"/>
      <c r="MJL577" s="44"/>
      <c r="MJM577" s="44"/>
      <c r="MJN577" s="44"/>
      <c r="MJO577" s="44"/>
      <c r="MJP577" s="44"/>
      <c r="MJQ577" s="44"/>
      <c r="MJR577" s="44"/>
      <c r="MJS577" s="44"/>
      <c r="MJT577" s="44"/>
      <c r="MJU577" s="44"/>
      <c r="MJV577" s="44"/>
      <c r="MJW577" s="44"/>
      <c r="MJX577" s="44"/>
      <c r="MJY577" s="44"/>
      <c r="MJZ577" s="44"/>
      <c r="MKA577" s="44"/>
      <c r="MKB577" s="44"/>
      <c r="MKC577" s="44"/>
      <c r="MKD577" s="44"/>
      <c r="MKE577" s="44"/>
      <c r="MKF577" s="44"/>
      <c r="MKG577" s="44"/>
      <c r="MKH577" s="44"/>
      <c r="MKI577" s="44"/>
      <c r="MKJ577" s="44"/>
      <c r="MKK577" s="44"/>
      <c r="MKL577" s="44"/>
      <c r="MKM577" s="44"/>
      <c r="MKN577" s="44"/>
      <c r="MKO577" s="44"/>
      <c r="MKP577" s="44"/>
      <c r="MKQ577" s="44"/>
      <c r="MKR577" s="44"/>
      <c r="MKS577" s="44"/>
      <c r="MKT577" s="44"/>
      <c r="MKU577" s="44"/>
      <c r="MKV577" s="44"/>
      <c r="MKW577" s="44"/>
      <c r="MKX577" s="44"/>
      <c r="MKY577" s="44"/>
      <c r="MKZ577" s="44"/>
      <c r="MLA577" s="44"/>
      <c r="MLB577" s="44"/>
      <c r="MLC577" s="44"/>
      <c r="MLD577" s="44"/>
      <c r="MLE577" s="44"/>
      <c r="MLF577" s="44"/>
      <c r="MLG577" s="44"/>
      <c r="MLH577" s="44"/>
      <c r="MLI577" s="44"/>
      <c r="MLJ577" s="44"/>
      <c r="MLK577" s="44"/>
      <c r="MLL577" s="44"/>
      <c r="MLM577" s="44"/>
      <c r="MLN577" s="44"/>
      <c r="MLO577" s="44"/>
      <c r="MLP577" s="44"/>
      <c r="MLQ577" s="44"/>
      <c r="MLR577" s="44"/>
      <c r="MLS577" s="44"/>
      <c r="MLT577" s="44"/>
      <c r="MLU577" s="44"/>
      <c r="MLV577" s="44"/>
      <c r="MLW577" s="44"/>
      <c r="MLX577" s="44"/>
      <c r="MLY577" s="44"/>
      <c r="MLZ577" s="44"/>
      <c r="MMA577" s="44"/>
      <c r="MMB577" s="44"/>
      <c r="MMC577" s="44"/>
      <c r="MMD577" s="44"/>
      <c r="MME577" s="44"/>
      <c r="MMF577" s="44"/>
      <c r="MMG577" s="44"/>
      <c r="MMH577" s="44"/>
      <c r="MMI577" s="44"/>
      <c r="MMJ577" s="44"/>
      <c r="MMK577" s="44"/>
      <c r="MML577" s="44"/>
      <c r="MMM577" s="44"/>
      <c r="MMN577" s="44"/>
      <c r="MMO577" s="44"/>
      <c r="MMP577" s="44"/>
      <c r="MMQ577" s="44"/>
      <c r="MMR577" s="44"/>
      <c r="MMS577" s="44"/>
      <c r="MMT577" s="44"/>
      <c r="MMU577" s="44"/>
      <c r="MMV577" s="44"/>
      <c r="MMW577" s="44"/>
      <c r="MMX577" s="44"/>
      <c r="MMY577" s="44"/>
      <c r="MMZ577" s="44"/>
      <c r="MNA577" s="44"/>
      <c r="MNB577" s="44"/>
      <c r="MNC577" s="44"/>
      <c r="MND577" s="44"/>
      <c r="MNE577" s="44"/>
      <c r="MNF577" s="44"/>
      <c r="MNG577" s="44"/>
      <c r="MNH577" s="44"/>
      <c r="MNI577" s="44"/>
      <c r="MNJ577" s="44"/>
      <c r="MNK577" s="44"/>
      <c r="MNL577" s="44"/>
      <c r="MNM577" s="44"/>
      <c r="MNN577" s="44"/>
      <c r="MNO577" s="44"/>
      <c r="MNP577" s="44"/>
      <c r="MNQ577" s="44"/>
      <c r="MNR577" s="44"/>
      <c r="MNS577" s="44"/>
      <c r="MNT577" s="44"/>
      <c r="MNU577" s="44"/>
      <c r="MNV577" s="44"/>
      <c r="MNW577" s="44"/>
      <c r="MNX577" s="44"/>
      <c r="MNY577" s="44"/>
      <c r="MNZ577" s="44"/>
      <c r="MOA577" s="44"/>
      <c r="MOB577" s="44"/>
      <c r="MOC577" s="44"/>
      <c r="MOD577" s="44"/>
      <c r="MOE577" s="44"/>
      <c r="MOF577" s="44"/>
      <c r="MOG577" s="44"/>
      <c r="MOH577" s="44"/>
      <c r="MOI577" s="44"/>
      <c r="MOJ577" s="44"/>
      <c r="MOK577" s="44"/>
      <c r="MOL577" s="44"/>
      <c r="MOM577" s="44"/>
      <c r="MON577" s="44"/>
      <c r="MOO577" s="44"/>
      <c r="MOP577" s="44"/>
      <c r="MOQ577" s="44"/>
      <c r="MOR577" s="44"/>
      <c r="MOS577" s="44"/>
      <c r="MOT577" s="44"/>
      <c r="MOU577" s="44"/>
      <c r="MOV577" s="44"/>
      <c r="MOW577" s="44"/>
      <c r="MOX577" s="44"/>
      <c r="MOY577" s="44"/>
      <c r="MOZ577" s="44"/>
      <c r="MPA577" s="44"/>
      <c r="MPB577" s="44"/>
      <c r="MPC577" s="44"/>
      <c r="MPD577" s="44"/>
      <c r="MPE577" s="44"/>
      <c r="MPF577" s="44"/>
      <c r="MPG577" s="44"/>
      <c r="MPH577" s="44"/>
      <c r="MPI577" s="44"/>
      <c r="MPJ577" s="44"/>
      <c r="MPK577" s="44"/>
      <c r="MPL577" s="44"/>
      <c r="MPM577" s="44"/>
      <c r="MPN577" s="44"/>
      <c r="MPO577" s="44"/>
      <c r="MPP577" s="44"/>
      <c r="MPQ577" s="44"/>
      <c r="MPR577" s="44"/>
      <c r="MPS577" s="44"/>
      <c r="MPT577" s="44"/>
      <c r="MPU577" s="44"/>
      <c r="MPV577" s="44"/>
      <c r="MPW577" s="44"/>
      <c r="MPX577" s="44"/>
      <c r="MPY577" s="44"/>
      <c r="MPZ577" s="44"/>
      <c r="MQA577" s="44"/>
      <c r="MQB577" s="44"/>
      <c r="MQC577" s="44"/>
      <c r="MQD577" s="44"/>
      <c r="MQE577" s="44"/>
      <c r="MQF577" s="44"/>
      <c r="MQG577" s="44"/>
      <c r="MQH577" s="44"/>
      <c r="MQI577" s="44"/>
      <c r="MQJ577" s="44"/>
      <c r="MQK577" s="44"/>
      <c r="MQL577" s="44"/>
      <c r="MQM577" s="44"/>
      <c r="MQN577" s="44"/>
      <c r="MQO577" s="44"/>
      <c r="MQP577" s="44"/>
      <c r="MQQ577" s="44"/>
      <c r="MQR577" s="44"/>
      <c r="MQS577" s="44"/>
      <c r="MQT577" s="44"/>
      <c r="MQU577" s="44"/>
      <c r="MQV577" s="44"/>
      <c r="MQW577" s="44"/>
      <c r="MQX577" s="44"/>
      <c r="MQY577" s="44"/>
      <c r="MQZ577" s="44"/>
      <c r="MRA577" s="44"/>
      <c r="MRB577" s="44"/>
      <c r="MRC577" s="44"/>
      <c r="MRD577" s="44"/>
      <c r="MRE577" s="44"/>
      <c r="MRF577" s="44"/>
      <c r="MRG577" s="44"/>
      <c r="MRH577" s="44"/>
      <c r="MRI577" s="44"/>
      <c r="MRJ577" s="44"/>
      <c r="MRK577" s="44"/>
      <c r="MRL577" s="44"/>
      <c r="MRM577" s="44"/>
      <c r="MRN577" s="44"/>
      <c r="MRO577" s="44"/>
      <c r="MRP577" s="44"/>
      <c r="MRQ577" s="44"/>
      <c r="MRR577" s="44"/>
      <c r="MRS577" s="44"/>
      <c r="MRT577" s="44"/>
      <c r="MRU577" s="44"/>
      <c r="MRV577" s="44"/>
      <c r="MRW577" s="44"/>
      <c r="MRX577" s="44"/>
      <c r="MRY577" s="44"/>
      <c r="MRZ577" s="44"/>
      <c r="MSA577" s="44"/>
      <c r="MSB577" s="44"/>
      <c r="MSC577" s="44"/>
      <c r="MSD577" s="44"/>
      <c r="MSE577" s="44"/>
      <c r="MSF577" s="44"/>
      <c r="MSG577" s="44"/>
      <c r="MSH577" s="44"/>
      <c r="MSI577" s="44"/>
      <c r="MSJ577" s="44"/>
      <c r="MSK577" s="44"/>
      <c r="MSL577" s="44"/>
      <c r="MSM577" s="44"/>
      <c r="MSN577" s="44"/>
      <c r="MSO577" s="44"/>
      <c r="MSP577" s="44"/>
      <c r="MSQ577" s="44"/>
      <c r="MSR577" s="44"/>
      <c r="MSS577" s="44"/>
      <c r="MST577" s="44"/>
      <c r="MSU577" s="44"/>
      <c r="MSV577" s="44"/>
      <c r="MSW577" s="44"/>
      <c r="MSX577" s="44"/>
      <c r="MSY577" s="44"/>
      <c r="MSZ577" s="44"/>
      <c r="MTA577" s="44"/>
      <c r="MTB577" s="44"/>
      <c r="MTC577" s="44"/>
      <c r="MTD577" s="44"/>
      <c r="MTE577" s="44"/>
      <c r="MTF577" s="44"/>
      <c r="MTG577" s="44"/>
      <c r="MTH577" s="44"/>
      <c r="MTI577" s="44"/>
      <c r="MTJ577" s="44"/>
      <c r="MTK577" s="44"/>
      <c r="MTL577" s="44"/>
      <c r="MTM577" s="44"/>
      <c r="MTN577" s="44"/>
      <c r="MTO577" s="44"/>
      <c r="MTP577" s="44"/>
      <c r="MTQ577" s="44"/>
      <c r="MTR577" s="44"/>
      <c r="MTS577" s="44"/>
      <c r="MTT577" s="44"/>
      <c r="MTU577" s="44"/>
      <c r="MTV577" s="44"/>
      <c r="MTW577" s="44"/>
      <c r="MTX577" s="44"/>
      <c r="MTY577" s="44"/>
      <c r="MTZ577" s="44"/>
      <c r="MUA577" s="44"/>
      <c r="MUB577" s="44"/>
      <c r="MUC577" s="44"/>
      <c r="MUD577" s="44"/>
      <c r="MUE577" s="44"/>
      <c r="MUF577" s="44"/>
      <c r="MUG577" s="44"/>
      <c r="MUH577" s="44"/>
      <c r="MUI577" s="44"/>
      <c r="MUJ577" s="44"/>
      <c r="MUK577" s="44"/>
      <c r="MUL577" s="44"/>
      <c r="MUM577" s="44"/>
      <c r="MUN577" s="44"/>
      <c r="MUO577" s="44"/>
      <c r="MUP577" s="44"/>
      <c r="MUQ577" s="44"/>
      <c r="MUR577" s="44"/>
      <c r="MUS577" s="44"/>
      <c r="MUT577" s="44"/>
      <c r="MUU577" s="44"/>
      <c r="MUV577" s="44"/>
      <c r="MUW577" s="44"/>
      <c r="MUX577" s="44"/>
      <c r="MUY577" s="44"/>
      <c r="MUZ577" s="44"/>
      <c r="MVA577" s="44"/>
      <c r="MVB577" s="44"/>
      <c r="MVC577" s="44"/>
      <c r="MVD577" s="44"/>
      <c r="MVE577" s="44"/>
      <c r="MVF577" s="44"/>
      <c r="MVG577" s="44"/>
      <c r="MVH577" s="44"/>
      <c r="MVI577" s="44"/>
      <c r="MVJ577" s="44"/>
      <c r="MVK577" s="44"/>
      <c r="MVL577" s="44"/>
      <c r="MVM577" s="44"/>
      <c r="MVN577" s="44"/>
      <c r="MVO577" s="44"/>
      <c r="MVP577" s="44"/>
      <c r="MVQ577" s="44"/>
      <c r="MVR577" s="44"/>
      <c r="MVS577" s="44"/>
      <c r="MVT577" s="44"/>
      <c r="MVU577" s="44"/>
      <c r="MVV577" s="44"/>
      <c r="MVW577" s="44"/>
      <c r="MVX577" s="44"/>
      <c r="MVY577" s="44"/>
      <c r="MVZ577" s="44"/>
      <c r="MWA577" s="44"/>
      <c r="MWB577" s="44"/>
      <c r="MWC577" s="44"/>
      <c r="MWD577" s="44"/>
      <c r="MWE577" s="44"/>
      <c r="MWF577" s="44"/>
      <c r="MWG577" s="44"/>
      <c r="MWH577" s="44"/>
      <c r="MWI577" s="44"/>
      <c r="MWJ577" s="44"/>
      <c r="MWK577" s="44"/>
      <c r="MWL577" s="44"/>
      <c r="MWM577" s="44"/>
      <c r="MWN577" s="44"/>
      <c r="MWO577" s="44"/>
      <c r="MWP577" s="44"/>
      <c r="MWQ577" s="44"/>
      <c r="MWR577" s="44"/>
      <c r="MWS577" s="44"/>
      <c r="MWT577" s="44"/>
      <c r="MWU577" s="44"/>
      <c r="MWV577" s="44"/>
      <c r="MWW577" s="44"/>
      <c r="MWX577" s="44"/>
      <c r="MWY577" s="44"/>
      <c r="MWZ577" s="44"/>
      <c r="MXA577" s="44"/>
      <c r="MXB577" s="44"/>
      <c r="MXC577" s="44"/>
      <c r="MXD577" s="44"/>
      <c r="MXE577" s="44"/>
      <c r="MXF577" s="44"/>
      <c r="MXG577" s="44"/>
      <c r="MXH577" s="44"/>
      <c r="MXI577" s="44"/>
      <c r="MXJ577" s="44"/>
      <c r="MXK577" s="44"/>
      <c r="MXL577" s="44"/>
      <c r="MXM577" s="44"/>
      <c r="MXN577" s="44"/>
      <c r="MXO577" s="44"/>
      <c r="MXP577" s="44"/>
      <c r="MXQ577" s="44"/>
      <c r="MXR577" s="44"/>
      <c r="MXS577" s="44"/>
      <c r="MXT577" s="44"/>
      <c r="MXU577" s="44"/>
      <c r="MXV577" s="44"/>
      <c r="MXW577" s="44"/>
      <c r="MXX577" s="44"/>
      <c r="MXY577" s="44"/>
      <c r="MXZ577" s="44"/>
      <c r="MYA577" s="44"/>
      <c r="MYB577" s="44"/>
      <c r="MYC577" s="44"/>
      <c r="MYD577" s="44"/>
      <c r="MYE577" s="44"/>
      <c r="MYF577" s="44"/>
      <c r="MYG577" s="44"/>
      <c r="MYH577" s="44"/>
      <c r="MYI577" s="44"/>
      <c r="MYJ577" s="44"/>
      <c r="MYK577" s="44"/>
      <c r="MYL577" s="44"/>
      <c r="MYM577" s="44"/>
      <c r="MYN577" s="44"/>
      <c r="MYO577" s="44"/>
      <c r="MYP577" s="44"/>
      <c r="MYQ577" s="44"/>
      <c r="MYR577" s="44"/>
      <c r="MYS577" s="44"/>
      <c r="MYT577" s="44"/>
      <c r="MYU577" s="44"/>
      <c r="MYV577" s="44"/>
      <c r="MYW577" s="44"/>
      <c r="MYX577" s="44"/>
      <c r="MYY577" s="44"/>
      <c r="MYZ577" s="44"/>
      <c r="MZA577" s="44"/>
      <c r="MZB577" s="44"/>
      <c r="MZC577" s="44"/>
      <c r="MZD577" s="44"/>
      <c r="MZE577" s="44"/>
      <c r="MZF577" s="44"/>
      <c r="MZG577" s="44"/>
      <c r="MZH577" s="44"/>
      <c r="MZI577" s="44"/>
      <c r="MZJ577" s="44"/>
      <c r="MZK577" s="44"/>
      <c r="MZL577" s="44"/>
      <c r="MZM577" s="44"/>
      <c r="MZN577" s="44"/>
      <c r="MZO577" s="44"/>
      <c r="MZP577" s="44"/>
      <c r="MZQ577" s="44"/>
      <c r="MZR577" s="44"/>
      <c r="MZS577" s="44"/>
      <c r="MZT577" s="44"/>
      <c r="MZU577" s="44"/>
      <c r="MZV577" s="44"/>
      <c r="MZW577" s="44"/>
      <c r="MZX577" s="44"/>
      <c r="MZY577" s="44"/>
      <c r="MZZ577" s="44"/>
      <c r="NAA577" s="44"/>
      <c r="NAB577" s="44"/>
      <c r="NAC577" s="44"/>
      <c r="NAD577" s="44"/>
      <c r="NAE577" s="44"/>
      <c r="NAF577" s="44"/>
      <c r="NAG577" s="44"/>
      <c r="NAH577" s="44"/>
      <c r="NAI577" s="44"/>
      <c r="NAJ577" s="44"/>
      <c r="NAK577" s="44"/>
      <c r="NAL577" s="44"/>
      <c r="NAM577" s="44"/>
      <c r="NAN577" s="44"/>
      <c r="NAO577" s="44"/>
      <c r="NAP577" s="44"/>
      <c r="NAQ577" s="44"/>
      <c r="NAR577" s="44"/>
      <c r="NAS577" s="44"/>
      <c r="NAT577" s="44"/>
      <c r="NAU577" s="44"/>
      <c r="NAV577" s="44"/>
      <c r="NAW577" s="44"/>
      <c r="NAX577" s="44"/>
      <c r="NAY577" s="44"/>
      <c r="NAZ577" s="44"/>
      <c r="NBA577" s="44"/>
      <c r="NBB577" s="44"/>
      <c r="NBC577" s="44"/>
      <c r="NBD577" s="44"/>
      <c r="NBE577" s="44"/>
      <c r="NBF577" s="44"/>
      <c r="NBG577" s="44"/>
      <c r="NBH577" s="44"/>
      <c r="NBI577" s="44"/>
      <c r="NBJ577" s="44"/>
      <c r="NBK577" s="44"/>
      <c r="NBL577" s="44"/>
      <c r="NBM577" s="44"/>
      <c r="NBN577" s="44"/>
      <c r="NBO577" s="44"/>
      <c r="NBP577" s="44"/>
      <c r="NBQ577" s="44"/>
      <c r="NBR577" s="44"/>
      <c r="NBS577" s="44"/>
      <c r="NBT577" s="44"/>
      <c r="NBU577" s="44"/>
      <c r="NBV577" s="44"/>
      <c r="NBW577" s="44"/>
      <c r="NBX577" s="44"/>
      <c r="NBY577" s="44"/>
      <c r="NBZ577" s="44"/>
      <c r="NCA577" s="44"/>
      <c r="NCB577" s="44"/>
      <c r="NCC577" s="44"/>
      <c r="NCD577" s="44"/>
      <c r="NCE577" s="44"/>
      <c r="NCF577" s="44"/>
      <c r="NCG577" s="44"/>
      <c r="NCH577" s="44"/>
      <c r="NCI577" s="44"/>
      <c r="NCJ577" s="44"/>
      <c r="NCK577" s="44"/>
      <c r="NCL577" s="44"/>
      <c r="NCM577" s="44"/>
      <c r="NCN577" s="44"/>
      <c r="NCO577" s="44"/>
      <c r="NCP577" s="44"/>
      <c r="NCQ577" s="44"/>
      <c r="NCR577" s="44"/>
      <c r="NCS577" s="44"/>
      <c r="NCT577" s="44"/>
      <c r="NCU577" s="44"/>
      <c r="NCV577" s="44"/>
      <c r="NCW577" s="44"/>
      <c r="NCX577" s="44"/>
      <c r="NCY577" s="44"/>
      <c r="NCZ577" s="44"/>
      <c r="NDA577" s="44"/>
      <c r="NDB577" s="44"/>
      <c r="NDC577" s="44"/>
      <c r="NDD577" s="44"/>
      <c r="NDE577" s="44"/>
      <c r="NDF577" s="44"/>
      <c r="NDG577" s="44"/>
      <c r="NDH577" s="44"/>
      <c r="NDI577" s="44"/>
      <c r="NDJ577" s="44"/>
      <c r="NDK577" s="44"/>
      <c r="NDL577" s="44"/>
      <c r="NDM577" s="44"/>
      <c r="NDN577" s="44"/>
      <c r="NDO577" s="44"/>
      <c r="NDP577" s="44"/>
      <c r="NDQ577" s="44"/>
      <c r="NDR577" s="44"/>
      <c r="NDS577" s="44"/>
      <c r="NDT577" s="44"/>
      <c r="NDU577" s="44"/>
      <c r="NDV577" s="44"/>
      <c r="NDW577" s="44"/>
      <c r="NDX577" s="44"/>
      <c r="NDY577" s="44"/>
      <c r="NDZ577" s="44"/>
      <c r="NEA577" s="44"/>
      <c r="NEB577" s="44"/>
      <c r="NEC577" s="44"/>
      <c r="NED577" s="44"/>
      <c r="NEE577" s="44"/>
      <c r="NEF577" s="44"/>
      <c r="NEG577" s="44"/>
      <c r="NEH577" s="44"/>
      <c r="NEI577" s="44"/>
      <c r="NEJ577" s="44"/>
      <c r="NEK577" s="44"/>
      <c r="NEL577" s="44"/>
      <c r="NEM577" s="44"/>
      <c r="NEN577" s="44"/>
      <c r="NEO577" s="44"/>
      <c r="NEP577" s="44"/>
      <c r="NEQ577" s="44"/>
      <c r="NER577" s="44"/>
      <c r="NES577" s="44"/>
      <c r="NET577" s="44"/>
      <c r="NEU577" s="44"/>
      <c r="NEV577" s="44"/>
      <c r="NEW577" s="44"/>
      <c r="NEX577" s="44"/>
      <c r="NEY577" s="44"/>
      <c r="NEZ577" s="44"/>
      <c r="NFA577" s="44"/>
      <c r="NFB577" s="44"/>
      <c r="NFC577" s="44"/>
      <c r="NFD577" s="44"/>
      <c r="NFE577" s="44"/>
      <c r="NFF577" s="44"/>
      <c r="NFG577" s="44"/>
      <c r="NFH577" s="44"/>
      <c r="NFI577" s="44"/>
      <c r="NFJ577" s="44"/>
      <c r="NFK577" s="44"/>
      <c r="NFL577" s="44"/>
      <c r="NFM577" s="44"/>
      <c r="NFN577" s="44"/>
      <c r="NFO577" s="44"/>
      <c r="NFP577" s="44"/>
      <c r="NFQ577" s="44"/>
      <c r="NFR577" s="44"/>
      <c r="NFS577" s="44"/>
      <c r="NFT577" s="44"/>
      <c r="NFU577" s="44"/>
      <c r="NFV577" s="44"/>
      <c r="NFW577" s="44"/>
      <c r="NFX577" s="44"/>
      <c r="NFY577" s="44"/>
      <c r="NFZ577" s="44"/>
      <c r="NGA577" s="44"/>
      <c r="NGB577" s="44"/>
      <c r="NGC577" s="44"/>
      <c r="NGD577" s="44"/>
      <c r="NGE577" s="44"/>
      <c r="NGF577" s="44"/>
      <c r="NGG577" s="44"/>
      <c r="NGH577" s="44"/>
      <c r="NGI577" s="44"/>
      <c r="NGJ577" s="44"/>
      <c r="NGK577" s="44"/>
      <c r="NGL577" s="44"/>
      <c r="NGM577" s="44"/>
      <c r="NGN577" s="44"/>
      <c r="NGO577" s="44"/>
      <c r="NGP577" s="44"/>
      <c r="NGQ577" s="44"/>
      <c r="NGR577" s="44"/>
      <c r="NGS577" s="44"/>
      <c r="NGT577" s="44"/>
      <c r="NGU577" s="44"/>
      <c r="NGV577" s="44"/>
      <c r="NGW577" s="44"/>
      <c r="NGX577" s="44"/>
      <c r="NGY577" s="44"/>
      <c r="NGZ577" s="44"/>
      <c r="NHA577" s="44"/>
      <c r="NHB577" s="44"/>
      <c r="NHC577" s="44"/>
      <c r="NHD577" s="44"/>
      <c r="NHE577" s="44"/>
      <c r="NHF577" s="44"/>
      <c r="NHG577" s="44"/>
      <c r="NHH577" s="44"/>
      <c r="NHI577" s="44"/>
      <c r="NHJ577" s="44"/>
      <c r="NHK577" s="44"/>
      <c r="NHL577" s="44"/>
      <c r="NHM577" s="44"/>
      <c r="NHN577" s="44"/>
      <c r="NHO577" s="44"/>
      <c r="NHP577" s="44"/>
      <c r="NHQ577" s="44"/>
      <c r="NHR577" s="44"/>
      <c r="NHS577" s="44"/>
      <c r="NHT577" s="44"/>
      <c r="NHU577" s="44"/>
      <c r="NHV577" s="44"/>
      <c r="NHW577" s="44"/>
      <c r="NHX577" s="44"/>
      <c r="NHY577" s="44"/>
      <c r="NHZ577" s="44"/>
      <c r="NIA577" s="44"/>
      <c r="NIB577" s="44"/>
      <c r="NIC577" s="44"/>
      <c r="NID577" s="44"/>
      <c r="NIE577" s="44"/>
      <c r="NIF577" s="44"/>
      <c r="NIG577" s="44"/>
      <c r="NIH577" s="44"/>
      <c r="NII577" s="44"/>
      <c r="NIJ577" s="44"/>
      <c r="NIK577" s="44"/>
      <c r="NIL577" s="44"/>
      <c r="NIM577" s="44"/>
      <c r="NIN577" s="44"/>
      <c r="NIO577" s="44"/>
      <c r="NIP577" s="44"/>
      <c r="NIQ577" s="44"/>
      <c r="NIR577" s="44"/>
      <c r="NIS577" s="44"/>
      <c r="NIT577" s="44"/>
      <c r="NIU577" s="44"/>
      <c r="NIV577" s="44"/>
      <c r="NIW577" s="44"/>
      <c r="NIX577" s="44"/>
      <c r="NIY577" s="44"/>
      <c r="NIZ577" s="44"/>
      <c r="NJA577" s="44"/>
      <c r="NJB577" s="44"/>
      <c r="NJC577" s="44"/>
      <c r="NJD577" s="44"/>
      <c r="NJE577" s="44"/>
      <c r="NJF577" s="44"/>
      <c r="NJG577" s="44"/>
      <c r="NJH577" s="44"/>
      <c r="NJI577" s="44"/>
      <c r="NJJ577" s="44"/>
      <c r="NJK577" s="44"/>
      <c r="NJL577" s="44"/>
      <c r="NJM577" s="44"/>
      <c r="NJN577" s="44"/>
      <c r="NJO577" s="44"/>
      <c r="NJP577" s="44"/>
      <c r="NJQ577" s="44"/>
      <c r="NJR577" s="44"/>
      <c r="NJS577" s="44"/>
      <c r="NJT577" s="44"/>
      <c r="NJU577" s="44"/>
      <c r="NJV577" s="44"/>
      <c r="NJW577" s="44"/>
      <c r="NJX577" s="44"/>
      <c r="NJY577" s="44"/>
      <c r="NJZ577" s="44"/>
      <c r="NKA577" s="44"/>
      <c r="NKB577" s="44"/>
      <c r="NKC577" s="44"/>
      <c r="NKD577" s="44"/>
      <c r="NKE577" s="44"/>
      <c r="NKF577" s="44"/>
      <c r="NKG577" s="44"/>
      <c r="NKH577" s="44"/>
      <c r="NKI577" s="44"/>
      <c r="NKJ577" s="44"/>
      <c r="NKK577" s="44"/>
      <c r="NKL577" s="44"/>
      <c r="NKM577" s="44"/>
      <c r="NKN577" s="44"/>
      <c r="NKO577" s="44"/>
      <c r="NKP577" s="44"/>
      <c r="NKQ577" s="44"/>
      <c r="NKR577" s="44"/>
      <c r="NKS577" s="44"/>
      <c r="NKT577" s="44"/>
      <c r="NKU577" s="44"/>
      <c r="NKV577" s="44"/>
      <c r="NKW577" s="44"/>
      <c r="NKX577" s="44"/>
      <c r="NKY577" s="44"/>
      <c r="NKZ577" s="44"/>
      <c r="NLA577" s="44"/>
      <c r="NLB577" s="44"/>
      <c r="NLC577" s="44"/>
      <c r="NLD577" s="44"/>
      <c r="NLE577" s="44"/>
      <c r="NLF577" s="44"/>
      <c r="NLG577" s="44"/>
      <c r="NLH577" s="44"/>
      <c r="NLI577" s="44"/>
      <c r="NLJ577" s="44"/>
      <c r="NLK577" s="44"/>
      <c r="NLL577" s="44"/>
      <c r="NLM577" s="44"/>
      <c r="NLN577" s="44"/>
      <c r="NLO577" s="44"/>
      <c r="NLP577" s="44"/>
      <c r="NLQ577" s="44"/>
      <c r="NLR577" s="44"/>
      <c r="NLS577" s="44"/>
      <c r="NLT577" s="44"/>
      <c r="NLU577" s="44"/>
      <c r="NLV577" s="44"/>
      <c r="NLW577" s="44"/>
      <c r="NLX577" s="44"/>
      <c r="NLY577" s="44"/>
      <c r="NLZ577" s="44"/>
      <c r="NMA577" s="44"/>
      <c r="NMB577" s="44"/>
      <c r="NMC577" s="44"/>
      <c r="NMD577" s="44"/>
      <c r="NME577" s="44"/>
      <c r="NMF577" s="44"/>
      <c r="NMG577" s="44"/>
      <c r="NMH577" s="44"/>
      <c r="NMI577" s="44"/>
      <c r="NMJ577" s="44"/>
      <c r="NMK577" s="44"/>
      <c r="NML577" s="44"/>
      <c r="NMM577" s="44"/>
      <c r="NMN577" s="44"/>
      <c r="NMO577" s="44"/>
      <c r="NMP577" s="44"/>
      <c r="NMQ577" s="44"/>
      <c r="NMR577" s="44"/>
      <c r="NMS577" s="44"/>
      <c r="NMT577" s="44"/>
      <c r="NMU577" s="44"/>
      <c r="NMV577" s="44"/>
      <c r="NMW577" s="44"/>
      <c r="NMX577" s="44"/>
      <c r="NMY577" s="44"/>
      <c r="NMZ577" s="44"/>
      <c r="NNA577" s="44"/>
      <c r="NNB577" s="44"/>
      <c r="NNC577" s="44"/>
      <c r="NND577" s="44"/>
      <c r="NNE577" s="44"/>
      <c r="NNF577" s="44"/>
      <c r="NNG577" s="44"/>
      <c r="NNH577" s="44"/>
      <c r="NNI577" s="44"/>
      <c r="NNJ577" s="44"/>
      <c r="NNK577" s="44"/>
      <c r="NNL577" s="44"/>
      <c r="NNM577" s="44"/>
      <c r="NNN577" s="44"/>
      <c r="NNO577" s="44"/>
      <c r="NNP577" s="44"/>
      <c r="NNQ577" s="44"/>
      <c r="NNR577" s="44"/>
      <c r="NNS577" s="44"/>
      <c r="NNT577" s="44"/>
      <c r="NNU577" s="44"/>
      <c r="NNV577" s="44"/>
      <c r="NNW577" s="44"/>
      <c r="NNX577" s="44"/>
      <c r="NNY577" s="44"/>
      <c r="NNZ577" s="44"/>
      <c r="NOA577" s="44"/>
      <c r="NOB577" s="44"/>
      <c r="NOC577" s="44"/>
      <c r="NOD577" s="44"/>
      <c r="NOE577" s="44"/>
      <c r="NOF577" s="44"/>
      <c r="NOG577" s="44"/>
      <c r="NOH577" s="44"/>
      <c r="NOI577" s="44"/>
      <c r="NOJ577" s="44"/>
      <c r="NOK577" s="44"/>
      <c r="NOL577" s="44"/>
      <c r="NOM577" s="44"/>
      <c r="NON577" s="44"/>
      <c r="NOO577" s="44"/>
      <c r="NOP577" s="44"/>
      <c r="NOQ577" s="44"/>
      <c r="NOR577" s="44"/>
      <c r="NOS577" s="44"/>
      <c r="NOT577" s="44"/>
      <c r="NOU577" s="44"/>
      <c r="NOV577" s="44"/>
      <c r="NOW577" s="44"/>
      <c r="NOX577" s="44"/>
      <c r="NOY577" s="44"/>
      <c r="NOZ577" s="44"/>
      <c r="NPA577" s="44"/>
      <c r="NPB577" s="44"/>
      <c r="NPC577" s="44"/>
      <c r="NPD577" s="44"/>
      <c r="NPE577" s="44"/>
      <c r="NPF577" s="44"/>
      <c r="NPG577" s="44"/>
      <c r="NPH577" s="44"/>
      <c r="NPI577" s="44"/>
      <c r="NPJ577" s="44"/>
      <c r="NPK577" s="44"/>
      <c r="NPL577" s="44"/>
      <c r="NPM577" s="44"/>
      <c r="NPN577" s="44"/>
      <c r="NPO577" s="44"/>
      <c r="NPP577" s="44"/>
      <c r="NPQ577" s="44"/>
      <c r="NPR577" s="44"/>
      <c r="NPS577" s="44"/>
      <c r="NPT577" s="44"/>
      <c r="NPU577" s="44"/>
      <c r="NPV577" s="44"/>
      <c r="NPW577" s="44"/>
      <c r="NPX577" s="44"/>
      <c r="NPY577" s="44"/>
      <c r="NPZ577" s="44"/>
      <c r="NQA577" s="44"/>
      <c r="NQB577" s="44"/>
      <c r="NQC577" s="44"/>
      <c r="NQD577" s="44"/>
      <c r="NQE577" s="44"/>
      <c r="NQF577" s="44"/>
      <c r="NQG577" s="44"/>
      <c r="NQH577" s="44"/>
      <c r="NQI577" s="44"/>
      <c r="NQJ577" s="44"/>
      <c r="NQK577" s="44"/>
      <c r="NQL577" s="44"/>
      <c r="NQM577" s="44"/>
      <c r="NQN577" s="44"/>
      <c r="NQO577" s="44"/>
      <c r="NQP577" s="44"/>
      <c r="NQQ577" s="44"/>
      <c r="NQR577" s="44"/>
      <c r="NQS577" s="44"/>
      <c r="NQT577" s="44"/>
      <c r="NQU577" s="44"/>
      <c r="NQV577" s="44"/>
      <c r="NQW577" s="44"/>
      <c r="NQX577" s="44"/>
      <c r="NQY577" s="44"/>
      <c r="NQZ577" s="44"/>
      <c r="NRA577" s="44"/>
      <c r="NRB577" s="44"/>
      <c r="NRC577" s="44"/>
      <c r="NRD577" s="44"/>
      <c r="NRE577" s="44"/>
      <c r="NRF577" s="44"/>
      <c r="NRG577" s="44"/>
      <c r="NRH577" s="44"/>
      <c r="NRI577" s="44"/>
      <c r="NRJ577" s="44"/>
      <c r="NRK577" s="44"/>
      <c r="NRL577" s="44"/>
      <c r="NRM577" s="44"/>
      <c r="NRN577" s="44"/>
      <c r="NRO577" s="44"/>
      <c r="NRP577" s="44"/>
      <c r="NRQ577" s="44"/>
      <c r="NRR577" s="44"/>
      <c r="NRS577" s="44"/>
      <c r="NRT577" s="44"/>
      <c r="NRU577" s="44"/>
      <c r="NRV577" s="44"/>
      <c r="NRW577" s="44"/>
      <c r="NRX577" s="44"/>
      <c r="NRY577" s="44"/>
      <c r="NRZ577" s="44"/>
      <c r="NSA577" s="44"/>
      <c r="NSB577" s="44"/>
      <c r="NSC577" s="44"/>
      <c r="NSD577" s="44"/>
      <c r="NSE577" s="44"/>
      <c r="NSF577" s="44"/>
      <c r="NSG577" s="44"/>
      <c r="NSH577" s="44"/>
      <c r="NSI577" s="44"/>
      <c r="NSJ577" s="44"/>
      <c r="NSK577" s="44"/>
      <c r="NSL577" s="44"/>
      <c r="NSM577" s="44"/>
      <c r="NSN577" s="44"/>
      <c r="NSO577" s="44"/>
      <c r="NSP577" s="44"/>
      <c r="NSQ577" s="44"/>
      <c r="NSR577" s="44"/>
      <c r="NSS577" s="44"/>
      <c r="NST577" s="44"/>
      <c r="NSU577" s="44"/>
      <c r="NSV577" s="44"/>
      <c r="NSW577" s="44"/>
      <c r="NSX577" s="44"/>
      <c r="NSY577" s="44"/>
      <c r="NSZ577" s="44"/>
      <c r="NTA577" s="44"/>
      <c r="NTB577" s="44"/>
      <c r="NTC577" s="44"/>
      <c r="NTD577" s="44"/>
      <c r="NTE577" s="44"/>
      <c r="NTF577" s="44"/>
      <c r="NTG577" s="44"/>
      <c r="NTH577" s="44"/>
      <c r="NTI577" s="44"/>
      <c r="NTJ577" s="44"/>
      <c r="NTK577" s="44"/>
      <c r="NTL577" s="44"/>
      <c r="NTM577" s="44"/>
      <c r="NTN577" s="44"/>
      <c r="NTO577" s="44"/>
      <c r="NTP577" s="44"/>
      <c r="NTQ577" s="44"/>
      <c r="NTR577" s="44"/>
      <c r="NTS577" s="44"/>
      <c r="NTT577" s="44"/>
      <c r="NTU577" s="44"/>
      <c r="NTV577" s="44"/>
      <c r="NTW577" s="44"/>
      <c r="NTX577" s="44"/>
      <c r="NTY577" s="44"/>
      <c r="NTZ577" s="44"/>
      <c r="NUA577" s="44"/>
      <c r="NUB577" s="44"/>
      <c r="NUC577" s="44"/>
      <c r="NUD577" s="44"/>
      <c r="NUE577" s="44"/>
      <c r="NUF577" s="44"/>
      <c r="NUG577" s="44"/>
      <c r="NUH577" s="44"/>
      <c r="NUI577" s="44"/>
      <c r="NUJ577" s="44"/>
      <c r="NUK577" s="44"/>
      <c r="NUL577" s="44"/>
      <c r="NUM577" s="44"/>
      <c r="NUN577" s="44"/>
      <c r="NUO577" s="44"/>
      <c r="NUP577" s="44"/>
      <c r="NUQ577" s="44"/>
      <c r="NUR577" s="44"/>
      <c r="NUS577" s="44"/>
      <c r="NUT577" s="44"/>
      <c r="NUU577" s="44"/>
      <c r="NUV577" s="44"/>
      <c r="NUW577" s="44"/>
      <c r="NUX577" s="44"/>
      <c r="NUY577" s="44"/>
      <c r="NUZ577" s="44"/>
      <c r="NVA577" s="44"/>
      <c r="NVB577" s="44"/>
      <c r="NVC577" s="44"/>
      <c r="NVD577" s="44"/>
      <c r="NVE577" s="44"/>
      <c r="NVF577" s="44"/>
      <c r="NVG577" s="44"/>
      <c r="NVH577" s="44"/>
      <c r="NVI577" s="44"/>
      <c r="NVJ577" s="44"/>
      <c r="NVK577" s="44"/>
      <c r="NVL577" s="44"/>
      <c r="NVM577" s="44"/>
      <c r="NVN577" s="44"/>
      <c r="NVO577" s="44"/>
      <c r="NVP577" s="44"/>
      <c r="NVQ577" s="44"/>
      <c r="NVR577" s="44"/>
      <c r="NVS577" s="44"/>
      <c r="NVT577" s="44"/>
      <c r="NVU577" s="44"/>
      <c r="NVV577" s="44"/>
      <c r="NVW577" s="44"/>
      <c r="NVX577" s="44"/>
      <c r="NVY577" s="44"/>
      <c r="NVZ577" s="44"/>
      <c r="NWA577" s="44"/>
      <c r="NWB577" s="44"/>
      <c r="NWC577" s="44"/>
      <c r="NWD577" s="44"/>
      <c r="NWE577" s="44"/>
      <c r="NWF577" s="44"/>
      <c r="NWG577" s="44"/>
      <c r="NWH577" s="44"/>
      <c r="NWI577" s="44"/>
      <c r="NWJ577" s="44"/>
      <c r="NWK577" s="44"/>
      <c r="NWL577" s="44"/>
      <c r="NWM577" s="44"/>
      <c r="NWN577" s="44"/>
      <c r="NWO577" s="44"/>
      <c r="NWP577" s="44"/>
      <c r="NWQ577" s="44"/>
      <c r="NWR577" s="44"/>
      <c r="NWS577" s="44"/>
      <c r="NWT577" s="44"/>
      <c r="NWU577" s="44"/>
      <c r="NWV577" s="44"/>
      <c r="NWW577" s="44"/>
      <c r="NWX577" s="44"/>
      <c r="NWY577" s="44"/>
      <c r="NWZ577" s="44"/>
      <c r="NXA577" s="44"/>
      <c r="NXB577" s="44"/>
      <c r="NXC577" s="44"/>
      <c r="NXD577" s="44"/>
      <c r="NXE577" s="44"/>
      <c r="NXF577" s="44"/>
      <c r="NXG577" s="44"/>
      <c r="NXH577" s="44"/>
      <c r="NXI577" s="44"/>
      <c r="NXJ577" s="44"/>
      <c r="NXK577" s="44"/>
      <c r="NXL577" s="44"/>
      <c r="NXM577" s="44"/>
      <c r="NXN577" s="44"/>
      <c r="NXO577" s="44"/>
      <c r="NXP577" s="44"/>
      <c r="NXQ577" s="44"/>
      <c r="NXR577" s="44"/>
      <c r="NXS577" s="44"/>
      <c r="NXT577" s="44"/>
      <c r="NXU577" s="44"/>
      <c r="NXV577" s="44"/>
      <c r="NXW577" s="44"/>
      <c r="NXX577" s="44"/>
      <c r="NXY577" s="44"/>
      <c r="NXZ577" s="44"/>
      <c r="NYA577" s="44"/>
      <c r="NYB577" s="44"/>
      <c r="NYC577" s="44"/>
      <c r="NYD577" s="44"/>
      <c r="NYE577" s="44"/>
      <c r="NYF577" s="44"/>
      <c r="NYG577" s="44"/>
      <c r="NYH577" s="44"/>
      <c r="NYI577" s="44"/>
      <c r="NYJ577" s="44"/>
      <c r="NYK577" s="44"/>
      <c r="NYL577" s="44"/>
      <c r="NYM577" s="44"/>
      <c r="NYN577" s="44"/>
      <c r="NYO577" s="44"/>
      <c r="NYP577" s="44"/>
      <c r="NYQ577" s="44"/>
      <c r="NYR577" s="44"/>
      <c r="NYS577" s="44"/>
      <c r="NYT577" s="44"/>
      <c r="NYU577" s="44"/>
      <c r="NYV577" s="44"/>
      <c r="NYW577" s="44"/>
      <c r="NYX577" s="44"/>
      <c r="NYY577" s="44"/>
      <c r="NYZ577" s="44"/>
      <c r="NZA577" s="44"/>
      <c r="NZB577" s="44"/>
      <c r="NZC577" s="44"/>
      <c r="NZD577" s="44"/>
      <c r="NZE577" s="44"/>
      <c r="NZF577" s="44"/>
      <c r="NZG577" s="44"/>
      <c r="NZH577" s="44"/>
      <c r="NZI577" s="44"/>
      <c r="NZJ577" s="44"/>
      <c r="NZK577" s="44"/>
      <c r="NZL577" s="44"/>
      <c r="NZM577" s="44"/>
      <c r="NZN577" s="44"/>
      <c r="NZO577" s="44"/>
      <c r="NZP577" s="44"/>
      <c r="NZQ577" s="44"/>
      <c r="NZR577" s="44"/>
      <c r="NZS577" s="44"/>
      <c r="NZT577" s="44"/>
      <c r="NZU577" s="44"/>
      <c r="NZV577" s="44"/>
      <c r="NZW577" s="44"/>
      <c r="NZX577" s="44"/>
      <c r="NZY577" s="44"/>
      <c r="NZZ577" s="44"/>
      <c r="OAA577" s="44"/>
      <c r="OAB577" s="44"/>
      <c r="OAC577" s="44"/>
      <c r="OAD577" s="44"/>
      <c r="OAE577" s="44"/>
      <c r="OAF577" s="44"/>
      <c r="OAG577" s="44"/>
      <c r="OAH577" s="44"/>
      <c r="OAI577" s="44"/>
      <c r="OAJ577" s="44"/>
      <c r="OAK577" s="44"/>
      <c r="OAL577" s="44"/>
      <c r="OAM577" s="44"/>
      <c r="OAN577" s="44"/>
      <c r="OAO577" s="44"/>
      <c r="OAP577" s="44"/>
      <c r="OAQ577" s="44"/>
      <c r="OAR577" s="44"/>
      <c r="OAS577" s="44"/>
      <c r="OAT577" s="44"/>
      <c r="OAU577" s="44"/>
      <c r="OAV577" s="44"/>
      <c r="OAW577" s="44"/>
      <c r="OAX577" s="44"/>
      <c r="OAY577" s="44"/>
      <c r="OAZ577" s="44"/>
      <c r="OBA577" s="44"/>
      <c r="OBB577" s="44"/>
      <c r="OBC577" s="44"/>
      <c r="OBD577" s="44"/>
      <c r="OBE577" s="44"/>
      <c r="OBF577" s="44"/>
      <c r="OBG577" s="44"/>
      <c r="OBH577" s="44"/>
      <c r="OBI577" s="44"/>
      <c r="OBJ577" s="44"/>
      <c r="OBK577" s="44"/>
      <c r="OBL577" s="44"/>
      <c r="OBM577" s="44"/>
      <c r="OBN577" s="44"/>
      <c r="OBO577" s="44"/>
      <c r="OBP577" s="44"/>
      <c r="OBQ577" s="44"/>
      <c r="OBR577" s="44"/>
      <c r="OBS577" s="44"/>
      <c r="OBT577" s="44"/>
      <c r="OBU577" s="44"/>
      <c r="OBV577" s="44"/>
      <c r="OBW577" s="44"/>
      <c r="OBX577" s="44"/>
      <c r="OBY577" s="44"/>
      <c r="OBZ577" s="44"/>
      <c r="OCA577" s="44"/>
      <c r="OCB577" s="44"/>
      <c r="OCC577" s="44"/>
      <c r="OCD577" s="44"/>
      <c r="OCE577" s="44"/>
      <c r="OCF577" s="44"/>
      <c r="OCG577" s="44"/>
      <c r="OCH577" s="44"/>
      <c r="OCI577" s="44"/>
      <c r="OCJ577" s="44"/>
      <c r="OCK577" s="44"/>
      <c r="OCL577" s="44"/>
      <c r="OCM577" s="44"/>
      <c r="OCN577" s="44"/>
      <c r="OCO577" s="44"/>
      <c r="OCP577" s="44"/>
      <c r="OCQ577" s="44"/>
      <c r="OCR577" s="44"/>
      <c r="OCS577" s="44"/>
      <c r="OCT577" s="44"/>
      <c r="OCU577" s="44"/>
      <c r="OCV577" s="44"/>
      <c r="OCW577" s="44"/>
      <c r="OCX577" s="44"/>
      <c r="OCY577" s="44"/>
      <c r="OCZ577" s="44"/>
      <c r="ODA577" s="44"/>
      <c r="ODB577" s="44"/>
      <c r="ODC577" s="44"/>
      <c r="ODD577" s="44"/>
      <c r="ODE577" s="44"/>
      <c r="ODF577" s="44"/>
      <c r="ODG577" s="44"/>
      <c r="ODH577" s="44"/>
      <c r="ODI577" s="44"/>
      <c r="ODJ577" s="44"/>
      <c r="ODK577" s="44"/>
      <c r="ODL577" s="44"/>
      <c r="ODM577" s="44"/>
      <c r="ODN577" s="44"/>
      <c r="ODO577" s="44"/>
      <c r="ODP577" s="44"/>
      <c r="ODQ577" s="44"/>
      <c r="ODR577" s="44"/>
      <c r="ODS577" s="44"/>
      <c r="ODT577" s="44"/>
      <c r="ODU577" s="44"/>
      <c r="ODV577" s="44"/>
      <c r="ODW577" s="44"/>
      <c r="ODX577" s="44"/>
      <c r="ODY577" s="44"/>
      <c r="ODZ577" s="44"/>
      <c r="OEA577" s="44"/>
      <c r="OEB577" s="44"/>
      <c r="OEC577" s="44"/>
      <c r="OED577" s="44"/>
      <c r="OEE577" s="44"/>
      <c r="OEF577" s="44"/>
      <c r="OEG577" s="44"/>
      <c r="OEH577" s="44"/>
      <c r="OEI577" s="44"/>
      <c r="OEJ577" s="44"/>
      <c r="OEK577" s="44"/>
      <c r="OEL577" s="44"/>
      <c r="OEM577" s="44"/>
      <c r="OEN577" s="44"/>
      <c r="OEO577" s="44"/>
      <c r="OEP577" s="44"/>
      <c r="OEQ577" s="44"/>
      <c r="OER577" s="44"/>
      <c r="OES577" s="44"/>
      <c r="OET577" s="44"/>
      <c r="OEU577" s="44"/>
      <c r="OEV577" s="44"/>
      <c r="OEW577" s="44"/>
      <c r="OEX577" s="44"/>
      <c r="OEY577" s="44"/>
      <c r="OEZ577" s="44"/>
      <c r="OFA577" s="44"/>
      <c r="OFB577" s="44"/>
      <c r="OFC577" s="44"/>
      <c r="OFD577" s="44"/>
      <c r="OFE577" s="44"/>
      <c r="OFF577" s="44"/>
      <c r="OFG577" s="44"/>
      <c r="OFH577" s="44"/>
      <c r="OFI577" s="44"/>
      <c r="OFJ577" s="44"/>
      <c r="OFK577" s="44"/>
      <c r="OFL577" s="44"/>
      <c r="OFM577" s="44"/>
      <c r="OFN577" s="44"/>
      <c r="OFO577" s="44"/>
      <c r="OFP577" s="44"/>
      <c r="OFQ577" s="44"/>
      <c r="OFR577" s="44"/>
      <c r="OFS577" s="44"/>
      <c r="OFT577" s="44"/>
      <c r="OFU577" s="44"/>
      <c r="OFV577" s="44"/>
      <c r="OFW577" s="44"/>
      <c r="OFX577" s="44"/>
      <c r="OFY577" s="44"/>
      <c r="OFZ577" s="44"/>
      <c r="OGA577" s="44"/>
      <c r="OGB577" s="44"/>
      <c r="OGC577" s="44"/>
      <c r="OGD577" s="44"/>
      <c r="OGE577" s="44"/>
      <c r="OGF577" s="44"/>
      <c r="OGG577" s="44"/>
      <c r="OGH577" s="44"/>
      <c r="OGI577" s="44"/>
      <c r="OGJ577" s="44"/>
      <c r="OGK577" s="44"/>
      <c r="OGL577" s="44"/>
      <c r="OGM577" s="44"/>
      <c r="OGN577" s="44"/>
      <c r="OGO577" s="44"/>
      <c r="OGP577" s="44"/>
      <c r="OGQ577" s="44"/>
      <c r="OGR577" s="44"/>
      <c r="OGS577" s="44"/>
      <c r="OGT577" s="44"/>
      <c r="OGU577" s="44"/>
      <c r="OGV577" s="44"/>
      <c r="OGW577" s="44"/>
      <c r="OGX577" s="44"/>
      <c r="OGY577" s="44"/>
      <c r="OGZ577" s="44"/>
      <c r="OHA577" s="44"/>
      <c r="OHB577" s="44"/>
      <c r="OHC577" s="44"/>
      <c r="OHD577" s="44"/>
      <c r="OHE577" s="44"/>
      <c r="OHF577" s="44"/>
      <c r="OHG577" s="44"/>
      <c r="OHH577" s="44"/>
      <c r="OHI577" s="44"/>
      <c r="OHJ577" s="44"/>
      <c r="OHK577" s="44"/>
      <c r="OHL577" s="44"/>
      <c r="OHM577" s="44"/>
      <c r="OHN577" s="44"/>
      <c r="OHO577" s="44"/>
      <c r="OHP577" s="44"/>
      <c r="OHQ577" s="44"/>
      <c r="OHR577" s="44"/>
      <c r="OHS577" s="44"/>
      <c r="OHT577" s="44"/>
      <c r="OHU577" s="44"/>
      <c r="OHV577" s="44"/>
      <c r="OHW577" s="44"/>
      <c r="OHX577" s="44"/>
      <c r="OHY577" s="44"/>
      <c r="OHZ577" s="44"/>
      <c r="OIA577" s="44"/>
      <c r="OIB577" s="44"/>
      <c r="OIC577" s="44"/>
      <c r="OID577" s="44"/>
      <c r="OIE577" s="44"/>
      <c r="OIF577" s="44"/>
      <c r="OIG577" s="44"/>
      <c r="OIH577" s="44"/>
      <c r="OII577" s="44"/>
      <c r="OIJ577" s="44"/>
      <c r="OIK577" s="44"/>
      <c r="OIL577" s="44"/>
      <c r="OIM577" s="44"/>
      <c r="OIN577" s="44"/>
      <c r="OIO577" s="44"/>
      <c r="OIP577" s="44"/>
      <c r="OIQ577" s="44"/>
      <c r="OIR577" s="44"/>
      <c r="OIS577" s="44"/>
      <c r="OIT577" s="44"/>
      <c r="OIU577" s="44"/>
      <c r="OIV577" s="44"/>
      <c r="OIW577" s="44"/>
      <c r="OIX577" s="44"/>
      <c r="OIY577" s="44"/>
      <c r="OIZ577" s="44"/>
      <c r="OJA577" s="44"/>
      <c r="OJB577" s="44"/>
      <c r="OJC577" s="44"/>
      <c r="OJD577" s="44"/>
      <c r="OJE577" s="44"/>
      <c r="OJF577" s="44"/>
      <c r="OJG577" s="44"/>
      <c r="OJH577" s="44"/>
      <c r="OJI577" s="44"/>
      <c r="OJJ577" s="44"/>
      <c r="OJK577" s="44"/>
      <c r="OJL577" s="44"/>
      <c r="OJM577" s="44"/>
      <c r="OJN577" s="44"/>
      <c r="OJO577" s="44"/>
      <c r="OJP577" s="44"/>
      <c r="OJQ577" s="44"/>
      <c r="OJR577" s="44"/>
      <c r="OJS577" s="44"/>
      <c r="OJT577" s="44"/>
      <c r="OJU577" s="44"/>
      <c r="OJV577" s="44"/>
      <c r="OJW577" s="44"/>
      <c r="OJX577" s="44"/>
      <c r="OJY577" s="44"/>
      <c r="OJZ577" s="44"/>
      <c r="OKA577" s="44"/>
      <c r="OKB577" s="44"/>
      <c r="OKC577" s="44"/>
      <c r="OKD577" s="44"/>
      <c r="OKE577" s="44"/>
      <c r="OKF577" s="44"/>
      <c r="OKG577" s="44"/>
      <c r="OKH577" s="44"/>
      <c r="OKI577" s="44"/>
      <c r="OKJ577" s="44"/>
      <c r="OKK577" s="44"/>
      <c r="OKL577" s="44"/>
      <c r="OKM577" s="44"/>
      <c r="OKN577" s="44"/>
      <c r="OKO577" s="44"/>
      <c r="OKP577" s="44"/>
      <c r="OKQ577" s="44"/>
      <c r="OKR577" s="44"/>
      <c r="OKS577" s="44"/>
      <c r="OKT577" s="44"/>
      <c r="OKU577" s="44"/>
      <c r="OKV577" s="44"/>
      <c r="OKW577" s="44"/>
      <c r="OKX577" s="44"/>
      <c r="OKY577" s="44"/>
      <c r="OKZ577" s="44"/>
      <c r="OLA577" s="44"/>
      <c r="OLB577" s="44"/>
      <c r="OLC577" s="44"/>
      <c r="OLD577" s="44"/>
      <c r="OLE577" s="44"/>
      <c r="OLF577" s="44"/>
      <c r="OLG577" s="44"/>
      <c r="OLH577" s="44"/>
      <c r="OLI577" s="44"/>
      <c r="OLJ577" s="44"/>
      <c r="OLK577" s="44"/>
      <c r="OLL577" s="44"/>
      <c r="OLM577" s="44"/>
      <c r="OLN577" s="44"/>
      <c r="OLO577" s="44"/>
      <c r="OLP577" s="44"/>
      <c r="OLQ577" s="44"/>
      <c r="OLR577" s="44"/>
      <c r="OLS577" s="44"/>
      <c r="OLT577" s="44"/>
      <c r="OLU577" s="44"/>
      <c r="OLV577" s="44"/>
      <c r="OLW577" s="44"/>
      <c r="OLX577" s="44"/>
      <c r="OLY577" s="44"/>
      <c r="OLZ577" s="44"/>
      <c r="OMA577" s="44"/>
      <c r="OMB577" s="44"/>
      <c r="OMC577" s="44"/>
      <c r="OMD577" s="44"/>
      <c r="OME577" s="44"/>
      <c r="OMF577" s="44"/>
      <c r="OMG577" s="44"/>
      <c r="OMH577" s="44"/>
      <c r="OMI577" s="44"/>
      <c r="OMJ577" s="44"/>
      <c r="OMK577" s="44"/>
      <c r="OML577" s="44"/>
      <c r="OMM577" s="44"/>
      <c r="OMN577" s="44"/>
      <c r="OMO577" s="44"/>
      <c r="OMP577" s="44"/>
      <c r="OMQ577" s="44"/>
      <c r="OMR577" s="44"/>
      <c r="OMS577" s="44"/>
      <c r="OMT577" s="44"/>
      <c r="OMU577" s="44"/>
      <c r="OMV577" s="44"/>
      <c r="OMW577" s="44"/>
      <c r="OMX577" s="44"/>
      <c r="OMY577" s="44"/>
      <c r="OMZ577" s="44"/>
      <c r="ONA577" s="44"/>
      <c r="ONB577" s="44"/>
      <c r="ONC577" s="44"/>
      <c r="OND577" s="44"/>
      <c r="ONE577" s="44"/>
      <c r="ONF577" s="44"/>
      <c r="ONG577" s="44"/>
      <c r="ONH577" s="44"/>
      <c r="ONI577" s="44"/>
      <c r="ONJ577" s="44"/>
      <c r="ONK577" s="44"/>
      <c r="ONL577" s="44"/>
      <c r="ONM577" s="44"/>
      <c r="ONN577" s="44"/>
      <c r="ONO577" s="44"/>
      <c r="ONP577" s="44"/>
      <c r="ONQ577" s="44"/>
      <c r="ONR577" s="44"/>
      <c r="ONS577" s="44"/>
      <c r="ONT577" s="44"/>
      <c r="ONU577" s="44"/>
      <c r="ONV577" s="44"/>
      <c r="ONW577" s="44"/>
      <c r="ONX577" s="44"/>
      <c r="ONY577" s="44"/>
      <c r="ONZ577" s="44"/>
      <c r="OOA577" s="44"/>
      <c r="OOB577" s="44"/>
      <c r="OOC577" s="44"/>
      <c r="OOD577" s="44"/>
      <c r="OOE577" s="44"/>
      <c r="OOF577" s="44"/>
      <c r="OOG577" s="44"/>
      <c r="OOH577" s="44"/>
      <c r="OOI577" s="44"/>
      <c r="OOJ577" s="44"/>
      <c r="OOK577" s="44"/>
      <c r="OOL577" s="44"/>
      <c r="OOM577" s="44"/>
      <c r="OON577" s="44"/>
      <c r="OOO577" s="44"/>
      <c r="OOP577" s="44"/>
      <c r="OOQ577" s="44"/>
      <c r="OOR577" s="44"/>
      <c r="OOS577" s="44"/>
      <c r="OOT577" s="44"/>
      <c r="OOU577" s="44"/>
      <c r="OOV577" s="44"/>
      <c r="OOW577" s="44"/>
      <c r="OOX577" s="44"/>
      <c r="OOY577" s="44"/>
      <c r="OOZ577" s="44"/>
      <c r="OPA577" s="44"/>
      <c r="OPB577" s="44"/>
      <c r="OPC577" s="44"/>
      <c r="OPD577" s="44"/>
      <c r="OPE577" s="44"/>
      <c r="OPF577" s="44"/>
      <c r="OPG577" s="44"/>
      <c r="OPH577" s="44"/>
      <c r="OPI577" s="44"/>
      <c r="OPJ577" s="44"/>
      <c r="OPK577" s="44"/>
      <c r="OPL577" s="44"/>
      <c r="OPM577" s="44"/>
      <c r="OPN577" s="44"/>
      <c r="OPO577" s="44"/>
      <c r="OPP577" s="44"/>
      <c r="OPQ577" s="44"/>
      <c r="OPR577" s="44"/>
      <c r="OPS577" s="44"/>
      <c r="OPT577" s="44"/>
      <c r="OPU577" s="44"/>
      <c r="OPV577" s="44"/>
      <c r="OPW577" s="44"/>
      <c r="OPX577" s="44"/>
      <c r="OPY577" s="44"/>
      <c r="OPZ577" s="44"/>
      <c r="OQA577" s="44"/>
      <c r="OQB577" s="44"/>
      <c r="OQC577" s="44"/>
      <c r="OQD577" s="44"/>
      <c r="OQE577" s="44"/>
      <c r="OQF577" s="44"/>
      <c r="OQG577" s="44"/>
      <c r="OQH577" s="44"/>
      <c r="OQI577" s="44"/>
      <c r="OQJ577" s="44"/>
      <c r="OQK577" s="44"/>
      <c r="OQL577" s="44"/>
      <c r="OQM577" s="44"/>
      <c r="OQN577" s="44"/>
      <c r="OQO577" s="44"/>
      <c r="OQP577" s="44"/>
      <c r="OQQ577" s="44"/>
      <c r="OQR577" s="44"/>
      <c r="OQS577" s="44"/>
      <c r="OQT577" s="44"/>
      <c r="OQU577" s="44"/>
      <c r="OQV577" s="44"/>
      <c r="OQW577" s="44"/>
      <c r="OQX577" s="44"/>
      <c r="OQY577" s="44"/>
      <c r="OQZ577" s="44"/>
      <c r="ORA577" s="44"/>
      <c r="ORB577" s="44"/>
      <c r="ORC577" s="44"/>
      <c r="ORD577" s="44"/>
      <c r="ORE577" s="44"/>
      <c r="ORF577" s="44"/>
      <c r="ORG577" s="44"/>
      <c r="ORH577" s="44"/>
      <c r="ORI577" s="44"/>
      <c r="ORJ577" s="44"/>
      <c r="ORK577" s="44"/>
      <c r="ORL577" s="44"/>
      <c r="ORM577" s="44"/>
      <c r="ORN577" s="44"/>
      <c r="ORO577" s="44"/>
      <c r="ORP577" s="44"/>
      <c r="ORQ577" s="44"/>
      <c r="ORR577" s="44"/>
      <c r="ORS577" s="44"/>
      <c r="ORT577" s="44"/>
      <c r="ORU577" s="44"/>
      <c r="ORV577" s="44"/>
      <c r="ORW577" s="44"/>
      <c r="ORX577" s="44"/>
      <c r="ORY577" s="44"/>
      <c r="ORZ577" s="44"/>
      <c r="OSA577" s="44"/>
      <c r="OSB577" s="44"/>
      <c r="OSC577" s="44"/>
      <c r="OSD577" s="44"/>
      <c r="OSE577" s="44"/>
      <c r="OSF577" s="44"/>
      <c r="OSG577" s="44"/>
      <c r="OSH577" s="44"/>
      <c r="OSI577" s="44"/>
      <c r="OSJ577" s="44"/>
      <c r="OSK577" s="44"/>
      <c r="OSL577" s="44"/>
      <c r="OSM577" s="44"/>
      <c r="OSN577" s="44"/>
      <c r="OSO577" s="44"/>
      <c r="OSP577" s="44"/>
      <c r="OSQ577" s="44"/>
      <c r="OSR577" s="44"/>
      <c r="OSS577" s="44"/>
      <c r="OST577" s="44"/>
      <c r="OSU577" s="44"/>
      <c r="OSV577" s="44"/>
      <c r="OSW577" s="44"/>
      <c r="OSX577" s="44"/>
      <c r="OSY577" s="44"/>
      <c r="OSZ577" s="44"/>
      <c r="OTA577" s="44"/>
      <c r="OTB577" s="44"/>
      <c r="OTC577" s="44"/>
      <c r="OTD577" s="44"/>
      <c r="OTE577" s="44"/>
      <c r="OTF577" s="44"/>
      <c r="OTG577" s="44"/>
      <c r="OTH577" s="44"/>
      <c r="OTI577" s="44"/>
      <c r="OTJ577" s="44"/>
      <c r="OTK577" s="44"/>
      <c r="OTL577" s="44"/>
      <c r="OTM577" s="44"/>
      <c r="OTN577" s="44"/>
      <c r="OTO577" s="44"/>
      <c r="OTP577" s="44"/>
      <c r="OTQ577" s="44"/>
      <c r="OTR577" s="44"/>
      <c r="OTS577" s="44"/>
      <c r="OTT577" s="44"/>
      <c r="OTU577" s="44"/>
      <c r="OTV577" s="44"/>
      <c r="OTW577" s="44"/>
      <c r="OTX577" s="44"/>
      <c r="OTY577" s="44"/>
      <c r="OTZ577" s="44"/>
      <c r="OUA577" s="44"/>
      <c r="OUB577" s="44"/>
      <c r="OUC577" s="44"/>
      <c r="OUD577" s="44"/>
      <c r="OUE577" s="44"/>
      <c r="OUF577" s="44"/>
      <c r="OUG577" s="44"/>
      <c r="OUH577" s="44"/>
      <c r="OUI577" s="44"/>
      <c r="OUJ577" s="44"/>
      <c r="OUK577" s="44"/>
      <c r="OUL577" s="44"/>
      <c r="OUM577" s="44"/>
      <c r="OUN577" s="44"/>
      <c r="OUO577" s="44"/>
      <c r="OUP577" s="44"/>
      <c r="OUQ577" s="44"/>
      <c r="OUR577" s="44"/>
      <c r="OUS577" s="44"/>
      <c r="OUT577" s="44"/>
      <c r="OUU577" s="44"/>
      <c r="OUV577" s="44"/>
      <c r="OUW577" s="44"/>
      <c r="OUX577" s="44"/>
      <c r="OUY577" s="44"/>
      <c r="OUZ577" s="44"/>
      <c r="OVA577" s="44"/>
      <c r="OVB577" s="44"/>
      <c r="OVC577" s="44"/>
      <c r="OVD577" s="44"/>
      <c r="OVE577" s="44"/>
      <c r="OVF577" s="44"/>
      <c r="OVG577" s="44"/>
      <c r="OVH577" s="44"/>
      <c r="OVI577" s="44"/>
      <c r="OVJ577" s="44"/>
      <c r="OVK577" s="44"/>
      <c r="OVL577" s="44"/>
      <c r="OVM577" s="44"/>
      <c r="OVN577" s="44"/>
      <c r="OVO577" s="44"/>
      <c r="OVP577" s="44"/>
      <c r="OVQ577" s="44"/>
      <c r="OVR577" s="44"/>
      <c r="OVS577" s="44"/>
      <c r="OVT577" s="44"/>
      <c r="OVU577" s="44"/>
      <c r="OVV577" s="44"/>
      <c r="OVW577" s="44"/>
      <c r="OVX577" s="44"/>
      <c r="OVY577" s="44"/>
      <c r="OVZ577" s="44"/>
      <c r="OWA577" s="44"/>
      <c r="OWB577" s="44"/>
      <c r="OWC577" s="44"/>
      <c r="OWD577" s="44"/>
      <c r="OWE577" s="44"/>
      <c r="OWF577" s="44"/>
      <c r="OWG577" s="44"/>
      <c r="OWH577" s="44"/>
      <c r="OWI577" s="44"/>
      <c r="OWJ577" s="44"/>
      <c r="OWK577" s="44"/>
      <c r="OWL577" s="44"/>
      <c r="OWM577" s="44"/>
      <c r="OWN577" s="44"/>
      <c r="OWO577" s="44"/>
      <c r="OWP577" s="44"/>
      <c r="OWQ577" s="44"/>
      <c r="OWR577" s="44"/>
      <c r="OWS577" s="44"/>
      <c r="OWT577" s="44"/>
      <c r="OWU577" s="44"/>
      <c r="OWV577" s="44"/>
      <c r="OWW577" s="44"/>
      <c r="OWX577" s="44"/>
      <c r="OWY577" s="44"/>
      <c r="OWZ577" s="44"/>
      <c r="OXA577" s="44"/>
      <c r="OXB577" s="44"/>
      <c r="OXC577" s="44"/>
      <c r="OXD577" s="44"/>
      <c r="OXE577" s="44"/>
      <c r="OXF577" s="44"/>
      <c r="OXG577" s="44"/>
      <c r="OXH577" s="44"/>
      <c r="OXI577" s="44"/>
      <c r="OXJ577" s="44"/>
      <c r="OXK577" s="44"/>
      <c r="OXL577" s="44"/>
      <c r="OXM577" s="44"/>
      <c r="OXN577" s="44"/>
      <c r="OXO577" s="44"/>
      <c r="OXP577" s="44"/>
      <c r="OXQ577" s="44"/>
      <c r="OXR577" s="44"/>
      <c r="OXS577" s="44"/>
      <c r="OXT577" s="44"/>
      <c r="OXU577" s="44"/>
      <c r="OXV577" s="44"/>
      <c r="OXW577" s="44"/>
      <c r="OXX577" s="44"/>
      <c r="OXY577" s="44"/>
      <c r="OXZ577" s="44"/>
      <c r="OYA577" s="44"/>
      <c r="OYB577" s="44"/>
      <c r="OYC577" s="44"/>
      <c r="OYD577" s="44"/>
      <c r="OYE577" s="44"/>
      <c r="OYF577" s="44"/>
      <c r="OYG577" s="44"/>
      <c r="OYH577" s="44"/>
      <c r="OYI577" s="44"/>
      <c r="OYJ577" s="44"/>
      <c r="OYK577" s="44"/>
      <c r="OYL577" s="44"/>
      <c r="OYM577" s="44"/>
      <c r="OYN577" s="44"/>
      <c r="OYO577" s="44"/>
      <c r="OYP577" s="44"/>
      <c r="OYQ577" s="44"/>
      <c r="OYR577" s="44"/>
      <c r="OYS577" s="44"/>
      <c r="OYT577" s="44"/>
      <c r="OYU577" s="44"/>
      <c r="OYV577" s="44"/>
      <c r="OYW577" s="44"/>
      <c r="OYX577" s="44"/>
      <c r="OYY577" s="44"/>
      <c r="OYZ577" s="44"/>
      <c r="OZA577" s="44"/>
      <c r="OZB577" s="44"/>
      <c r="OZC577" s="44"/>
      <c r="OZD577" s="44"/>
      <c r="OZE577" s="44"/>
      <c r="OZF577" s="44"/>
      <c r="OZG577" s="44"/>
      <c r="OZH577" s="44"/>
      <c r="OZI577" s="44"/>
      <c r="OZJ577" s="44"/>
      <c r="OZK577" s="44"/>
      <c r="OZL577" s="44"/>
      <c r="OZM577" s="44"/>
      <c r="OZN577" s="44"/>
      <c r="OZO577" s="44"/>
      <c r="OZP577" s="44"/>
      <c r="OZQ577" s="44"/>
      <c r="OZR577" s="44"/>
      <c r="OZS577" s="44"/>
      <c r="OZT577" s="44"/>
      <c r="OZU577" s="44"/>
      <c r="OZV577" s="44"/>
      <c r="OZW577" s="44"/>
      <c r="OZX577" s="44"/>
      <c r="OZY577" s="44"/>
      <c r="OZZ577" s="44"/>
      <c r="PAA577" s="44"/>
      <c r="PAB577" s="44"/>
      <c r="PAC577" s="44"/>
      <c r="PAD577" s="44"/>
      <c r="PAE577" s="44"/>
      <c r="PAF577" s="44"/>
      <c r="PAG577" s="44"/>
      <c r="PAH577" s="44"/>
      <c r="PAI577" s="44"/>
      <c r="PAJ577" s="44"/>
      <c r="PAK577" s="44"/>
      <c r="PAL577" s="44"/>
      <c r="PAM577" s="44"/>
      <c r="PAN577" s="44"/>
      <c r="PAO577" s="44"/>
      <c r="PAP577" s="44"/>
      <c r="PAQ577" s="44"/>
      <c r="PAR577" s="44"/>
      <c r="PAS577" s="44"/>
      <c r="PAT577" s="44"/>
      <c r="PAU577" s="44"/>
      <c r="PAV577" s="44"/>
      <c r="PAW577" s="44"/>
      <c r="PAX577" s="44"/>
      <c r="PAY577" s="44"/>
      <c r="PAZ577" s="44"/>
      <c r="PBA577" s="44"/>
      <c r="PBB577" s="44"/>
      <c r="PBC577" s="44"/>
      <c r="PBD577" s="44"/>
      <c r="PBE577" s="44"/>
      <c r="PBF577" s="44"/>
      <c r="PBG577" s="44"/>
      <c r="PBH577" s="44"/>
      <c r="PBI577" s="44"/>
      <c r="PBJ577" s="44"/>
      <c r="PBK577" s="44"/>
      <c r="PBL577" s="44"/>
      <c r="PBM577" s="44"/>
      <c r="PBN577" s="44"/>
      <c r="PBO577" s="44"/>
      <c r="PBP577" s="44"/>
      <c r="PBQ577" s="44"/>
      <c r="PBR577" s="44"/>
      <c r="PBS577" s="44"/>
      <c r="PBT577" s="44"/>
      <c r="PBU577" s="44"/>
      <c r="PBV577" s="44"/>
      <c r="PBW577" s="44"/>
      <c r="PBX577" s="44"/>
      <c r="PBY577" s="44"/>
      <c r="PBZ577" s="44"/>
      <c r="PCA577" s="44"/>
      <c r="PCB577" s="44"/>
      <c r="PCC577" s="44"/>
      <c r="PCD577" s="44"/>
      <c r="PCE577" s="44"/>
      <c r="PCF577" s="44"/>
      <c r="PCG577" s="44"/>
      <c r="PCH577" s="44"/>
      <c r="PCI577" s="44"/>
      <c r="PCJ577" s="44"/>
      <c r="PCK577" s="44"/>
      <c r="PCL577" s="44"/>
      <c r="PCM577" s="44"/>
      <c r="PCN577" s="44"/>
      <c r="PCO577" s="44"/>
      <c r="PCP577" s="44"/>
      <c r="PCQ577" s="44"/>
      <c r="PCR577" s="44"/>
      <c r="PCS577" s="44"/>
      <c r="PCT577" s="44"/>
      <c r="PCU577" s="44"/>
      <c r="PCV577" s="44"/>
      <c r="PCW577" s="44"/>
      <c r="PCX577" s="44"/>
      <c r="PCY577" s="44"/>
      <c r="PCZ577" s="44"/>
      <c r="PDA577" s="44"/>
      <c r="PDB577" s="44"/>
      <c r="PDC577" s="44"/>
      <c r="PDD577" s="44"/>
      <c r="PDE577" s="44"/>
      <c r="PDF577" s="44"/>
      <c r="PDG577" s="44"/>
      <c r="PDH577" s="44"/>
      <c r="PDI577" s="44"/>
      <c r="PDJ577" s="44"/>
      <c r="PDK577" s="44"/>
      <c r="PDL577" s="44"/>
      <c r="PDM577" s="44"/>
      <c r="PDN577" s="44"/>
      <c r="PDO577" s="44"/>
      <c r="PDP577" s="44"/>
      <c r="PDQ577" s="44"/>
      <c r="PDR577" s="44"/>
      <c r="PDS577" s="44"/>
      <c r="PDT577" s="44"/>
      <c r="PDU577" s="44"/>
      <c r="PDV577" s="44"/>
      <c r="PDW577" s="44"/>
      <c r="PDX577" s="44"/>
      <c r="PDY577" s="44"/>
      <c r="PDZ577" s="44"/>
      <c r="PEA577" s="44"/>
      <c r="PEB577" s="44"/>
      <c r="PEC577" s="44"/>
      <c r="PED577" s="44"/>
      <c r="PEE577" s="44"/>
      <c r="PEF577" s="44"/>
      <c r="PEG577" s="44"/>
      <c r="PEH577" s="44"/>
      <c r="PEI577" s="44"/>
      <c r="PEJ577" s="44"/>
      <c r="PEK577" s="44"/>
      <c r="PEL577" s="44"/>
      <c r="PEM577" s="44"/>
      <c r="PEN577" s="44"/>
      <c r="PEO577" s="44"/>
      <c r="PEP577" s="44"/>
      <c r="PEQ577" s="44"/>
      <c r="PER577" s="44"/>
      <c r="PES577" s="44"/>
      <c r="PET577" s="44"/>
      <c r="PEU577" s="44"/>
      <c r="PEV577" s="44"/>
      <c r="PEW577" s="44"/>
      <c r="PEX577" s="44"/>
      <c r="PEY577" s="44"/>
      <c r="PEZ577" s="44"/>
      <c r="PFA577" s="44"/>
      <c r="PFB577" s="44"/>
      <c r="PFC577" s="44"/>
      <c r="PFD577" s="44"/>
      <c r="PFE577" s="44"/>
      <c r="PFF577" s="44"/>
      <c r="PFG577" s="44"/>
      <c r="PFH577" s="44"/>
      <c r="PFI577" s="44"/>
      <c r="PFJ577" s="44"/>
      <c r="PFK577" s="44"/>
      <c r="PFL577" s="44"/>
      <c r="PFM577" s="44"/>
      <c r="PFN577" s="44"/>
      <c r="PFO577" s="44"/>
      <c r="PFP577" s="44"/>
      <c r="PFQ577" s="44"/>
      <c r="PFR577" s="44"/>
      <c r="PFS577" s="44"/>
      <c r="PFT577" s="44"/>
      <c r="PFU577" s="44"/>
      <c r="PFV577" s="44"/>
      <c r="PFW577" s="44"/>
      <c r="PFX577" s="44"/>
      <c r="PFY577" s="44"/>
      <c r="PFZ577" s="44"/>
      <c r="PGA577" s="44"/>
      <c r="PGB577" s="44"/>
      <c r="PGC577" s="44"/>
      <c r="PGD577" s="44"/>
      <c r="PGE577" s="44"/>
      <c r="PGF577" s="44"/>
      <c r="PGG577" s="44"/>
      <c r="PGH577" s="44"/>
      <c r="PGI577" s="44"/>
      <c r="PGJ577" s="44"/>
      <c r="PGK577" s="44"/>
      <c r="PGL577" s="44"/>
      <c r="PGM577" s="44"/>
      <c r="PGN577" s="44"/>
      <c r="PGO577" s="44"/>
      <c r="PGP577" s="44"/>
      <c r="PGQ577" s="44"/>
      <c r="PGR577" s="44"/>
      <c r="PGS577" s="44"/>
      <c r="PGT577" s="44"/>
      <c r="PGU577" s="44"/>
      <c r="PGV577" s="44"/>
      <c r="PGW577" s="44"/>
      <c r="PGX577" s="44"/>
      <c r="PGY577" s="44"/>
      <c r="PGZ577" s="44"/>
      <c r="PHA577" s="44"/>
      <c r="PHB577" s="44"/>
      <c r="PHC577" s="44"/>
      <c r="PHD577" s="44"/>
      <c r="PHE577" s="44"/>
      <c r="PHF577" s="44"/>
      <c r="PHG577" s="44"/>
      <c r="PHH577" s="44"/>
      <c r="PHI577" s="44"/>
      <c r="PHJ577" s="44"/>
      <c r="PHK577" s="44"/>
      <c r="PHL577" s="44"/>
      <c r="PHM577" s="44"/>
      <c r="PHN577" s="44"/>
      <c r="PHO577" s="44"/>
      <c r="PHP577" s="44"/>
      <c r="PHQ577" s="44"/>
      <c r="PHR577" s="44"/>
      <c r="PHS577" s="44"/>
      <c r="PHT577" s="44"/>
      <c r="PHU577" s="44"/>
      <c r="PHV577" s="44"/>
      <c r="PHW577" s="44"/>
      <c r="PHX577" s="44"/>
      <c r="PHY577" s="44"/>
      <c r="PHZ577" s="44"/>
      <c r="PIA577" s="44"/>
      <c r="PIB577" s="44"/>
      <c r="PIC577" s="44"/>
      <c r="PID577" s="44"/>
      <c r="PIE577" s="44"/>
      <c r="PIF577" s="44"/>
      <c r="PIG577" s="44"/>
      <c r="PIH577" s="44"/>
      <c r="PII577" s="44"/>
      <c r="PIJ577" s="44"/>
      <c r="PIK577" s="44"/>
      <c r="PIL577" s="44"/>
      <c r="PIM577" s="44"/>
      <c r="PIN577" s="44"/>
      <c r="PIO577" s="44"/>
      <c r="PIP577" s="44"/>
      <c r="PIQ577" s="44"/>
      <c r="PIR577" s="44"/>
      <c r="PIS577" s="44"/>
      <c r="PIT577" s="44"/>
      <c r="PIU577" s="44"/>
      <c r="PIV577" s="44"/>
      <c r="PIW577" s="44"/>
      <c r="PIX577" s="44"/>
      <c r="PIY577" s="44"/>
      <c r="PIZ577" s="44"/>
      <c r="PJA577" s="44"/>
      <c r="PJB577" s="44"/>
      <c r="PJC577" s="44"/>
      <c r="PJD577" s="44"/>
      <c r="PJE577" s="44"/>
      <c r="PJF577" s="44"/>
      <c r="PJG577" s="44"/>
      <c r="PJH577" s="44"/>
      <c r="PJI577" s="44"/>
      <c r="PJJ577" s="44"/>
      <c r="PJK577" s="44"/>
      <c r="PJL577" s="44"/>
      <c r="PJM577" s="44"/>
      <c r="PJN577" s="44"/>
      <c r="PJO577" s="44"/>
      <c r="PJP577" s="44"/>
      <c r="PJQ577" s="44"/>
      <c r="PJR577" s="44"/>
      <c r="PJS577" s="44"/>
      <c r="PJT577" s="44"/>
      <c r="PJU577" s="44"/>
      <c r="PJV577" s="44"/>
      <c r="PJW577" s="44"/>
      <c r="PJX577" s="44"/>
      <c r="PJY577" s="44"/>
      <c r="PJZ577" s="44"/>
      <c r="PKA577" s="44"/>
      <c r="PKB577" s="44"/>
      <c r="PKC577" s="44"/>
      <c r="PKD577" s="44"/>
      <c r="PKE577" s="44"/>
      <c r="PKF577" s="44"/>
      <c r="PKG577" s="44"/>
      <c r="PKH577" s="44"/>
      <c r="PKI577" s="44"/>
      <c r="PKJ577" s="44"/>
      <c r="PKK577" s="44"/>
      <c r="PKL577" s="44"/>
      <c r="PKM577" s="44"/>
      <c r="PKN577" s="44"/>
      <c r="PKO577" s="44"/>
      <c r="PKP577" s="44"/>
      <c r="PKQ577" s="44"/>
      <c r="PKR577" s="44"/>
      <c r="PKS577" s="44"/>
      <c r="PKT577" s="44"/>
      <c r="PKU577" s="44"/>
      <c r="PKV577" s="44"/>
      <c r="PKW577" s="44"/>
      <c r="PKX577" s="44"/>
      <c r="PKY577" s="44"/>
      <c r="PKZ577" s="44"/>
      <c r="PLA577" s="44"/>
      <c r="PLB577" s="44"/>
      <c r="PLC577" s="44"/>
      <c r="PLD577" s="44"/>
      <c r="PLE577" s="44"/>
      <c r="PLF577" s="44"/>
      <c r="PLG577" s="44"/>
      <c r="PLH577" s="44"/>
      <c r="PLI577" s="44"/>
      <c r="PLJ577" s="44"/>
      <c r="PLK577" s="44"/>
      <c r="PLL577" s="44"/>
      <c r="PLM577" s="44"/>
      <c r="PLN577" s="44"/>
      <c r="PLO577" s="44"/>
      <c r="PLP577" s="44"/>
      <c r="PLQ577" s="44"/>
      <c r="PLR577" s="44"/>
      <c r="PLS577" s="44"/>
      <c r="PLT577" s="44"/>
      <c r="PLU577" s="44"/>
      <c r="PLV577" s="44"/>
      <c r="PLW577" s="44"/>
      <c r="PLX577" s="44"/>
      <c r="PLY577" s="44"/>
      <c r="PLZ577" s="44"/>
      <c r="PMA577" s="44"/>
      <c r="PMB577" s="44"/>
      <c r="PMC577" s="44"/>
      <c r="PMD577" s="44"/>
      <c r="PME577" s="44"/>
      <c r="PMF577" s="44"/>
      <c r="PMG577" s="44"/>
      <c r="PMH577" s="44"/>
      <c r="PMI577" s="44"/>
      <c r="PMJ577" s="44"/>
      <c r="PMK577" s="44"/>
      <c r="PML577" s="44"/>
      <c r="PMM577" s="44"/>
      <c r="PMN577" s="44"/>
      <c r="PMO577" s="44"/>
      <c r="PMP577" s="44"/>
      <c r="PMQ577" s="44"/>
      <c r="PMR577" s="44"/>
      <c r="PMS577" s="44"/>
      <c r="PMT577" s="44"/>
      <c r="PMU577" s="44"/>
      <c r="PMV577" s="44"/>
      <c r="PMW577" s="44"/>
      <c r="PMX577" s="44"/>
      <c r="PMY577" s="44"/>
      <c r="PMZ577" s="44"/>
      <c r="PNA577" s="44"/>
      <c r="PNB577" s="44"/>
      <c r="PNC577" s="44"/>
      <c r="PND577" s="44"/>
      <c r="PNE577" s="44"/>
      <c r="PNF577" s="44"/>
      <c r="PNG577" s="44"/>
      <c r="PNH577" s="44"/>
      <c r="PNI577" s="44"/>
      <c r="PNJ577" s="44"/>
      <c r="PNK577" s="44"/>
      <c r="PNL577" s="44"/>
      <c r="PNM577" s="44"/>
      <c r="PNN577" s="44"/>
      <c r="PNO577" s="44"/>
      <c r="PNP577" s="44"/>
      <c r="PNQ577" s="44"/>
      <c r="PNR577" s="44"/>
      <c r="PNS577" s="44"/>
      <c r="PNT577" s="44"/>
      <c r="PNU577" s="44"/>
      <c r="PNV577" s="44"/>
      <c r="PNW577" s="44"/>
      <c r="PNX577" s="44"/>
      <c r="PNY577" s="44"/>
      <c r="PNZ577" s="44"/>
      <c r="POA577" s="44"/>
      <c r="POB577" s="44"/>
      <c r="POC577" s="44"/>
      <c r="POD577" s="44"/>
      <c r="POE577" s="44"/>
      <c r="POF577" s="44"/>
      <c r="POG577" s="44"/>
      <c r="POH577" s="44"/>
      <c r="POI577" s="44"/>
      <c r="POJ577" s="44"/>
      <c r="POK577" s="44"/>
      <c r="POL577" s="44"/>
      <c r="POM577" s="44"/>
      <c r="PON577" s="44"/>
      <c r="POO577" s="44"/>
      <c r="POP577" s="44"/>
      <c r="POQ577" s="44"/>
      <c r="POR577" s="44"/>
      <c r="POS577" s="44"/>
      <c r="POT577" s="44"/>
      <c r="POU577" s="44"/>
      <c r="POV577" s="44"/>
      <c r="POW577" s="44"/>
      <c r="POX577" s="44"/>
      <c r="POY577" s="44"/>
      <c r="POZ577" s="44"/>
      <c r="PPA577" s="44"/>
      <c r="PPB577" s="44"/>
      <c r="PPC577" s="44"/>
      <c r="PPD577" s="44"/>
      <c r="PPE577" s="44"/>
      <c r="PPF577" s="44"/>
      <c r="PPG577" s="44"/>
      <c r="PPH577" s="44"/>
      <c r="PPI577" s="44"/>
      <c r="PPJ577" s="44"/>
      <c r="PPK577" s="44"/>
      <c r="PPL577" s="44"/>
      <c r="PPM577" s="44"/>
      <c r="PPN577" s="44"/>
      <c r="PPO577" s="44"/>
      <c r="PPP577" s="44"/>
      <c r="PPQ577" s="44"/>
      <c r="PPR577" s="44"/>
      <c r="PPS577" s="44"/>
      <c r="PPT577" s="44"/>
      <c r="PPU577" s="44"/>
      <c r="PPV577" s="44"/>
      <c r="PPW577" s="44"/>
      <c r="PPX577" s="44"/>
      <c r="PPY577" s="44"/>
      <c r="PPZ577" s="44"/>
      <c r="PQA577" s="44"/>
      <c r="PQB577" s="44"/>
      <c r="PQC577" s="44"/>
      <c r="PQD577" s="44"/>
      <c r="PQE577" s="44"/>
      <c r="PQF577" s="44"/>
      <c r="PQG577" s="44"/>
      <c r="PQH577" s="44"/>
      <c r="PQI577" s="44"/>
      <c r="PQJ577" s="44"/>
      <c r="PQK577" s="44"/>
      <c r="PQL577" s="44"/>
      <c r="PQM577" s="44"/>
      <c r="PQN577" s="44"/>
      <c r="PQO577" s="44"/>
      <c r="PQP577" s="44"/>
      <c r="PQQ577" s="44"/>
      <c r="PQR577" s="44"/>
      <c r="PQS577" s="44"/>
      <c r="PQT577" s="44"/>
      <c r="PQU577" s="44"/>
      <c r="PQV577" s="44"/>
      <c r="PQW577" s="44"/>
      <c r="PQX577" s="44"/>
      <c r="PQY577" s="44"/>
      <c r="PQZ577" s="44"/>
      <c r="PRA577" s="44"/>
      <c r="PRB577" s="44"/>
      <c r="PRC577" s="44"/>
      <c r="PRD577" s="44"/>
      <c r="PRE577" s="44"/>
      <c r="PRF577" s="44"/>
      <c r="PRG577" s="44"/>
      <c r="PRH577" s="44"/>
      <c r="PRI577" s="44"/>
      <c r="PRJ577" s="44"/>
      <c r="PRK577" s="44"/>
      <c r="PRL577" s="44"/>
      <c r="PRM577" s="44"/>
      <c r="PRN577" s="44"/>
      <c r="PRO577" s="44"/>
      <c r="PRP577" s="44"/>
      <c r="PRQ577" s="44"/>
      <c r="PRR577" s="44"/>
      <c r="PRS577" s="44"/>
      <c r="PRT577" s="44"/>
      <c r="PRU577" s="44"/>
      <c r="PRV577" s="44"/>
      <c r="PRW577" s="44"/>
      <c r="PRX577" s="44"/>
      <c r="PRY577" s="44"/>
      <c r="PRZ577" s="44"/>
      <c r="PSA577" s="44"/>
      <c r="PSB577" s="44"/>
      <c r="PSC577" s="44"/>
      <c r="PSD577" s="44"/>
      <c r="PSE577" s="44"/>
      <c r="PSF577" s="44"/>
      <c r="PSG577" s="44"/>
      <c r="PSH577" s="44"/>
      <c r="PSI577" s="44"/>
      <c r="PSJ577" s="44"/>
      <c r="PSK577" s="44"/>
      <c r="PSL577" s="44"/>
      <c r="PSM577" s="44"/>
      <c r="PSN577" s="44"/>
      <c r="PSO577" s="44"/>
      <c r="PSP577" s="44"/>
      <c r="PSQ577" s="44"/>
      <c r="PSR577" s="44"/>
      <c r="PSS577" s="44"/>
      <c r="PST577" s="44"/>
      <c r="PSU577" s="44"/>
      <c r="PSV577" s="44"/>
      <c r="PSW577" s="44"/>
      <c r="PSX577" s="44"/>
      <c r="PSY577" s="44"/>
      <c r="PSZ577" s="44"/>
      <c r="PTA577" s="44"/>
      <c r="PTB577" s="44"/>
      <c r="PTC577" s="44"/>
      <c r="PTD577" s="44"/>
      <c r="PTE577" s="44"/>
      <c r="PTF577" s="44"/>
      <c r="PTG577" s="44"/>
      <c r="PTH577" s="44"/>
      <c r="PTI577" s="44"/>
      <c r="PTJ577" s="44"/>
      <c r="PTK577" s="44"/>
      <c r="PTL577" s="44"/>
      <c r="PTM577" s="44"/>
      <c r="PTN577" s="44"/>
      <c r="PTO577" s="44"/>
      <c r="PTP577" s="44"/>
      <c r="PTQ577" s="44"/>
      <c r="PTR577" s="44"/>
      <c r="PTS577" s="44"/>
      <c r="PTT577" s="44"/>
      <c r="PTU577" s="44"/>
      <c r="PTV577" s="44"/>
      <c r="PTW577" s="44"/>
      <c r="PTX577" s="44"/>
      <c r="PTY577" s="44"/>
      <c r="PTZ577" s="44"/>
      <c r="PUA577" s="44"/>
      <c r="PUB577" s="44"/>
      <c r="PUC577" s="44"/>
      <c r="PUD577" s="44"/>
      <c r="PUE577" s="44"/>
      <c r="PUF577" s="44"/>
      <c r="PUG577" s="44"/>
      <c r="PUH577" s="44"/>
      <c r="PUI577" s="44"/>
      <c r="PUJ577" s="44"/>
      <c r="PUK577" s="44"/>
      <c r="PUL577" s="44"/>
      <c r="PUM577" s="44"/>
      <c r="PUN577" s="44"/>
      <c r="PUO577" s="44"/>
      <c r="PUP577" s="44"/>
      <c r="PUQ577" s="44"/>
      <c r="PUR577" s="44"/>
      <c r="PUS577" s="44"/>
      <c r="PUT577" s="44"/>
      <c r="PUU577" s="44"/>
      <c r="PUV577" s="44"/>
      <c r="PUW577" s="44"/>
      <c r="PUX577" s="44"/>
      <c r="PUY577" s="44"/>
      <c r="PUZ577" s="44"/>
      <c r="PVA577" s="44"/>
      <c r="PVB577" s="44"/>
      <c r="PVC577" s="44"/>
      <c r="PVD577" s="44"/>
      <c r="PVE577" s="44"/>
      <c r="PVF577" s="44"/>
      <c r="PVG577" s="44"/>
      <c r="PVH577" s="44"/>
      <c r="PVI577" s="44"/>
      <c r="PVJ577" s="44"/>
      <c r="PVK577" s="44"/>
      <c r="PVL577" s="44"/>
      <c r="PVM577" s="44"/>
      <c r="PVN577" s="44"/>
      <c r="PVO577" s="44"/>
      <c r="PVP577" s="44"/>
      <c r="PVQ577" s="44"/>
      <c r="PVR577" s="44"/>
      <c r="PVS577" s="44"/>
      <c r="PVT577" s="44"/>
      <c r="PVU577" s="44"/>
      <c r="PVV577" s="44"/>
      <c r="PVW577" s="44"/>
      <c r="PVX577" s="44"/>
      <c r="PVY577" s="44"/>
      <c r="PVZ577" s="44"/>
      <c r="PWA577" s="44"/>
      <c r="PWB577" s="44"/>
      <c r="PWC577" s="44"/>
      <c r="PWD577" s="44"/>
      <c r="PWE577" s="44"/>
      <c r="PWF577" s="44"/>
      <c r="PWG577" s="44"/>
      <c r="PWH577" s="44"/>
      <c r="PWI577" s="44"/>
      <c r="PWJ577" s="44"/>
      <c r="PWK577" s="44"/>
      <c r="PWL577" s="44"/>
      <c r="PWM577" s="44"/>
      <c r="PWN577" s="44"/>
      <c r="PWO577" s="44"/>
      <c r="PWP577" s="44"/>
      <c r="PWQ577" s="44"/>
      <c r="PWR577" s="44"/>
      <c r="PWS577" s="44"/>
      <c r="PWT577" s="44"/>
      <c r="PWU577" s="44"/>
      <c r="PWV577" s="44"/>
      <c r="PWW577" s="44"/>
      <c r="PWX577" s="44"/>
      <c r="PWY577" s="44"/>
      <c r="PWZ577" s="44"/>
      <c r="PXA577" s="44"/>
      <c r="PXB577" s="44"/>
      <c r="PXC577" s="44"/>
      <c r="PXD577" s="44"/>
      <c r="PXE577" s="44"/>
      <c r="PXF577" s="44"/>
      <c r="PXG577" s="44"/>
      <c r="PXH577" s="44"/>
      <c r="PXI577" s="44"/>
      <c r="PXJ577" s="44"/>
      <c r="PXK577" s="44"/>
      <c r="PXL577" s="44"/>
      <c r="PXM577" s="44"/>
      <c r="PXN577" s="44"/>
      <c r="PXO577" s="44"/>
      <c r="PXP577" s="44"/>
      <c r="PXQ577" s="44"/>
      <c r="PXR577" s="44"/>
      <c r="PXS577" s="44"/>
      <c r="PXT577" s="44"/>
      <c r="PXU577" s="44"/>
      <c r="PXV577" s="44"/>
      <c r="PXW577" s="44"/>
      <c r="PXX577" s="44"/>
      <c r="PXY577" s="44"/>
      <c r="PXZ577" s="44"/>
      <c r="PYA577" s="44"/>
      <c r="PYB577" s="44"/>
      <c r="PYC577" s="44"/>
      <c r="PYD577" s="44"/>
      <c r="PYE577" s="44"/>
      <c r="PYF577" s="44"/>
      <c r="PYG577" s="44"/>
      <c r="PYH577" s="44"/>
      <c r="PYI577" s="44"/>
      <c r="PYJ577" s="44"/>
      <c r="PYK577" s="44"/>
      <c r="PYL577" s="44"/>
      <c r="PYM577" s="44"/>
      <c r="PYN577" s="44"/>
      <c r="PYO577" s="44"/>
      <c r="PYP577" s="44"/>
      <c r="PYQ577" s="44"/>
      <c r="PYR577" s="44"/>
      <c r="PYS577" s="44"/>
      <c r="PYT577" s="44"/>
      <c r="PYU577" s="44"/>
      <c r="PYV577" s="44"/>
      <c r="PYW577" s="44"/>
      <c r="PYX577" s="44"/>
      <c r="PYY577" s="44"/>
      <c r="PYZ577" s="44"/>
      <c r="PZA577" s="44"/>
      <c r="PZB577" s="44"/>
      <c r="PZC577" s="44"/>
      <c r="PZD577" s="44"/>
      <c r="PZE577" s="44"/>
      <c r="PZF577" s="44"/>
      <c r="PZG577" s="44"/>
      <c r="PZH577" s="44"/>
      <c r="PZI577" s="44"/>
      <c r="PZJ577" s="44"/>
      <c r="PZK577" s="44"/>
      <c r="PZL577" s="44"/>
      <c r="PZM577" s="44"/>
      <c r="PZN577" s="44"/>
      <c r="PZO577" s="44"/>
      <c r="PZP577" s="44"/>
      <c r="PZQ577" s="44"/>
      <c r="PZR577" s="44"/>
      <c r="PZS577" s="44"/>
      <c r="PZT577" s="44"/>
      <c r="PZU577" s="44"/>
      <c r="PZV577" s="44"/>
      <c r="PZW577" s="44"/>
      <c r="PZX577" s="44"/>
      <c r="PZY577" s="44"/>
      <c r="PZZ577" s="44"/>
      <c r="QAA577" s="44"/>
      <c r="QAB577" s="44"/>
      <c r="QAC577" s="44"/>
      <c r="QAD577" s="44"/>
      <c r="QAE577" s="44"/>
      <c r="QAF577" s="44"/>
      <c r="QAG577" s="44"/>
      <c r="QAH577" s="44"/>
      <c r="QAI577" s="44"/>
      <c r="QAJ577" s="44"/>
      <c r="QAK577" s="44"/>
      <c r="QAL577" s="44"/>
      <c r="QAM577" s="44"/>
      <c r="QAN577" s="44"/>
      <c r="QAO577" s="44"/>
      <c r="QAP577" s="44"/>
      <c r="QAQ577" s="44"/>
      <c r="QAR577" s="44"/>
      <c r="QAS577" s="44"/>
      <c r="QAT577" s="44"/>
      <c r="QAU577" s="44"/>
      <c r="QAV577" s="44"/>
      <c r="QAW577" s="44"/>
      <c r="QAX577" s="44"/>
      <c r="QAY577" s="44"/>
      <c r="QAZ577" s="44"/>
      <c r="QBA577" s="44"/>
      <c r="QBB577" s="44"/>
      <c r="QBC577" s="44"/>
      <c r="QBD577" s="44"/>
      <c r="QBE577" s="44"/>
      <c r="QBF577" s="44"/>
      <c r="QBG577" s="44"/>
      <c r="QBH577" s="44"/>
      <c r="QBI577" s="44"/>
      <c r="QBJ577" s="44"/>
      <c r="QBK577" s="44"/>
      <c r="QBL577" s="44"/>
      <c r="QBM577" s="44"/>
      <c r="QBN577" s="44"/>
      <c r="QBO577" s="44"/>
      <c r="QBP577" s="44"/>
      <c r="QBQ577" s="44"/>
      <c r="QBR577" s="44"/>
      <c r="QBS577" s="44"/>
      <c r="QBT577" s="44"/>
      <c r="QBU577" s="44"/>
      <c r="QBV577" s="44"/>
      <c r="QBW577" s="44"/>
      <c r="QBX577" s="44"/>
      <c r="QBY577" s="44"/>
      <c r="QBZ577" s="44"/>
      <c r="QCA577" s="44"/>
      <c r="QCB577" s="44"/>
      <c r="QCC577" s="44"/>
      <c r="QCD577" s="44"/>
      <c r="QCE577" s="44"/>
      <c r="QCF577" s="44"/>
      <c r="QCG577" s="44"/>
      <c r="QCH577" s="44"/>
      <c r="QCI577" s="44"/>
      <c r="QCJ577" s="44"/>
      <c r="QCK577" s="44"/>
      <c r="QCL577" s="44"/>
      <c r="QCM577" s="44"/>
      <c r="QCN577" s="44"/>
      <c r="QCO577" s="44"/>
      <c r="QCP577" s="44"/>
      <c r="QCQ577" s="44"/>
      <c r="QCR577" s="44"/>
      <c r="QCS577" s="44"/>
      <c r="QCT577" s="44"/>
      <c r="QCU577" s="44"/>
      <c r="QCV577" s="44"/>
      <c r="QCW577" s="44"/>
      <c r="QCX577" s="44"/>
      <c r="QCY577" s="44"/>
      <c r="QCZ577" s="44"/>
      <c r="QDA577" s="44"/>
      <c r="QDB577" s="44"/>
      <c r="QDC577" s="44"/>
      <c r="QDD577" s="44"/>
      <c r="QDE577" s="44"/>
      <c r="QDF577" s="44"/>
      <c r="QDG577" s="44"/>
      <c r="QDH577" s="44"/>
      <c r="QDI577" s="44"/>
      <c r="QDJ577" s="44"/>
      <c r="QDK577" s="44"/>
      <c r="QDL577" s="44"/>
      <c r="QDM577" s="44"/>
      <c r="QDN577" s="44"/>
      <c r="QDO577" s="44"/>
      <c r="QDP577" s="44"/>
      <c r="QDQ577" s="44"/>
      <c r="QDR577" s="44"/>
      <c r="QDS577" s="44"/>
      <c r="QDT577" s="44"/>
      <c r="QDU577" s="44"/>
      <c r="QDV577" s="44"/>
      <c r="QDW577" s="44"/>
      <c r="QDX577" s="44"/>
      <c r="QDY577" s="44"/>
      <c r="QDZ577" s="44"/>
      <c r="QEA577" s="44"/>
      <c r="QEB577" s="44"/>
      <c r="QEC577" s="44"/>
      <c r="QED577" s="44"/>
      <c r="QEE577" s="44"/>
      <c r="QEF577" s="44"/>
      <c r="QEG577" s="44"/>
      <c r="QEH577" s="44"/>
      <c r="QEI577" s="44"/>
      <c r="QEJ577" s="44"/>
      <c r="QEK577" s="44"/>
      <c r="QEL577" s="44"/>
      <c r="QEM577" s="44"/>
      <c r="QEN577" s="44"/>
      <c r="QEO577" s="44"/>
      <c r="QEP577" s="44"/>
      <c r="QEQ577" s="44"/>
      <c r="QER577" s="44"/>
      <c r="QES577" s="44"/>
      <c r="QET577" s="44"/>
      <c r="QEU577" s="44"/>
      <c r="QEV577" s="44"/>
      <c r="QEW577" s="44"/>
      <c r="QEX577" s="44"/>
      <c r="QEY577" s="44"/>
      <c r="QEZ577" s="44"/>
      <c r="QFA577" s="44"/>
      <c r="QFB577" s="44"/>
      <c r="QFC577" s="44"/>
      <c r="QFD577" s="44"/>
      <c r="QFE577" s="44"/>
      <c r="QFF577" s="44"/>
      <c r="QFG577" s="44"/>
      <c r="QFH577" s="44"/>
      <c r="QFI577" s="44"/>
      <c r="QFJ577" s="44"/>
      <c r="QFK577" s="44"/>
      <c r="QFL577" s="44"/>
      <c r="QFM577" s="44"/>
      <c r="QFN577" s="44"/>
      <c r="QFO577" s="44"/>
      <c r="QFP577" s="44"/>
      <c r="QFQ577" s="44"/>
      <c r="QFR577" s="44"/>
      <c r="QFS577" s="44"/>
      <c r="QFT577" s="44"/>
      <c r="QFU577" s="44"/>
      <c r="QFV577" s="44"/>
      <c r="QFW577" s="44"/>
      <c r="QFX577" s="44"/>
      <c r="QFY577" s="44"/>
      <c r="QFZ577" s="44"/>
      <c r="QGA577" s="44"/>
      <c r="QGB577" s="44"/>
      <c r="QGC577" s="44"/>
      <c r="QGD577" s="44"/>
      <c r="QGE577" s="44"/>
      <c r="QGF577" s="44"/>
      <c r="QGG577" s="44"/>
      <c r="QGH577" s="44"/>
      <c r="QGI577" s="44"/>
      <c r="QGJ577" s="44"/>
      <c r="QGK577" s="44"/>
      <c r="QGL577" s="44"/>
      <c r="QGM577" s="44"/>
      <c r="QGN577" s="44"/>
      <c r="QGO577" s="44"/>
      <c r="QGP577" s="44"/>
      <c r="QGQ577" s="44"/>
      <c r="QGR577" s="44"/>
      <c r="QGS577" s="44"/>
      <c r="QGT577" s="44"/>
      <c r="QGU577" s="44"/>
      <c r="QGV577" s="44"/>
      <c r="QGW577" s="44"/>
      <c r="QGX577" s="44"/>
      <c r="QGY577" s="44"/>
      <c r="QGZ577" s="44"/>
      <c r="QHA577" s="44"/>
      <c r="QHB577" s="44"/>
      <c r="QHC577" s="44"/>
      <c r="QHD577" s="44"/>
      <c r="QHE577" s="44"/>
      <c r="QHF577" s="44"/>
      <c r="QHG577" s="44"/>
      <c r="QHH577" s="44"/>
      <c r="QHI577" s="44"/>
      <c r="QHJ577" s="44"/>
      <c r="QHK577" s="44"/>
      <c r="QHL577" s="44"/>
      <c r="QHM577" s="44"/>
      <c r="QHN577" s="44"/>
      <c r="QHO577" s="44"/>
      <c r="QHP577" s="44"/>
      <c r="QHQ577" s="44"/>
      <c r="QHR577" s="44"/>
      <c r="QHS577" s="44"/>
      <c r="QHT577" s="44"/>
      <c r="QHU577" s="44"/>
      <c r="QHV577" s="44"/>
      <c r="QHW577" s="44"/>
      <c r="QHX577" s="44"/>
      <c r="QHY577" s="44"/>
      <c r="QHZ577" s="44"/>
      <c r="QIA577" s="44"/>
      <c r="QIB577" s="44"/>
      <c r="QIC577" s="44"/>
      <c r="QID577" s="44"/>
      <c r="QIE577" s="44"/>
      <c r="QIF577" s="44"/>
      <c r="QIG577" s="44"/>
      <c r="QIH577" s="44"/>
      <c r="QII577" s="44"/>
      <c r="QIJ577" s="44"/>
      <c r="QIK577" s="44"/>
      <c r="QIL577" s="44"/>
      <c r="QIM577" s="44"/>
      <c r="QIN577" s="44"/>
      <c r="QIO577" s="44"/>
      <c r="QIP577" s="44"/>
      <c r="QIQ577" s="44"/>
      <c r="QIR577" s="44"/>
      <c r="QIS577" s="44"/>
      <c r="QIT577" s="44"/>
      <c r="QIU577" s="44"/>
      <c r="QIV577" s="44"/>
      <c r="QIW577" s="44"/>
      <c r="QIX577" s="44"/>
      <c r="QIY577" s="44"/>
      <c r="QIZ577" s="44"/>
      <c r="QJA577" s="44"/>
      <c r="QJB577" s="44"/>
      <c r="QJC577" s="44"/>
      <c r="QJD577" s="44"/>
      <c r="QJE577" s="44"/>
      <c r="QJF577" s="44"/>
      <c r="QJG577" s="44"/>
      <c r="QJH577" s="44"/>
      <c r="QJI577" s="44"/>
      <c r="QJJ577" s="44"/>
      <c r="QJK577" s="44"/>
      <c r="QJL577" s="44"/>
      <c r="QJM577" s="44"/>
      <c r="QJN577" s="44"/>
      <c r="QJO577" s="44"/>
      <c r="QJP577" s="44"/>
      <c r="QJQ577" s="44"/>
      <c r="QJR577" s="44"/>
      <c r="QJS577" s="44"/>
      <c r="QJT577" s="44"/>
      <c r="QJU577" s="44"/>
      <c r="QJV577" s="44"/>
      <c r="QJW577" s="44"/>
      <c r="QJX577" s="44"/>
      <c r="QJY577" s="44"/>
      <c r="QJZ577" s="44"/>
      <c r="QKA577" s="44"/>
      <c r="QKB577" s="44"/>
      <c r="QKC577" s="44"/>
      <c r="QKD577" s="44"/>
      <c r="QKE577" s="44"/>
      <c r="QKF577" s="44"/>
      <c r="QKG577" s="44"/>
      <c r="QKH577" s="44"/>
      <c r="QKI577" s="44"/>
      <c r="QKJ577" s="44"/>
      <c r="QKK577" s="44"/>
      <c r="QKL577" s="44"/>
      <c r="QKM577" s="44"/>
      <c r="QKN577" s="44"/>
      <c r="QKO577" s="44"/>
      <c r="QKP577" s="44"/>
      <c r="QKQ577" s="44"/>
      <c r="QKR577" s="44"/>
      <c r="QKS577" s="44"/>
      <c r="QKT577" s="44"/>
      <c r="QKU577" s="44"/>
      <c r="QKV577" s="44"/>
      <c r="QKW577" s="44"/>
      <c r="QKX577" s="44"/>
      <c r="QKY577" s="44"/>
      <c r="QKZ577" s="44"/>
      <c r="QLA577" s="44"/>
      <c r="QLB577" s="44"/>
      <c r="QLC577" s="44"/>
      <c r="QLD577" s="44"/>
      <c r="QLE577" s="44"/>
      <c r="QLF577" s="44"/>
      <c r="QLG577" s="44"/>
      <c r="QLH577" s="44"/>
      <c r="QLI577" s="44"/>
      <c r="QLJ577" s="44"/>
      <c r="QLK577" s="44"/>
      <c r="QLL577" s="44"/>
      <c r="QLM577" s="44"/>
      <c r="QLN577" s="44"/>
      <c r="QLO577" s="44"/>
      <c r="QLP577" s="44"/>
      <c r="QLQ577" s="44"/>
      <c r="QLR577" s="44"/>
      <c r="QLS577" s="44"/>
      <c r="QLT577" s="44"/>
      <c r="QLU577" s="44"/>
      <c r="QLV577" s="44"/>
      <c r="QLW577" s="44"/>
      <c r="QLX577" s="44"/>
      <c r="QLY577" s="44"/>
      <c r="QLZ577" s="44"/>
      <c r="QMA577" s="44"/>
      <c r="QMB577" s="44"/>
      <c r="QMC577" s="44"/>
      <c r="QMD577" s="44"/>
      <c r="QME577" s="44"/>
      <c r="QMF577" s="44"/>
      <c r="QMG577" s="44"/>
      <c r="QMH577" s="44"/>
      <c r="QMI577" s="44"/>
      <c r="QMJ577" s="44"/>
      <c r="QMK577" s="44"/>
      <c r="QML577" s="44"/>
      <c r="QMM577" s="44"/>
      <c r="QMN577" s="44"/>
      <c r="QMO577" s="44"/>
      <c r="QMP577" s="44"/>
      <c r="QMQ577" s="44"/>
      <c r="QMR577" s="44"/>
      <c r="QMS577" s="44"/>
      <c r="QMT577" s="44"/>
      <c r="QMU577" s="44"/>
      <c r="QMV577" s="44"/>
      <c r="QMW577" s="44"/>
      <c r="QMX577" s="44"/>
      <c r="QMY577" s="44"/>
      <c r="QMZ577" s="44"/>
      <c r="QNA577" s="44"/>
      <c r="QNB577" s="44"/>
      <c r="QNC577" s="44"/>
      <c r="QND577" s="44"/>
      <c r="QNE577" s="44"/>
      <c r="QNF577" s="44"/>
      <c r="QNG577" s="44"/>
      <c r="QNH577" s="44"/>
      <c r="QNI577" s="44"/>
      <c r="QNJ577" s="44"/>
      <c r="QNK577" s="44"/>
      <c r="QNL577" s="44"/>
      <c r="QNM577" s="44"/>
      <c r="QNN577" s="44"/>
      <c r="QNO577" s="44"/>
      <c r="QNP577" s="44"/>
      <c r="QNQ577" s="44"/>
      <c r="QNR577" s="44"/>
      <c r="QNS577" s="44"/>
      <c r="QNT577" s="44"/>
      <c r="QNU577" s="44"/>
      <c r="QNV577" s="44"/>
      <c r="QNW577" s="44"/>
      <c r="QNX577" s="44"/>
      <c r="QNY577" s="44"/>
      <c r="QNZ577" s="44"/>
      <c r="QOA577" s="44"/>
      <c r="QOB577" s="44"/>
      <c r="QOC577" s="44"/>
      <c r="QOD577" s="44"/>
      <c r="QOE577" s="44"/>
      <c r="QOF577" s="44"/>
      <c r="QOG577" s="44"/>
      <c r="QOH577" s="44"/>
      <c r="QOI577" s="44"/>
      <c r="QOJ577" s="44"/>
      <c r="QOK577" s="44"/>
      <c r="QOL577" s="44"/>
      <c r="QOM577" s="44"/>
      <c r="QON577" s="44"/>
      <c r="QOO577" s="44"/>
      <c r="QOP577" s="44"/>
      <c r="QOQ577" s="44"/>
      <c r="QOR577" s="44"/>
      <c r="QOS577" s="44"/>
      <c r="QOT577" s="44"/>
      <c r="QOU577" s="44"/>
      <c r="QOV577" s="44"/>
      <c r="QOW577" s="44"/>
      <c r="QOX577" s="44"/>
      <c r="QOY577" s="44"/>
      <c r="QOZ577" s="44"/>
      <c r="QPA577" s="44"/>
      <c r="QPB577" s="44"/>
      <c r="QPC577" s="44"/>
      <c r="QPD577" s="44"/>
      <c r="QPE577" s="44"/>
      <c r="QPF577" s="44"/>
      <c r="QPG577" s="44"/>
      <c r="QPH577" s="44"/>
      <c r="QPI577" s="44"/>
      <c r="QPJ577" s="44"/>
      <c r="QPK577" s="44"/>
      <c r="QPL577" s="44"/>
      <c r="QPM577" s="44"/>
      <c r="QPN577" s="44"/>
      <c r="QPO577" s="44"/>
      <c r="QPP577" s="44"/>
      <c r="QPQ577" s="44"/>
      <c r="QPR577" s="44"/>
      <c r="QPS577" s="44"/>
      <c r="QPT577" s="44"/>
      <c r="QPU577" s="44"/>
      <c r="QPV577" s="44"/>
      <c r="QPW577" s="44"/>
      <c r="QPX577" s="44"/>
      <c r="QPY577" s="44"/>
      <c r="QPZ577" s="44"/>
      <c r="QQA577" s="44"/>
      <c r="QQB577" s="44"/>
      <c r="QQC577" s="44"/>
      <c r="QQD577" s="44"/>
      <c r="QQE577" s="44"/>
      <c r="QQF577" s="44"/>
      <c r="QQG577" s="44"/>
      <c r="QQH577" s="44"/>
      <c r="QQI577" s="44"/>
      <c r="QQJ577" s="44"/>
      <c r="QQK577" s="44"/>
      <c r="QQL577" s="44"/>
      <c r="QQM577" s="44"/>
      <c r="QQN577" s="44"/>
      <c r="QQO577" s="44"/>
      <c r="QQP577" s="44"/>
      <c r="QQQ577" s="44"/>
      <c r="QQR577" s="44"/>
      <c r="QQS577" s="44"/>
      <c r="QQT577" s="44"/>
      <c r="QQU577" s="44"/>
      <c r="QQV577" s="44"/>
      <c r="QQW577" s="44"/>
      <c r="QQX577" s="44"/>
      <c r="QQY577" s="44"/>
      <c r="QQZ577" s="44"/>
      <c r="QRA577" s="44"/>
      <c r="QRB577" s="44"/>
      <c r="QRC577" s="44"/>
      <c r="QRD577" s="44"/>
      <c r="QRE577" s="44"/>
      <c r="QRF577" s="44"/>
      <c r="QRG577" s="44"/>
      <c r="QRH577" s="44"/>
      <c r="QRI577" s="44"/>
      <c r="QRJ577" s="44"/>
      <c r="QRK577" s="44"/>
      <c r="QRL577" s="44"/>
      <c r="QRM577" s="44"/>
      <c r="QRN577" s="44"/>
      <c r="QRO577" s="44"/>
      <c r="QRP577" s="44"/>
      <c r="QRQ577" s="44"/>
      <c r="QRR577" s="44"/>
      <c r="QRS577" s="44"/>
      <c r="QRT577" s="44"/>
      <c r="QRU577" s="44"/>
      <c r="QRV577" s="44"/>
      <c r="QRW577" s="44"/>
      <c r="QRX577" s="44"/>
      <c r="QRY577" s="44"/>
      <c r="QRZ577" s="44"/>
      <c r="QSA577" s="44"/>
      <c r="QSB577" s="44"/>
      <c r="QSC577" s="44"/>
      <c r="QSD577" s="44"/>
      <c r="QSE577" s="44"/>
      <c r="QSF577" s="44"/>
      <c r="QSG577" s="44"/>
      <c r="QSH577" s="44"/>
      <c r="QSI577" s="44"/>
      <c r="QSJ577" s="44"/>
      <c r="QSK577" s="44"/>
      <c r="QSL577" s="44"/>
      <c r="QSM577" s="44"/>
      <c r="QSN577" s="44"/>
      <c r="QSO577" s="44"/>
      <c r="QSP577" s="44"/>
      <c r="QSQ577" s="44"/>
      <c r="QSR577" s="44"/>
      <c r="QSS577" s="44"/>
      <c r="QST577" s="44"/>
      <c r="QSU577" s="44"/>
      <c r="QSV577" s="44"/>
      <c r="QSW577" s="44"/>
      <c r="QSX577" s="44"/>
      <c r="QSY577" s="44"/>
      <c r="QSZ577" s="44"/>
      <c r="QTA577" s="44"/>
      <c r="QTB577" s="44"/>
      <c r="QTC577" s="44"/>
      <c r="QTD577" s="44"/>
      <c r="QTE577" s="44"/>
      <c r="QTF577" s="44"/>
      <c r="QTG577" s="44"/>
      <c r="QTH577" s="44"/>
      <c r="QTI577" s="44"/>
      <c r="QTJ577" s="44"/>
      <c r="QTK577" s="44"/>
      <c r="QTL577" s="44"/>
      <c r="QTM577" s="44"/>
      <c r="QTN577" s="44"/>
      <c r="QTO577" s="44"/>
      <c r="QTP577" s="44"/>
      <c r="QTQ577" s="44"/>
      <c r="QTR577" s="44"/>
      <c r="QTS577" s="44"/>
      <c r="QTT577" s="44"/>
      <c r="QTU577" s="44"/>
      <c r="QTV577" s="44"/>
      <c r="QTW577" s="44"/>
      <c r="QTX577" s="44"/>
      <c r="QTY577" s="44"/>
      <c r="QTZ577" s="44"/>
      <c r="QUA577" s="44"/>
      <c r="QUB577" s="44"/>
      <c r="QUC577" s="44"/>
      <c r="QUD577" s="44"/>
      <c r="QUE577" s="44"/>
      <c r="QUF577" s="44"/>
      <c r="QUG577" s="44"/>
      <c r="QUH577" s="44"/>
      <c r="QUI577" s="44"/>
      <c r="QUJ577" s="44"/>
      <c r="QUK577" s="44"/>
      <c r="QUL577" s="44"/>
      <c r="QUM577" s="44"/>
      <c r="QUN577" s="44"/>
      <c r="QUO577" s="44"/>
      <c r="QUP577" s="44"/>
      <c r="QUQ577" s="44"/>
      <c r="QUR577" s="44"/>
      <c r="QUS577" s="44"/>
      <c r="QUT577" s="44"/>
      <c r="QUU577" s="44"/>
      <c r="QUV577" s="44"/>
      <c r="QUW577" s="44"/>
      <c r="QUX577" s="44"/>
      <c r="QUY577" s="44"/>
      <c r="QUZ577" s="44"/>
      <c r="QVA577" s="44"/>
      <c r="QVB577" s="44"/>
      <c r="QVC577" s="44"/>
      <c r="QVD577" s="44"/>
      <c r="QVE577" s="44"/>
      <c r="QVF577" s="44"/>
      <c r="QVG577" s="44"/>
      <c r="QVH577" s="44"/>
      <c r="QVI577" s="44"/>
      <c r="QVJ577" s="44"/>
      <c r="QVK577" s="44"/>
      <c r="QVL577" s="44"/>
      <c r="QVM577" s="44"/>
      <c r="QVN577" s="44"/>
      <c r="QVO577" s="44"/>
      <c r="QVP577" s="44"/>
      <c r="QVQ577" s="44"/>
      <c r="QVR577" s="44"/>
      <c r="QVS577" s="44"/>
      <c r="QVT577" s="44"/>
      <c r="QVU577" s="44"/>
      <c r="QVV577" s="44"/>
      <c r="QVW577" s="44"/>
      <c r="QVX577" s="44"/>
      <c r="QVY577" s="44"/>
      <c r="QVZ577" s="44"/>
      <c r="QWA577" s="44"/>
      <c r="QWB577" s="44"/>
      <c r="QWC577" s="44"/>
      <c r="QWD577" s="44"/>
      <c r="QWE577" s="44"/>
      <c r="QWF577" s="44"/>
      <c r="QWG577" s="44"/>
      <c r="QWH577" s="44"/>
      <c r="QWI577" s="44"/>
      <c r="QWJ577" s="44"/>
      <c r="QWK577" s="44"/>
      <c r="QWL577" s="44"/>
      <c r="QWM577" s="44"/>
      <c r="QWN577" s="44"/>
      <c r="QWO577" s="44"/>
      <c r="QWP577" s="44"/>
      <c r="QWQ577" s="44"/>
      <c r="QWR577" s="44"/>
      <c r="QWS577" s="44"/>
      <c r="QWT577" s="44"/>
      <c r="QWU577" s="44"/>
      <c r="QWV577" s="44"/>
      <c r="QWW577" s="44"/>
      <c r="QWX577" s="44"/>
      <c r="QWY577" s="44"/>
      <c r="QWZ577" s="44"/>
      <c r="QXA577" s="44"/>
      <c r="QXB577" s="44"/>
      <c r="QXC577" s="44"/>
      <c r="QXD577" s="44"/>
      <c r="QXE577" s="44"/>
      <c r="QXF577" s="44"/>
      <c r="QXG577" s="44"/>
      <c r="QXH577" s="44"/>
      <c r="QXI577" s="44"/>
      <c r="QXJ577" s="44"/>
      <c r="QXK577" s="44"/>
      <c r="QXL577" s="44"/>
      <c r="QXM577" s="44"/>
      <c r="QXN577" s="44"/>
      <c r="QXO577" s="44"/>
      <c r="QXP577" s="44"/>
      <c r="QXQ577" s="44"/>
      <c r="QXR577" s="44"/>
      <c r="QXS577" s="44"/>
      <c r="QXT577" s="44"/>
      <c r="QXU577" s="44"/>
      <c r="QXV577" s="44"/>
      <c r="QXW577" s="44"/>
      <c r="QXX577" s="44"/>
      <c r="QXY577" s="44"/>
      <c r="QXZ577" s="44"/>
      <c r="QYA577" s="44"/>
      <c r="QYB577" s="44"/>
      <c r="QYC577" s="44"/>
      <c r="QYD577" s="44"/>
      <c r="QYE577" s="44"/>
      <c r="QYF577" s="44"/>
      <c r="QYG577" s="44"/>
      <c r="QYH577" s="44"/>
      <c r="QYI577" s="44"/>
      <c r="QYJ577" s="44"/>
      <c r="QYK577" s="44"/>
      <c r="QYL577" s="44"/>
      <c r="QYM577" s="44"/>
      <c r="QYN577" s="44"/>
      <c r="QYO577" s="44"/>
      <c r="QYP577" s="44"/>
      <c r="QYQ577" s="44"/>
      <c r="QYR577" s="44"/>
      <c r="QYS577" s="44"/>
      <c r="QYT577" s="44"/>
      <c r="QYU577" s="44"/>
      <c r="QYV577" s="44"/>
      <c r="QYW577" s="44"/>
      <c r="QYX577" s="44"/>
      <c r="QYY577" s="44"/>
      <c r="QYZ577" s="44"/>
      <c r="QZA577" s="44"/>
      <c r="QZB577" s="44"/>
      <c r="QZC577" s="44"/>
      <c r="QZD577" s="44"/>
      <c r="QZE577" s="44"/>
      <c r="QZF577" s="44"/>
      <c r="QZG577" s="44"/>
      <c r="QZH577" s="44"/>
      <c r="QZI577" s="44"/>
      <c r="QZJ577" s="44"/>
      <c r="QZK577" s="44"/>
      <c r="QZL577" s="44"/>
      <c r="QZM577" s="44"/>
      <c r="QZN577" s="44"/>
      <c r="QZO577" s="44"/>
      <c r="QZP577" s="44"/>
      <c r="QZQ577" s="44"/>
      <c r="QZR577" s="44"/>
      <c r="QZS577" s="44"/>
      <c r="QZT577" s="44"/>
      <c r="QZU577" s="44"/>
      <c r="QZV577" s="44"/>
      <c r="QZW577" s="44"/>
      <c r="QZX577" s="44"/>
      <c r="QZY577" s="44"/>
      <c r="QZZ577" s="44"/>
      <c r="RAA577" s="44"/>
      <c r="RAB577" s="44"/>
      <c r="RAC577" s="44"/>
      <c r="RAD577" s="44"/>
      <c r="RAE577" s="44"/>
      <c r="RAF577" s="44"/>
      <c r="RAG577" s="44"/>
      <c r="RAH577" s="44"/>
      <c r="RAI577" s="44"/>
      <c r="RAJ577" s="44"/>
      <c r="RAK577" s="44"/>
      <c r="RAL577" s="44"/>
      <c r="RAM577" s="44"/>
      <c r="RAN577" s="44"/>
      <c r="RAO577" s="44"/>
      <c r="RAP577" s="44"/>
      <c r="RAQ577" s="44"/>
      <c r="RAR577" s="44"/>
      <c r="RAS577" s="44"/>
      <c r="RAT577" s="44"/>
      <c r="RAU577" s="44"/>
      <c r="RAV577" s="44"/>
      <c r="RAW577" s="44"/>
      <c r="RAX577" s="44"/>
      <c r="RAY577" s="44"/>
      <c r="RAZ577" s="44"/>
      <c r="RBA577" s="44"/>
      <c r="RBB577" s="44"/>
      <c r="RBC577" s="44"/>
      <c r="RBD577" s="44"/>
      <c r="RBE577" s="44"/>
      <c r="RBF577" s="44"/>
      <c r="RBG577" s="44"/>
      <c r="RBH577" s="44"/>
      <c r="RBI577" s="44"/>
      <c r="RBJ577" s="44"/>
      <c r="RBK577" s="44"/>
      <c r="RBL577" s="44"/>
      <c r="RBM577" s="44"/>
      <c r="RBN577" s="44"/>
      <c r="RBO577" s="44"/>
      <c r="RBP577" s="44"/>
      <c r="RBQ577" s="44"/>
      <c r="RBR577" s="44"/>
      <c r="RBS577" s="44"/>
      <c r="RBT577" s="44"/>
      <c r="RBU577" s="44"/>
      <c r="RBV577" s="44"/>
      <c r="RBW577" s="44"/>
      <c r="RBX577" s="44"/>
      <c r="RBY577" s="44"/>
      <c r="RBZ577" s="44"/>
      <c r="RCA577" s="44"/>
      <c r="RCB577" s="44"/>
      <c r="RCC577" s="44"/>
      <c r="RCD577" s="44"/>
      <c r="RCE577" s="44"/>
      <c r="RCF577" s="44"/>
      <c r="RCG577" s="44"/>
      <c r="RCH577" s="44"/>
      <c r="RCI577" s="44"/>
      <c r="RCJ577" s="44"/>
      <c r="RCK577" s="44"/>
      <c r="RCL577" s="44"/>
      <c r="RCM577" s="44"/>
      <c r="RCN577" s="44"/>
      <c r="RCO577" s="44"/>
      <c r="RCP577" s="44"/>
      <c r="RCQ577" s="44"/>
      <c r="RCR577" s="44"/>
      <c r="RCS577" s="44"/>
      <c r="RCT577" s="44"/>
      <c r="RCU577" s="44"/>
      <c r="RCV577" s="44"/>
      <c r="RCW577" s="44"/>
      <c r="RCX577" s="44"/>
      <c r="RCY577" s="44"/>
      <c r="RCZ577" s="44"/>
      <c r="RDA577" s="44"/>
      <c r="RDB577" s="44"/>
      <c r="RDC577" s="44"/>
      <c r="RDD577" s="44"/>
      <c r="RDE577" s="44"/>
      <c r="RDF577" s="44"/>
      <c r="RDG577" s="44"/>
      <c r="RDH577" s="44"/>
      <c r="RDI577" s="44"/>
      <c r="RDJ577" s="44"/>
      <c r="RDK577" s="44"/>
      <c r="RDL577" s="44"/>
      <c r="RDM577" s="44"/>
      <c r="RDN577" s="44"/>
      <c r="RDO577" s="44"/>
      <c r="RDP577" s="44"/>
      <c r="RDQ577" s="44"/>
      <c r="RDR577" s="44"/>
      <c r="RDS577" s="44"/>
      <c r="RDT577" s="44"/>
      <c r="RDU577" s="44"/>
      <c r="RDV577" s="44"/>
      <c r="RDW577" s="44"/>
      <c r="RDX577" s="44"/>
      <c r="RDY577" s="44"/>
      <c r="RDZ577" s="44"/>
      <c r="REA577" s="44"/>
      <c r="REB577" s="44"/>
      <c r="REC577" s="44"/>
      <c r="RED577" s="44"/>
      <c r="REE577" s="44"/>
      <c r="REF577" s="44"/>
      <c r="REG577" s="44"/>
      <c r="REH577" s="44"/>
      <c r="REI577" s="44"/>
      <c r="REJ577" s="44"/>
      <c r="REK577" s="44"/>
      <c r="REL577" s="44"/>
      <c r="REM577" s="44"/>
      <c r="REN577" s="44"/>
      <c r="REO577" s="44"/>
      <c r="REP577" s="44"/>
      <c r="REQ577" s="44"/>
      <c r="RER577" s="44"/>
      <c r="RES577" s="44"/>
      <c r="RET577" s="44"/>
      <c r="REU577" s="44"/>
      <c r="REV577" s="44"/>
      <c r="REW577" s="44"/>
      <c r="REX577" s="44"/>
      <c r="REY577" s="44"/>
      <c r="REZ577" s="44"/>
      <c r="RFA577" s="44"/>
      <c r="RFB577" s="44"/>
      <c r="RFC577" s="44"/>
      <c r="RFD577" s="44"/>
      <c r="RFE577" s="44"/>
      <c r="RFF577" s="44"/>
      <c r="RFG577" s="44"/>
      <c r="RFH577" s="44"/>
      <c r="RFI577" s="44"/>
      <c r="RFJ577" s="44"/>
      <c r="RFK577" s="44"/>
      <c r="RFL577" s="44"/>
      <c r="RFM577" s="44"/>
      <c r="RFN577" s="44"/>
      <c r="RFO577" s="44"/>
      <c r="RFP577" s="44"/>
      <c r="RFQ577" s="44"/>
      <c r="RFR577" s="44"/>
      <c r="RFS577" s="44"/>
      <c r="RFT577" s="44"/>
      <c r="RFU577" s="44"/>
      <c r="RFV577" s="44"/>
      <c r="RFW577" s="44"/>
      <c r="RFX577" s="44"/>
      <c r="RFY577" s="44"/>
      <c r="RFZ577" s="44"/>
      <c r="RGA577" s="44"/>
      <c r="RGB577" s="44"/>
      <c r="RGC577" s="44"/>
      <c r="RGD577" s="44"/>
      <c r="RGE577" s="44"/>
      <c r="RGF577" s="44"/>
      <c r="RGG577" s="44"/>
      <c r="RGH577" s="44"/>
      <c r="RGI577" s="44"/>
      <c r="RGJ577" s="44"/>
      <c r="RGK577" s="44"/>
      <c r="RGL577" s="44"/>
      <c r="RGM577" s="44"/>
      <c r="RGN577" s="44"/>
      <c r="RGO577" s="44"/>
      <c r="RGP577" s="44"/>
      <c r="RGQ577" s="44"/>
      <c r="RGR577" s="44"/>
      <c r="RGS577" s="44"/>
      <c r="RGT577" s="44"/>
      <c r="RGU577" s="44"/>
      <c r="RGV577" s="44"/>
      <c r="RGW577" s="44"/>
      <c r="RGX577" s="44"/>
      <c r="RGY577" s="44"/>
      <c r="RGZ577" s="44"/>
      <c r="RHA577" s="44"/>
      <c r="RHB577" s="44"/>
      <c r="RHC577" s="44"/>
      <c r="RHD577" s="44"/>
      <c r="RHE577" s="44"/>
      <c r="RHF577" s="44"/>
      <c r="RHG577" s="44"/>
      <c r="RHH577" s="44"/>
      <c r="RHI577" s="44"/>
      <c r="RHJ577" s="44"/>
      <c r="RHK577" s="44"/>
      <c r="RHL577" s="44"/>
      <c r="RHM577" s="44"/>
      <c r="RHN577" s="44"/>
      <c r="RHO577" s="44"/>
      <c r="RHP577" s="44"/>
      <c r="RHQ577" s="44"/>
      <c r="RHR577" s="44"/>
      <c r="RHS577" s="44"/>
      <c r="RHT577" s="44"/>
      <c r="RHU577" s="44"/>
      <c r="RHV577" s="44"/>
      <c r="RHW577" s="44"/>
      <c r="RHX577" s="44"/>
      <c r="RHY577" s="44"/>
      <c r="RHZ577" s="44"/>
      <c r="RIA577" s="44"/>
      <c r="RIB577" s="44"/>
      <c r="RIC577" s="44"/>
      <c r="RID577" s="44"/>
      <c r="RIE577" s="44"/>
      <c r="RIF577" s="44"/>
      <c r="RIG577" s="44"/>
      <c r="RIH577" s="44"/>
      <c r="RII577" s="44"/>
      <c r="RIJ577" s="44"/>
      <c r="RIK577" s="44"/>
      <c r="RIL577" s="44"/>
      <c r="RIM577" s="44"/>
      <c r="RIN577" s="44"/>
      <c r="RIO577" s="44"/>
      <c r="RIP577" s="44"/>
      <c r="RIQ577" s="44"/>
      <c r="RIR577" s="44"/>
      <c r="RIS577" s="44"/>
      <c r="RIT577" s="44"/>
      <c r="RIU577" s="44"/>
      <c r="RIV577" s="44"/>
      <c r="RIW577" s="44"/>
      <c r="RIX577" s="44"/>
      <c r="RIY577" s="44"/>
      <c r="RIZ577" s="44"/>
      <c r="RJA577" s="44"/>
      <c r="RJB577" s="44"/>
      <c r="RJC577" s="44"/>
      <c r="RJD577" s="44"/>
      <c r="RJE577" s="44"/>
      <c r="RJF577" s="44"/>
      <c r="RJG577" s="44"/>
      <c r="RJH577" s="44"/>
      <c r="RJI577" s="44"/>
      <c r="RJJ577" s="44"/>
      <c r="RJK577" s="44"/>
      <c r="RJL577" s="44"/>
      <c r="RJM577" s="44"/>
      <c r="RJN577" s="44"/>
      <c r="RJO577" s="44"/>
      <c r="RJP577" s="44"/>
      <c r="RJQ577" s="44"/>
      <c r="RJR577" s="44"/>
      <c r="RJS577" s="44"/>
      <c r="RJT577" s="44"/>
      <c r="RJU577" s="44"/>
      <c r="RJV577" s="44"/>
      <c r="RJW577" s="44"/>
      <c r="RJX577" s="44"/>
      <c r="RJY577" s="44"/>
      <c r="RJZ577" s="44"/>
      <c r="RKA577" s="44"/>
      <c r="RKB577" s="44"/>
      <c r="RKC577" s="44"/>
      <c r="RKD577" s="44"/>
      <c r="RKE577" s="44"/>
      <c r="RKF577" s="44"/>
      <c r="RKG577" s="44"/>
      <c r="RKH577" s="44"/>
      <c r="RKI577" s="44"/>
      <c r="RKJ577" s="44"/>
      <c r="RKK577" s="44"/>
      <c r="RKL577" s="44"/>
      <c r="RKM577" s="44"/>
      <c r="RKN577" s="44"/>
      <c r="RKO577" s="44"/>
      <c r="RKP577" s="44"/>
      <c r="RKQ577" s="44"/>
      <c r="RKR577" s="44"/>
      <c r="RKS577" s="44"/>
      <c r="RKT577" s="44"/>
      <c r="RKU577" s="44"/>
      <c r="RKV577" s="44"/>
      <c r="RKW577" s="44"/>
      <c r="RKX577" s="44"/>
      <c r="RKY577" s="44"/>
      <c r="RKZ577" s="44"/>
      <c r="RLA577" s="44"/>
      <c r="RLB577" s="44"/>
      <c r="RLC577" s="44"/>
      <c r="RLD577" s="44"/>
      <c r="RLE577" s="44"/>
      <c r="RLF577" s="44"/>
      <c r="RLG577" s="44"/>
      <c r="RLH577" s="44"/>
      <c r="RLI577" s="44"/>
      <c r="RLJ577" s="44"/>
      <c r="RLK577" s="44"/>
      <c r="RLL577" s="44"/>
      <c r="RLM577" s="44"/>
      <c r="RLN577" s="44"/>
      <c r="RLO577" s="44"/>
      <c r="RLP577" s="44"/>
      <c r="RLQ577" s="44"/>
      <c r="RLR577" s="44"/>
      <c r="RLS577" s="44"/>
      <c r="RLT577" s="44"/>
      <c r="RLU577" s="44"/>
      <c r="RLV577" s="44"/>
      <c r="RLW577" s="44"/>
      <c r="RLX577" s="44"/>
      <c r="RLY577" s="44"/>
      <c r="RLZ577" s="44"/>
      <c r="RMA577" s="44"/>
      <c r="RMB577" s="44"/>
      <c r="RMC577" s="44"/>
      <c r="RMD577" s="44"/>
      <c r="RME577" s="44"/>
      <c r="RMF577" s="44"/>
      <c r="RMG577" s="44"/>
      <c r="RMH577" s="44"/>
      <c r="RMI577" s="44"/>
      <c r="RMJ577" s="44"/>
      <c r="RMK577" s="44"/>
      <c r="RML577" s="44"/>
      <c r="RMM577" s="44"/>
      <c r="RMN577" s="44"/>
      <c r="RMO577" s="44"/>
      <c r="RMP577" s="44"/>
      <c r="RMQ577" s="44"/>
      <c r="RMR577" s="44"/>
      <c r="RMS577" s="44"/>
      <c r="RMT577" s="44"/>
      <c r="RMU577" s="44"/>
      <c r="RMV577" s="44"/>
      <c r="RMW577" s="44"/>
      <c r="RMX577" s="44"/>
      <c r="RMY577" s="44"/>
      <c r="RMZ577" s="44"/>
      <c r="RNA577" s="44"/>
      <c r="RNB577" s="44"/>
      <c r="RNC577" s="44"/>
      <c r="RND577" s="44"/>
      <c r="RNE577" s="44"/>
      <c r="RNF577" s="44"/>
      <c r="RNG577" s="44"/>
      <c r="RNH577" s="44"/>
      <c r="RNI577" s="44"/>
      <c r="RNJ577" s="44"/>
      <c r="RNK577" s="44"/>
      <c r="RNL577" s="44"/>
      <c r="RNM577" s="44"/>
      <c r="RNN577" s="44"/>
      <c r="RNO577" s="44"/>
      <c r="RNP577" s="44"/>
      <c r="RNQ577" s="44"/>
      <c r="RNR577" s="44"/>
      <c r="RNS577" s="44"/>
      <c r="RNT577" s="44"/>
      <c r="RNU577" s="44"/>
      <c r="RNV577" s="44"/>
      <c r="RNW577" s="44"/>
      <c r="RNX577" s="44"/>
      <c r="RNY577" s="44"/>
      <c r="RNZ577" s="44"/>
      <c r="ROA577" s="44"/>
      <c r="ROB577" s="44"/>
      <c r="ROC577" s="44"/>
      <c r="ROD577" s="44"/>
      <c r="ROE577" s="44"/>
      <c r="ROF577" s="44"/>
      <c r="ROG577" s="44"/>
      <c r="ROH577" s="44"/>
      <c r="ROI577" s="44"/>
      <c r="ROJ577" s="44"/>
      <c r="ROK577" s="44"/>
      <c r="ROL577" s="44"/>
      <c r="ROM577" s="44"/>
      <c r="RON577" s="44"/>
      <c r="ROO577" s="44"/>
      <c r="ROP577" s="44"/>
      <c r="ROQ577" s="44"/>
      <c r="ROR577" s="44"/>
      <c r="ROS577" s="44"/>
      <c r="ROT577" s="44"/>
      <c r="ROU577" s="44"/>
      <c r="ROV577" s="44"/>
      <c r="ROW577" s="44"/>
      <c r="ROX577" s="44"/>
      <c r="ROY577" s="44"/>
      <c r="ROZ577" s="44"/>
      <c r="RPA577" s="44"/>
      <c r="RPB577" s="44"/>
      <c r="RPC577" s="44"/>
      <c r="RPD577" s="44"/>
      <c r="RPE577" s="44"/>
      <c r="RPF577" s="44"/>
      <c r="RPG577" s="44"/>
      <c r="RPH577" s="44"/>
      <c r="RPI577" s="44"/>
      <c r="RPJ577" s="44"/>
      <c r="RPK577" s="44"/>
      <c r="RPL577" s="44"/>
      <c r="RPM577" s="44"/>
      <c r="RPN577" s="44"/>
      <c r="RPO577" s="44"/>
      <c r="RPP577" s="44"/>
      <c r="RPQ577" s="44"/>
      <c r="RPR577" s="44"/>
      <c r="RPS577" s="44"/>
      <c r="RPT577" s="44"/>
      <c r="RPU577" s="44"/>
      <c r="RPV577" s="44"/>
      <c r="RPW577" s="44"/>
      <c r="RPX577" s="44"/>
      <c r="RPY577" s="44"/>
      <c r="RPZ577" s="44"/>
      <c r="RQA577" s="44"/>
      <c r="RQB577" s="44"/>
      <c r="RQC577" s="44"/>
      <c r="RQD577" s="44"/>
      <c r="RQE577" s="44"/>
      <c r="RQF577" s="44"/>
      <c r="RQG577" s="44"/>
      <c r="RQH577" s="44"/>
      <c r="RQI577" s="44"/>
      <c r="RQJ577" s="44"/>
      <c r="RQK577" s="44"/>
      <c r="RQL577" s="44"/>
      <c r="RQM577" s="44"/>
      <c r="RQN577" s="44"/>
      <c r="RQO577" s="44"/>
      <c r="RQP577" s="44"/>
      <c r="RQQ577" s="44"/>
      <c r="RQR577" s="44"/>
      <c r="RQS577" s="44"/>
      <c r="RQT577" s="44"/>
      <c r="RQU577" s="44"/>
      <c r="RQV577" s="44"/>
      <c r="RQW577" s="44"/>
      <c r="RQX577" s="44"/>
      <c r="RQY577" s="44"/>
      <c r="RQZ577" s="44"/>
      <c r="RRA577" s="44"/>
      <c r="RRB577" s="44"/>
      <c r="RRC577" s="44"/>
      <c r="RRD577" s="44"/>
      <c r="RRE577" s="44"/>
      <c r="RRF577" s="44"/>
      <c r="RRG577" s="44"/>
      <c r="RRH577" s="44"/>
      <c r="RRI577" s="44"/>
      <c r="RRJ577" s="44"/>
      <c r="RRK577" s="44"/>
      <c r="RRL577" s="44"/>
      <c r="RRM577" s="44"/>
      <c r="RRN577" s="44"/>
      <c r="RRO577" s="44"/>
      <c r="RRP577" s="44"/>
      <c r="RRQ577" s="44"/>
      <c r="RRR577" s="44"/>
      <c r="RRS577" s="44"/>
      <c r="RRT577" s="44"/>
      <c r="RRU577" s="44"/>
      <c r="RRV577" s="44"/>
      <c r="RRW577" s="44"/>
      <c r="RRX577" s="44"/>
      <c r="RRY577" s="44"/>
      <c r="RRZ577" s="44"/>
      <c r="RSA577" s="44"/>
      <c r="RSB577" s="44"/>
      <c r="RSC577" s="44"/>
      <c r="RSD577" s="44"/>
      <c r="RSE577" s="44"/>
      <c r="RSF577" s="44"/>
      <c r="RSG577" s="44"/>
      <c r="RSH577" s="44"/>
      <c r="RSI577" s="44"/>
      <c r="RSJ577" s="44"/>
      <c r="RSK577" s="44"/>
      <c r="RSL577" s="44"/>
      <c r="RSM577" s="44"/>
      <c r="RSN577" s="44"/>
      <c r="RSO577" s="44"/>
      <c r="RSP577" s="44"/>
      <c r="RSQ577" s="44"/>
      <c r="RSR577" s="44"/>
      <c r="RSS577" s="44"/>
      <c r="RST577" s="44"/>
      <c r="RSU577" s="44"/>
      <c r="RSV577" s="44"/>
      <c r="RSW577" s="44"/>
      <c r="RSX577" s="44"/>
      <c r="RSY577" s="44"/>
      <c r="RSZ577" s="44"/>
      <c r="RTA577" s="44"/>
      <c r="RTB577" s="44"/>
      <c r="RTC577" s="44"/>
      <c r="RTD577" s="44"/>
      <c r="RTE577" s="44"/>
      <c r="RTF577" s="44"/>
      <c r="RTG577" s="44"/>
      <c r="RTH577" s="44"/>
      <c r="RTI577" s="44"/>
      <c r="RTJ577" s="44"/>
      <c r="RTK577" s="44"/>
      <c r="RTL577" s="44"/>
      <c r="RTM577" s="44"/>
      <c r="RTN577" s="44"/>
      <c r="RTO577" s="44"/>
      <c r="RTP577" s="44"/>
      <c r="RTQ577" s="44"/>
      <c r="RTR577" s="44"/>
      <c r="RTS577" s="44"/>
      <c r="RTT577" s="44"/>
      <c r="RTU577" s="44"/>
      <c r="RTV577" s="44"/>
      <c r="RTW577" s="44"/>
      <c r="RTX577" s="44"/>
      <c r="RTY577" s="44"/>
      <c r="RTZ577" s="44"/>
      <c r="RUA577" s="44"/>
      <c r="RUB577" s="44"/>
      <c r="RUC577" s="44"/>
      <c r="RUD577" s="44"/>
      <c r="RUE577" s="44"/>
      <c r="RUF577" s="44"/>
      <c r="RUG577" s="44"/>
      <c r="RUH577" s="44"/>
      <c r="RUI577" s="44"/>
      <c r="RUJ577" s="44"/>
      <c r="RUK577" s="44"/>
      <c r="RUL577" s="44"/>
      <c r="RUM577" s="44"/>
      <c r="RUN577" s="44"/>
      <c r="RUO577" s="44"/>
      <c r="RUP577" s="44"/>
      <c r="RUQ577" s="44"/>
      <c r="RUR577" s="44"/>
      <c r="RUS577" s="44"/>
      <c r="RUT577" s="44"/>
      <c r="RUU577" s="44"/>
      <c r="RUV577" s="44"/>
      <c r="RUW577" s="44"/>
      <c r="RUX577" s="44"/>
      <c r="RUY577" s="44"/>
      <c r="RUZ577" s="44"/>
      <c r="RVA577" s="44"/>
      <c r="RVB577" s="44"/>
      <c r="RVC577" s="44"/>
      <c r="RVD577" s="44"/>
      <c r="RVE577" s="44"/>
      <c r="RVF577" s="44"/>
      <c r="RVG577" s="44"/>
      <c r="RVH577" s="44"/>
      <c r="RVI577" s="44"/>
      <c r="RVJ577" s="44"/>
      <c r="RVK577" s="44"/>
      <c r="RVL577" s="44"/>
      <c r="RVM577" s="44"/>
      <c r="RVN577" s="44"/>
      <c r="RVO577" s="44"/>
      <c r="RVP577" s="44"/>
      <c r="RVQ577" s="44"/>
      <c r="RVR577" s="44"/>
      <c r="RVS577" s="44"/>
      <c r="RVT577" s="44"/>
      <c r="RVU577" s="44"/>
      <c r="RVV577" s="44"/>
      <c r="RVW577" s="44"/>
      <c r="RVX577" s="44"/>
      <c r="RVY577" s="44"/>
      <c r="RVZ577" s="44"/>
      <c r="RWA577" s="44"/>
      <c r="RWB577" s="44"/>
      <c r="RWC577" s="44"/>
      <c r="RWD577" s="44"/>
      <c r="RWE577" s="44"/>
      <c r="RWF577" s="44"/>
      <c r="RWG577" s="44"/>
      <c r="RWH577" s="44"/>
      <c r="RWI577" s="44"/>
      <c r="RWJ577" s="44"/>
      <c r="RWK577" s="44"/>
      <c r="RWL577" s="44"/>
      <c r="RWM577" s="44"/>
      <c r="RWN577" s="44"/>
      <c r="RWO577" s="44"/>
      <c r="RWP577" s="44"/>
      <c r="RWQ577" s="44"/>
      <c r="RWR577" s="44"/>
      <c r="RWS577" s="44"/>
      <c r="RWT577" s="44"/>
      <c r="RWU577" s="44"/>
      <c r="RWV577" s="44"/>
      <c r="RWW577" s="44"/>
      <c r="RWX577" s="44"/>
      <c r="RWY577" s="44"/>
      <c r="RWZ577" s="44"/>
      <c r="RXA577" s="44"/>
      <c r="RXB577" s="44"/>
      <c r="RXC577" s="44"/>
      <c r="RXD577" s="44"/>
      <c r="RXE577" s="44"/>
      <c r="RXF577" s="44"/>
      <c r="RXG577" s="44"/>
      <c r="RXH577" s="44"/>
      <c r="RXI577" s="44"/>
      <c r="RXJ577" s="44"/>
      <c r="RXK577" s="44"/>
      <c r="RXL577" s="44"/>
      <c r="RXM577" s="44"/>
      <c r="RXN577" s="44"/>
      <c r="RXO577" s="44"/>
      <c r="RXP577" s="44"/>
      <c r="RXQ577" s="44"/>
      <c r="RXR577" s="44"/>
      <c r="RXS577" s="44"/>
      <c r="RXT577" s="44"/>
      <c r="RXU577" s="44"/>
      <c r="RXV577" s="44"/>
      <c r="RXW577" s="44"/>
      <c r="RXX577" s="44"/>
      <c r="RXY577" s="44"/>
      <c r="RXZ577" s="44"/>
      <c r="RYA577" s="44"/>
      <c r="RYB577" s="44"/>
      <c r="RYC577" s="44"/>
      <c r="RYD577" s="44"/>
      <c r="RYE577" s="44"/>
      <c r="RYF577" s="44"/>
      <c r="RYG577" s="44"/>
      <c r="RYH577" s="44"/>
      <c r="RYI577" s="44"/>
      <c r="RYJ577" s="44"/>
      <c r="RYK577" s="44"/>
      <c r="RYL577" s="44"/>
      <c r="RYM577" s="44"/>
      <c r="RYN577" s="44"/>
      <c r="RYO577" s="44"/>
      <c r="RYP577" s="44"/>
      <c r="RYQ577" s="44"/>
      <c r="RYR577" s="44"/>
      <c r="RYS577" s="44"/>
      <c r="RYT577" s="44"/>
      <c r="RYU577" s="44"/>
      <c r="RYV577" s="44"/>
      <c r="RYW577" s="44"/>
      <c r="RYX577" s="44"/>
      <c r="RYY577" s="44"/>
      <c r="RYZ577" s="44"/>
      <c r="RZA577" s="44"/>
      <c r="RZB577" s="44"/>
      <c r="RZC577" s="44"/>
      <c r="RZD577" s="44"/>
      <c r="RZE577" s="44"/>
      <c r="RZF577" s="44"/>
      <c r="RZG577" s="44"/>
      <c r="RZH577" s="44"/>
      <c r="RZI577" s="44"/>
      <c r="RZJ577" s="44"/>
      <c r="RZK577" s="44"/>
      <c r="RZL577" s="44"/>
      <c r="RZM577" s="44"/>
      <c r="RZN577" s="44"/>
      <c r="RZO577" s="44"/>
      <c r="RZP577" s="44"/>
      <c r="RZQ577" s="44"/>
      <c r="RZR577" s="44"/>
      <c r="RZS577" s="44"/>
      <c r="RZT577" s="44"/>
      <c r="RZU577" s="44"/>
      <c r="RZV577" s="44"/>
      <c r="RZW577" s="44"/>
      <c r="RZX577" s="44"/>
      <c r="RZY577" s="44"/>
      <c r="RZZ577" s="44"/>
      <c r="SAA577" s="44"/>
      <c r="SAB577" s="44"/>
      <c r="SAC577" s="44"/>
      <c r="SAD577" s="44"/>
      <c r="SAE577" s="44"/>
      <c r="SAF577" s="44"/>
      <c r="SAG577" s="44"/>
      <c r="SAH577" s="44"/>
      <c r="SAI577" s="44"/>
      <c r="SAJ577" s="44"/>
      <c r="SAK577" s="44"/>
      <c r="SAL577" s="44"/>
      <c r="SAM577" s="44"/>
      <c r="SAN577" s="44"/>
      <c r="SAO577" s="44"/>
      <c r="SAP577" s="44"/>
      <c r="SAQ577" s="44"/>
      <c r="SAR577" s="44"/>
      <c r="SAS577" s="44"/>
      <c r="SAT577" s="44"/>
      <c r="SAU577" s="44"/>
      <c r="SAV577" s="44"/>
      <c r="SAW577" s="44"/>
      <c r="SAX577" s="44"/>
      <c r="SAY577" s="44"/>
      <c r="SAZ577" s="44"/>
      <c r="SBA577" s="44"/>
      <c r="SBB577" s="44"/>
      <c r="SBC577" s="44"/>
      <c r="SBD577" s="44"/>
      <c r="SBE577" s="44"/>
      <c r="SBF577" s="44"/>
      <c r="SBG577" s="44"/>
      <c r="SBH577" s="44"/>
      <c r="SBI577" s="44"/>
      <c r="SBJ577" s="44"/>
      <c r="SBK577" s="44"/>
      <c r="SBL577" s="44"/>
      <c r="SBM577" s="44"/>
      <c r="SBN577" s="44"/>
      <c r="SBO577" s="44"/>
      <c r="SBP577" s="44"/>
      <c r="SBQ577" s="44"/>
      <c r="SBR577" s="44"/>
      <c r="SBS577" s="44"/>
      <c r="SBT577" s="44"/>
      <c r="SBU577" s="44"/>
      <c r="SBV577" s="44"/>
      <c r="SBW577" s="44"/>
      <c r="SBX577" s="44"/>
      <c r="SBY577" s="44"/>
      <c r="SBZ577" s="44"/>
      <c r="SCA577" s="44"/>
      <c r="SCB577" s="44"/>
      <c r="SCC577" s="44"/>
      <c r="SCD577" s="44"/>
      <c r="SCE577" s="44"/>
      <c r="SCF577" s="44"/>
      <c r="SCG577" s="44"/>
      <c r="SCH577" s="44"/>
      <c r="SCI577" s="44"/>
      <c r="SCJ577" s="44"/>
      <c r="SCK577" s="44"/>
      <c r="SCL577" s="44"/>
      <c r="SCM577" s="44"/>
      <c r="SCN577" s="44"/>
      <c r="SCO577" s="44"/>
      <c r="SCP577" s="44"/>
      <c r="SCQ577" s="44"/>
      <c r="SCR577" s="44"/>
      <c r="SCS577" s="44"/>
      <c r="SCT577" s="44"/>
      <c r="SCU577" s="44"/>
      <c r="SCV577" s="44"/>
      <c r="SCW577" s="44"/>
      <c r="SCX577" s="44"/>
      <c r="SCY577" s="44"/>
      <c r="SCZ577" s="44"/>
      <c r="SDA577" s="44"/>
      <c r="SDB577" s="44"/>
      <c r="SDC577" s="44"/>
      <c r="SDD577" s="44"/>
      <c r="SDE577" s="44"/>
      <c r="SDF577" s="44"/>
      <c r="SDG577" s="44"/>
      <c r="SDH577" s="44"/>
      <c r="SDI577" s="44"/>
      <c r="SDJ577" s="44"/>
      <c r="SDK577" s="44"/>
      <c r="SDL577" s="44"/>
      <c r="SDM577" s="44"/>
      <c r="SDN577" s="44"/>
      <c r="SDO577" s="44"/>
      <c r="SDP577" s="44"/>
      <c r="SDQ577" s="44"/>
      <c r="SDR577" s="44"/>
      <c r="SDS577" s="44"/>
      <c r="SDT577" s="44"/>
      <c r="SDU577" s="44"/>
      <c r="SDV577" s="44"/>
      <c r="SDW577" s="44"/>
      <c r="SDX577" s="44"/>
      <c r="SDY577" s="44"/>
      <c r="SDZ577" s="44"/>
      <c r="SEA577" s="44"/>
      <c r="SEB577" s="44"/>
      <c r="SEC577" s="44"/>
      <c r="SED577" s="44"/>
      <c r="SEE577" s="44"/>
      <c r="SEF577" s="44"/>
      <c r="SEG577" s="44"/>
      <c r="SEH577" s="44"/>
      <c r="SEI577" s="44"/>
      <c r="SEJ577" s="44"/>
      <c r="SEK577" s="44"/>
      <c r="SEL577" s="44"/>
      <c r="SEM577" s="44"/>
      <c r="SEN577" s="44"/>
      <c r="SEO577" s="44"/>
      <c r="SEP577" s="44"/>
      <c r="SEQ577" s="44"/>
      <c r="SER577" s="44"/>
      <c r="SES577" s="44"/>
      <c r="SET577" s="44"/>
      <c r="SEU577" s="44"/>
      <c r="SEV577" s="44"/>
      <c r="SEW577" s="44"/>
      <c r="SEX577" s="44"/>
      <c r="SEY577" s="44"/>
      <c r="SEZ577" s="44"/>
      <c r="SFA577" s="44"/>
      <c r="SFB577" s="44"/>
      <c r="SFC577" s="44"/>
      <c r="SFD577" s="44"/>
      <c r="SFE577" s="44"/>
      <c r="SFF577" s="44"/>
      <c r="SFG577" s="44"/>
      <c r="SFH577" s="44"/>
      <c r="SFI577" s="44"/>
      <c r="SFJ577" s="44"/>
      <c r="SFK577" s="44"/>
      <c r="SFL577" s="44"/>
      <c r="SFM577" s="44"/>
      <c r="SFN577" s="44"/>
      <c r="SFO577" s="44"/>
      <c r="SFP577" s="44"/>
      <c r="SFQ577" s="44"/>
      <c r="SFR577" s="44"/>
      <c r="SFS577" s="44"/>
      <c r="SFT577" s="44"/>
      <c r="SFU577" s="44"/>
      <c r="SFV577" s="44"/>
      <c r="SFW577" s="44"/>
      <c r="SFX577" s="44"/>
      <c r="SFY577" s="44"/>
      <c r="SFZ577" s="44"/>
      <c r="SGA577" s="44"/>
      <c r="SGB577" s="44"/>
      <c r="SGC577" s="44"/>
      <c r="SGD577" s="44"/>
      <c r="SGE577" s="44"/>
      <c r="SGF577" s="44"/>
      <c r="SGG577" s="44"/>
      <c r="SGH577" s="44"/>
      <c r="SGI577" s="44"/>
      <c r="SGJ577" s="44"/>
      <c r="SGK577" s="44"/>
      <c r="SGL577" s="44"/>
      <c r="SGM577" s="44"/>
      <c r="SGN577" s="44"/>
      <c r="SGO577" s="44"/>
      <c r="SGP577" s="44"/>
      <c r="SGQ577" s="44"/>
      <c r="SGR577" s="44"/>
      <c r="SGS577" s="44"/>
      <c r="SGT577" s="44"/>
      <c r="SGU577" s="44"/>
      <c r="SGV577" s="44"/>
      <c r="SGW577" s="44"/>
      <c r="SGX577" s="44"/>
      <c r="SGY577" s="44"/>
      <c r="SGZ577" s="44"/>
      <c r="SHA577" s="44"/>
      <c r="SHB577" s="44"/>
      <c r="SHC577" s="44"/>
      <c r="SHD577" s="44"/>
      <c r="SHE577" s="44"/>
      <c r="SHF577" s="44"/>
      <c r="SHG577" s="44"/>
      <c r="SHH577" s="44"/>
      <c r="SHI577" s="44"/>
      <c r="SHJ577" s="44"/>
      <c r="SHK577" s="44"/>
      <c r="SHL577" s="44"/>
      <c r="SHM577" s="44"/>
      <c r="SHN577" s="44"/>
      <c r="SHO577" s="44"/>
      <c r="SHP577" s="44"/>
      <c r="SHQ577" s="44"/>
      <c r="SHR577" s="44"/>
      <c r="SHS577" s="44"/>
      <c r="SHT577" s="44"/>
      <c r="SHU577" s="44"/>
      <c r="SHV577" s="44"/>
      <c r="SHW577" s="44"/>
      <c r="SHX577" s="44"/>
      <c r="SHY577" s="44"/>
      <c r="SHZ577" s="44"/>
      <c r="SIA577" s="44"/>
      <c r="SIB577" s="44"/>
      <c r="SIC577" s="44"/>
      <c r="SID577" s="44"/>
      <c r="SIE577" s="44"/>
      <c r="SIF577" s="44"/>
      <c r="SIG577" s="44"/>
      <c r="SIH577" s="44"/>
      <c r="SII577" s="44"/>
      <c r="SIJ577" s="44"/>
      <c r="SIK577" s="44"/>
      <c r="SIL577" s="44"/>
      <c r="SIM577" s="44"/>
      <c r="SIN577" s="44"/>
      <c r="SIO577" s="44"/>
      <c r="SIP577" s="44"/>
      <c r="SIQ577" s="44"/>
      <c r="SIR577" s="44"/>
      <c r="SIS577" s="44"/>
      <c r="SIT577" s="44"/>
      <c r="SIU577" s="44"/>
      <c r="SIV577" s="44"/>
      <c r="SIW577" s="44"/>
      <c r="SIX577" s="44"/>
      <c r="SIY577" s="44"/>
      <c r="SIZ577" s="44"/>
      <c r="SJA577" s="44"/>
      <c r="SJB577" s="44"/>
      <c r="SJC577" s="44"/>
      <c r="SJD577" s="44"/>
      <c r="SJE577" s="44"/>
      <c r="SJF577" s="44"/>
      <c r="SJG577" s="44"/>
      <c r="SJH577" s="44"/>
      <c r="SJI577" s="44"/>
      <c r="SJJ577" s="44"/>
      <c r="SJK577" s="44"/>
      <c r="SJL577" s="44"/>
      <c r="SJM577" s="44"/>
      <c r="SJN577" s="44"/>
      <c r="SJO577" s="44"/>
      <c r="SJP577" s="44"/>
      <c r="SJQ577" s="44"/>
      <c r="SJR577" s="44"/>
      <c r="SJS577" s="44"/>
      <c r="SJT577" s="44"/>
      <c r="SJU577" s="44"/>
      <c r="SJV577" s="44"/>
      <c r="SJW577" s="44"/>
      <c r="SJX577" s="44"/>
      <c r="SJY577" s="44"/>
      <c r="SJZ577" s="44"/>
      <c r="SKA577" s="44"/>
      <c r="SKB577" s="44"/>
      <c r="SKC577" s="44"/>
      <c r="SKD577" s="44"/>
      <c r="SKE577" s="44"/>
      <c r="SKF577" s="44"/>
      <c r="SKG577" s="44"/>
      <c r="SKH577" s="44"/>
      <c r="SKI577" s="44"/>
      <c r="SKJ577" s="44"/>
      <c r="SKK577" s="44"/>
      <c r="SKL577" s="44"/>
      <c r="SKM577" s="44"/>
      <c r="SKN577" s="44"/>
      <c r="SKO577" s="44"/>
      <c r="SKP577" s="44"/>
      <c r="SKQ577" s="44"/>
      <c r="SKR577" s="44"/>
      <c r="SKS577" s="44"/>
      <c r="SKT577" s="44"/>
      <c r="SKU577" s="44"/>
      <c r="SKV577" s="44"/>
      <c r="SKW577" s="44"/>
      <c r="SKX577" s="44"/>
      <c r="SKY577" s="44"/>
      <c r="SKZ577" s="44"/>
      <c r="SLA577" s="44"/>
      <c r="SLB577" s="44"/>
      <c r="SLC577" s="44"/>
      <c r="SLD577" s="44"/>
      <c r="SLE577" s="44"/>
      <c r="SLF577" s="44"/>
      <c r="SLG577" s="44"/>
      <c r="SLH577" s="44"/>
      <c r="SLI577" s="44"/>
      <c r="SLJ577" s="44"/>
      <c r="SLK577" s="44"/>
      <c r="SLL577" s="44"/>
      <c r="SLM577" s="44"/>
      <c r="SLN577" s="44"/>
      <c r="SLO577" s="44"/>
      <c r="SLP577" s="44"/>
      <c r="SLQ577" s="44"/>
      <c r="SLR577" s="44"/>
      <c r="SLS577" s="44"/>
      <c r="SLT577" s="44"/>
      <c r="SLU577" s="44"/>
      <c r="SLV577" s="44"/>
      <c r="SLW577" s="44"/>
      <c r="SLX577" s="44"/>
      <c r="SLY577" s="44"/>
      <c r="SLZ577" s="44"/>
      <c r="SMA577" s="44"/>
      <c r="SMB577" s="44"/>
      <c r="SMC577" s="44"/>
      <c r="SMD577" s="44"/>
      <c r="SME577" s="44"/>
      <c r="SMF577" s="44"/>
      <c r="SMG577" s="44"/>
      <c r="SMH577" s="44"/>
      <c r="SMI577" s="44"/>
      <c r="SMJ577" s="44"/>
      <c r="SMK577" s="44"/>
      <c r="SML577" s="44"/>
      <c r="SMM577" s="44"/>
      <c r="SMN577" s="44"/>
      <c r="SMO577" s="44"/>
      <c r="SMP577" s="44"/>
      <c r="SMQ577" s="44"/>
      <c r="SMR577" s="44"/>
      <c r="SMS577" s="44"/>
      <c r="SMT577" s="44"/>
      <c r="SMU577" s="44"/>
      <c r="SMV577" s="44"/>
      <c r="SMW577" s="44"/>
      <c r="SMX577" s="44"/>
      <c r="SMY577" s="44"/>
      <c r="SMZ577" s="44"/>
      <c r="SNA577" s="44"/>
      <c r="SNB577" s="44"/>
      <c r="SNC577" s="44"/>
      <c r="SND577" s="44"/>
      <c r="SNE577" s="44"/>
      <c r="SNF577" s="44"/>
      <c r="SNG577" s="44"/>
      <c r="SNH577" s="44"/>
      <c r="SNI577" s="44"/>
      <c r="SNJ577" s="44"/>
      <c r="SNK577" s="44"/>
      <c r="SNL577" s="44"/>
      <c r="SNM577" s="44"/>
      <c r="SNN577" s="44"/>
      <c r="SNO577" s="44"/>
      <c r="SNP577" s="44"/>
      <c r="SNQ577" s="44"/>
      <c r="SNR577" s="44"/>
      <c r="SNS577" s="44"/>
      <c r="SNT577" s="44"/>
      <c r="SNU577" s="44"/>
      <c r="SNV577" s="44"/>
      <c r="SNW577" s="44"/>
      <c r="SNX577" s="44"/>
      <c r="SNY577" s="44"/>
      <c r="SNZ577" s="44"/>
      <c r="SOA577" s="44"/>
      <c r="SOB577" s="44"/>
      <c r="SOC577" s="44"/>
      <c r="SOD577" s="44"/>
      <c r="SOE577" s="44"/>
      <c r="SOF577" s="44"/>
      <c r="SOG577" s="44"/>
      <c r="SOH577" s="44"/>
      <c r="SOI577" s="44"/>
      <c r="SOJ577" s="44"/>
      <c r="SOK577" s="44"/>
      <c r="SOL577" s="44"/>
      <c r="SOM577" s="44"/>
      <c r="SON577" s="44"/>
      <c r="SOO577" s="44"/>
      <c r="SOP577" s="44"/>
      <c r="SOQ577" s="44"/>
      <c r="SOR577" s="44"/>
      <c r="SOS577" s="44"/>
      <c r="SOT577" s="44"/>
      <c r="SOU577" s="44"/>
      <c r="SOV577" s="44"/>
      <c r="SOW577" s="44"/>
      <c r="SOX577" s="44"/>
      <c r="SOY577" s="44"/>
      <c r="SOZ577" s="44"/>
      <c r="SPA577" s="44"/>
      <c r="SPB577" s="44"/>
      <c r="SPC577" s="44"/>
      <c r="SPD577" s="44"/>
      <c r="SPE577" s="44"/>
      <c r="SPF577" s="44"/>
      <c r="SPG577" s="44"/>
      <c r="SPH577" s="44"/>
      <c r="SPI577" s="44"/>
      <c r="SPJ577" s="44"/>
      <c r="SPK577" s="44"/>
      <c r="SPL577" s="44"/>
      <c r="SPM577" s="44"/>
      <c r="SPN577" s="44"/>
      <c r="SPO577" s="44"/>
      <c r="SPP577" s="44"/>
      <c r="SPQ577" s="44"/>
      <c r="SPR577" s="44"/>
      <c r="SPS577" s="44"/>
      <c r="SPT577" s="44"/>
      <c r="SPU577" s="44"/>
      <c r="SPV577" s="44"/>
      <c r="SPW577" s="44"/>
      <c r="SPX577" s="44"/>
      <c r="SPY577" s="44"/>
      <c r="SPZ577" s="44"/>
      <c r="SQA577" s="44"/>
      <c r="SQB577" s="44"/>
      <c r="SQC577" s="44"/>
      <c r="SQD577" s="44"/>
      <c r="SQE577" s="44"/>
      <c r="SQF577" s="44"/>
      <c r="SQG577" s="44"/>
      <c r="SQH577" s="44"/>
      <c r="SQI577" s="44"/>
      <c r="SQJ577" s="44"/>
      <c r="SQK577" s="44"/>
      <c r="SQL577" s="44"/>
      <c r="SQM577" s="44"/>
      <c r="SQN577" s="44"/>
      <c r="SQO577" s="44"/>
      <c r="SQP577" s="44"/>
      <c r="SQQ577" s="44"/>
      <c r="SQR577" s="44"/>
      <c r="SQS577" s="44"/>
      <c r="SQT577" s="44"/>
      <c r="SQU577" s="44"/>
      <c r="SQV577" s="44"/>
      <c r="SQW577" s="44"/>
      <c r="SQX577" s="44"/>
      <c r="SQY577" s="44"/>
      <c r="SQZ577" s="44"/>
      <c r="SRA577" s="44"/>
      <c r="SRB577" s="44"/>
      <c r="SRC577" s="44"/>
      <c r="SRD577" s="44"/>
      <c r="SRE577" s="44"/>
      <c r="SRF577" s="44"/>
      <c r="SRG577" s="44"/>
      <c r="SRH577" s="44"/>
      <c r="SRI577" s="44"/>
      <c r="SRJ577" s="44"/>
      <c r="SRK577" s="44"/>
      <c r="SRL577" s="44"/>
      <c r="SRM577" s="44"/>
      <c r="SRN577" s="44"/>
      <c r="SRO577" s="44"/>
      <c r="SRP577" s="44"/>
      <c r="SRQ577" s="44"/>
      <c r="SRR577" s="44"/>
      <c r="SRS577" s="44"/>
      <c r="SRT577" s="44"/>
      <c r="SRU577" s="44"/>
      <c r="SRV577" s="44"/>
      <c r="SRW577" s="44"/>
      <c r="SRX577" s="44"/>
      <c r="SRY577" s="44"/>
      <c r="SRZ577" s="44"/>
      <c r="SSA577" s="44"/>
      <c r="SSB577" s="44"/>
      <c r="SSC577" s="44"/>
      <c r="SSD577" s="44"/>
      <c r="SSE577" s="44"/>
      <c r="SSF577" s="44"/>
      <c r="SSG577" s="44"/>
      <c r="SSH577" s="44"/>
      <c r="SSI577" s="44"/>
      <c r="SSJ577" s="44"/>
      <c r="SSK577" s="44"/>
      <c r="SSL577" s="44"/>
      <c r="SSM577" s="44"/>
      <c r="SSN577" s="44"/>
      <c r="SSO577" s="44"/>
      <c r="SSP577" s="44"/>
      <c r="SSQ577" s="44"/>
      <c r="SSR577" s="44"/>
      <c r="SSS577" s="44"/>
      <c r="SST577" s="44"/>
      <c r="SSU577" s="44"/>
      <c r="SSV577" s="44"/>
      <c r="SSW577" s="44"/>
      <c r="SSX577" s="44"/>
      <c r="SSY577" s="44"/>
      <c r="SSZ577" s="44"/>
      <c r="STA577" s="44"/>
      <c r="STB577" s="44"/>
      <c r="STC577" s="44"/>
      <c r="STD577" s="44"/>
      <c r="STE577" s="44"/>
      <c r="STF577" s="44"/>
      <c r="STG577" s="44"/>
      <c r="STH577" s="44"/>
      <c r="STI577" s="44"/>
      <c r="STJ577" s="44"/>
      <c r="STK577" s="44"/>
      <c r="STL577" s="44"/>
      <c r="STM577" s="44"/>
      <c r="STN577" s="44"/>
      <c r="STO577" s="44"/>
      <c r="STP577" s="44"/>
      <c r="STQ577" s="44"/>
      <c r="STR577" s="44"/>
      <c r="STS577" s="44"/>
      <c r="STT577" s="44"/>
      <c r="STU577" s="44"/>
      <c r="STV577" s="44"/>
      <c r="STW577" s="44"/>
      <c r="STX577" s="44"/>
      <c r="STY577" s="44"/>
      <c r="STZ577" s="44"/>
      <c r="SUA577" s="44"/>
      <c r="SUB577" s="44"/>
      <c r="SUC577" s="44"/>
      <c r="SUD577" s="44"/>
      <c r="SUE577" s="44"/>
      <c r="SUF577" s="44"/>
      <c r="SUG577" s="44"/>
      <c r="SUH577" s="44"/>
      <c r="SUI577" s="44"/>
      <c r="SUJ577" s="44"/>
      <c r="SUK577" s="44"/>
      <c r="SUL577" s="44"/>
      <c r="SUM577" s="44"/>
      <c r="SUN577" s="44"/>
      <c r="SUO577" s="44"/>
      <c r="SUP577" s="44"/>
      <c r="SUQ577" s="44"/>
      <c r="SUR577" s="44"/>
      <c r="SUS577" s="44"/>
      <c r="SUT577" s="44"/>
      <c r="SUU577" s="44"/>
      <c r="SUV577" s="44"/>
      <c r="SUW577" s="44"/>
      <c r="SUX577" s="44"/>
      <c r="SUY577" s="44"/>
      <c r="SUZ577" s="44"/>
      <c r="SVA577" s="44"/>
      <c r="SVB577" s="44"/>
      <c r="SVC577" s="44"/>
      <c r="SVD577" s="44"/>
      <c r="SVE577" s="44"/>
      <c r="SVF577" s="44"/>
      <c r="SVG577" s="44"/>
      <c r="SVH577" s="44"/>
      <c r="SVI577" s="44"/>
      <c r="SVJ577" s="44"/>
      <c r="SVK577" s="44"/>
      <c r="SVL577" s="44"/>
      <c r="SVM577" s="44"/>
      <c r="SVN577" s="44"/>
      <c r="SVO577" s="44"/>
      <c r="SVP577" s="44"/>
      <c r="SVQ577" s="44"/>
      <c r="SVR577" s="44"/>
      <c r="SVS577" s="44"/>
      <c r="SVT577" s="44"/>
      <c r="SVU577" s="44"/>
      <c r="SVV577" s="44"/>
      <c r="SVW577" s="44"/>
      <c r="SVX577" s="44"/>
      <c r="SVY577" s="44"/>
      <c r="SVZ577" s="44"/>
      <c r="SWA577" s="44"/>
      <c r="SWB577" s="44"/>
      <c r="SWC577" s="44"/>
      <c r="SWD577" s="44"/>
      <c r="SWE577" s="44"/>
      <c r="SWF577" s="44"/>
      <c r="SWG577" s="44"/>
      <c r="SWH577" s="44"/>
      <c r="SWI577" s="44"/>
      <c r="SWJ577" s="44"/>
      <c r="SWK577" s="44"/>
      <c r="SWL577" s="44"/>
      <c r="SWM577" s="44"/>
      <c r="SWN577" s="44"/>
      <c r="SWO577" s="44"/>
      <c r="SWP577" s="44"/>
      <c r="SWQ577" s="44"/>
      <c r="SWR577" s="44"/>
      <c r="SWS577" s="44"/>
      <c r="SWT577" s="44"/>
      <c r="SWU577" s="44"/>
      <c r="SWV577" s="44"/>
      <c r="SWW577" s="44"/>
      <c r="SWX577" s="44"/>
      <c r="SWY577" s="44"/>
      <c r="SWZ577" s="44"/>
      <c r="SXA577" s="44"/>
      <c r="SXB577" s="44"/>
      <c r="SXC577" s="44"/>
      <c r="SXD577" s="44"/>
      <c r="SXE577" s="44"/>
      <c r="SXF577" s="44"/>
      <c r="SXG577" s="44"/>
      <c r="SXH577" s="44"/>
      <c r="SXI577" s="44"/>
      <c r="SXJ577" s="44"/>
      <c r="SXK577" s="44"/>
      <c r="SXL577" s="44"/>
      <c r="SXM577" s="44"/>
      <c r="SXN577" s="44"/>
      <c r="SXO577" s="44"/>
      <c r="SXP577" s="44"/>
      <c r="SXQ577" s="44"/>
      <c r="SXR577" s="44"/>
      <c r="SXS577" s="44"/>
      <c r="SXT577" s="44"/>
      <c r="SXU577" s="44"/>
      <c r="SXV577" s="44"/>
      <c r="SXW577" s="44"/>
      <c r="SXX577" s="44"/>
      <c r="SXY577" s="44"/>
      <c r="SXZ577" s="44"/>
      <c r="SYA577" s="44"/>
      <c r="SYB577" s="44"/>
      <c r="SYC577" s="44"/>
      <c r="SYD577" s="44"/>
      <c r="SYE577" s="44"/>
      <c r="SYF577" s="44"/>
      <c r="SYG577" s="44"/>
      <c r="SYH577" s="44"/>
      <c r="SYI577" s="44"/>
      <c r="SYJ577" s="44"/>
      <c r="SYK577" s="44"/>
      <c r="SYL577" s="44"/>
      <c r="SYM577" s="44"/>
      <c r="SYN577" s="44"/>
      <c r="SYO577" s="44"/>
      <c r="SYP577" s="44"/>
      <c r="SYQ577" s="44"/>
      <c r="SYR577" s="44"/>
      <c r="SYS577" s="44"/>
      <c r="SYT577" s="44"/>
      <c r="SYU577" s="44"/>
      <c r="SYV577" s="44"/>
      <c r="SYW577" s="44"/>
      <c r="SYX577" s="44"/>
      <c r="SYY577" s="44"/>
      <c r="SYZ577" s="44"/>
      <c r="SZA577" s="44"/>
      <c r="SZB577" s="44"/>
      <c r="SZC577" s="44"/>
      <c r="SZD577" s="44"/>
      <c r="SZE577" s="44"/>
      <c r="SZF577" s="44"/>
      <c r="SZG577" s="44"/>
      <c r="SZH577" s="44"/>
      <c r="SZI577" s="44"/>
      <c r="SZJ577" s="44"/>
      <c r="SZK577" s="44"/>
      <c r="SZL577" s="44"/>
      <c r="SZM577" s="44"/>
      <c r="SZN577" s="44"/>
      <c r="SZO577" s="44"/>
      <c r="SZP577" s="44"/>
      <c r="SZQ577" s="44"/>
      <c r="SZR577" s="44"/>
      <c r="SZS577" s="44"/>
      <c r="SZT577" s="44"/>
      <c r="SZU577" s="44"/>
      <c r="SZV577" s="44"/>
      <c r="SZW577" s="44"/>
      <c r="SZX577" s="44"/>
      <c r="SZY577" s="44"/>
      <c r="SZZ577" s="44"/>
      <c r="TAA577" s="44"/>
      <c r="TAB577" s="44"/>
      <c r="TAC577" s="44"/>
      <c r="TAD577" s="44"/>
      <c r="TAE577" s="44"/>
      <c r="TAF577" s="44"/>
      <c r="TAG577" s="44"/>
      <c r="TAH577" s="44"/>
      <c r="TAI577" s="44"/>
      <c r="TAJ577" s="44"/>
      <c r="TAK577" s="44"/>
      <c r="TAL577" s="44"/>
      <c r="TAM577" s="44"/>
      <c r="TAN577" s="44"/>
      <c r="TAO577" s="44"/>
      <c r="TAP577" s="44"/>
      <c r="TAQ577" s="44"/>
      <c r="TAR577" s="44"/>
      <c r="TAS577" s="44"/>
      <c r="TAT577" s="44"/>
      <c r="TAU577" s="44"/>
      <c r="TAV577" s="44"/>
      <c r="TAW577" s="44"/>
      <c r="TAX577" s="44"/>
      <c r="TAY577" s="44"/>
      <c r="TAZ577" s="44"/>
      <c r="TBA577" s="44"/>
      <c r="TBB577" s="44"/>
      <c r="TBC577" s="44"/>
      <c r="TBD577" s="44"/>
      <c r="TBE577" s="44"/>
      <c r="TBF577" s="44"/>
      <c r="TBG577" s="44"/>
      <c r="TBH577" s="44"/>
      <c r="TBI577" s="44"/>
      <c r="TBJ577" s="44"/>
      <c r="TBK577" s="44"/>
      <c r="TBL577" s="44"/>
      <c r="TBM577" s="44"/>
      <c r="TBN577" s="44"/>
      <c r="TBO577" s="44"/>
      <c r="TBP577" s="44"/>
      <c r="TBQ577" s="44"/>
      <c r="TBR577" s="44"/>
      <c r="TBS577" s="44"/>
      <c r="TBT577" s="44"/>
      <c r="TBU577" s="44"/>
      <c r="TBV577" s="44"/>
      <c r="TBW577" s="44"/>
      <c r="TBX577" s="44"/>
      <c r="TBY577" s="44"/>
      <c r="TBZ577" s="44"/>
      <c r="TCA577" s="44"/>
      <c r="TCB577" s="44"/>
      <c r="TCC577" s="44"/>
      <c r="TCD577" s="44"/>
      <c r="TCE577" s="44"/>
      <c r="TCF577" s="44"/>
      <c r="TCG577" s="44"/>
      <c r="TCH577" s="44"/>
      <c r="TCI577" s="44"/>
      <c r="TCJ577" s="44"/>
      <c r="TCK577" s="44"/>
      <c r="TCL577" s="44"/>
      <c r="TCM577" s="44"/>
      <c r="TCN577" s="44"/>
      <c r="TCO577" s="44"/>
      <c r="TCP577" s="44"/>
      <c r="TCQ577" s="44"/>
      <c r="TCR577" s="44"/>
      <c r="TCS577" s="44"/>
      <c r="TCT577" s="44"/>
      <c r="TCU577" s="44"/>
      <c r="TCV577" s="44"/>
      <c r="TCW577" s="44"/>
      <c r="TCX577" s="44"/>
      <c r="TCY577" s="44"/>
      <c r="TCZ577" s="44"/>
      <c r="TDA577" s="44"/>
      <c r="TDB577" s="44"/>
      <c r="TDC577" s="44"/>
      <c r="TDD577" s="44"/>
      <c r="TDE577" s="44"/>
      <c r="TDF577" s="44"/>
      <c r="TDG577" s="44"/>
      <c r="TDH577" s="44"/>
      <c r="TDI577" s="44"/>
      <c r="TDJ577" s="44"/>
      <c r="TDK577" s="44"/>
      <c r="TDL577" s="44"/>
      <c r="TDM577" s="44"/>
      <c r="TDN577" s="44"/>
      <c r="TDO577" s="44"/>
      <c r="TDP577" s="44"/>
      <c r="TDQ577" s="44"/>
      <c r="TDR577" s="44"/>
      <c r="TDS577" s="44"/>
      <c r="TDT577" s="44"/>
      <c r="TDU577" s="44"/>
      <c r="TDV577" s="44"/>
      <c r="TDW577" s="44"/>
      <c r="TDX577" s="44"/>
      <c r="TDY577" s="44"/>
      <c r="TDZ577" s="44"/>
      <c r="TEA577" s="44"/>
      <c r="TEB577" s="44"/>
      <c r="TEC577" s="44"/>
      <c r="TED577" s="44"/>
      <c r="TEE577" s="44"/>
      <c r="TEF577" s="44"/>
      <c r="TEG577" s="44"/>
      <c r="TEH577" s="44"/>
      <c r="TEI577" s="44"/>
      <c r="TEJ577" s="44"/>
      <c r="TEK577" s="44"/>
      <c r="TEL577" s="44"/>
      <c r="TEM577" s="44"/>
      <c r="TEN577" s="44"/>
      <c r="TEO577" s="44"/>
      <c r="TEP577" s="44"/>
      <c r="TEQ577" s="44"/>
      <c r="TER577" s="44"/>
      <c r="TES577" s="44"/>
      <c r="TET577" s="44"/>
      <c r="TEU577" s="44"/>
      <c r="TEV577" s="44"/>
      <c r="TEW577" s="44"/>
      <c r="TEX577" s="44"/>
      <c r="TEY577" s="44"/>
      <c r="TEZ577" s="44"/>
      <c r="TFA577" s="44"/>
      <c r="TFB577" s="44"/>
      <c r="TFC577" s="44"/>
      <c r="TFD577" s="44"/>
      <c r="TFE577" s="44"/>
      <c r="TFF577" s="44"/>
      <c r="TFG577" s="44"/>
      <c r="TFH577" s="44"/>
      <c r="TFI577" s="44"/>
      <c r="TFJ577" s="44"/>
      <c r="TFK577" s="44"/>
      <c r="TFL577" s="44"/>
      <c r="TFM577" s="44"/>
      <c r="TFN577" s="44"/>
      <c r="TFO577" s="44"/>
      <c r="TFP577" s="44"/>
      <c r="TFQ577" s="44"/>
      <c r="TFR577" s="44"/>
      <c r="TFS577" s="44"/>
      <c r="TFT577" s="44"/>
      <c r="TFU577" s="44"/>
      <c r="TFV577" s="44"/>
      <c r="TFW577" s="44"/>
      <c r="TFX577" s="44"/>
      <c r="TFY577" s="44"/>
      <c r="TFZ577" s="44"/>
      <c r="TGA577" s="44"/>
      <c r="TGB577" s="44"/>
      <c r="TGC577" s="44"/>
      <c r="TGD577" s="44"/>
      <c r="TGE577" s="44"/>
      <c r="TGF577" s="44"/>
      <c r="TGG577" s="44"/>
      <c r="TGH577" s="44"/>
      <c r="TGI577" s="44"/>
      <c r="TGJ577" s="44"/>
      <c r="TGK577" s="44"/>
      <c r="TGL577" s="44"/>
      <c r="TGM577" s="44"/>
      <c r="TGN577" s="44"/>
      <c r="TGO577" s="44"/>
      <c r="TGP577" s="44"/>
      <c r="TGQ577" s="44"/>
      <c r="TGR577" s="44"/>
      <c r="TGS577" s="44"/>
      <c r="TGT577" s="44"/>
      <c r="TGU577" s="44"/>
      <c r="TGV577" s="44"/>
      <c r="TGW577" s="44"/>
      <c r="TGX577" s="44"/>
      <c r="TGY577" s="44"/>
      <c r="TGZ577" s="44"/>
      <c r="THA577" s="44"/>
      <c r="THB577" s="44"/>
      <c r="THC577" s="44"/>
      <c r="THD577" s="44"/>
      <c r="THE577" s="44"/>
      <c r="THF577" s="44"/>
      <c r="THG577" s="44"/>
      <c r="THH577" s="44"/>
      <c r="THI577" s="44"/>
      <c r="THJ577" s="44"/>
      <c r="THK577" s="44"/>
      <c r="THL577" s="44"/>
      <c r="THM577" s="44"/>
      <c r="THN577" s="44"/>
      <c r="THO577" s="44"/>
      <c r="THP577" s="44"/>
      <c r="THQ577" s="44"/>
      <c r="THR577" s="44"/>
      <c r="THS577" s="44"/>
      <c r="THT577" s="44"/>
      <c r="THU577" s="44"/>
      <c r="THV577" s="44"/>
      <c r="THW577" s="44"/>
      <c r="THX577" s="44"/>
      <c r="THY577" s="44"/>
      <c r="THZ577" s="44"/>
      <c r="TIA577" s="44"/>
      <c r="TIB577" s="44"/>
      <c r="TIC577" s="44"/>
      <c r="TID577" s="44"/>
      <c r="TIE577" s="44"/>
      <c r="TIF577" s="44"/>
      <c r="TIG577" s="44"/>
      <c r="TIH577" s="44"/>
      <c r="TII577" s="44"/>
      <c r="TIJ577" s="44"/>
      <c r="TIK577" s="44"/>
      <c r="TIL577" s="44"/>
      <c r="TIM577" s="44"/>
      <c r="TIN577" s="44"/>
      <c r="TIO577" s="44"/>
      <c r="TIP577" s="44"/>
      <c r="TIQ577" s="44"/>
      <c r="TIR577" s="44"/>
      <c r="TIS577" s="44"/>
      <c r="TIT577" s="44"/>
      <c r="TIU577" s="44"/>
      <c r="TIV577" s="44"/>
      <c r="TIW577" s="44"/>
      <c r="TIX577" s="44"/>
      <c r="TIY577" s="44"/>
      <c r="TIZ577" s="44"/>
      <c r="TJA577" s="44"/>
      <c r="TJB577" s="44"/>
      <c r="TJC577" s="44"/>
      <c r="TJD577" s="44"/>
      <c r="TJE577" s="44"/>
      <c r="TJF577" s="44"/>
      <c r="TJG577" s="44"/>
      <c r="TJH577" s="44"/>
      <c r="TJI577" s="44"/>
      <c r="TJJ577" s="44"/>
      <c r="TJK577" s="44"/>
      <c r="TJL577" s="44"/>
      <c r="TJM577" s="44"/>
      <c r="TJN577" s="44"/>
      <c r="TJO577" s="44"/>
      <c r="TJP577" s="44"/>
      <c r="TJQ577" s="44"/>
      <c r="TJR577" s="44"/>
      <c r="TJS577" s="44"/>
      <c r="TJT577" s="44"/>
      <c r="TJU577" s="44"/>
      <c r="TJV577" s="44"/>
      <c r="TJW577" s="44"/>
      <c r="TJX577" s="44"/>
      <c r="TJY577" s="44"/>
      <c r="TJZ577" s="44"/>
      <c r="TKA577" s="44"/>
      <c r="TKB577" s="44"/>
      <c r="TKC577" s="44"/>
      <c r="TKD577" s="44"/>
      <c r="TKE577" s="44"/>
      <c r="TKF577" s="44"/>
      <c r="TKG577" s="44"/>
      <c r="TKH577" s="44"/>
      <c r="TKI577" s="44"/>
      <c r="TKJ577" s="44"/>
      <c r="TKK577" s="44"/>
      <c r="TKL577" s="44"/>
      <c r="TKM577" s="44"/>
      <c r="TKN577" s="44"/>
      <c r="TKO577" s="44"/>
      <c r="TKP577" s="44"/>
      <c r="TKQ577" s="44"/>
      <c r="TKR577" s="44"/>
      <c r="TKS577" s="44"/>
      <c r="TKT577" s="44"/>
      <c r="TKU577" s="44"/>
      <c r="TKV577" s="44"/>
      <c r="TKW577" s="44"/>
      <c r="TKX577" s="44"/>
      <c r="TKY577" s="44"/>
      <c r="TKZ577" s="44"/>
      <c r="TLA577" s="44"/>
      <c r="TLB577" s="44"/>
      <c r="TLC577" s="44"/>
      <c r="TLD577" s="44"/>
      <c r="TLE577" s="44"/>
      <c r="TLF577" s="44"/>
      <c r="TLG577" s="44"/>
      <c r="TLH577" s="44"/>
      <c r="TLI577" s="44"/>
      <c r="TLJ577" s="44"/>
      <c r="TLK577" s="44"/>
      <c r="TLL577" s="44"/>
      <c r="TLM577" s="44"/>
      <c r="TLN577" s="44"/>
      <c r="TLO577" s="44"/>
      <c r="TLP577" s="44"/>
      <c r="TLQ577" s="44"/>
      <c r="TLR577" s="44"/>
      <c r="TLS577" s="44"/>
      <c r="TLT577" s="44"/>
      <c r="TLU577" s="44"/>
      <c r="TLV577" s="44"/>
      <c r="TLW577" s="44"/>
      <c r="TLX577" s="44"/>
      <c r="TLY577" s="44"/>
      <c r="TLZ577" s="44"/>
      <c r="TMA577" s="44"/>
      <c r="TMB577" s="44"/>
      <c r="TMC577" s="44"/>
      <c r="TMD577" s="44"/>
      <c r="TME577" s="44"/>
      <c r="TMF577" s="44"/>
      <c r="TMG577" s="44"/>
      <c r="TMH577" s="44"/>
      <c r="TMI577" s="44"/>
      <c r="TMJ577" s="44"/>
      <c r="TMK577" s="44"/>
      <c r="TML577" s="44"/>
      <c r="TMM577" s="44"/>
      <c r="TMN577" s="44"/>
      <c r="TMO577" s="44"/>
      <c r="TMP577" s="44"/>
      <c r="TMQ577" s="44"/>
      <c r="TMR577" s="44"/>
      <c r="TMS577" s="44"/>
      <c r="TMT577" s="44"/>
      <c r="TMU577" s="44"/>
      <c r="TMV577" s="44"/>
      <c r="TMW577" s="44"/>
      <c r="TMX577" s="44"/>
      <c r="TMY577" s="44"/>
      <c r="TMZ577" s="44"/>
      <c r="TNA577" s="44"/>
      <c r="TNB577" s="44"/>
      <c r="TNC577" s="44"/>
      <c r="TND577" s="44"/>
      <c r="TNE577" s="44"/>
      <c r="TNF577" s="44"/>
      <c r="TNG577" s="44"/>
      <c r="TNH577" s="44"/>
      <c r="TNI577" s="44"/>
      <c r="TNJ577" s="44"/>
      <c r="TNK577" s="44"/>
      <c r="TNL577" s="44"/>
      <c r="TNM577" s="44"/>
      <c r="TNN577" s="44"/>
      <c r="TNO577" s="44"/>
      <c r="TNP577" s="44"/>
      <c r="TNQ577" s="44"/>
      <c r="TNR577" s="44"/>
      <c r="TNS577" s="44"/>
      <c r="TNT577" s="44"/>
      <c r="TNU577" s="44"/>
      <c r="TNV577" s="44"/>
      <c r="TNW577" s="44"/>
      <c r="TNX577" s="44"/>
      <c r="TNY577" s="44"/>
      <c r="TNZ577" s="44"/>
      <c r="TOA577" s="44"/>
      <c r="TOB577" s="44"/>
      <c r="TOC577" s="44"/>
      <c r="TOD577" s="44"/>
      <c r="TOE577" s="44"/>
      <c r="TOF577" s="44"/>
      <c r="TOG577" s="44"/>
      <c r="TOH577" s="44"/>
      <c r="TOI577" s="44"/>
      <c r="TOJ577" s="44"/>
      <c r="TOK577" s="44"/>
      <c r="TOL577" s="44"/>
      <c r="TOM577" s="44"/>
      <c r="TON577" s="44"/>
      <c r="TOO577" s="44"/>
      <c r="TOP577" s="44"/>
      <c r="TOQ577" s="44"/>
      <c r="TOR577" s="44"/>
      <c r="TOS577" s="44"/>
      <c r="TOT577" s="44"/>
      <c r="TOU577" s="44"/>
      <c r="TOV577" s="44"/>
      <c r="TOW577" s="44"/>
      <c r="TOX577" s="44"/>
      <c r="TOY577" s="44"/>
      <c r="TOZ577" s="44"/>
      <c r="TPA577" s="44"/>
      <c r="TPB577" s="44"/>
      <c r="TPC577" s="44"/>
      <c r="TPD577" s="44"/>
      <c r="TPE577" s="44"/>
      <c r="TPF577" s="44"/>
      <c r="TPG577" s="44"/>
      <c r="TPH577" s="44"/>
      <c r="TPI577" s="44"/>
      <c r="TPJ577" s="44"/>
      <c r="TPK577" s="44"/>
      <c r="TPL577" s="44"/>
      <c r="TPM577" s="44"/>
      <c r="TPN577" s="44"/>
      <c r="TPO577" s="44"/>
      <c r="TPP577" s="44"/>
      <c r="TPQ577" s="44"/>
      <c r="TPR577" s="44"/>
      <c r="TPS577" s="44"/>
      <c r="TPT577" s="44"/>
      <c r="TPU577" s="44"/>
      <c r="TPV577" s="44"/>
      <c r="TPW577" s="44"/>
      <c r="TPX577" s="44"/>
      <c r="TPY577" s="44"/>
      <c r="TPZ577" s="44"/>
      <c r="TQA577" s="44"/>
      <c r="TQB577" s="44"/>
      <c r="TQC577" s="44"/>
      <c r="TQD577" s="44"/>
      <c r="TQE577" s="44"/>
      <c r="TQF577" s="44"/>
      <c r="TQG577" s="44"/>
      <c r="TQH577" s="44"/>
      <c r="TQI577" s="44"/>
      <c r="TQJ577" s="44"/>
      <c r="TQK577" s="44"/>
      <c r="TQL577" s="44"/>
      <c r="TQM577" s="44"/>
      <c r="TQN577" s="44"/>
      <c r="TQO577" s="44"/>
      <c r="TQP577" s="44"/>
      <c r="TQQ577" s="44"/>
      <c r="TQR577" s="44"/>
      <c r="TQS577" s="44"/>
      <c r="TQT577" s="44"/>
      <c r="TQU577" s="44"/>
      <c r="TQV577" s="44"/>
      <c r="TQW577" s="44"/>
      <c r="TQX577" s="44"/>
      <c r="TQY577" s="44"/>
      <c r="TQZ577" s="44"/>
      <c r="TRA577" s="44"/>
      <c r="TRB577" s="44"/>
      <c r="TRC577" s="44"/>
      <c r="TRD577" s="44"/>
      <c r="TRE577" s="44"/>
      <c r="TRF577" s="44"/>
      <c r="TRG577" s="44"/>
      <c r="TRH577" s="44"/>
      <c r="TRI577" s="44"/>
      <c r="TRJ577" s="44"/>
      <c r="TRK577" s="44"/>
      <c r="TRL577" s="44"/>
      <c r="TRM577" s="44"/>
      <c r="TRN577" s="44"/>
      <c r="TRO577" s="44"/>
      <c r="TRP577" s="44"/>
      <c r="TRQ577" s="44"/>
      <c r="TRR577" s="44"/>
      <c r="TRS577" s="44"/>
      <c r="TRT577" s="44"/>
      <c r="TRU577" s="44"/>
      <c r="TRV577" s="44"/>
      <c r="TRW577" s="44"/>
      <c r="TRX577" s="44"/>
      <c r="TRY577" s="44"/>
      <c r="TRZ577" s="44"/>
      <c r="TSA577" s="44"/>
      <c r="TSB577" s="44"/>
      <c r="TSC577" s="44"/>
      <c r="TSD577" s="44"/>
      <c r="TSE577" s="44"/>
      <c r="TSF577" s="44"/>
      <c r="TSG577" s="44"/>
      <c r="TSH577" s="44"/>
      <c r="TSI577" s="44"/>
      <c r="TSJ577" s="44"/>
      <c r="TSK577" s="44"/>
      <c r="TSL577" s="44"/>
      <c r="TSM577" s="44"/>
      <c r="TSN577" s="44"/>
      <c r="TSO577" s="44"/>
      <c r="TSP577" s="44"/>
      <c r="TSQ577" s="44"/>
      <c r="TSR577" s="44"/>
      <c r="TSS577" s="44"/>
      <c r="TST577" s="44"/>
      <c r="TSU577" s="44"/>
      <c r="TSV577" s="44"/>
      <c r="TSW577" s="44"/>
      <c r="TSX577" s="44"/>
      <c r="TSY577" s="44"/>
      <c r="TSZ577" s="44"/>
      <c r="TTA577" s="44"/>
      <c r="TTB577" s="44"/>
      <c r="TTC577" s="44"/>
      <c r="TTD577" s="44"/>
      <c r="TTE577" s="44"/>
      <c r="TTF577" s="44"/>
      <c r="TTG577" s="44"/>
      <c r="TTH577" s="44"/>
      <c r="TTI577" s="44"/>
      <c r="TTJ577" s="44"/>
      <c r="TTK577" s="44"/>
      <c r="TTL577" s="44"/>
      <c r="TTM577" s="44"/>
      <c r="TTN577" s="44"/>
      <c r="TTO577" s="44"/>
      <c r="TTP577" s="44"/>
      <c r="TTQ577" s="44"/>
      <c r="TTR577" s="44"/>
      <c r="TTS577" s="44"/>
      <c r="TTT577" s="44"/>
      <c r="TTU577" s="44"/>
      <c r="TTV577" s="44"/>
      <c r="TTW577" s="44"/>
      <c r="TTX577" s="44"/>
      <c r="TTY577" s="44"/>
      <c r="TTZ577" s="44"/>
      <c r="TUA577" s="44"/>
      <c r="TUB577" s="44"/>
      <c r="TUC577" s="44"/>
      <c r="TUD577" s="44"/>
      <c r="TUE577" s="44"/>
      <c r="TUF577" s="44"/>
      <c r="TUG577" s="44"/>
      <c r="TUH577" s="44"/>
      <c r="TUI577" s="44"/>
      <c r="TUJ577" s="44"/>
      <c r="TUK577" s="44"/>
      <c r="TUL577" s="44"/>
      <c r="TUM577" s="44"/>
      <c r="TUN577" s="44"/>
      <c r="TUO577" s="44"/>
      <c r="TUP577" s="44"/>
      <c r="TUQ577" s="44"/>
      <c r="TUR577" s="44"/>
      <c r="TUS577" s="44"/>
      <c r="TUT577" s="44"/>
      <c r="TUU577" s="44"/>
      <c r="TUV577" s="44"/>
      <c r="TUW577" s="44"/>
      <c r="TUX577" s="44"/>
      <c r="TUY577" s="44"/>
      <c r="TUZ577" s="44"/>
      <c r="TVA577" s="44"/>
      <c r="TVB577" s="44"/>
      <c r="TVC577" s="44"/>
      <c r="TVD577" s="44"/>
      <c r="TVE577" s="44"/>
      <c r="TVF577" s="44"/>
      <c r="TVG577" s="44"/>
      <c r="TVH577" s="44"/>
      <c r="TVI577" s="44"/>
      <c r="TVJ577" s="44"/>
      <c r="TVK577" s="44"/>
      <c r="TVL577" s="44"/>
      <c r="TVM577" s="44"/>
      <c r="TVN577" s="44"/>
      <c r="TVO577" s="44"/>
      <c r="TVP577" s="44"/>
      <c r="TVQ577" s="44"/>
      <c r="TVR577" s="44"/>
      <c r="TVS577" s="44"/>
      <c r="TVT577" s="44"/>
      <c r="TVU577" s="44"/>
      <c r="TVV577" s="44"/>
      <c r="TVW577" s="44"/>
      <c r="TVX577" s="44"/>
      <c r="TVY577" s="44"/>
      <c r="TVZ577" s="44"/>
      <c r="TWA577" s="44"/>
      <c r="TWB577" s="44"/>
      <c r="TWC577" s="44"/>
      <c r="TWD577" s="44"/>
      <c r="TWE577" s="44"/>
      <c r="TWF577" s="44"/>
      <c r="TWG577" s="44"/>
      <c r="TWH577" s="44"/>
      <c r="TWI577" s="44"/>
      <c r="TWJ577" s="44"/>
      <c r="TWK577" s="44"/>
      <c r="TWL577" s="44"/>
      <c r="TWM577" s="44"/>
      <c r="TWN577" s="44"/>
      <c r="TWO577" s="44"/>
      <c r="TWP577" s="44"/>
      <c r="TWQ577" s="44"/>
      <c r="TWR577" s="44"/>
      <c r="TWS577" s="44"/>
      <c r="TWT577" s="44"/>
      <c r="TWU577" s="44"/>
      <c r="TWV577" s="44"/>
      <c r="TWW577" s="44"/>
      <c r="TWX577" s="44"/>
      <c r="TWY577" s="44"/>
      <c r="TWZ577" s="44"/>
      <c r="TXA577" s="44"/>
      <c r="TXB577" s="44"/>
      <c r="TXC577" s="44"/>
      <c r="TXD577" s="44"/>
      <c r="TXE577" s="44"/>
      <c r="TXF577" s="44"/>
      <c r="TXG577" s="44"/>
      <c r="TXH577" s="44"/>
      <c r="TXI577" s="44"/>
      <c r="TXJ577" s="44"/>
      <c r="TXK577" s="44"/>
      <c r="TXL577" s="44"/>
      <c r="TXM577" s="44"/>
      <c r="TXN577" s="44"/>
      <c r="TXO577" s="44"/>
      <c r="TXP577" s="44"/>
      <c r="TXQ577" s="44"/>
      <c r="TXR577" s="44"/>
      <c r="TXS577" s="44"/>
      <c r="TXT577" s="44"/>
      <c r="TXU577" s="44"/>
      <c r="TXV577" s="44"/>
      <c r="TXW577" s="44"/>
      <c r="TXX577" s="44"/>
      <c r="TXY577" s="44"/>
      <c r="TXZ577" s="44"/>
      <c r="TYA577" s="44"/>
      <c r="TYB577" s="44"/>
      <c r="TYC577" s="44"/>
      <c r="TYD577" s="44"/>
      <c r="TYE577" s="44"/>
      <c r="TYF577" s="44"/>
      <c r="TYG577" s="44"/>
      <c r="TYH577" s="44"/>
      <c r="TYI577" s="44"/>
      <c r="TYJ577" s="44"/>
      <c r="TYK577" s="44"/>
      <c r="TYL577" s="44"/>
      <c r="TYM577" s="44"/>
      <c r="TYN577" s="44"/>
      <c r="TYO577" s="44"/>
      <c r="TYP577" s="44"/>
      <c r="TYQ577" s="44"/>
      <c r="TYR577" s="44"/>
      <c r="TYS577" s="44"/>
      <c r="TYT577" s="44"/>
      <c r="TYU577" s="44"/>
      <c r="TYV577" s="44"/>
      <c r="TYW577" s="44"/>
      <c r="TYX577" s="44"/>
      <c r="TYY577" s="44"/>
      <c r="TYZ577" s="44"/>
      <c r="TZA577" s="44"/>
      <c r="TZB577" s="44"/>
      <c r="TZC577" s="44"/>
      <c r="TZD577" s="44"/>
      <c r="TZE577" s="44"/>
      <c r="TZF577" s="44"/>
      <c r="TZG577" s="44"/>
      <c r="TZH577" s="44"/>
      <c r="TZI577" s="44"/>
      <c r="TZJ577" s="44"/>
      <c r="TZK577" s="44"/>
      <c r="TZL577" s="44"/>
      <c r="TZM577" s="44"/>
      <c r="TZN577" s="44"/>
      <c r="TZO577" s="44"/>
      <c r="TZP577" s="44"/>
      <c r="TZQ577" s="44"/>
      <c r="TZR577" s="44"/>
      <c r="TZS577" s="44"/>
      <c r="TZT577" s="44"/>
      <c r="TZU577" s="44"/>
      <c r="TZV577" s="44"/>
      <c r="TZW577" s="44"/>
      <c r="TZX577" s="44"/>
      <c r="TZY577" s="44"/>
      <c r="TZZ577" s="44"/>
      <c r="UAA577" s="44"/>
      <c r="UAB577" s="44"/>
      <c r="UAC577" s="44"/>
      <c r="UAD577" s="44"/>
      <c r="UAE577" s="44"/>
      <c r="UAF577" s="44"/>
      <c r="UAG577" s="44"/>
      <c r="UAH577" s="44"/>
      <c r="UAI577" s="44"/>
      <c r="UAJ577" s="44"/>
      <c r="UAK577" s="44"/>
      <c r="UAL577" s="44"/>
      <c r="UAM577" s="44"/>
      <c r="UAN577" s="44"/>
      <c r="UAO577" s="44"/>
      <c r="UAP577" s="44"/>
      <c r="UAQ577" s="44"/>
      <c r="UAR577" s="44"/>
      <c r="UAS577" s="44"/>
      <c r="UAT577" s="44"/>
      <c r="UAU577" s="44"/>
      <c r="UAV577" s="44"/>
      <c r="UAW577" s="44"/>
      <c r="UAX577" s="44"/>
      <c r="UAY577" s="44"/>
      <c r="UAZ577" s="44"/>
      <c r="UBA577" s="44"/>
      <c r="UBB577" s="44"/>
      <c r="UBC577" s="44"/>
      <c r="UBD577" s="44"/>
      <c r="UBE577" s="44"/>
      <c r="UBF577" s="44"/>
      <c r="UBG577" s="44"/>
      <c r="UBH577" s="44"/>
      <c r="UBI577" s="44"/>
      <c r="UBJ577" s="44"/>
      <c r="UBK577" s="44"/>
      <c r="UBL577" s="44"/>
      <c r="UBM577" s="44"/>
      <c r="UBN577" s="44"/>
      <c r="UBO577" s="44"/>
      <c r="UBP577" s="44"/>
      <c r="UBQ577" s="44"/>
      <c r="UBR577" s="44"/>
      <c r="UBS577" s="44"/>
      <c r="UBT577" s="44"/>
      <c r="UBU577" s="44"/>
      <c r="UBV577" s="44"/>
      <c r="UBW577" s="44"/>
      <c r="UBX577" s="44"/>
      <c r="UBY577" s="44"/>
      <c r="UBZ577" s="44"/>
      <c r="UCA577" s="44"/>
      <c r="UCB577" s="44"/>
      <c r="UCC577" s="44"/>
      <c r="UCD577" s="44"/>
      <c r="UCE577" s="44"/>
      <c r="UCF577" s="44"/>
      <c r="UCG577" s="44"/>
      <c r="UCH577" s="44"/>
      <c r="UCI577" s="44"/>
      <c r="UCJ577" s="44"/>
      <c r="UCK577" s="44"/>
      <c r="UCL577" s="44"/>
      <c r="UCM577" s="44"/>
      <c r="UCN577" s="44"/>
      <c r="UCO577" s="44"/>
      <c r="UCP577" s="44"/>
      <c r="UCQ577" s="44"/>
      <c r="UCR577" s="44"/>
      <c r="UCS577" s="44"/>
      <c r="UCT577" s="44"/>
      <c r="UCU577" s="44"/>
      <c r="UCV577" s="44"/>
      <c r="UCW577" s="44"/>
      <c r="UCX577" s="44"/>
      <c r="UCY577" s="44"/>
      <c r="UCZ577" s="44"/>
      <c r="UDA577" s="44"/>
      <c r="UDB577" s="44"/>
      <c r="UDC577" s="44"/>
      <c r="UDD577" s="44"/>
      <c r="UDE577" s="44"/>
      <c r="UDF577" s="44"/>
      <c r="UDG577" s="44"/>
      <c r="UDH577" s="44"/>
      <c r="UDI577" s="44"/>
      <c r="UDJ577" s="44"/>
      <c r="UDK577" s="44"/>
      <c r="UDL577" s="44"/>
      <c r="UDM577" s="44"/>
      <c r="UDN577" s="44"/>
      <c r="UDO577" s="44"/>
      <c r="UDP577" s="44"/>
      <c r="UDQ577" s="44"/>
      <c r="UDR577" s="44"/>
      <c r="UDS577" s="44"/>
      <c r="UDT577" s="44"/>
      <c r="UDU577" s="44"/>
      <c r="UDV577" s="44"/>
      <c r="UDW577" s="44"/>
      <c r="UDX577" s="44"/>
      <c r="UDY577" s="44"/>
      <c r="UDZ577" s="44"/>
      <c r="UEA577" s="44"/>
      <c r="UEB577" s="44"/>
      <c r="UEC577" s="44"/>
      <c r="UED577" s="44"/>
      <c r="UEE577" s="44"/>
      <c r="UEF577" s="44"/>
      <c r="UEG577" s="44"/>
      <c r="UEH577" s="44"/>
      <c r="UEI577" s="44"/>
      <c r="UEJ577" s="44"/>
      <c r="UEK577" s="44"/>
      <c r="UEL577" s="44"/>
      <c r="UEM577" s="44"/>
      <c r="UEN577" s="44"/>
      <c r="UEO577" s="44"/>
      <c r="UEP577" s="44"/>
      <c r="UEQ577" s="44"/>
      <c r="UER577" s="44"/>
      <c r="UES577" s="44"/>
      <c r="UET577" s="44"/>
      <c r="UEU577" s="44"/>
      <c r="UEV577" s="44"/>
      <c r="UEW577" s="44"/>
      <c r="UEX577" s="44"/>
      <c r="UEY577" s="44"/>
      <c r="UEZ577" s="44"/>
      <c r="UFA577" s="44"/>
      <c r="UFB577" s="44"/>
      <c r="UFC577" s="44"/>
      <c r="UFD577" s="44"/>
      <c r="UFE577" s="44"/>
      <c r="UFF577" s="44"/>
      <c r="UFG577" s="44"/>
      <c r="UFH577" s="44"/>
      <c r="UFI577" s="44"/>
      <c r="UFJ577" s="44"/>
      <c r="UFK577" s="44"/>
      <c r="UFL577" s="44"/>
      <c r="UFM577" s="44"/>
      <c r="UFN577" s="44"/>
      <c r="UFO577" s="44"/>
      <c r="UFP577" s="44"/>
      <c r="UFQ577" s="44"/>
      <c r="UFR577" s="44"/>
      <c r="UFS577" s="44"/>
      <c r="UFT577" s="44"/>
      <c r="UFU577" s="44"/>
      <c r="UFV577" s="44"/>
      <c r="UFW577" s="44"/>
      <c r="UFX577" s="44"/>
      <c r="UFY577" s="44"/>
      <c r="UFZ577" s="44"/>
      <c r="UGA577" s="44"/>
      <c r="UGB577" s="44"/>
      <c r="UGC577" s="44"/>
      <c r="UGD577" s="44"/>
      <c r="UGE577" s="44"/>
      <c r="UGF577" s="44"/>
      <c r="UGG577" s="44"/>
      <c r="UGH577" s="44"/>
      <c r="UGI577" s="44"/>
      <c r="UGJ577" s="44"/>
      <c r="UGK577" s="44"/>
      <c r="UGL577" s="44"/>
      <c r="UGM577" s="44"/>
      <c r="UGN577" s="44"/>
      <c r="UGO577" s="44"/>
      <c r="UGP577" s="44"/>
      <c r="UGQ577" s="44"/>
      <c r="UGR577" s="44"/>
      <c r="UGS577" s="44"/>
      <c r="UGT577" s="44"/>
      <c r="UGU577" s="44"/>
      <c r="UGV577" s="44"/>
      <c r="UGW577" s="44"/>
      <c r="UGX577" s="44"/>
      <c r="UGY577" s="44"/>
      <c r="UGZ577" s="44"/>
      <c r="UHA577" s="44"/>
      <c r="UHB577" s="44"/>
      <c r="UHC577" s="44"/>
      <c r="UHD577" s="44"/>
      <c r="UHE577" s="44"/>
      <c r="UHF577" s="44"/>
      <c r="UHG577" s="44"/>
      <c r="UHH577" s="44"/>
      <c r="UHI577" s="44"/>
      <c r="UHJ577" s="44"/>
      <c r="UHK577" s="44"/>
      <c r="UHL577" s="44"/>
      <c r="UHM577" s="44"/>
      <c r="UHN577" s="44"/>
      <c r="UHO577" s="44"/>
      <c r="UHP577" s="44"/>
      <c r="UHQ577" s="44"/>
      <c r="UHR577" s="44"/>
      <c r="UHS577" s="44"/>
      <c r="UHT577" s="44"/>
      <c r="UHU577" s="44"/>
      <c r="UHV577" s="44"/>
      <c r="UHW577" s="44"/>
      <c r="UHX577" s="44"/>
      <c r="UHY577" s="44"/>
      <c r="UHZ577" s="44"/>
      <c r="UIA577" s="44"/>
      <c r="UIB577" s="44"/>
      <c r="UIC577" s="44"/>
      <c r="UID577" s="44"/>
      <c r="UIE577" s="44"/>
      <c r="UIF577" s="44"/>
      <c r="UIG577" s="44"/>
      <c r="UIH577" s="44"/>
      <c r="UII577" s="44"/>
      <c r="UIJ577" s="44"/>
      <c r="UIK577" s="44"/>
      <c r="UIL577" s="44"/>
      <c r="UIM577" s="44"/>
      <c r="UIN577" s="44"/>
      <c r="UIO577" s="44"/>
      <c r="UIP577" s="44"/>
      <c r="UIQ577" s="44"/>
      <c r="UIR577" s="44"/>
      <c r="UIS577" s="44"/>
      <c r="UIT577" s="44"/>
      <c r="UIU577" s="44"/>
      <c r="UIV577" s="44"/>
      <c r="UIW577" s="44"/>
      <c r="UIX577" s="44"/>
      <c r="UIY577" s="44"/>
      <c r="UIZ577" s="44"/>
      <c r="UJA577" s="44"/>
      <c r="UJB577" s="44"/>
      <c r="UJC577" s="44"/>
      <c r="UJD577" s="44"/>
      <c r="UJE577" s="44"/>
      <c r="UJF577" s="44"/>
      <c r="UJG577" s="44"/>
      <c r="UJH577" s="44"/>
      <c r="UJI577" s="44"/>
      <c r="UJJ577" s="44"/>
      <c r="UJK577" s="44"/>
      <c r="UJL577" s="44"/>
      <c r="UJM577" s="44"/>
      <c r="UJN577" s="44"/>
      <c r="UJO577" s="44"/>
      <c r="UJP577" s="44"/>
      <c r="UJQ577" s="44"/>
      <c r="UJR577" s="44"/>
      <c r="UJS577" s="44"/>
      <c r="UJT577" s="44"/>
      <c r="UJU577" s="44"/>
      <c r="UJV577" s="44"/>
      <c r="UJW577" s="44"/>
      <c r="UJX577" s="44"/>
      <c r="UJY577" s="44"/>
      <c r="UJZ577" s="44"/>
      <c r="UKA577" s="44"/>
      <c r="UKB577" s="44"/>
      <c r="UKC577" s="44"/>
      <c r="UKD577" s="44"/>
      <c r="UKE577" s="44"/>
      <c r="UKF577" s="44"/>
      <c r="UKG577" s="44"/>
      <c r="UKH577" s="44"/>
      <c r="UKI577" s="44"/>
      <c r="UKJ577" s="44"/>
      <c r="UKK577" s="44"/>
      <c r="UKL577" s="44"/>
      <c r="UKM577" s="44"/>
      <c r="UKN577" s="44"/>
      <c r="UKO577" s="44"/>
      <c r="UKP577" s="44"/>
      <c r="UKQ577" s="44"/>
      <c r="UKR577" s="44"/>
      <c r="UKS577" s="44"/>
      <c r="UKT577" s="44"/>
      <c r="UKU577" s="44"/>
      <c r="UKV577" s="44"/>
      <c r="UKW577" s="44"/>
      <c r="UKX577" s="44"/>
      <c r="UKY577" s="44"/>
      <c r="UKZ577" s="44"/>
      <c r="ULA577" s="44"/>
      <c r="ULB577" s="44"/>
      <c r="ULC577" s="44"/>
      <c r="ULD577" s="44"/>
      <c r="ULE577" s="44"/>
      <c r="ULF577" s="44"/>
      <c r="ULG577" s="44"/>
      <c r="ULH577" s="44"/>
      <c r="ULI577" s="44"/>
      <c r="ULJ577" s="44"/>
      <c r="ULK577" s="44"/>
      <c r="ULL577" s="44"/>
      <c r="ULM577" s="44"/>
      <c r="ULN577" s="44"/>
      <c r="ULO577" s="44"/>
      <c r="ULP577" s="44"/>
      <c r="ULQ577" s="44"/>
      <c r="ULR577" s="44"/>
      <c r="ULS577" s="44"/>
      <c r="ULT577" s="44"/>
      <c r="ULU577" s="44"/>
      <c r="ULV577" s="44"/>
      <c r="ULW577" s="44"/>
      <c r="ULX577" s="44"/>
      <c r="ULY577" s="44"/>
      <c r="ULZ577" s="44"/>
      <c r="UMA577" s="44"/>
      <c r="UMB577" s="44"/>
      <c r="UMC577" s="44"/>
      <c r="UMD577" s="44"/>
      <c r="UME577" s="44"/>
      <c r="UMF577" s="44"/>
      <c r="UMG577" s="44"/>
      <c r="UMH577" s="44"/>
      <c r="UMI577" s="44"/>
      <c r="UMJ577" s="44"/>
      <c r="UMK577" s="44"/>
      <c r="UML577" s="44"/>
      <c r="UMM577" s="44"/>
      <c r="UMN577" s="44"/>
      <c r="UMO577" s="44"/>
      <c r="UMP577" s="44"/>
      <c r="UMQ577" s="44"/>
      <c r="UMR577" s="44"/>
      <c r="UMS577" s="44"/>
      <c r="UMT577" s="44"/>
      <c r="UMU577" s="44"/>
      <c r="UMV577" s="44"/>
      <c r="UMW577" s="44"/>
      <c r="UMX577" s="44"/>
      <c r="UMY577" s="44"/>
      <c r="UMZ577" s="44"/>
      <c r="UNA577" s="44"/>
      <c r="UNB577" s="44"/>
      <c r="UNC577" s="44"/>
      <c r="UND577" s="44"/>
      <c r="UNE577" s="44"/>
      <c r="UNF577" s="44"/>
      <c r="UNG577" s="44"/>
      <c r="UNH577" s="44"/>
      <c r="UNI577" s="44"/>
      <c r="UNJ577" s="44"/>
      <c r="UNK577" s="44"/>
      <c r="UNL577" s="44"/>
      <c r="UNM577" s="44"/>
      <c r="UNN577" s="44"/>
      <c r="UNO577" s="44"/>
      <c r="UNP577" s="44"/>
      <c r="UNQ577" s="44"/>
      <c r="UNR577" s="44"/>
      <c r="UNS577" s="44"/>
      <c r="UNT577" s="44"/>
      <c r="UNU577" s="44"/>
      <c r="UNV577" s="44"/>
      <c r="UNW577" s="44"/>
      <c r="UNX577" s="44"/>
      <c r="UNY577" s="44"/>
      <c r="UNZ577" s="44"/>
      <c r="UOA577" s="44"/>
      <c r="UOB577" s="44"/>
      <c r="UOC577" s="44"/>
      <c r="UOD577" s="44"/>
      <c r="UOE577" s="44"/>
      <c r="UOF577" s="44"/>
      <c r="UOG577" s="44"/>
      <c r="UOH577" s="44"/>
      <c r="UOI577" s="44"/>
      <c r="UOJ577" s="44"/>
      <c r="UOK577" s="44"/>
      <c r="UOL577" s="44"/>
      <c r="UOM577" s="44"/>
      <c r="UON577" s="44"/>
      <c r="UOO577" s="44"/>
      <c r="UOP577" s="44"/>
      <c r="UOQ577" s="44"/>
      <c r="UOR577" s="44"/>
      <c r="UOS577" s="44"/>
      <c r="UOT577" s="44"/>
      <c r="UOU577" s="44"/>
      <c r="UOV577" s="44"/>
      <c r="UOW577" s="44"/>
      <c r="UOX577" s="44"/>
      <c r="UOY577" s="44"/>
      <c r="UOZ577" s="44"/>
      <c r="UPA577" s="44"/>
      <c r="UPB577" s="44"/>
      <c r="UPC577" s="44"/>
      <c r="UPD577" s="44"/>
      <c r="UPE577" s="44"/>
      <c r="UPF577" s="44"/>
      <c r="UPG577" s="44"/>
      <c r="UPH577" s="44"/>
      <c r="UPI577" s="44"/>
      <c r="UPJ577" s="44"/>
      <c r="UPK577" s="44"/>
      <c r="UPL577" s="44"/>
      <c r="UPM577" s="44"/>
      <c r="UPN577" s="44"/>
      <c r="UPO577" s="44"/>
      <c r="UPP577" s="44"/>
      <c r="UPQ577" s="44"/>
      <c r="UPR577" s="44"/>
      <c r="UPS577" s="44"/>
      <c r="UPT577" s="44"/>
      <c r="UPU577" s="44"/>
      <c r="UPV577" s="44"/>
      <c r="UPW577" s="44"/>
      <c r="UPX577" s="44"/>
      <c r="UPY577" s="44"/>
      <c r="UPZ577" s="44"/>
      <c r="UQA577" s="44"/>
      <c r="UQB577" s="44"/>
      <c r="UQC577" s="44"/>
      <c r="UQD577" s="44"/>
      <c r="UQE577" s="44"/>
      <c r="UQF577" s="44"/>
      <c r="UQG577" s="44"/>
      <c r="UQH577" s="44"/>
      <c r="UQI577" s="44"/>
      <c r="UQJ577" s="44"/>
      <c r="UQK577" s="44"/>
      <c r="UQL577" s="44"/>
      <c r="UQM577" s="44"/>
      <c r="UQN577" s="44"/>
      <c r="UQO577" s="44"/>
      <c r="UQP577" s="44"/>
      <c r="UQQ577" s="44"/>
      <c r="UQR577" s="44"/>
      <c r="UQS577" s="44"/>
      <c r="UQT577" s="44"/>
      <c r="UQU577" s="44"/>
      <c r="UQV577" s="44"/>
      <c r="UQW577" s="44"/>
      <c r="UQX577" s="44"/>
      <c r="UQY577" s="44"/>
      <c r="UQZ577" s="44"/>
      <c r="URA577" s="44"/>
      <c r="URB577" s="44"/>
      <c r="URC577" s="44"/>
      <c r="URD577" s="44"/>
      <c r="URE577" s="44"/>
      <c r="URF577" s="44"/>
      <c r="URG577" s="44"/>
      <c r="URH577" s="44"/>
      <c r="URI577" s="44"/>
      <c r="URJ577" s="44"/>
      <c r="URK577" s="44"/>
      <c r="URL577" s="44"/>
      <c r="URM577" s="44"/>
      <c r="URN577" s="44"/>
      <c r="URO577" s="44"/>
      <c r="URP577" s="44"/>
      <c r="URQ577" s="44"/>
      <c r="URR577" s="44"/>
      <c r="URS577" s="44"/>
      <c r="URT577" s="44"/>
      <c r="URU577" s="44"/>
      <c r="URV577" s="44"/>
      <c r="URW577" s="44"/>
      <c r="URX577" s="44"/>
      <c r="URY577" s="44"/>
      <c r="URZ577" s="44"/>
      <c r="USA577" s="44"/>
      <c r="USB577" s="44"/>
      <c r="USC577" s="44"/>
      <c r="USD577" s="44"/>
      <c r="USE577" s="44"/>
      <c r="USF577" s="44"/>
      <c r="USG577" s="44"/>
      <c r="USH577" s="44"/>
      <c r="USI577" s="44"/>
      <c r="USJ577" s="44"/>
      <c r="USK577" s="44"/>
      <c r="USL577" s="44"/>
      <c r="USM577" s="44"/>
      <c r="USN577" s="44"/>
      <c r="USO577" s="44"/>
      <c r="USP577" s="44"/>
      <c r="USQ577" s="44"/>
      <c r="USR577" s="44"/>
      <c r="USS577" s="44"/>
      <c r="UST577" s="44"/>
      <c r="USU577" s="44"/>
      <c r="USV577" s="44"/>
      <c r="USW577" s="44"/>
      <c r="USX577" s="44"/>
      <c r="USY577" s="44"/>
      <c r="USZ577" s="44"/>
      <c r="UTA577" s="44"/>
      <c r="UTB577" s="44"/>
      <c r="UTC577" s="44"/>
      <c r="UTD577" s="44"/>
      <c r="UTE577" s="44"/>
      <c r="UTF577" s="44"/>
      <c r="UTG577" s="44"/>
      <c r="UTH577" s="44"/>
      <c r="UTI577" s="44"/>
      <c r="UTJ577" s="44"/>
      <c r="UTK577" s="44"/>
      <c r="UTL577" s="44"/>
      <c r="UTM577" s="44"/>
      <c r="UTN577" s="44"/>
      <c r="UTO577" s="44"/>
      <c r="UTP577" s="44"/>
      <c r="UTQ577" s="44"/>
      <c r="UTR577" s="44"/>
      <c r="UTS577" s="44"/>
      <c r="UTT577" s="44"/>
      <c r="UTU577" s="44"/>
      <c r="UTV577" s="44"/>
      <c r="UTW577" s="44"/>
      <c r="UTX577" s="44"/>
      <c r="UTY577" s="44"/>
      <c r="UTZ577" s="44"/>
      <c r="UUA577" s="44"/>
      <c r="UUB577" s="44"/>
      <c r="UUC577" s="44"/>
      <c r="UUD577" s="44"/>
      <c r="UUE577" s="44"/>
      <c r="UUF577" s="44"/>
      <c r="UUG577" s="44"/>
      <c r="UUH577" s="44"/>
      <c r="UUI577" s="44"/>
      <c r="UUJ577" s="44"/>
      <c r="UUK577" s="44"/>
      <c r="UUL577" s="44"/>
      <c r="UUM577" s="44"/>
      <c r="UUN577" s="44"/>
      <c r="UUO577" s="44"/>
      <c r="UUP577" s="44"/>
      <c r="UUQ577" s="44"/>
      <c r="UUR577" s="44"/>
      <c r="UUS577" s="44"/>
      <c r="UUT577" s="44"/>
      <c r="UUU577" s="44"/>
      <c r="UUV577" s="44"/>
      <c r="UUW577" s="44"/>
      <c r="UUX577" s="44"/>
      <c r="UUY577" s="44"/>
      <c r="UUZ577" s="44"/>
      <c r="UVA577" s="44"/>
      <c r="UVB577" s="44"/>
      <c r="UVC577" s="44"/>
      <c r="UVD577" s="44"/>
      <c r="UVE577" s="44"/>
      <c r="UVF577" s="44"/>
      <c r="UVG577" s="44"/>
      <c r="UVH577" s="44"/>
      <c r="UVI577" s="44"/>
      <c r="UVJ577" s="44"/>
      <c r="UVK577" s="44"/>
      <c r="UVL577" s="44"/>
      <c r="UVM577" s="44"/>
      <c r="UVN577" s="44"/>
      <c r="UVO577" s="44"/>
      <c r="UVP577" s="44"/>
      <c r="UVQ577" s="44"/>
      <c r="UVR577" s="44"/>
      <c r="UVS577" s="44"/>
      <c r="UVT577" s="44"/>
      <c r="UVU577" s="44"/>
      <c r="UVV577" s="44"/>
      <c r="UVW577" s="44"/>
      <c r="UVX577" s="44"/>
      <c r="UVY577" s="44"/>
      <c r="UVZ577" s="44"/>
      <c r="UWA577" s="44"/>
      <c r="UWB577" s="44"/>
      <c r="UWC577" s="44"/>
      <c r="UWD577" s="44"/>
      <c r="UWE577" s="44"/>
      <c r="UWF577" s="44"/>
      <c r="UWG577" s="44"/>
      <c r="UWH577" s="44"/>
      <c r="UWI577" s="44"/>
      <c r="UWJ577" s="44"/>
      <c r="UWK577" s="44"/>
      <c r="UWL577" s="44"/>
      <c r="UWM577" s="44"/>
      <c r="UWN577" s="44"/>
      <c r="UWO577" s="44"/>
      <c r="UWP577" s="44"/>
      <c r="UWQ577" s="44"/>
      <c r="UWR577" s="44"/>
      <c r="UWS577" s="44"/>
      <c r="UWT577" s="44"/>
      <c r="UWU577" s="44"/>
      <c r="UWV577" s="44"/>
      <c r="UWW577" s="44"/>
      <c r="UWX577" s="44"/>
      <c r="UWY577" s="44"/>
      <c r="UWZ577" s="44"/>
      <c r="UXA577" s="44"/>
      <c r="UXB577" s="44"/>
      <c r="UXC577" s="44"/>
      <c r="UXD577" s="44"/>
      <c r="UXE577" s="44"/>
      <c r="UXF577" s="44"/>
      <c r="UXG577" s="44"/>
      <c r="UXH577" s="44"/>
      <c r="UXI577" s="44"/>
      <c r="UXJ577" s="44"/>
      <c r="UXK577" s="44"/>
      <c r="UXL577" s="44"/>
      <c r="UXM577" s="44"/>
      <c r="UXN577" s="44"/>
      <c r="UXO577" s="44"/>
      <c r="UXP577" s="44"/>
      <c r="UXQ577" s="44"/>
      <c r="UXR577" s="44"/>
      <c r="UXS577" s="44"/>
      <c r="UXT577" s="44"/>
      <c r="UXU577" s="44"/>
      <c r="UXV577" s="44"/>
      <c r="UXW577" s="44"/>
      <c r="UXX577" s="44"/>
      <c r="UXY577" s="44"/>
      <c r="UXZ577" s="44"/>
      <c r="UYA577" s="44"/>
      <c r="UYB577" s="44"/>
      <c r="UYC577" s="44"/>
      <c r="UYD577" s="44"/>
      <c r="UYE577" s="44"/>
      <c r="UYF577" s="44"/>
      <c r="UYG577" s="44"/>
      <c r="UYH577" s="44"/>
      <c r="UYI577" s="44"/>
      <c r="UYJ577" s="44"/>
      <c r="UYK577" s="44"/>
      <c r="UYL577" s="44"/>
      <c r="UYM577" s="44"/>
      <c r="UYN577" s="44"/>
      <c r="UYO577" s="44"/>
      <c r="UYP577" s="44"/>
      <c r="UYQ577" s="44"/>
      <c r="UYR577" s="44"/>
      <c r="UYS577" s="44"/>
      <c r="UYT577" s="44"/>
      <c r="UYU577" s="44"/>
      <c r="UYV577" s="44"/>
      <c r="UYW577" s="44"/>
      <c r="UYX577" s="44"/>
      <c r="UYY577" s="44"/>
      <c r="UYZ577" s="44"/>
      <c r="UZA577" s="44"/>
      <c r="UZB577" s="44"/>
      <c r="UZC577" s="44"/>
      <c r="UZD577" s="44"/>
      <c r="UZE577" s="44"/>
      <c r="UZF577" s="44"/>
      <c r="UZG577" s="44"/>
      <c r="UZH577" s="44"/>
      <c r="UZI577" s="44"/>
      <c r="UZJ577" s="44"/>
      <c r="UZK577" s="44"/>
      <c r="UZL577" s="44"/>
      <c r="UZM577" s="44"/>
      <c r="UZN577" s="44"/>
      <c r="UZO577" s="44"/>
      <c r="UZP577" s="44"/>
      <c r="UZQ577" s="44"/>
      <c r="UZR577" s="44"/>
      <c r="UZS577" s="44"/>
      <c r="UZT577" s="44"/>
      <c r="UZU577" s="44"/>
      <c r="UZV577" s="44"/>
      <c r="UZW577" s="44"/>
      <c r="UZX577" s="44"/>
      <c r="UZY577" s="44"/>
      <c r="UZZ577" s="44"/>
      <c r="VAA577" s="44"/>
      <c r="VAB577" s="44"/>
      <c r="VAC577" s="44"/>
      <c r="VAD577" s="44"/>
      <c r="VAE577" s="44"/>
      <c r="VAF577" s="44"/>
      <c r="VAG577" s="44"/>
      <c r="VAH577" s="44"/>
      <c r="VAI577" s="44"/>
      <c r="VAJ577" s="44"/>
      <c r="VAK577" s="44"/>
      <c r="VAL577" s="44"/>
      <c r="VAM577" s="44"/>
      <c r="VAN577" s="44"/>
      <c r="VAO577" s="44"/>
      <c r="VAP577" s="44"/>
      <c r="VAQ577" s="44"/>
      <c r="VAR577" s="44"/>
      <c r="VAS577" s="44"/>
      <c r="VAT577" s="44"/>
      <c r="VAU577" s="44"/>
      <c r="VAV577" s="44"/>
      <c r="VAW577" s="44"/>
      <c r="VAX577" s="44"/>
      <c r="VAY577" s="44"/>
      <c r="VAZ577" s="44"/>
      <c r="VBA577" s="44"/>
      <c r="VBB577" s="44"/>
      <c r="VBC577" s="44"/>
      <c r="VBD577" s="44"/>
      <c r="VBE577" s="44"/>
      <c r="VBF577" s="44"/>
      <c r="VBG577" s="44"/>
      <c r="VBH577" s="44"/>
      <c r="VBI577" s="44"/>
      <c r="VBJ577" s="44"/>
      <c r="VBK577" s="44"/>
      <c r="VBL577" s="44"/>
      <c r="VBM577" s="44"/>
      <c r="VBN577" s="44"/>
      <c r="VBO577" s="44"/>
      <c r="VBP577" s="44"/>
      <c r="VBQ577" s="44"/>
      <c r="VBR577" s="44"/>
      <c r="VBS577" s="44"/>
      <c r="VBT577" s="44"/>
      <c r="VBU577" s="44"/>
      <c r="VBV577" s="44"/>
      <c r="VBW577" s="44"/>
      <c r="VBX577" s="44"/>
      <c r="VBY577" s="44"/>
      <c r="VBZ577" s="44"/>
      <c r="VCA577" s="44"/>
      <c r="VCB577" s="44"/>
      <c r="VCC577" s="44"/>
      <c r="VCD577" s="44"/>
      <c r="VCE577" s="44"/>
      <c r="VCF577" s="44"/>
      <c r="VCG577" s="44"/>
      <c r="VCH577" s="44"/>
      <c r="VCI577" s="44"/>
      <c r="VCJ577" s="44"/>
      <c r="VCK577" s="44"/>
      <c r="VCL577" s="44"/>
      <c r="VCM577" s="44"/>
      <c r="VCN577" s="44"/>
      <c r="VCO577" s="44"/>
      <c r="VCP577" s="44"/>
      <c r="VCQ577" s="44"/>
      <c r="VCR577" s="44"/>
      <c r="VCS577" s="44"/>
      <c r="VCT577" s="44"/>
      <c r="VCU577" s="44"/>
      <c r="VCV577" s="44"/>
      <c r="VCW577" s="44"/>
      <c r="VCX577" s="44"/>
      <c r="VCY577" s="44"/>
      <c r="VCZ577" s="44"/>
      <c r="VDA577" s="44"/>
      <c r="VDB577" s="44"/>
      <c r="VDC577" s="44"/>
      <c r="VDD577" s="44"/>
      <c r="VDE577" s="44"/>
      <c r="VDF577" s="44"/>
      <c r="VDG577" s="44"/>
      <c r="VDH577" s="44"/>
      <c r="VDI577" s="44"/>
      <c r="VDJ577" s="44"/>
      <c r="VDK577" s="44"/>
      <c r="VDL577" s="44"/>
      <c r="VDM577" s="44"/>
      <c r="VDN577" s="44"/>
      <c r="VDO577" s="44"/>
      <c r="VDP577" s="44"/>
      <c r="VDQ577" s="44"/>
      <c r="VDR577" s="44"/>
      <c r="VDS577" s="44"/>
      <c r="VDT577" s="44"/>
      <c r="VDU577" s="44"/>
      <c r="VDV577" s="44"/>
      <c r="VDW577" s="44"/>
      <c r="VDX577" s="44"/>
      <c r="VDY577" s="44"/>
      <c r="VDZ577" s="44"/>
      <c r="VEA577" s="44"/>
      <c r="VEB577" s="44"/>
      <c r="VEC577" s="44"/>
      <c r="VED577" s="44"/>
      <c r="VEE577" s="44"/>
      <c r="VEF577" s="44"/>
      <c r="VEG577" s="44"/>
      <c r="VEH577" s="44"/>
      <c r="VEI577" s="44"/>
      <c r="VEJ577" s="44"/>
      <c r="VEK577" s="44"/>
      <c r="VEL577" s="44"/>
      <c r="VEM577" s="44"/>
      <c r="VEN577" s="44"/>
      <c r="VEO577" s="44"/>
      <c r="VEP577" s="44"/>
      <c r="VEQ577" s="44"/>
      <c r="VER577" s="44"/>
      <c r="VES577" s="44"/>
      <c r="VET577" s="44"/>
      <c r="VEU577" s="44"/>
      <c r="VEV577" s="44"/>
      <c r="VEW577" s="44"/>
      <c r="VEX577" s="44"/>
      <c r="VEY577" s="44"/>
      <c r="VEZ577" s="44"/>
      <c r="VFA577" s="44"/>
      <c r="VFB577" s="44"/>
      <c r="VFC577" s="44"/>
      <c r="VFD577" s="44"/>
      <c r="VFE577" s="44"/>
      <c r="VFF577" s="44"/>
      <c r="VFG577" s="44"/>
      <c r="VFH577" s="44"/>
      <c r="VFI577" s="44"/>
      <c r="VFJ577" s="44"/>
      <c r="VFK577" s="44"/>
      <c r="VFL577" s="44"/>
      <c r="VFM577" s="44"/>
      <c r="VFN577" s="44"/>
      <c r="VFO577" s="44"/>
      <c r="VFP577" s="44"/>
      <c r="VFQ577" s="44"/>
      <c r="VFR577" s="44"/>
      <c r="VFS577" s="44"/>
      <c r="VFT577" s="44"/>
      <c r="VFU577" s="44"/>
      <c r="VFV577" s="44"/>
      <c r="VFW577" s="44"/>
      <c r="VFX577" s="44"/>
      <c r="VFY577" s="44"/>
      <c r="VFZ577" s="44"/>
      <c r="VGA577" s="44"/>
      <c r="VGB577" s="44"/>
      <c r="VGC577" s="44"/>
      <c r="VGD577" s="44"/>
      <c r="VGE577" s="44"/>
      <c r="VGF577" s="44"/>
      <c r="VGG577" s="44"/>
      <c r="VGH577" s="44"/>
      <c r="VGI577" s="44"/>
      <c r="VGJ577" s="44"/>
      <c r="VGK577" s="44"/>
      <c r="VGL577" s="44"/>
      <c r="VGM577" s="44"/>
      <c r="VGN577" s="44"/>
      <c r="VGO577" s="44"/>
      <c r="VGP577" s="44"/>
      <c r="VGQ577" s="44"/>
      <c r="VGR577" s="44"/>
      <c r="VGS577" s="44"/>
      <c r="VGT577" s="44"/>
      <c r="VGU577" s="44"/>
      <c r="VGV577" s="44"/>
      <c r="VGW577" s="44"/>
      <c r="VGX577" s="44"/>
      <c r="VGY577" s="44"/>
      <c r="VGZ577" s="44"/>
      <c r="VHA577" s="44"/>
      <c r="VHB577" s="44"/>
      <c r="VHC577" s="44"/>
      <c r="VHD577" s="44"/>
      <c r="VHE577" s="44"/>
      <c r="VHF577" s="44"/>
      <c r="VHG577" s="44"/>
      <c r="VHH577" s="44"/>
      <c r="VHI577" s="44"/>
      <c r="VHJ577" s="44"/>
      <c r="VHK577" s="44"/>
      <c r="VHL577" s="44"/>
      <c r="VHM577" s="44"/>
      <c r="VHN577" s="44"/>
      <c r="VHO577" s="44"/>
      <c r="VHP577" s="44"/>
      <c r="VHQ577" s="44"/>
      <c r="VHR577" s="44"/>
      <c r="VHS577" s="44"/>
      <c r="VHT577" s="44"/>
      <c r="VHU577" s="44"/>
      <c r="VHV577" s="44"/>
      <c r="VHW577" s="44"/>
      <c r="VHX577" s="44"/>
      <c r="VHY577" s="44"/>
      <c r="VHZ577" s="44"/>
      <c r="VIA577" s="44"/>
      <c r="VIB577" s="44"/>
      <c r="VIC577" s="44"/>
      <c r="VID577" s="44"/>
      <c r="VIE577" s="44"/>
      <c r="VIF577" s="44"/>
      <c r="VIG577" s="44"/>
      <c r="VIH577" s="44"/>
      <c r="VII577" s="44"/>
      <c r="VIJ577" s="44"/>
      <c r="VIK577" s="44"/>
      <c r="VIL577" s="44"/>
      <c r="VIM577" s="44"/>
      <c r="VIN577" s="44"/>
      <c r="VIO577" s="44"/>
      <c r="VIP577" s="44"/>
      <c r="VIQ577" s="44"/>
      <c r="VIR577" s="44"/>
      <c r="VIS577" s="44"/>
      <c r="VIT577" s="44"/>
      <c r="VIU577" s="44"/>
      <c r="VIV577" s="44"/>
      <c r="VIW577" s="44"/>
      <c r="VIX577" s="44"/>
      <c r="VIY577" s="44"/>
      <c r="VIZ577" s="44"/>
      <c r="VJA577" s="44"/>
      <c r="VJB577" s="44"/>
      <c r="VJC577" s="44"/>
      <c r="VJD577" s="44"/>
      <c r="VJE577" s="44"/>
      <c r="VJF577" s="44"/>
      <c r="VJG577" s="44"/>
      <c r="VJH577" s="44"/>
      <c r="VJI577" s="44"/>
      <c r="VJJ577" s="44"/>
      <c r="VJK577" s="44"/>
      <c r="VJL577" s="44"/>
      <c r="VJM577" s="44"/>
      <c r="VJN577" s="44"/>
      <c r="VJO577" s="44"/>
      <c r="VJP577" s="44"/>
      <c r="VJQ577" s="44"/>
      <c r="VJR577" s="44"/>
      <c r="VJS577" s="44"/>
      <c r="VJT577" s="44"/>
      <c r="VJU577" s="44"/>
      <c r="VJV577" s="44"/>
      <c r="VJW577" s="44"/>
      <c r="VJX577" s="44"/>
      <c r="VJY577" s="44"/>
      <c r="VJZ577" s="44"/>
      <c r="VKA577" s="44"/>
      <c r="VKB577" s="44"/>
      <c r="VKC577" s="44"/>
      <c r="VKD577" s="44"/>
      <c r="VKE577" s="44"/>
      <c r="VKF577" s="44"/>
      <c r="VKG577" s="44"/>
      <c r="VKH577" s="44"/>
      <c r="VKI577" s="44"/>
      <c r="VKJ577" s="44"/>
      <c r="VKK577" s="44"/>
      <c r="VKL577" s="44"/>
      <c r="VKM577" s="44"/>
      <c r="VKN577" s="44"/>
      <c r="VKO577" s="44"/>
      <c r="VKP577" s="44"/>
      <c r="VKQ577" s="44"/>
      <c r="VKR577" s="44"/>
      <c r="VKS577" s="44"/>
      <c r="VKT577" s="44"/>
      <c r="VKU577" s="44"/>
      <c r="VKV577" s="44"/>
      <c r="VKW577" s="44"/>
      <c r="VKX577" s="44"/>
      <c r="VKY577" s="44"/>
      <c r="VKZ577" s="44"/>
      <c r="VLA577" s="44"/>
      <c r="VLB577" s="44"/>
      <c r="VLC577" s="44"/>
      <c r="VLD577" s="44"/>
      <c r="VLE577" s="44"/>
      <c r="VLF577" s="44"/>
      <c r="VLG577" s="44"/>
      <c r="VLH577" s="44"/>
      <c r="VLI577" s="44"/>
      <c r="VLJ577" s="44"/>
      <c r="VLK577" s="44"/>
      <c r="VLL577" s="44"/>
      <c r="VLM577" s="44"/>
      <c r="VLN577" s="44"/>
      <c r="VLO577" s="44"/>
      <c r="VLP577" s="44"/>
      <c r="VLQ577" s="44"/>
      <c r="VLR577" s="44"/>
      <c r="VLS577" s="44"/>
      <c r="VLT577" s="44"/>
      <c r="VLU577" s="44"/>
      <c r="VLV577" s="44"/>
      <c r="VLW577" s="44"/>
      <c r="VLX577" s="44"/>
      <c r="VLY577" s="44"/>
      <c r="VLZ577" s="44"/>
      <c r="VMA577" s="44"/>
      <c r="VMB577" s="44"/>
      <c r="VMC577" s="44"/>
      <c r="VMD577" s="44"/>
      <c r="VME577" s="44"/>
      <c r="VMF577" s="44"/>
      <c r="VMG577" s="44"/>
      <c r="VMH577" s="44"/>
      <c r="VMI577" s="44"/>
      <c r="VMJ577" s="44"/>
      <c r="VMK577" s="44"/>
      <c r="VML577" s="44"/>
      <c r="VMM577" s="44"/>
      <c r="VMN577" s="44"/>
      <c r="VMO577" s="44"/>
      <c r="VMP577" s="44"/>
      <c r="VMQ577" s="44"/>
      <c r="VMR577" s="44"/>
      <c r="VMS577" s="44"/>
      <c r="VMT577" s="44"/>
      <c r="VMU577" s="44"/>
      <c r="VMV577" s="44"/>
      <c r="VMW577" s="44"/>
      <c r="VMX577" s="44"/>
      <c r="VMY577" s="44"/>
      <c r="VMZ577" s="44"/>
      <c r="VNA577" s="44"/>
      <c r="VNB577" s="44"/>
      <c r="VNC577" s="44"/>
      <c r="VND577" s="44"/>
      <c r="VNE577" s="44"/>
      <c r="VNF577" s="44"/>
      <c r="VNG577" s="44"/>
      <c r="VNH577" s="44"/>
      <c r="VNI577" s="44"/>
      <c r="VNJ577" s="44"/>
      <c r="VNK577" s="44"/>
      <c r="VNL577" s="44"/>
      <c r="VNM577" s="44"/>
      <c r="VNN577" s="44"/>
      <c r="VNO577" s="44"/>
      <c r="VNP577" s="44"/>
      <c r="VNQ577" s="44"/>
      <c r="VNR577" s="44"/>
      <c r="VNS577" s="44"/>
      <c r="VNT577" s="44"/>
      <c r="VNU577" s="44"/>
      <c r="VNV577" s="44"/>
      <c r="VNW577" s="44"/>
      <c r="VNX577" s="44"/>
      <c r="VNY577" s="44"/>
      <c r="VNZ577" s="44"/>
      <c r="VOA577" s="44"/>
      <c r="VOB577" s="44"/>
      <c r="VOC577" s="44"/>
      <c r="VOD577" s="44"/>
      <c r="VOE577" s="44"/>
      <c r="VOF577" s="44"/>
      <c r="VOG577" s="44"/>
      <c r="VOH577" s="44"/>
      <c r="VOI577" s="44"/>
      <c r="VOJ577" s="44"/>
      <c r="VOK577" s="44"/>
      <c r="VOL577" s="44"/>
      <c r="VOM577" s="44"/>
      <c r="VON577" s="44"/>
      <c r="VOO577" s="44"/>
      <c r="VOP577" s="44"/>
      <c r="VOQ577" s="44"/>
      <c r="VOR577" s="44"/>
      <c r="VOS577" s="44"/>
      <c r="VOT577" s="44"/>
      <c r="VOU577" s="44"/>
      <c r="VOV577" s="44"/>
      <c r="VOW577" s="44"/>
      <c r="VOX577" s="44"/>
      <c r="VOY577" s="44"/>
      <c r="VOZ577" s="44"/>
      <c r="VPA577" s="44"/>
      <c r="VPB577" s="44"/>
      <c r="VPC577" s="44"/>
      <c r="VPD577" s="44"/>
      <c r="VPE577" s="44"/>
      <c r="VPF577" s="44"/>
      <c r="VPG577" s="44"/>
      <c r="VPH577" s="44"/>
      <c r="VPI577" s="44"/>
      <c r="VPJ577" s="44"/>
      <c r="VPK577" s="44"/>
      <c r="VPL577" s="44"/>
      <c r="VPM577" s="44"/>
      <c r="VPN577" s="44"/>
      <c r="VPO577" s="44"/>
      <c r="VPP577" s="44"/>
      <c r="VPQ577" s="44"/>
      <c r="VPR577" s="44"/>
      <c r="VPS577" s="44"/>
      <c r="VPT577" s="44"/>
      <c r="VPU577" s="44"/>
      <c r="VPV577" s="44"/>
      <c r="VPW577" s="44"/>
      <c r="VPX577" s="44"/>
      <c r="VPY577" s="44"/>
      <c r="VPZ577" s="44"/>
      <c r="VQA577" s="44"/>
      <c r="VQB577" s="44"/>
      <c r="VQC577" s="44"/>
      <c r="VQD577" s="44"/>
      <c r="VQE577" s="44"/>
      <c r="VQF577" s="44"/>
      <c r="VQG577" s="44"/>
      <c r="VQH577" s="44"/>
      <c r="VQI577" s="44"/>
      <c r="VQJ577" s="44"/>
      <c r="VQK577" s="44"/>
      <c r="VQL577" s="44"/>
      <c r="VQM577" s="44"/>
      <c r="VQN577" s="44"/>
      <c r="VQO577" s="44"/>
      <c r="VQP577" s="44"/>
      <c r="VQQ577" s="44"/>
      <c r="VQR577" s="44"/>
      <c r="VQS577" s="44"/>
      <c r="VQT577" s="44"/>
      <c r="VQU577" s="44"/>
      <c r="VQV577" s="44"/>
      <c r="VQW577" s="44"/>
      <c r="VQX577" s="44"/>
      <c r="VQY577" s="44"/>
      <c r="VQZ577" s="44"/>
      <c r="VRA577" s="44"/>
      <c r="VRB577" s="44"/>
      <c r="VRC577" s="44"/>
      <c r="VRD577" s="44"/>
      <c r="VRE577" s="44"/>
      <c r="VRF577" s="44"/>
      <c r="VRG577" s="44"/>
      <c r="VRH577" s="44"/>
      <c r="VRI577" s="44"/>
      <c r="VRJ577" s="44"/>
      <c r="VRK577" s="44"/>
      <c r="VRL577" s="44"/>
      <c r="VRM577" s="44"/>
      <c r="VRN577" s="44"/>
      <c r="VRO577" s="44"/>
      <c r="VRP577" s="44"/>
      <c r="VRQ577" s="44"/>
      <c r="VRR577" s="44"/>
      <c r="VRS577" s="44"/>
      <c r="VRT577" s="44"/>
      <c r="VRU577" s="44"/>
      <c r="VRV577" s="44"/>
      <c r="VRW577" s="44"/>
      <c r="VRX577" s="44"/>
      <c r="VRY577" s="44"/>
      <c r="VRZ577" s="44"/>
      <c r="VSA577" s="44"/>
      <c r="VSB577" s="44"/>
      <c r="VSC577" s="44"/>
      <c r="VSD577" s="44"/>
      <c r="VSE577" s="44"/>
      <c r="VSF577" s="44"/>
      <c r="VSG577" s="44"/>
      <c r="VSH577" s="44"/>
      <c r="VSI577" s="44"/>
      <c r="VSJ577" s="44"/>
      <c r="VSK577" s="44"/>
      <c r="VSL577" s="44"/>
      <c r="VSM577" s="44"/>
      <c r="VSN577" s="44"/>
      <c r="VSO577" s="44"/>
      <c r="VSP577" s="44"/>
      <c r="VSQ577" s="44"/>
      <c r="VSR577" s="44"/>
      <c r="VSS577" s="44"/>
      <c r="VST577" s="44"/>
      <c r="VSU577" s="44"/>
      <c r="VSV577" s="44"/>
      <c r="VSW577" s="44"/>
      <c r="VSX577" s="44"/>
      <c r="VSY577" s="44"/>
      <c r="VSZ577" s="44"/>
      <c r="VTA577" s="44"/>
      <c r="VTB577" s="44"/>
      <c r="VTC577" s="44"/>
      <c r="VTD577" s="44"/>
      <c r="VTE577" s="44"/>
      <c r="VTF577" s="44"/>
      <c r="VTG577" s="44"/>
      <c r="VTH577" s="44"/>
      <c r="VTI577" s="44"/>
      <c r="VTJ577" s="44"/>
      <c r="VTK577" s="44"/>
      <c r="VTL577" s="44"/>
      <c r="VTM577" s="44"/>
      <c r="VTN577" s="44"/>
      <c r="VTO577" s="44"/>
      <c r="VTP577" s="44"/>
      <c r="VTQ577" s="44"/>
      <c r="VTR577" s="44"/>
      <c r="VTS577" s="44"/>
      <c r="VTT577" s="44"/>
      <c r="VTU577" s="44"/>
      <c r="VTV577" s="44"/>
      <c r="VTW577" s="44"/>
      <c r="VTX577" s="44"/>
      <c r="VTY577" s="44"/>
      <c r="VTZ577" s="44"/>
      <c r="VUA577" s="44"/>
      <c r="VUB577" s="44"/>
      <c r="VUC577" s="44"/>
      <c r="VUD577" s="44"/>
      <c r="VUE577" s="44"/>
      <c r="VUF577" s="44"/>
      <c r="VUG577" s="44"/>
      <c r="VUH577" s="44"/>
      <c r="VUI577" s="44"/>
      <c r="VUJ577" s="44"/>
      <c r="VUK577" s="44"/>
      <c r="VUL577" s="44"/>
      <c r="VUM577" s="44"/>
      <c r="VUN577" s="44"/>
      <c r="VUO577" s="44"/>
      <c r="VUP577" s="44"/>
      <c r="VUQ577" s="44"/>
      <c r="VUR577" s="44"/>
      <c r="VUS577" s="44"/>
      <c r="VUT577" s="44"/>
      <c r="VUU577" s="44"/>
      <c r="VUV577" s="44"/>
      <c r="VUW577" s="44"/>
      <c r="VUX577" s="44"/>
      <c r="VUY577" s="44"/>
      <c r="VUZ577" s="44"/>
      <c r="VVA577" s="44"/>
      <c r="VVB577" s="44"/>
      <c r="VVC577" s="44"/>
      <c r="VVD577" s="44"/>
      <c r="VVE577" s="44"/>
      <c r="VVF577" s="44"/>
      <c r="VVG577" s="44"/>
      <c r="VVH577" s="44"/>
      <c r="VVI577" s="44"/>
      <c r="VVJ577" s="44"/>
      <c r="VVK577" s="44"/>
      <c r="VVL577" s="44"/>
      <c r="VVM577" s="44"/>
      <c r="VVN577" s="44"/>
      <c r="VVO577" s="44"/>
      <c r="VVP577" s="44"/>
      <c r="VVQ577" s="44"/>
      <c r="VVR577" s="44"/>
      <c r="VVS577" s="44"/>
      <c r="VVT577" s="44"/>
      <c r="VVU577" s="44"/>
      <c r="VVV577" s="44"/>
      <c r="VVW577" s="44"/>
      <c r="VVX577" s="44"/>
      <c r="VVY577" s="44"/>
      <c r="VVZ577" s="44"/>
      <c r="VWA577" s="44"/>
      <c r="VWB577" s="44"/>
      <c r="VWC577" s="44"/>
      <c r="VWD577" s="44"/>
      <c r="VWE577" s="44"/>
      <c r="VWF577" s="44"/>
      <c r="VWG577" s="44"/>
      <c r="VWH577" s="44"/>
      <c r="VWI577" s="44"/>
      <c r="VWJ577" s="44"/>
      <c r="VWK577" s="44"/>
      <c r="VWL577" s="44"/>
      <c r="VWM577" s="44"/>
      <c r="VWN577" s="44"/>
      <c r="VWO577" s="44"/>
      <c r="VWP577" s="44"/>
      <c r="VWQ577" s="44"/>
      <c r="VWR577" s="44"/>
      <c r="VWS577" s="44"/>
      <c r="VWT577" s="44"/>
      <c r="VWU577" s="44"/>
      <c r="VWV577" s="44"/>
      <c r="VWW577" s="44"/>
      <c r="VWX577" s="44"/>
      <c r="VWY577" s="44"/>
      <c r="VWZ577" s="44"/>
      <c r="VXA577" s="44"/>
      <c r="VXB577" s="44"/>
      <c r="VXC577" s="44"/>
      <c r="VXD577" s="44"/>
      <c r="VXE577" s="44"/>
      <c r="VXF577" s="44"/>
      <c r="VXG577" s="44"/>
      <c r="VXH577" s="44"/>
      <c r="VXI577" s="44"/>
      <c r="VXJ577" s="44"/>
      <c r="VXK577" s="44"/>
      <c r="VXL577" s="44"/>
      <c r="VXM577" s="44"/>
      <c r="VXN577" s="44"/>
      <c r="VXO577" s="44"/>
      <c r="VXP577" s="44"/>
      <c r="VXQ577" s="44"/>
      <c r="VXR577" s="44"/>
      <c r="VXS577" s="44"/>
      <c r="VXT577" s="44"/>
      <c r="VXU577" s="44"/>
      <c r="VXV577" s="44"/>
      <c r="VXW577" s="44"/>
      <c r="VXX577" s="44"/>
      <c r="VXY577" s="44"/>
      <c r="VXZ577" s="44"/>
      <c r="VYA577" s="44"/>
      <c r="VYB577" s="44"/>
      <c r="VYC577" s="44"/>
      <c r="VYD577" s="44"/>
      <c r="VYE577" s="44"/>
      <c r="VYF577" s="44"/>
      <c r="VYG577" s="44"/>
      <c r="VYH577" s="44"/>
      <c r="VYI577" s="44"/>
      <c r="VYJ577" s="44"/>
      <c r="VYK577" s="44"/>
      <c r="VYL577" s="44"/>
      <c r="VYM577" s="44"/>
      <c r="VYN577" s="44"/>
      <c r="VYO577" s="44"/>
      <c r="VYP577" s="44"/>
      <c r="VYQ577" s="44"/>
      <c r="VYR577" s="44"/>
      <c r="VYS577" s="44"/>
      <c r="VYT577" s="44"/>
      <c r="VYU577" s="44"/>
      <c r="VYV577" s="44"/>
      <c r="VYW577" s="44"/>
      <c r="VYX577" s="44"/>
      <c r="VYY577" s="44"/>
      <c r="VYZ577" s="44"/>
      <c r="VZA577" s="44"/>
      <c r="VZB577" s="44"/>
      <c r="VZC577" s="44"/>
      <c r="VZD577" s="44"/>
      <c r="VZE577" s="44"/>
      <c r="VZF577" s="44"/>
      <c r="VZG577" s="44"/>
      <c r="VZH577" s="44"/>
      <c r="VZI577" s="44"/>
      <c r="VZJ577" s="44"/>
      <c r="VZK577" s="44"/>
      <c r="VZL577" s="44"/>
      <c r="VZM577" s="44"/>
      <c r="VZN577" s="44"/>
      <c r="VZO577" s="44"/>
      <c r="VZP577" s="44"/>
      <c r="VZQ577" s="44"/>
      <c r="VZR577" s="44"/>
      <c r="VZS577" s="44"/>
      <c r="VZT577" s="44"/>
      <c r="VZU577" s="44"/>
      <c r="VZV577" s="44"/>
      <c r="VZW577" s="44"/>
      <c r="VZX577" s="44"/>
      <c r="VZY577" s="44"/>
      <c r="VZZ577" s="44"/>
      <c r="WAA577" s="44"/>
      <c r="WAB577" s="44"/>
      <c r="WAC577" s="44"/>
      <c r="WAD577" s="44"/>
      <c r="WAE577" s="44"/>
      <c r="WAF577" s="44"/>
      <c r="WAG577" s="44"/>
      <c r="WAH577" s="44"/>
      <c r="WAI577" s="44"/>
      <c r="WAJ577" s="44"/>
      <c r="WAK577" s="44"/>
      <c r="WAL577" s="44"/>
      <c r="WAM577" s="44"/>
      <c r="WAN577" s="44"/>
      <c r="WAO577" s="44"/>
      <c r="WAP577" s="44"/>
      <c r="WAQ577" s="44"/>
      <c r="WAR577" s="44"/>
      <c r="WAS577" s="44"/>
      <c r="WAT577" s="44"/>
      <c r="WAU577" s="44"/>
      <c r="WAV577" s="44"/>
      <c r="WAW577" s="44"/>
      <c r="WAX577" s="44"/>
      <c r="WAY577" s="44"/>
      <c r="WAZ577" s="44"/>
      <c r="WBA577" s="44"/>
      <c r="WBB577" s="44"/>
      <c r="WBC577" s="44"/>
      <c r="WBD577" s="44"/>
      <c r="WBE577" s="44"/>
      <c r="WBF577" s="44"/>
      <c r="WBG577" s="44"/>
      <c r="WBH577" s="44"/>
      <c r="WBI577" s="44"/>
      <c r="WBJ577" s="44"/>
      <c r="WBK577" s="44"/>
      <c r="WBL577" s="44"/>
      <c r="WBM577" s="44"/>
      <c r="WBN577" s="44"/>
      <c r="WBO577" s="44"/>
      <c r="WBP577" s="44"/>
      <c r="WBQ577" s="44"/>
      <c r="WBR577" s="44"/>
      <c r="WBS577" s="44"/>
      <c r="WBT577" s="44"/>
      <c r="WBU577" s="44"/>
      <c r="WBV577" s="44"/>
      <c r="WBW577" s="44"/>
      <c r="WBX577" s="44"/>
      <c r="WBY577" s="44"/>
      <c r="WBZ577" s="44"/>
      <c r="WCA577" s="44"/>
      <c r="WCB577" s="44"/>
      <c r="WCC577" s="44"/>
      <c r="WCD577" s="44"/>
      <c r="WCE577" s="44"/>
      <c r="WCF577" s="44"/>
      <c r="WCG577" s="44"/>
      <c r="WCH577" s="44"/>
      <c r="WCI577" s="44"/>
      <c r="WCJ577" s="44"/>
      <c r="WCK577" s="44"/>
      <c r="WCL577" s="44"/>
      <c r="WCM577" s="44"/>
      <c r="WCN577" s="44"/>
      <c r="WCO577" s="44"/>
      <c r="WCP577" s="44"/>
      <c r="WCQ577" s="44"/>
      <c r="WCR577" s="44"/>
      <c r="WCS577" s="44"/>
      <c r="WCT577" s="44"/>
      <c r="WCU577" s="44"/>
      <c r="WCV577" s="44"/>
      <c r="WCW577" s="44"/>
      <c r="WCX577" s="44"/>
      <c r="WCY577" s="44"/>
      <c r="WCZ577" s="44"/>
      <c r="WDA577" s="44"/>
      <c r="WDB577" s="44"/>
      <c r="WDC577" s="44"/>
      <c r="WDD577" s="44"/>
      <c r="WDE577" s="44"/>
      <c r="WDF577" s="44"/>
      <c r="WDG577" s="44"/>
      <c r="WDH577" s="44"/>
      <c r="WDI577" s="44"/>
      <c r="WDJ577" s="44"/>
      <c r="WDK577" s="44"/>
      <c r="WDL577" s="44"/>
      <c r="WDM577" s="44"/>
      <c r="WDN577" s="44"/>
      <c r="WDO577" s="44"/>
      <c r="WDP577" s="44"/>
      <c r="WDQ577" s="44"/>
      <c r="WDR577" s="44"/>
      <c r="WDS577" s="44"/>
      <c r="WDT577" s="44"/>
      <c r="WDU577" s="44"/>
      <c r="WDV577" s="44"/>
      <c r="WDW577" s="44"/>
      <c r="WDX577" s="44"/>
      <c r="WDY577" s="44"/>
      <c r="WDZ577" s="44"/>
      <c r="WEA577" s="44"/>
      <c r="WEB577" s="44"/>
      <c r="WEC577" s="44"/>
      <c r="WED577" s="44"/>
      <c r="WEE577" s="44"/>
      <c r="WEF577" s="44"/>
      <c r="WEG577" s="44"/>
      <c r="WEH577" s="44"/>
      <c r="WEI577" s="44"/>
      <c r="WEJ577" s="44"/>
      <c r="WEK577" s="44"/>
      <c r="WEL577" s="44"/>
      <c r="WEM577" s="44"/>
      <c r="WEN577" s="44"/>
      <c r="WEO577" s="44"/>
      <c r="WEP577" s="44"/>
      <c r="WEQ577" s="44"/>
      <c r="WER577" s="44"/>
      <c r="WES577" s="44"/>
      <c r="WET577" s="44"/>
      <c r="WEU577" s="44"/>
      <c r="WEV577" s="44"/>
      <c r="WEW577" s="44"/>
      <c r="WEX577" s="44"/>
      <c r="WEY577" s="44"/>
      <c r="WEZ577" s="44"/>
      <c r="WFA577" s="44"/>
      <c r="WFB577" s="44"/>
      <c r="WFC577" s="44"/>
      <c r="WFD577" s="44"/>
      <c r="WFE577" s="44"/>
      <c r="WFF577" s="44"/>
      <c r="WFG577" s="44"/>
      <c r="WFH577" s="44"/>
      <c r="WFI577" s="44"/>
      <c r="WFJ577" s="44"/>
      <c r="WFK577" s="44"/>
      <c r="WFL577" s="44"/>
      <c r="WFM577" s="44"/>
      <c r="WFN577" s="44"/>
      <c r="WFO577" s="44"/>
      <c r="WFP577" s="44"/>
      <c r="WFQ577" s="44"/>
      <c r="WFR577" s="44"/>
      <c r="WFS577" s="44"/>
      <c r="WFT577" s="44"/>
      <c r="WFU577" s="44"/>
      <c r="WFV577" s="44"/>
      <c r="WFW577" s="44"/>
      <c r="WFX577" s="44"/>
      <c r="WFY577" s="44"/>
      <c r="WFZ577" s="44"/>
      <c r="WGA577" s="44"/>
      <c r="WGB577" s="44"/>
      <c r="WGC577" s="44"/>
      <c r="WGD577" s="44"/>
      <c r="WGE577" s="44"/>
      <c r="WGF577" s="44"/>
      <c r="WGG577" s="44"/>
      <c r="WGH577" s="44"/>
      <c r="WGI577" s="44"/>
      <c r="WGJ577" s="44"/>
      <c r="WGK577" s="44"/>
      <c r="WGL577" s="44"/>
      <c r="WGM577" s="44"/>
      <c r="WGN577" s="44"/>
      <c r="WGO577" s="44"/>
      <c r="WGP577" s="44"/>
      <c r="WGQ577" s="44"/>
      <c r="WGR577" s="44"/>
      <c r="WGS577" s="44"/>
      <c r="WGT577" s="44"/>
      <c r="WGU577" s="44"/>
      <c r="WGV577" s="44"/>
      <c r="WGW577" s="44"/>
      <c r="WGX577" s="44"/>
      <c r="WGY577" s="44"/>
      <c r="WGZ577" s="44"/>
      <c r="WHA577" s="44"/>
      <c r="WHB577" s="44"/>
      <c r="WHC577" s="44"/>
      <c r="WHD577" s="44"/>
      <c r="WHE577" s="44"/>
      <c r="WHF577" s="44"/>
      <c r="WHG577" s="44"/>
      <c r="WHH577" s="44"/>
      <c r="WHI577" s="44"/>
      <c r="WHJ577" s="44"/>
      <c r="WHK577" s="44"/>
      <c r="WHL577" s="44"/>
      <c r="WHM577" s="44"/>
      <c r="WHN577" s="44"/>
      <c r="WHO577" s="44"/>
      <c r="WHP577" s="44"/>
      <c r="WHQ577" s="44"/>
      <c r="WHR577" s="44"/>
      <c r="WHS577" s="44"/>
      <c r="WHT577" s="44"/>
      <c r="WHU577" s="44"/>
      <c r="WHV577" s="44"/>
      <c r="WHW577" s="44"/>
      <c r="WHX577" s="44"/>
      <c r="WHY577" s="44"/>
      <c r="WHZ577" s="44"/>
      <c r="WIA577" s="44"/>
      <c r="WIB577" s="44"/>
      <c r="WIC577" s="44"/>
      <c r="WID577" s="44"/>
      <c r="WIE577" s="44"/>
      <c r="WIF577" s="44"/>
      <c r="WIG577" s="44"/>
      <c r="WIH577" s="44"/>
      <c r="WII577" s="44"/>
      <c r="WIJ577" s="44"/>
      <c r="WIK577" s="44"/>
      <c r="WIL577" s="44"/>
      <c r="WIM577" s="44"/>
      <c r="WIN577" s="44"/>
      <c r="WIO577" s="44"/>
      <c r="WIP577" s="44"/>
      <c r="WIQ577" s="44"/>
      <c r="WIR577" s="44"/>
      <c r="WIS577" s="44"/>
      <c r="WIT577" s="44"/>
      <c r="WIU577" s="44"/>
      <c r="WIV577" s="44"/>
      <c r="WIW577" s="44"/>
      <c r="WIX577" s="44"/>
      <c r="WIY577" s="44"/>
      <c r="WIZ577" s="44"/>
      <c r="WJA577" s="44"/>
      <c r="WJB577" s="44"/>
      <c r="WJC577" s="44"/>
      <c r="WJD577" s="44"/>
      <c r="WJE577" s="44"/>
      <c r="WJF577" s="44"/>
      <c r="WJG577" s="44"/>
      <c r="WJH577" s="44"/>
      <c r="WJI577" s="44"/>
      <c r="WJJ577" s="44"/>
      <c r="WJK577" s="44"/>
      <c r="WJL577" s="44"/>
      <c r="WJM577" s="44"/>
      <c r="WJN577" s="44"/>
      <c r="WJO577" s="44"/>
      <c r="WJP577" s="44"/>
      <c r="WJQ577" s="44"/>
      <c r="WJR577" s="44"/>
      <c r="WJS577" s="44"/>
      <c r="WJT577" s="44"/>
      <c r="WJU577" s="44"/>
      <c r="WJV577" s="44"/>
      <c r="WJW577" s="44"/>
      <c r="WJX577" s="44"/>
      <c r="WJY577" s="44"/>
      <c r="WJZ577" s="44"/>
      <c r="WKA577" s="44"/>
      <c r="WKB577" s="44"/>
      <c r="WKC577" s="44"/>
      <c r="WKD577" s="44"/>
      <c r="WKE577" s="44"/>
      <c r="WKF577" s="44"/>
      <c r="WKG577" s="44"/>
      <c r="WKH577" s="44"/>
      <c r="WKI577" s="44"/>
      <c r="WKJ577" s="44"/>
      <c r="WKK577" s="44"/>
      <c r="WKL577" s="44"/>
      <c r="WKM577" s="44"/>
      <c r="WKN577" s="44"/>
      <c r="WKO577" s="44"/>
      <c r="WKP577" s="44"/>
      <c r="WKQ577" s="44"/>
      <c r="WKR577" s="44"/>
      <c r="WKS577" s="44"/>
      <c r="WKT577" s="44"/>
      <c r="WKU577" s="44"/>
      <c r="WKV577" s="44"/>
      <c r="WKW577" s="44"/>
      <c r="WKX577" s="44"/>
      <c r="WKY577" s="44"/>
      <c r="WKZ577" s="44"/>
      <c r="WLA577" s="44"/>
      <c r="WLB577" s="44"/>
      <c r="WLC577" s="44"/>
      <c r="WLD577" s="44"/>
      <c r="WLE577" s="44"/>
      <c r="WLF577" s="44"/>
      <c r="WLG577" s="44"/>
      <c r="WLH577" s="44"/>
      <c r="WLI577" s="44"/>
      <c r="WLJ577" s="44"/>
      <c r="WLK577" s="44"/>
      <c r="WLL577" s="44"/>
      <c r="WLM577" s="44"/>
      <c r="WLN577" s="44"/>
      <c r="WLO577" s="44"/>
      <c r="WLP577" s="44"/>
      <c r="WLQ577" s="44"/>
      <c r="WLR577" s="44"/>
      <c r="WLS577" s="44"/>
      <c r="WLT577" s="44"/>
      <c r="WLU577" s="44"/>
      <c r="WLV577" s="44"/>
      <c r="WLW577" s="44"/>
      <c r="WLX577" s="44"/>
      <c r="WLY577" s="44"/>
      <c r="WLZ577" s="44"/>
      <c r="WMA577" s="44"/>
      <c r="WMB577" s="44"/>
      <c r="WMC577" s="44"/>
      <c r="WMD577" s="44"/>
      <c r="WME577" s="44"/>
      <c r="WMF577" s="44"/>
      <c r="WMG577" s="44"/>
      <c r="WMH577" s="44"/>
      <c r="WMI577" s="44"/>
      <c r="WMJ577" s="44"/>
      <c r="WMK577" s="44"/>
      <c r="WML577" s="44"/>
      <c r="WMM577" s="44"/>
      <c r="WMN577" s="44"/>
      <c r="WMO577" s="44"/>
      <c r="WMP577" s="44"/>
      <c r="WMQ577" s="44"/>
      <c r="WMR577" s="44"/>
      <c r="WMS577" s="44"/>
      <c r="WMT577" s="44"/>
      <c r="WMU577" s="44"/>
      <c r="WMV577" s="44"/>
      <c r="WMW577" s="44"/>
      <c r="WMX577" s="44"/>
      <c r="WMY577" s="44"/>
      <c r="WMZ577" s="44"/>
      <c r="WNA577" s="44"/>
      <c r="WNB577" s="44"/>
      <c r="WNC577" s="44"/>
      <c r="WND577" s="44"/>
      <c r="WNE577" s="44"/>
      <c r="WNF577" s="44"/>
      <c r="WNG577" s="44"/>
      <c r="WNH577" s="44"/>
      <c r="WNI577" s="44"/>
      <c r="WNJ577" s="44"/>
      <c r="WNK577" s="44"/>
      <c r="WNL577" s="44"/>
      <c r="WNM577" s="44"/>
      <c r="WNN577" s="44"/>
      <c r="WNO577" s="44"/>
      <c r="WNP577" s="44"/>
      <c r="WNQ577" s="44"/>
      <c r="WNR577" s="44"/>
      <c r="WNS577" s="44"/>
      <c r="WNT577" s="44"/>
      <c r="WNU577" s="44"/>
      <c r="WNV577" s="44"/>
      <c r="WNW577" s="44"/>
      <c r="WNX577" s="44"/>
      <c r="WNY577" s="44"/>
      <c r="WNZ577" s="44"/>
      <c r="WOA577" s="44"/>
      <c r="WOB577" s="44"/>
      <c r="WOC577" s="44"/>
      <c r="WOD577" s="44"/>
      <c r="WOE577" s="44"/>
      <c r="WOF577" s="44"/>
      <c r="WOG577" s="44"/>
      <c r="WOH577" s="44"/>
      <c r="WOI577" s="44"/>
      <c r="WOJ577" s="44"/>
      <c r="WOK577" s="44"/>
      <c r="WOL577" s="44"/>
      <c r="WOM577" s="44"/>
      <c r="WON577" s="44"/>
      <c r="WOO577" s="44"/>
      <c r="WOP577" s="44"/>
      <c r="WOQ577" s="44"/>
      <c r="WOR577" s="44"/>
      <c r="WOS577" s="44"/>
      <c r="WOT577" s="44"/>
      <c r="WOU577" s="44"/>
      <c r="WOV577" s="44"/>
      <c r="WOW577" s="44"/>
      <c r="WOX577" s="44"/>
      <c r="WOY577" s="44"/>
      <c r="WOZ577" s="44"/>
      <c r="WPA577" s="44"/>
      <c r="WPB577" s="44"/>
      <c r="WPC577" s="44"/>
      <c r="WPD577" s="44"/>
      <c r="WPE577" s="44"/>
      <c r="WPF577" s="44"/>
      <c r="WPG577" s="44"/>
      <c r="WPH577" s="44"/>
      <c r="WPI577" s="44"/>
      <c r="WPJ577" s="44"/>
      <c r="WPK577" s="44"/>
      <c r="WPL577" s="44"/>
      <c r="WPM577" s="44"/>
      <c r="WPN577" s="44"/>
      <c r="WPO577" s="44"/>
      <c r="WPP577" s="44"/>
      <c r="WPQ577" s="44"/>
      <c r="WPR577" s="44"/>
      <c r="WPS577" s="44"/>
      <c r="WPT577" s="44"/>
      <c r="WPU577" s="44"/>
      <c r="WPV577" s="44"/>
      <c r="WPW577" s="44"/>
      <c r="WPX577" s="44"/>
      <c r="WPY577" s="44"/>
      <c r="WPZ577" s="44"/>
      <c r="WQA577" s="44"/>
      <c r="WQB577" s="44"/>
      <c r="WQC577" s="44"/>
      <c r="WQD577" s="44"/>
      <c r="WQE577" s="44"/>
      <c r="WQF577" s="44"/>
      <c r="WQG577" s="44"/>
      <c r="WQH577" s="44"/>
      <c r="WQI577" s="44"/>
      <c r="WQJ577" s="44"/>
      <c r="WQK577" s="44"/>
      <c r="WQL577" s="44"/>
      <c r="WQM577" s="44"/>
      <c r="WQN577" s="44"/>
      <c r="WQO577" s="44"/>
      <c r="WQP577" s="44"/>
      <c r="WQQ577" s="44"/>
      <c r="WQR577" s="44"/>
      <c r="WQS577" s="44"/>
      <c r="WQT577" s="44"/>
      <c r="WQU577" s="44"/>
      <c r="WQV577" s="44"/>
      <c r="WQW577" s="44"/>
      <c r="WQX577" s="44"/>
      <c r="WQY577" s="44"/>
      <c r="WQZ577" s="44"/>
      <c r="WRA577" s="44"/>
      <c r="WRB577" s="44"/>
      <c r="WRC577" s="44"/>
      <c r="WRD577" s="44"/>
      <c r="WRE577" s="44"/>
      <c r="WRF577" s="44"/>
      <c r="WRG577" s="44"/>
      <c r="WRH577" s="44"/>
      <c r="WRI577" s="44"/>
      <c r="WRJ577" s="44"/>
      <c r="WRK577" s="44"/>
      <c r="WRL577" s="44"/>
      <c r="WRM577" s="44"/>
      <c r="WRN577" s="44"/>
      <c r="WRO577" s="44"/>
      <c r="WRP577" s="44"/>
      <c r="WRQ577" s="44"/>
      <c r="WRR577" s="44"/>
      <c r="WRS577" s="44"/>
      <c r="WRT577" s="44"/>
      <c r="WRU577" s="44"/>
      <c r="WRV577" s="44"/>
      <c r="WRW577" s="44"/>
      <c r="WRX577" s="44"/>
      <c r="WRY577" s="44"/>
      <c r="WRZ577" s="44"/>
      <c r="WSA577" s="44"/>
      <c r="WSB577" s="44"/>
      <c r="WSC577" s="44"/>
      <c r="WSD577" s="44"/>
      <c r="WSE577" s="44"/>
      <c r="WSF577" s="44"/>
      <c r="WSG577" s="44"/>
      <c r="WSH577" s="44"/>
      <c r="WSI577" s="44"/>
      <c r="WSJ577" s="44"/>
      <c r="WSK577" s="44"/>
      <c r="WSL577" s="44"/>
      <c r="WSM577" s="44"/>
      <c r="WSN577" s="44"/>
      <c r="WSO577" s="44"/>
      <c r="WSP577" s="44"/>
      <c r="WSQ577" s="44"/>
      <c r="WSR577" s="44"/>
      <c r="WSS577" s="44"/>
      <c r="WST577" s="44"/>
      <c r="WSU577" s="44"/>
      <c r="WSV577" s="44"/>
      <c r="WSW577" s="44"/>
      <c r="WSX577" s="44"/>
      <c r="WSY577" s="44"/>
      <c r="WSZ577" s="44"/>
      <c r="WTA577" s="44"/>
      <c r="WTB577" s="44"/>
      <c r="WTC577" s="44"/>
      <c r="WTD577" s="44"/>
      <c r="WTE577" s="44"/>
      <c r="WTF577" s="44"/>
      <c r="WTG577" s="44"/>
      <c r="WTH577" s="44"/>
      <c r="WTI577" s="44"/>
      <c r="WTJ577" s="44"/>
      <c r="WTK577" s="44"/>
      <c r="WTL577" s="44"/>
      <c r="WTM577" s="44"/>
      <c r="WTN577" s="44"/>
      <c r="WTO577" s="44"/>
      <c r="WTP577" s="44"/>
      <c r="WTQ577" s="44"/>
      <c r="WTR577" s="44"/>
      <c r="WTS577" s="44"/>
      <c r="WTT577" s="44"/>
      <c r="WTU577" s="44"/>
      <c r="WTV577" s="44"/>
      <c r="WTW577" s="44"/>
      <c r="WTX577" s="44"/>
      <c r="WTY577" s="44"/>
      <c r="WTZ577" s="44"/>
      <c r="WUA577" s="44"/>
      <c r="WUB577" s="44"/>
      <c r="WUC577" s="44"/>
      <c r="WUD577" s="44"/>
      <c r="WUE577" s="44"/>
      <c r="WUF577" s="44"/>
      <c r="WUG577" s="44"/>
      <c r="WUH577" s="44"/>
      <c r="WUI577" s="44"/>
      <c r="WUJ577" s="44"/>
      <c r="WUK577" s="44"/>
      <c r="WUL577" s="44"/>
      <c r="WUM577" s="44"/>
      <c r="WUN577" s="44"/>
      <c r="WUO577" s="44"/>
      <c r="WUP577" s="44"/>
      <c r="WUQ577" s="44"/>
      <c r="WUR577" s="44"/>
      <c r="WUS577" s="44"/>
      <c r="WUT577" s="44"/>
      <c r="WUU577" s="44"/>
      <c r="WUV577" s="44"/>
      <c r="WUW577" s="44"/>
      <c r="WUX577" s="44"/>
      <c r="WUY577" s="44"/>
      <c r="WUZ577" s="44"/>
      <c r="WVA577" s="44"/>
      <c r="WVB577" s="44"/>
      <c r="WVC577" s="44"/>
      <c r="WVD577" s="44"/>
      <c r="WVE577" s="44"/>
      <c r="WVF577" s="44"/>
      <c r="WVG577" s="44"/>
      <c r="WVH577" s="44"/>
      <c r="WVI577" s="44"/>
      <c r="WVJ577" s="44"/>
      <c r="WVK577" s="44"/>
      <c r="WVL577" s="44"/>
      <c r="WVM577" s="44"/>
      <c r="WVN577" s="44"/>
      <c r="WVO577" s="44"/>
      <c r="WVP577" s="44"/>
      <c r="WVQ577" s="44"/>
      <c r="WVR577" s="44"/>
      <c r="WVS577" s="44"/>
      <c r="WVT577" s="44"/>
      <c r="WVU577" s="44"/>
      <c r="WVV577" s="44"/>
      <c r="WVW577" s="44"/>
      <c r="WVX577" s="44"/>
      <c r="WVY577" s="44"/>
      <c r="WVZ577" s="44"/>
      <c r="WWA577" s="44"/>
      <c r="WWB577" s="44"/>
      <c r="WWC577" s="44"/>
      <c r="WWD577" s="44"/>
      <c r="WWE577" s="44"/>
      <c r="WWF577" s="44"/>
      <c r="WWG577" s="44"/>
      <c r="WWH577" s="44"/>
      <c r="WWI577" s="44"/>
      <c r="WWJ577" s="44"/>
      <c r="WWK577" s="44"/>
      <c r="WWL577" s="44"/>
      <c r="WWM577" s="44"/>
      <c r="WWN577" s="44"/>
      <c r="WWO577" s="44"/>
      <c r="WWP577" s="44"/>
      <c r="WWQ577" s="44"/>
      <c r="WWR577" s="44"/>
      <c r="WWS577" s="44"/>
      <c r="WWT577" s="44"/>
      <c r="WWU577" s="44"/>
      <c r="WWV577" s="44"/>
      <c r="WWW577" s="44"/>
      <c r="WWX577" s="44"/>
      <c r="WWY577" s="44"/>
      <c r="WWZ577" s="44"/>
      <c r="WXA577" s="44"/>
      <c r="WXB577" s="44"/>
      <c r="WXC577" s="44"/>
      <c r="WXD577" s="44"/>
      <c r="WXE577" s="44"/>
      <c r="WXF577" s="44"/>
      <c r="WXG577" s="44"/>
      <c r="WXH577" s="44"/>
      <c r="WXI577" s="44"/>
      <c r="WXJ577" s="44"/>
      <c r="WXK577" s="44"/>
      <c r="WXL577" s="44"/>
      <c r="WXM577" s="44"/>
      <c r="WXN577" s="44"/>
      <c r="WXO577" s="44"/>
      <c r="WXP577" s="44"/>
      <c r="WXQ577" s="44"/>
      <c r="WXR577" s="44"/>
      <c r="WXS577" s="44"/>
      <c r="WXT577" s="44"/>
      <c r="WXU577" s="44"/>
      <c r="WXV577" s="44"/>
      <c r="WXW577" s="44"/>
      <c r="WXX577" s="44"/>
      <c r="WXY577" s="44"/>
      <c r="WXZ577" s="44"/>
      <c r="WYA577" s="44"/>
      <c r="WYB577" s="44"/>
      <c r="WYC577" s="44"/>
      <c r="WYD577" s="44"/>
      <c r="WYE577" s="44"/>
      <c r="WYF577" s="44"/>
      <c r="WYG577" s="44"/>
      <c r="WYH577" s="44"/>
      <c r="WYI577" s="44"/>
      <c r="WYJ577" s="44"/>
      <c r="WYK577" s="44"/>
      <c r="WYL577" s="44"/>
      <c r="WYM577" s="44"/>
      <c r="WYN577" s="44"/>
      <c r="WYO577" s="44"/>
      <c r="WYP577" s="44"/>
      <c r="WYQ577" s="44"/>
      <c r="WYR577" s="44"/>
      <c r="WYS577" s="44"/>
      <c r="WYT577" s="44"/>
      <c r="WYU577" s="44"/>
      <c r="WYV577" s="44"/>
      <c r="WYW577" s="44"/>
      <c r="WYX577" s="44"/>
      <c r="WYY577" s="44"/>
      <c r="WYZ577" s="44"/>
      <c r="WZA577" s="44"/>
      <c r="WZB577" s="44"/>
      <c r="WZC577" s="44"/>
      <c r="WZD577" s="44"/>
      <c r="WZE577" s="44"/>
      <c r="WZF577" s="44"/>
      <c r="WZG577" s="44"/>
      <c r="WZH577" s="44"/>
      <c r="WZI577" s="44"/>
      <c r="WZJ577" s="44"/>
      <c r="WZK577" s="44"/>
      <c r="WZL577" s="44"/>
      <c r="WZM577" s="44"/>
      <c r="WZN577" s="44"/>
      <c r="WZO577" s="44"/>
      <c r="WZP577" s="44"/>
      <c r="WZQ577" s="44"/>
      <c r="WZR577" s="44"/>
      <c r="WZS577" s="44"/>
      <c r="WZT577" s="44"/>
      <c r="WZU577" s="44"/>
      <c r="WZV577" s="44"/>
      <c r="WZW577" s="44"/>
      <c r="WZX577" s="44"/>
      <c r="WZY577" s="44"/>
      <c r="WZZ577" s="44"/>
      <c r="XAA577" s="44"/>
      <c r="XAB577" s="44"/>
      <c r="XAC577" s="44"/>
      <c r="XAD577" s="44"/>
      <c r="XAE577" s="44"/>
      <c r="XAF577" s="44"/>
      <c r="XAG577" s="44"/>
      <c r="XAH577" s="44"/>
      <c r="XAI577" s="44"/>
      <c r="XAJ577" s="44"/>
      <c r="XAK577" s="44"/>
      <c r="XAL577" s="44"/>
      <c r="XAM577" s="44"/>
      <c r="XAN577" s="44"/>
      <c r="XAO577" s="44"/>
      <c r="XAP577" s="44"/>
      <c r="XAQ577" s="44"/>
      <c r="XAR577" s="44"/>
      <c r="XAS577" s="44"/>
      <c r="XAT577" s="44"/>
      <c r="XAU577" s="44"/>
      <c r="XAV577" s="44"/>
      <c r="XAW577" s="44"/>
      <c r="XAX577" s="44"/>
      <c r="XAY577" s="44"/>
      <c r="XAZ577" s="44"/>
      <c r="XBA577" s="44"/>
      <c r="XBB577" s="44"/>
      <c r="XBC577" s="44"/>
      <c r="XBD577" s="44"/>
      <c r="XBE577" s="44"/>
      <c r="XBF577" s="44"/>
      <c r="XBG577" s="44"/>
      <c r="XBH577" s="44"/>
      <c r="XBI577" s="44"/>
      <c r="XBJ577" s="44"/>
      <c r="XBK577" s="44"/>
      <c r="XBL577" s="44"/>
      <c r="XBM577" s="44"/>
      <c r="XBN577" s="44"/>
      <c r="XBO577" s="44"/>
      <c r="XBP577" s="44"/>
      <c r="XBQ577" s="44"/>
      <c r="XBR577" s="44"/>
      <c r="XBS577" s="44"/>
      <c r="XBT577" s="44"/>
      <c r="XBU577" s="44"/>
      <c r="XBV577" s="44"/>
      <c r="XBW577" s="44"/>
      <c r="XBX577" s="44"/>
      <c r="XBY577" s="44"/>
      <c r="XBZ577" s="44"/>
      <c r="XCA577" s="44"/>
      <c r="XCB577" s="44"/>
      <c r="XCC577" s="44"/>
      <c r="XCD577" s="44"/>
      <c r="XCE577" s="44"/>
      <c r="XCF577" s="44"/>
      <c r="XCG577" s="44"/>
      <c r="XCH577" s="44"/>
      <c r="XCI577" s="44"/>
      <c r="XCJ577" s="44"/>
      <c r="XCK577" s="44"/>
      <c r="XCL577" s="44"/>
      <c r="XCM577" s="44"/>
      <c r="XCN577" s="44"/>
      <c r="XCO577" s="44"/>
      <c r="XCP577" s="44"/>
      <c r="XCQ577" s="44"/>
      <c r="XCR577" s="44"/>
      <c r="XCS577" s="44"/>
      <c r="XCT577" s="44"/>
      <c r="XCU577" s="44"/>
      <c r="XCV577" s="44"/>
      <c r="XCW577" s="44"/>
      <c r="XCX577" s="44"/>
      <c r="XCY577" s="44"/>
      <c r="XCZ577" s="44"/>
      <c r="XDA577" s="44"/>
      <c r="XDB577" s="44"/>
      <c r="XDC577" s="44"/>
      <c r="XDD577" s="44"/>
      <c r="XDE577" s="44"/>
      <c r="XDF577" s="44"/>
      <c r="XDG577" s="44"/>
      <c r="XDH577" s="44"/>
      <c r="XDI577" s="44"/>
      <c r="XDJ577" s="44"/>
      <c r="XDK577" s="44"/>
      <c r="XDL577" s="44"/>
      <c r="XDM577" s="44"/>
      <c r="XDN577" s="44"/>
      <c r="XDO577" s="44"/>
      <c r="XDP577" s="44"/>
      <c r="XDQ577" s="44"/>
      <c r="XDR577" s="44"/>
      <c r="XDS577" s="44"/>
      <c r="XDT577" s="44"/>
      <c r="XDU577" s="44"/>
      <c r="XDV577" s="44"/>
      <c r="XDW577" s="44"/>
      <c r="XDX577" s="44"/>
      <c r="XDY577" s="44"/>
      <c r="XDZ577" s="44"/>
      <c r="XEA577" s="44"/>
      <c r="XEB577" s="44"/>
      <c r="XEC577" s="44"/>
      <c r="XED577" s="44"/>
      <c r="XEE577" s="44"/>
      <c r="XEF577" s="44"/>
      <c r="XEG577" s="44"/>
      <c r="XEH577" s="44"/>
      <c r="XEI577" s="44"/>
      <c r="XEJ577" s="44"/>
      <c r="XEK577" s="44"/>
      <c r="XEL577" s="44"/>
      <c r="XEM577" s="44"/>
      <c r="XEN577" s="44"/>
      <c r="XEO577" s="44"/>
      <c r="XEP577" s="44"/>
      <c r="XEQ577" s="44"/>
      <c r="XER577" s="44"/>
      <c r="XES577" s="44"/>
      <c r="XET577" s="44"/>
      <c r="XEU577" s="44"/>
    </row>
    <row r="578" spans="1:16375">
      <c r="A578" s="1046">
        <v>5105120005</v>
      </c>
      <c r="B578" s="1047" t="s">
        <v>690</v>
      </c>
      <c r="C578" s="1214">
        <f>IFERROR(VLOOKUP(A578,'SAP '!$A$3:$C$14709,3,0),0)</f>
        <v>1604369.04</v>
      </c>
      <c r="D578" s="1082">
        <f>IFERROR(VLOOKUP(A578,'SAP '!A:D,4,0),0)</f>
        <v>1706618.51</v>
      </c>
    </row>
    <row r="579" spans="1:16375">
      <c r="A579" s="1046">
        <v>5105120006</v>
      </c>
      <c r="B579" s="1047" t="s">
        <v>691</v>
      </c>
      <c r="C579" s="1214">
        <f>IFERROR(VLOOKUP(A579,'SAP '!$A$3:$C$14709,3,0),0)</f>
        <v>2165609.0099999998</v>
      </c>
      <c r="D579" s="1082">
        <f>IFERROR(VLOOKUP(A579,'SAP '!A:D,4,0),0)</f>
        <v>2960039.15</v>
      </c>
    </row>
    <row r="580" spans="1:16375">
      <c r="A580" s="1046">
        <v>5105120007</v>
      </c>
      <c r="B580" s="1047" t="s">
        <v>1027</v>
      </c>
      <c r="C580" s="1214">
        <f>IFERROR(VLOOKUP(A580,'SAP '!$A$3:$C$14709,3,0),0)</f>
        <v>0</v>
      </c>
      <c r="D580" s="1082">
        <f>IFERROR(VLOOKUP(A580,'SAP '!A:D,4,0),0)</f>
        <v>0</v>
      </c>
    </row>
    <row r="581" spans="1:16375">
      <c r="A581" s="1046">
        <v>5105120008</v>
      </c>
      <c r="B581" s="1047" t="s">
        <v>1469</v>
      </c>
      <c r="C581" s="1214">
        <f>IFERROR(VLOOKUP(A581,'SAP '!$A$3:$C$14709,3,0),0)</f>
        <v>313984.86</v>
      </c>
      <c r="D581" s="1082">
        <f>IFERROR(VLOOKUP(A581,'SAP '!A:D,4,0),0)</f>
        <v>184280.34</v>
      </c>
    </row>
    <row r="582" spans="1:16375">
      <c r="A582" s="1046">
        <v>5105121000</v>
      </c>
      <c r="B582" s="1047" t="s">
        <v>672</v>
      </c>
      <c r="C582" s="1214">
        <f>IFERROR(VLOOKUP(A582,'SAP '!$A$3:$C$14709,3,0),0)</f>
        <v>8120156.0300000003</v>
      </c>
      <c r="D582" s="1082">
        <f>IFERROR(VLOOKUP(A582,'SAP '!A:D,4,0),0)</f>
        <v>8432197.3300000001</v>
      </c>
    </row>
    <row r="583" spans="1:16375">
      <c r="A583" s="1046">
        <v>5105122000</v>
      </c>
      <c r="B583" s="1047" t="s">
        <v>673</v>
      </c>
      <c r="C583" s="1214">
        <f>IFERROR(VLOOKUP(A583,'SAP '!$A$3:$C$14709,3,0),0)</f>
        <v>626912.23</v>
      </c>
      <c r="D583" s="1082">
        <f>IFERROR(VLOOKUP(A583,'SAP '!A:D,4,0),0)</f>
        <v>847204.92</v>
      </c>
    </row>
    <row r="584" spans="1:16375">
      <c r="A584" s="1046">
        <v>5105123000</v>
      </c>
      <c r="B584" s="1047" t="s">
        <v>674</v>
      </c>
      <c r="C584" s="1214">
        <f>IFERROR(VLOOKUP(A584,'SAP '!$A$3:$C$14709,3,0),0)</f>
        <v>111770</v>
      </c>
      <c r="D584" s="1082">
        <f>IFERROR(VLOOKUP(A584,'SAP '!A:D,4,0),0)</f>
        <v>141123</v>
      </c>
    </row>
    <row r="585" spans="1:16375">
      <c r="A585" s="1046">
        <v>5105123002</v>
      </c>
      <c r="B585" s="1047" t="s">
        <v>1026</v>
      </c>
      <c r="C585" s="1214">
        <f>IFERROR(VLOOKUP(A585,'SAP '!$A$3:$C$14709,3,0),0)</f>
        <v>0</v>
      </c>
      <c r="D585" s="1082">
        <f>IFERROR(VLOOKUP(A585,'SAP '!A:D,4,0),0)</f>
        <v>0</v>
      </c>
    </row>
    <row r="586" spans="1:16375">
      <c r="A586" s="1046">
        <v>5105124000</v>
      </c>
      <c r="B586" s="1047" t="s">
        <v>675</v>
      </c>
      <c r="C586" s="1214">
        <f>IFERROR(VLOOKUP(A586,'SAP '!$A$3:$C$14709,3,0),0)</f>
        <v>0</v>
      </c>
      <c r="D586" s="1082">
        <f>IFERROR(VLOOKUP(A586,'SAP '!A:D,4,0),0)</f>
        <v>0</v>
      </c>
    </row>
    <row r="587" spans="1:16375">
      <c r="A587" s="1046">
        <v>5105125000</v>
      </c>
      <c r="B587" s="1047" t="s">
        <v>676</v>
      </c>
      <c r="C587" s="1214">
        <f>IFERROR(VLOOKUP(A587,'SAP '!$A$3:$C$14709,3,0),0)</f>
        <v>55000</v>
      </c>
      <c r="D587" s="1082">
        <f>IFERROR(VLOOKUP(A587,'SAP '!A:D,4,0),0)</f>
        <v>60000</v>
      </c>
    </row>
    <row r="588" spans="1:16375">
      <c r="A588" s="1046">
        <v>5105125001</v>
      </c>
      <c r="B588" s="1047" t="s">
        <v>204</v>
      </c>
      <c r="C588" s="1214">
        <f>IFERROR(VLOOKUP(A588,'SAP '!$A$3:$C$14709,3,0),0)</f>
        <v>80000</v>
      </c>
      <c r="D588" s="1082">
        <f>IFERROR(VLOOKUP(A588,'SAP '!A:D,4,0),0)</f>
        <v>0</v>
      </c>
    </row>
    <row r="589" spans="1:16375">
      <c r="A589" s="1046">
        <v>5105126000</v>
      </c>
      <c r="B589" s="1047" t="s">
        <v>677</v>
      </c>
      <c r="C589" s="1214">
        <f>IFERROR(VLOOKUP(A589,'SAP '!$A$3:$C$14709,3,0),0)</f>
        <v>0</v>
      </c>
      <c r="D589" s="1082">
        <f>IFERROR(VLOOKUP(A589,'SAP '!A:D,4,0),0)</f>
        <v>0</v>
      </c>
    </row>
    <row r="590" spans="1:16375">
      <c r="A590" s="1057">
        <v>5105126001</v>
      </c>
      <c r="B590" s="1058" t="s">
        <v>170</v>
      </c>
      <c r="C590" s="1214">
        <f>IFERROR(VLOOKUP(A590,'SAP '!$A$3:$C$14709,3,0),0)</f>
        <v>0</v>
      </c>
      <c r="D590" s="1082">
        <f>IFERROR(VLOOKUP(A590,'SAP '!A:D,4,0),0)</f>
        <v>256351.56</v>
      </c>
    </row>
    <row r="591" spans="1:16375">
      <c r="A591" s="1046">
        <v>5105126002</v>
      </c>
      <c r="B591" s="1047" t="s">
        <v>678</v>
      </c>
      <c r="C591" s="1214">
        <f>IFERROR(VLOOKUP(A591,'SAP '!$A$3:$C$14709,3,0),0)</f>
        <v>66701.399999999994</v>
      </c>
      <c r="D591" s="1082">
        <f>IFERROR(VLOOKUP(A591,'SAP '!A:D,4,0),0)</f>
        <v>558832.77</v>
      </c>
    </row>
    <row r="592" spans="1:16375">
      <c r="A592" s="1051">
        <v>5105126003</v>
      </c>
      <c r="B592" s="1051" t="s">
        <v>171</v>
      </c>
      <c r="C592" s="1214">
        <f>IFERROR(VLOOKUP(A592,'SAP '!$A$3:$C$14709,3,0),0)</f>
        <v>0</v>
      </c>
      <c r="D592" s="1082">
        <f>IFERROR(VLOOKUP(A592,'SAP '!A:D,4,0),0)</f>
        <v>0</v>
      </c>
    </row>
    <row r="593" spans="1:4">
      <c r="A593" s="1046">
        <v>5105126004</v>
      </c>
      <c r="B593" s="1047" t="s">
        <v>679</v>
      </c>
      <c r="C593" s="1214">
        <f>IFERROR(VLOOKUP(A593,'SAP '!$A$3:$C$14709,3,0),0)</f>
        <v>0</v>
      </c>
      <c r="D593" s="1082">
        <f>IFERROR(VLOOKUP(A593,'SAP '!A:D,4,0),0)</f>
        <v>0</v>
      </c>
    </row>
    <row r="594" spans="1:4">
      <c r="A594" s="1051">
        <v>5105126005</v>
      </c>
      <c r="B594" s="1051" t="s">
        <v>172</v>
      </c>
      <c r="C594" s="1214">
        <f>IFERROR(VLOOKUP(A594,'SAP '!$A$3:$C$14709,3,0),0)</f>
        <v>0</v>
      </c>
      <c r="D594" s="1082">
        <f>IFERROR(VLOOKUP(A594,'SAP '!A:D,4,0),0)</f>
        <v>0</v>
      </c>
    </row>
    <row r="595" spans="1:4">
      <c r="A595" s="1051">
        <v>5105126006</v>
      </c>
      <c r="B595" s="1051" t="s">
        <v>173</v>
      </c>
      <c r="C595" s="1214">
        <f>IFERROR(VLOOKUP(A595,'SAP '!$A$3:$C$14709,3,0),0)</f>
        <v>0</v>
      </c>
      <c r="D595" s="1082">
        <f>IFERROR(VLOOKUP(A595,'SAP '!A:D,4,0),0)</f>
        <v>171935.91</v>
      </c>
    </row>
    <row r="596" spans="1:4">
      <c r="A596" s="1046">
        <v>5105126007</v>
      </c>
      <c r="B596" s="1047" t="s">
        <v>680</v>
      </c>
      <c r="C596" s="1216">
        <f>IFERROR(VLOOKUP(A596,'SAP '!$A$3:$C$14709,3,0),0)</f>
        <v>0.17</v>
      </c>
      <c r="D596" s="1082">
        <f>IFERROR(VLOOKUP(A596,'SAP '!A:D,4,0),0)</f>
        <v>1.67</v>
      </c>
    </row>
    <row r="597" spans="1:4">
      <c r="A597" s="1051">
        <v>5105126009</v>
      </c>
      <c r="B597" s="1051" t="s">
        <v>1124</v>
      </c>
      <c r="C597" s="1214">
        <f>IFERROR(VLOOKUP(A597,'SAP '!$A$3:$C$14709,3,0),0)</f>
        <v>0</v>
      </c>
      <c r="D597" s="1082">
        <f>IFERROR(VLOOKUP(A597,'SAP '!A:D,4,0),0)</f>
        <v>0</v>
      </c>
    </row>
    <row r="598" spans="1:4">
      <c r="A598" s="1046">
        <v>5105126999</v>
      </c>
      <c r="B598" s="1047" t="s">
        <v>681</v>
      </c>
      <c r="C598" s="1214">
        <f>IFERROR(VLOOKUP(A598,'SAP '!$A$3:$C$14709,3,0),0)</f>
        <v>0</v>
      </c>
      <c r="D598" s="1082">
        <f>IFERROR(VLOOKUP(A598,'SAP '!A:D,4,0),0)</f>
        <v>110393.60000000001</v>
      </c>
    </row>
    <row r="599" spans="1:4">
      <c r="A599" s="1046">
        <v>5105128000</v>
      </c>
      <c r="B599" s="1047" t="s">
        <v>682</v>
      </c>
      <c r="C599" s="1214">
        <f>IFERROR(VLOOKUP(A599,'SAP '!$A$3:$C$14709,3,0),0)</f>
        <v>0</v>
      </c>
      <c r="D599" s="1082">
        <f>IFERROR(VLOOKUP(A599,'SAP '!A:D,4,0),0)</f>
        <v>78799</v>
      </c>
    </row>
    <row r="600" spans="1:4">
      <c r="A600" s="1051">
        <v>5105130000</v>
      </c>
      <c r="B600" s="1051" t="s">
        <v>174</v>
      </c>
      <c r="C600" s="1214">
        <f>IFERROR(VLOOKUP(A600,'SAP '!$A$3:$C$14709,3,0),0)</f>
        <v>0</v>
      </c>
      <c r="D600" s="1082">
        <f>IFERROR(VLOOKUP(A600,'SAP '!A:D,4,0),0)</f>
        <v>0</v>
      </c>
    </row>
    <row r="601" spans="1:4">
      <c r="A601" s="1046">
        <v>5105130001</v>
      </c>
      <c r="B601" s="1047" t="s">
        <v>683</v>
      </c>
      <c r="C601" s="1214">
        <f>IFERROR(VLOOKUP(A601,'SAP '!$A$3:$C$14709,3,0),0)</f>
        <v>474948.5</v>
      </c>
      <c r="D601" s="1082">
        <f>IFERROR(VLOOKUP(A601,'SAP '!A:D,4,0),0)</f>
        <v>410722.5</v>
      </c>
    </row>
    <row r="602" spans="1:4">
      <c r="A602" s="1046">
        <v>5105132000</v>
      </c>
      <c r="B602" s="1047" t="s">
        <v>210</v>
      </c>
      <c r="C602" s="1214">
        <f>IFERROR(VLOOKUP(A602,'SAP '!$A$3:$C$14709,3,0),0)</f>
        <v>25280</v>
      </c>
      <c r="D602" s="1082">
        <f>IFERROR(VLOOKUP(A602,'SAP '!A:D,4,0),0)</f>
        <v>0</v>
      </c>
    </row>
    <row r="603" spans="1:4">
      <c r="A603" s="1046">
        <v>5106101000</v>
      </c>
      <c r="B603" s="1047" t="s">
        <v>684</v>
      </c>
      <c r="C603" s="1214">
        <f>IFERROR(VLOOKUP(A603,'SAP '!$A$3:$C$14709,3,0),0)</f>
        <v>1517653.52</v>
      </c>
      <c r="D603" s="1082">
        <f>IFERROR(VLOOKUP(A603,'SAP '!A:D,4,0),0)</f>
        <v>878424.66</v>
      </c>
    </row>
    <row r="604" spans="1:4">
      <c r="A604" s="1059">
        <v>5106101001</v>
      </c>
      <c r="B604" s="1060" t="s">
        <v>1127</v>
      </c>
      <c r="C604" s="1214">
        <f>IFERROR(VLOOKUP(A604,'SAP '!$A$3:$C$14709,3,0),0)</f>
        <v>0</v>
      </c>
      <c r="D604" s="1082">
        <f>IFERROR(VLOOKUP(A604,'SAP '!A:D,4,0),0)</f>
        <v>0</v>
      </c>
    </row>
    <row r="605" spans="1:4">
      <c r="A605" s="1046">
        <v>5106102000</v>
      </c>
      <c r="B605" s="1047" t="s">
        <v>685</v>
      </c>
      <c r="C605" s="1214">
        <f>IFERROR(VLOOKUP(A605,'SAP '!$A$3:$C$14709,3,0),0)</f>
        <v>333261.7</v>
      </c>
      <c r="D605" s="1082">
        <f>IFERROR(VLOOKUP(A605,'SAP '!A:D,4,0),0)</f>
        <v>201120.03</v>
      </c>
    </row>
    <row r="606" spans="1:4">
      <c r="A606" s="1046">
        <v>5107101000</v>
      </c>
      <c r="B606" s="1047" t="s">
        <v>693</v>
      </c>
      <c r="C606" s="1214">
        <f>IFERROR(VLOOKUP(A606,'SAP '!$A$3:$C$14709,3,0),0)</f>
        <v>7015183.1900000004</v>
      </c>
      <c r="D606" s="1082">
        <f>IFERROR(VLOOKUP(A606,'SAP '!A:D,4,0),0)</f>
        <v>6300625</v>
      </c>
    </row>
    <row r="607" spans="1:4">
      <c r="A607" s="1046">
        <v>5107102000</v>
      </c>
      <c r="B607" s="1047" t="s">
        <v>694</v>
      </c>
      <c r="C607" s="1214">
        <f>IFERROR(VLOOKUP(A607,'SAP '!$A$3:$C$14709,3,0),0)</f>
        <v>92821649.599999994</v>
      </c>
      <c r="D607" s="1082">
        <f>IFERROR(VLOOKUP(A607,'SAP '!A:D,4,0),0)</f>
        <v>88983670</v>
      </c>
    </row>
    <row r="608" spans="1:4">
      <c r="A608" s="1046">
        <v>5107103000</v>
      </c>
      <c r="B608" s="1047" t="s">
        <v>695</v>
      </c>
      <c r="C608" s="1214">
        <f>IFERROR(VLOOKUP(A608,'SAP '!$A$3:$C$14709,3,0),0)</f>
        <v>1978783.08</v>
      </c>
      <c r="D608" s="1082">
        <f>IFERROR(VLOOKUP(A608,'SAP '!A:D,4,0),0)</f>
        <v>2172885.84</v>
      </c>
    </row>
    <row r="609" spans="1:4">
      <c r="A609" s="1046">
        <v>5107103001</v>
      </c>
      <c r="B609" s="1047" t="s">
        <v>696</v>
      </c>
      <c r="C609" s="1214">
        <f>IFERROR(VLOOKUP(A609,'SAP '!$A$3:$C$14709,3,0),0)</f>
        <v>362135.91</v>
      </c>
      <c r="D609" s="1082">
        <f>IFERROR(VLOOKUP(A609,'SAP '!A:D,4,0),0)</f>
        <v>373956</v>
      </c>
    </row>
    <row r="610" spans="1:4">
      <c r="A610" s="1046">
        <v>5107104000</v>
      </c>
      <c r="B610" s="1047" t="s">
        <v>697</v>
      </c>
      <c r="C610" s="1214">
        <f>IFERROR(VLOOKUP(A610,'SAP '!$A$3:$C$14709,3,0),0)</f>
        <v>27473611</v>
      </c>
      <c r="D610" s="1082">
        <f>IFERROR(VLOOKUP(A610,'SAP '!A:D,4,0),0)</f>
        <v>28344469</v>
      </c>
    </row>
    <row r="611" spans="1:4">
      <c r="A611" s="1046">
        <v>5107104001</v>
      </c>
      <c r="B611" s="1047" t="s">
        <v>698</v>
      </c>
      <c r="C611" s="1214">
        <f>IFERROR(VLOOKUP(A611,'SAP '!$A$3:$C$14709,3,0),0)</f>
        <v>11350321</v>
      </c>
      <c r="D611" s="1082">
        <f>IFERROR(VLOOKUP(A611,'SAP '!A:D,4,0),0)</f>
        <v>10214794</v>
      </c>
    </row>
    <row r="612" spans="1:4">
      <c r="A612" s="1046">
        <v>5107105000</v>
      </c>
      <c r="B612" s="1047" t="s">
        <v>699</v>
      </c>
      <c r="C612" s="1214">
        <f>IFERROR(VLOOKUP(A612,'SAP '!$A$3:$C$14709,3,0),0)</f>
        <v>1721460</v>
      </c>
      <c r="D612" s="1082">
        <f>IFERROR(VLOOKUP(A612,'SAP '!A:D,4,0),0)</f>
        <v>1844989.13</v>
      </c>
    </row>
    <row r="613" spans="1:4">
      <c r="A613" s="1046">
        <v>5107106000</v>
      </c>
      <c r="B613" s="1047" t="s">
        <v>700</v>
      </c>
      <c r="C613" s="1214">
        <f>IFERROR(VLOOKUP(A613,'SAP '!$A$3:$C$14709,3,0),0)</f>
        <v>2354814</v>
      </c>
      <c r="D613" s="1082">
        <f>IFERROR(VLOOKUP(A613,'SAP '!A:D,4,0),0)</f>
        <v>1887482</v>
      </c>
    </row>
    <row r="614" spans="1:4">
      <c r="A614" s="1051">
        <v>5107107000</v>
      </c>
      <c r="B614" s="1051" t="s">
        <v>175</v>
      </c>
      <c r="C614" s="1214">
        <f>IFERROR(VLOOKUP(A614,'SAP '!$A$3:$C$14709,3,0),0)</f>
        <v>0</v>
      </c>
      <c r="D614" s="1082">
        <f>IFERROR(VLOOKUP(A614,'SAP '!A:D,4,0),0)</f>
        <v>0</v>
      </c>
    </row>
    <row r="615" spans="1:4">
      <c r="A615" s="1051">
        <v>5107108000</v>
      </c>
      <c r="B615" s="1051" t="s">
        <v>176</v>
      </c>
      <c r="C615" s="1214">
        <f>IFERROR(VLOOKUP(A615,'SAP '!$A$3:$C$14709,3,0),0)</f>
        <v>0</v>
      </c>
      <c r="D615" s="1082">
        <f>IFERROR(VLOOKUP(A615,'SAP '!A:D,4,0),0)</f>
        <v>0</v>
      </c>
    </row>
    <row r="616" spans="1:4">
      <c r="A616" s="1046">
        <v>5107202000</v>
      </c>
      <c r="B616" s="1047" t="s">
        <v>701</v>
      </c>
      <c r="C616" s="1214">
        <f>IFERROR(VLOOKUP(A616,'SAP '!$A$3:$C$14709,3,0),0)</f>
        <v>92415235</v>
      </c>
      <c r="D616" s="1082">
        <f>IFERROR(VLOOKUP(A616,'SAP '!A:D,4,0),0)</f>
        <v>73895945.700000003</v>
      </c>
    </row>
    <row r="617" spans="1:4">
      <c r="A617" s="1051">
        <v>5108101000</v>
      </c>
      <c r="B617" s="1051" t="s">
        <v>177</v>
      </c>
      <c r="C617" s="1214">
        <f>IFERROR(VLOOKUP(A617,'SAP '!$A$3:$C$14709,3,0),0)</f>
        <v>0</v>
      </c>
      <c r="D617" s="1082">
        <f>IFERROR(VLOOKUP(A617,'SAP '!A:D,4,0),0)</f>
        <v>-110060.4</v>
      </c>
    </row>
    <row r="618" spans="1:4">
      <c r="A618" s="1051">
        <v>5108102000</v>
      </c>
      <c r="B618" s="1051" t="s">
        <v>178</v>
      </c>
      <c r="C618" s="1214">
        <f>IFERROR(VLOOKUP(A618,'SAP '!$A$3:$C$14709,3,0),0)</f>
        <v>0</v>
      </c>
      <c r="D618" s="1082">
        <f>IFERROR(VLOOKUP(A618,'SAP '!A:D,4,0),0)</f>
        <v>0</v>
      </c>
    </row>
    <row r="619" spans="1:4">
      <c r="A619" s="1046">
        <v>5110101000</v>
      </c>
      <c r="B619" s="1047" t="s">
        <v>1028</v>
      </c>
      <c r="C619" s="1214">
        <f>IFERROR(VLOOKUP(A619,'SAP '!$A$3:$C$14709,3,0),0)</f>
        <v>0</v>
      </c>
      <c r="D619" s="1082">
        <f>IFERROR(VLOOKUP(A619,'SAP '!A:D,4,0),0)</f>
        <v>0</v>
      </c>
    </row>
    <row r="620" spans="1:4">
      <c r="A620" s="1051">
        <v>5110101001</v>
      </c>
      <c r="B620" s="1051" t="s">
        <v>179</v>
      </c>
      <c r="C620" s="1214">
        <f>IFERROR(VLOOKUP(A620,'SAP '!$A$3:$C$14709,3,0),0)</f>
        <v>0</v>
      </c>
      <c r="D620" s="1082">
        <f>IFERROR(VLOOKUP(A620,'SAP '!A:D,4,0),0)</f>
        <v>0</v>
      </c>
    </row>
    <row r="621" spans="1:4">
      <c r="A621" s="1051">
        <v>5110201000</v>
      </c>
      <c r="B621" s="1051" t="s">
        <v>180</v>
      </c>
      <c r="C621" s="1214">
        <f>IFERROR(VLOOKUP(A621,'SAP '!$A$3:$C$14709,3,0),0)</f>
        <v>0</v>
      </c>
      <c r="D621" s="1082">
        <f>IFERROR(VLOOKUP(A621,'SAP '!A:D,4,0),0)</f>
        <v>0</v>
      </c>
    </row>
    <row r="622" spans="1:4">
      <c r="A622" s="1046">
        <v>5111102000</v>
      </c>
      <c r="B622" s="1047" t="s">
        <v>692</v>
      </c>
      <c r="C622" s="1214">
        <f>IFERROR(VLOOKUP(A622,'SAP '!$A$3:$C$14709,3,0),0)</f>
        <v>1491360.79</v>
      </c>
      <c r="D622" s="1082">
        <f>IFERROR(VLOOKUP(A622,'SAP '!A:D,4,0),0)</f>
        <v>1364776.08</v>
      </c>
    </row>
    <row r="623" spans="1:4">
      <c r="A623" s="1051">
        <v>6103101000</v>
      </c>
      <c r="B623" s="1051" t="s">
        <v>1042</v>
      </c>
      <c r="C623" s="1088">
        <f>IFERROR(VLOOKUP(A623,'SAP '!$A$3:$C$14709,3,0),0)</f>
        <v>0</v>
      </c>
      <c r="D623" s="1082">
        <f>IFERROR(VLOOKUP(A623,'SAP '!A:D,4,0),0)</f>
        <v>20624316</v>
      </c>
    </row>
    <row r="624" spans="1:4">
      <c r="A624" s="1051">
        <v>6103101001</v>
      </c>
      <c r="B624" s="1051" t="s">
        <v>1029</v>
      </c>
      <c r="C624" s="1088">
        <f>IFERROR(VLOOKUP(A624,'SAP '!$A$3:$C$14709,3,0),0)</f>
        <v>0</v>
      </c>
      <c r="D624" s="1082">
        <f>IFERROR(VLOOKUP(A624,'SAP '!A:D,4,0),0)</f>
        <v>0</v>
      </c>
    </row>
    <row r="625" spans="1:4">
      <c r="A625" s="1051">
        <v>6109101000</v>
      </c>
      <c r="B625" s="1051" t="s">
        <v>1030</v>
      </c>
      <c r="C625" s="1088">
        <f>IFERROR(VLOOKUP(A625,'SAP '!$A$3:$C$14709,3,0),0)</f>
        <v>0</v>
      </c>
      <c r="D625" s="1082">
        <f>IFERROR(VLOOKUP(A625,'SAP '!A:D,4,0),0)</f>
        <v>-6187294.7999999998</v>
      </c>
    </row>
    <row r="626" spans="1:4">
      <c r="A626" s="1052">
        <v>7010101001</v>
      </c>
      <c r="B626" s="1053" t="s">
        <v>534</v>
      </c>
      <c r="C626" s="1214">
        <f>IFERROR(VLOOKUP(A626,'SAP '!$A$3:$C$14709,3,0),0)</f>
        <v>17217423.75</v>
      </c>
      <c r="D626" s="1082">
        <f>IFERROR(VLOOKUP(A626,'SAP '!A:D,4,0),0)</f>
        <v>0</v>
      </c>
    </row>
    <row r="627" spans="1:4">
      <c r="A627" s="1052">
        <v>7010101002</v>
      </c>
      <c r="B627" s="1053" t="s">
        <v>535</v>
      </c>
      <c r="C627" s="1214">
        <f>IFERROR(VLOOKUP(A627,'SAP '!$A$3:$C$14709,3,0),0)</f>
        <v>-64814</v>
      </c>
      <c r="D627" s="1082">
        <f>IFERROR(VLOOKUP(A627,'SAP '!A:D,4,0),0)</f>
        <v>0</v>
      </c>
    </row>
    <row r="628" spans="1:4">
      <c r="A628" s="1052">
        <v>7010101003</v>
      </c>
      <c r="B628" s="1053" t="s">
        <v>859</v>
      </c>
      <c r="C628" s="1214">
        <f>IFERROR(VLOOKUP(A628,'SAP '!$A$3:$C$14709,3,0),0)</f>
        <v>0</v>
      </c>
      <c r="D628" s="1082">
        <f>IFERROR(VLOOKUP(A628,'SAP '!A:D,4,0),0)</f>
        <v>0</v>
      </c>
    </row>
    <row r="629" spans="1:4">
      <c r="A629" s="1052">
        <v>7010101004</v>
      </c>
      <c r="B629" s="1053" t="s">
        <v>567</v>
      </c>
      <c r="C629" s="1214">
        <f>IFERROR(VLOOKUP(A629,'SAP '!$A$3:$C$14709,3,0),0)</f>
        <v>0</v>
      </c>
      <c r="D629" s="1082">
        <f>IFERROR(VLOOKUP(A629,'SAP '!A:D,4,0),0)</f>
        <v>0</v>
      </c>
    </row>
    <row r="630" spans="1:4">
      <c r="A630" s="1052">
        <v>7010101006</v>
      </c>
      <c r="B630" s="1053" t="s">
        <v>557</v>
      </c>
      <c r="C630" s="1214">
        <f>IFERROR(VLOOKUP(A630,'SAP '!$A$3:$C$14709,3,0),0)</f>
        <v>0</v>
      </c>
      <c r="D630" s="1082">
        <f>IFERROR(VLOOKUP(A630,'SAP '!A:D,4,0),0)</f>
        <v>0</v>
      </c>
    </row>
    <row r="631" spans="1:4">
      <c r="A631" s="1052">
        <v>7010101007</v>
      </c>
      <c r="B631" s="1053" t="s">
        <v>860</v>
      </c>
      <c r="C631" s="1214">
        <f>IFERROR(VLOOKUP(A631,'SAP '!$A$3:$C$14709,3,0),0)</f>
        <v>0</v>
      </c>
      <c r="D631" s="1082">
        <f>IFERROR(VLOOKUP(A631,'SAP '!A:D,4,0),0)</f>
        <v>0</v>
      </c>
    </row>
    <row r="632" spans="1:4">
      <c r="A632" s="1052">
        <v>7010101008</v>
      </c>
      <c r="B632" s="1053" t="s">
        <v>568</v>
      </c>
      <c r="C632" s="1214">
        <f>IFERROR(VLOOKUP(A632,'SAP '!$A$3:$C$14709,3,0),0)</f>
        <v>0</v>
      </c>
      <c r="D632" s="1082">
        <f>IFERROR(VLOOKUP(A632,'SAP '!A:D,4,0),0)</f>
        <v>0</v>
      </c>
    </row>
    <row r="633" spans="1:4">
      <c r="A633" s="1052">
        <v>7010101009</v>
      </c>
      <c r="B633" s="1053" t="s">
        <v>558</v>
      </c>
      <c r="C633" s="1214">
        <f>IFERROR(VLOOKUP(A633,'SAP '!$A$3:$C$14709,3,0),0)</f>
        <v>-321554.2</v>
      </c>
      <c r="D633" s="1082">
        <f>IFERROR(VLOOKUP(A633,'SAP '!A:D,4,0),0)</f>
        <v>0</v>
      </c>
    </row>
    <row r="634" spans="1:4">
      <c r="A634" s="1052">
        <v>7010101014</v>
      </c>
      <c r="B634" s="1053" t="s">
        <v>536</v>
      </c>
      <c r="C634" s="1214">
        <f>IFERROR(VLOOKUP(A634,'SAP '!$A$3:$C$14709,3,0),0)</f>
        <v>1953386.32</v>
      </c>
      <c r="D634" s="1082">
        <f>IFERROR(VLOOKUP(A634,'SAP '!A:D,4,0),0)</f>
        <v>0</v>
      </c>
    </row>
    <row r="635" spans="1:4">
      <c r="A635" s="1052">
        <v>7010101015</v>
      </c>
      <c r="B635" s="1053" t="s">
        <v>537</v>
      </c>
      <c r="C635" s="1214">
        <f>IFERROR(VLOOKUP(A635,'SAP '!$A$3:$C$14709,3,0),0)</f>
        <v>153883993.52000001</v>
      </c>
      <c r="D635" s="1082">
        <f>IFERROR(VLOOKUP(A635,'SAP '!A:D,4,0),0)</f>
        <v>0</v>
      </c>
    </row>
    <row r="636" spans="1:4">
      <c r="A636" s="1052">
        <v>7010101017</v>
      </c>
      <c r="B636" s="1053" t="s">
        <v>538</v>
      </c>
      <c r="C636" s="1214">
        <f>IFERROR(VLOOKUP(A636,'SAP '!$A$3:$C$14709,3,0),0)</f>
        <v>-142464.48000000001</v>
      </c>
      <c r="D636" s="1082">
        <f>IFERROR(VLOOKUP(A636,'SAP '!A:D,4,0),0)</f>
        <v>0</v>
      </c>
    </row>
    <row r="637" spans="1:4">
      <c r="A637" s="1052">
        <v>7010101027</v>
      </c>
      <c r="B637" s="1053" t="s">
        <v>559</v>
      </c>
      <c r="C637" s="1214">
        <f>IFERROR(VLOOKUP(A637,'SAP '!$A$3:$C$14709,3,0),0)</f>
        <v>0</v>
      </c>
      <c r="D637" s="1082">
        <f>IFERROR(VLOOKUP(A637,'SAP '!A:D,4,0),0)</f>
        <v>0</v>
      </c>
    </row>
    <row r="638" spans="1:4">
      <c r="A638" s="1052">
        <v>7010101028</v>
      </c>
      <c r="B638" s="1053" t="s">
        <v>560</v>
      </c>
      <c r="C638" s="1214">
        <f>IFERROR(VLOOKUP(A638,'SAP '!$A$3:$C$14709,3,0),0)</f>
        <v>1296992.75</v>
      </c>
      <c r="D638" s="1082">
        <f>IFERROR(VLOOKUP(A638,'SAP '!A:D,4,0),0)</f>
        <v>0</v>
      </c>
    </row>
    <row r="639" spans="1:4">
      <c r="C639" s="30">
        <f>SUM(C2:C638)</f>
        <v>6.7474320530891418E-7</v>
      </c>
      <c r="D639" s="30">
        <f>SUM(D2:D638)</f>
        <v>511561046.34999955</v>
      </c>
    </row>
    <row r="660" spans="2:2">
      <c r="B660" s="53"/>
    </row>
  </sheetData>
  <autoFilter ref="A1:D639"/>
  <sortState ref="A2:D634">
    <sortCondition ref="A2:A634"/>
  </sortState>
  <pageMargins left="0.7" right="0.7" top="0.75" bottom="0.75" header="0.3" footer="0.3"/>
  <pageSetup scale="88" orientation="portrait" r:id="rId1"/>
</worksheet>
</file>

<file path=xl/worksheets/sheet20.xml><?xml version="1.0" encoding="utf-8"?>
<worksheet xmlns="http://schemas.openxmlformats.org/spreadsheetml/2006/main" xmlns:r="http://schemas.openxmlformats.org/officeDocument/2006/relationships">
  <sheetPr enableFormatConditionsCalculation="0">
    <tabColor rgb="FF0070C0"/>
  </sheetPr>
  <dimension ref="A1:S26"/>
  <sheetViews>
    <sheetView showGridLines="0" workbookViewId="0">
      <selection activeCell="C1" sqref="C1"/>
    </sheetView>
  </sheetViews>
  <sheetFormatPr defaultColWidth="9.140625" defaultRowHeight="13.5"/>
  <cols>
    <col min="1" max="1" width="16.140625" style="32" customWidth="1"/>
    <col min="2" max="2" width="39.28515625" style="32" bestFit="1" customWidth="1"/>
    <col min="3" max="3" width="15" style="32" bestFit="1" customWidth="1"/>
    <col min="4" max="4" width="14.42578125" style="95" hidden="1" customWidth="1"/>
    <col min="5" max="5" width="3.7109375" style="32" hidden="1" customWidth="1"/>
    <col min="6" max="6" width="107.85546875" style="32" hidden="1" customWidth="1"/>
    <col min="7" max="18" width="9.140625" style="32"/>
    <col min="19" max="19" width="10.28515625" style="32" bestFit="1" customWidth="1"/>
    <col min="20" max="16384" width="9.140625" style="32"/>
  </cols>
  <sheetData>
    <row r="1" spans="1:19" ht="23.25" customHeight="1">
      <c r="A1" s="31"/>
      <c r="B1" s="1574" t="s">
        <v>115</v>
      </c>
      <c r="C1" s="1574"/>
    </row>
    <row r="2" spans="1:19" s="33" customFormat="1" ht="39" customHeight="1">
      <c r="A2" s="1575" t="s">
        <v>21</v>
      </c>
      <c r="B2" s="1576"/>
      <c r="C2" s="36" t="s">
        <v>1047</v>
      </c>
      <c r="D2" s="94" t="s">
        <v>575</v>
      </c>
      <c r="F2" s="33" t="s">
        <v>116</v>
      </c>
    </row>
    <row r="3" spans="1:19" ht="15">
      <c r="A3" s="1572" t="s">
        <v>870</v>
      </c>
      <c r="B3" s="1573"/>
      <c r="C3" s="37">
        <f>'4CF'!C51/1000000</f>
        <v>633.51982384999985</v>
      </c>
      <c r="D3" s="96">
        <v>303.39999999999998</v>
      </c>
      <c r="F3" s="32" t="s">
        <v>117</v>
      </c>
    </row>
    <row r="4" spans="1:19" ht="15">
      <c r="A4" s="1569" t="s">
        <v>119</v>
      </c>
      <c r="B4" s="112" t="s">
        <v>121</v>
      </c>
      <c r="C4" s="99"/>
      <c r="D4" s="97"/>
      <c r="F4" s="32" t="s">
        <v>118</v>
      </c>
    </row>
    <row r="5" spans="1:19" ht="15" customHeight="1">
      <c r="A5" s="1570"/>
      <c r="B5" s="113" t="s">
        <v>123</v>
      </c>
      <c r="C5" s="114">
        <f>'3SOCI'!D8/1000000-C9</f>
        <v>954.92295415000012</v>
      </c>
      <c r="D5" s="38">
        <f>C5/6*2</f>
        <v>318.30765138333339</v>
      </c>
      <c r="F5" s="32" t="s">
        <v>120</v>
      </c>
    </row>
    <row r="6" spans="1:19" ht="15" customHeight="1">
      <c r="A6" s="1570"/>
      <c r="B6" s="113" t="s">
        <v>137</v>
      </c>
      <c r="C6" s="114"/>
      <c r="D6" s="38"/>
      <c r="F6" s="32" t="s">
        <v>122</v>
      </c>
    </row>
    <row r="7" spans="1:19" ht="15">
      <c r="A7" s="1570"/>
      <c r="B7" s="115" t="s">
        <v>125</v>
      </c>
      <c r="C7" s="114"/>
      <c r="D7" s="38"/>
      <c r="F7" s="32" t="s">
        <v>124</v>
      </c>
    </row>
    <row r="8" spans="1:19" ht="15" customHeight="1">
      <c r="A8" s="1570"/>
      <c r="B8" s="113" t="s">
        <v>127</v>
      </c>
      <c r="C8" s="114"/>
      <c r="D8" s="38">
        <v>0</v>
      </c>
      <c r="F8" s="32" t="s">
        <v>126</v>
      </c>
    </row>
    <row r="9" spans="1:19" ht="15" customHeight="1">
      <c r="A9" s="1570"/>
      <c r="B9" s="113" t="s">
        <v>138</v>
      </c>
      <c r="C9" s="114">
        <f>'4CF'!C39/1000000</f>
        <v>0</v>
      </c>
      <c r="D9" s="38">
        <f>C9/6*2</f>
        <v>0</v>
      </c>
      <c r="F9" s="32" t="s">
        <v>128</v>
      </c>
    </row>
    <row r="10" spans="1:19" ht="15">
      <c r="A10" s="1570"/>
      <c r="B10" s="115" t="s">
        <v>129</v>
      </c>
      <c r="C10" s="114"/>
      <c r="D10" s="38"/>
      <c r="F10" s="32" t="s">
        <v>130</v>
      </c>
    </row>
    <row r="11" spans="1:19" ht="13.5" customHeight="1">
      <c r="A11" s="1570"/>
      <c r="B11" s="113" t="s">
        <v>131</v>
      </c>
      <c r="C11" s="114">
        <f>'4CF'!C46/1000000</f>
        <v>0</v>
      </c>
      <c r="D11" s="38">
        <f>C11*3</f>
        <v>0</v>
      </c>
      <c r="F11" s="34"/>
    </row>
    <row r="12" spans="1:19" ht="13.5" customHeight="1">
      <c r="A12" s="1571"/>
      <c r="B12" s="116" t="s">
        <v>216</v>
      </c>
      <c r="C12" s="117">
        <f>'4CF'!C44/1000000</f>
        <v>0</v>
      </c>
      <c r="D12" s="38">
        <v>0</v>
      </c>
      <c r="R12" s="32">
        <f>O12/1000000</f>
        <v>0</v>
      </c>
      <c r="S12" s="32">
        <f>S8+R12</f>
        <v>0</v>
      </c>
    </row>
    <row r="13" spans="1:19" ht="15">
      <c r="A13" s="1569" t="s">
        <v>132</v>
      </c>
      <c r="B13" s="112" t="s">
        <v>121</v>
      </c>
      <c r="C13" s="118"/>
      <c r="D13" s="38"/>
      <c r="E13" s="34"/>
    </row>
    <row r="14" spans="1:19" ht="13.5" customHeight="1">
      <c r="A14" s="1570"/>
      <c r="B14" s="113" t="s">
        <v>136</v>
      </c>
      <c r="C14" s="114" t="e">
        <f>-SUM('3SOCI'!#REF!-'3SOCI'!#REF!-'3SOCI'!#REF!)/1000000-C22</f>
        <v>#REF!</v>
      </c>
      <c r="D14" s="38" t="e">
        <f>C14/6*2</f>
        <v>#REF!</v>
      </c>
      <c r="G14" s="101"/>
    </row>
    <row r="15" spans="1:19" ht="13.5" customHeight="1">
      <c r="A15" s="1570"/>
      <c r="B15" s="113" t="s">
        <v>133</v>
      </c>
      <c r="C15" s="114">
        <f>'4CF'!D32/1000000-'3SOCI'!D27/1000000</f>
        <v>0</v>
      </c>
      <c r="D15" s="38">
        <v>-225</v>
      </c>
    </row>
    <row r="16" spans="1:19" ht="15">
      <c r="A16" s="1570"/>
      <c r="B16" s="115" t="s">
        <v>125</v>
      </c>
      <c r="C16" s="114"/>
      <c r="D16" s="38"/>
      <c r="F16" s="34"/>
    </row>
    <row r="17" spans="1:6" ht="13.5" customHeight="1">
      <c r="A17" s="1570"/>
      <c r="B17" s="113" t="s">
        <v>134</v>
      </c>
      <c r="C17" s="114">
        <f>SUM('4CF'!C35:C37)/1000000</f>
        <v>-26.187714940000021</v>
      </c>
      <c r="D17" s="38">
        <v>-454.68</v>
      </c>
      <c r="F17" s="34"/>
    </row>
    <row r="18" spans="1:6" ht="13.5" customHeight="1">
      <c r="A18" s="1570"/>
      <c r="B18" s="113" t="s">
        <v>211</v>
      </c>
      <c r="C18" s="114">
        <f>('4CF'!C7+'4CF'!C8+'4CF'!C9+'4CF'!D30+'4CF'!C38-'3SOCI'!D33)/1000000-C21</f>
        <v>-533.1729015300001</v>
      </c>
      <c r="D18" s="38">
        <f>C18/6*2</f>
        <v>-177.72430051000003</v>
      </c>
    </row>
    <row r="19" spans="1:6" ht="15">
      <c r="A19" s="1570"/>
      <c r="B19" s="115" t="s">
        <v>129</v>
      </c>
      <c r="C19" s="119"/>
      <c r="D19" s="38"/>
      <c r="F19" s="34"/>
    </row>
    <row r="20" spans="1:6" ht="13.5" customHeight="1">
      <c r="A20" s="1570"/>
      <c r="B20" s="113" t="s">
        <v>546</v>
      </c>
      <c r="C20" s="119">
        <f>('4CF'!C47/1000000)</f>
        <v>0</v>
      </c>
      <c r="D20" s="38">
        <f>C20</f>
        <v>0</v>
      </c>
      <c r="F20" s="34"/>
    </row>
    <row r="21" spans="1:6" ht="13.5" customHeight="1">
      <c r="A21" s="1570"/>
      <c r="B21" s="113" t="s">
        <v>219</v>
      </c>
      <c r="C21" s="119">
        <v>-60</v>
      </c>
      <c r="D21" s="38"/>
      <c r="F21" s="34"/>
    </row>
    <row r="22" spans="1:6" ht="13.5" customHeight="1">
      <c r="A22" s="1570"/>
      <c r="B22" s="113" t="s">
        <v>139</v>
      </c>
      <c r="C22" s="119" t="e">
        <f>-'10N_22-33'!#REF!/1000000</f>
        <v>#REF!</v>
      </c>
      <c r="D22" s="38">
        <f>-6.5*2</f>
        <v>-13</v>
      </c>
    </row>
    <row r="23" spans="1:6" ht="13.5" customHeight="1">
      <c r="A23" s="1570"/>
      <c r="B23" s="113" t="s">
        <v>574</v>
      </c>
      <c r="C23" s="119"/>
      <c r="D23" s="38">
        <f>-21.2/3</f>
        <v>-7.0666666666666664</v>
      </c>
    </row>
    <row r="24" spans="1:6" ht="13.5" customHeight="1">
      <c r="A24" s="1571"/>
      <c r="B24" s="116" t="s">
        <v>545</v>
      </c>
      <c r="C24" s="120">
        <f>'4CF'!C45/1000000</f>
        <v>0</v>
      </c>
      <c r="D24" s="100">
        <v>-20.329999999999998</v>
      </c>
    </row>
    <row r="25" spans="1:6" ht="15">
      <c r="A25" s="1572" t="s">
        <v>135</v>
      </c>
      <c r="B25" s="1573"/>
      <c r="C25" s="37" t="e">
        <f>SUM(C3:C24)</f>
        <v>#REF!</v>
      </c>
      <c r="D25" s="98" t="e">
        <f>SUM(D3:D24)</f>
        <v>#REF!</v>
      </c>
      <c r="F25" s="34"/>
    </row>
    <row r="26" spans="1:6">
      <c r="B26" s="35"/>
      <c r="C26" s="93" t="e">
        <f>C25-'4CF'!C61/1000000</f>
        <v>#REF!</v>
      </c>
    </row>
  </sheetData>
  <mergeCells count="6">
    <mergeCell ref="A13:A24"/>
    <mergeCell ref="A4:A12"/>
    <mergeCell ref="A25:B25"/>
    <mergeCell ref="B1:C1"/>
    <mergeCell ref="A2:B2"/>
    <mergeCell ref="A3:B3"/>
  </mergeCells>
  <pageMargins left="0.7" right="0.7" top="0.75" bottom="0.75" header="0.3" footer="0.3"/>
  <pageSetup orientation="portrait" horizontalDpi="4294967295" verticalDpi="4294967295" r:id="rId1"/>
</worksheet>
</file>

<file path=xl/worksheets/sheet21.xml><?xml version="1.0" encoding="utf-8"?>
<worksheet xmlns="http://schemas.openxmlformats.org/spreadsheetml/2006/main" xmlns:r="http://schemas.openxmlformats.org/officeDocument/2006/relationships">
  <sheetPr enableFormatConditionsCalculation="0">
    <tabColor theme="4"/>
  </sheetPr>
  <dimension ref="A3:I40"/>
  <sheetViews>
    <sheetView showGridLines="0" topLeftCell="A12" workbookViewId="0">
      <selection activeCell="C21" sqref="C21"/>
    </sheetView>
  </sheetViews>
  <sheetFormatPr defaultColWidth="9.140625" defaultRowHeight="15.75"/>
  <cols>
    <col min="1" max="1" width="40.140625" style="4" bestFit="1" customWidth="1"/>
    <col min="2" max="2" width="22.28515625" style="1" bestFit="1" customWidth="1"/>
    <col min="3" max="3" width="18.7109375" style="1" bestFit="1" customWidth="1"/>
    <col min="4" max="4" width="3.7109375" style="1" customWidth="1"/>
    <col min="5" max="5" width="18.7109375" style="9" bestFit="1" customWidth="1"/>
    <col min="6" max="6" width="9.140625" style="1"/>
    <col min="7" max="7" width="16.85546875" style="9" bestFit="1" customWidth="1"/>
    <col min="8" max="8" width="9.140625" style="9"/>
    <col min="9" max="9" width="18.7109375" style="9" bestFit="1" customWidth="1"/>
    <col min="10" max="16384" width="9.140625" style="1"/>
  </cols>
  <sheetData>
    <row r="3" spans="1:9">
      <c r="A3" s="1578" t="s">
        <v>207</v>
      </c>
      <c r="B3" s="1578"/>
      <c r="C3" s="1578"/>
    </row>
    <row r="4" spans="1:9">
      <c r="A4" s="1579" t="s">
        <v>208</v>
      </c>
      <c r="B4" s="1579"/>
      <c r="C4" s="1579"/>
    </row>
    <row r="5" spans="1:9">
      <c r="A5" s="1580" t="s">
        <v>1056</v>
      </c>
      <c r="B5" s="1580"/>
      <c r="C5" s="1580"/>
    </row>
    <row r="6" spans="1:9">
      <c r="A6" s="57"/>
      <c r="B6" s="68"/>
      <c r="C6" s="68"/>
    </row>
    <row r="7" spans="1:9">
      <c r="A7" s="56" t="s">
        <v>194</v>
      </c>
      <c r="B7" s="108">
        <f>Tax!D19</f>
        <v>237493192.77999997</v>
      </c>
      <c r="C7" s="68"/>
      <c r="E7" s="11">
        <v>4358480438.159852</v>
      </c>
      <c r="G7" s="11">
        <f>B7-45330889.54</f>
        <v>192162303.23999998</v>
      </c>
      <c r="I7" s="11">
        <f>E7+45330889.54</f>
        <v>4403811327.699852</v>
      </c>
    </row>
    <row r="8" spans="1:9">
      <c r="A8" s="56" t="s">
        <v>1058</v>
      </c>
      <c r="B8" s="108">
        <f>Tax!D31</f>
        <v>218440917.87</v>
      </c>
      <c r="C8" s="68"/>
      <c r="E8" s="11">
        <v>4495643005.0241184</v>
      </c>
      <c r="G8" s="11">
        <f>B8-19706267.21</f>
        <v>198734650.66</v>
      </c>
      <c r="I8" s="11">
        <f>E8+19706267.21</f>
        <v>4515349272.2341185</v>
      </c>
    </row>
    <row r="9" spans="1:9">
      <c r="A9" s="56" t="s">
        <v>205</v>
      </c>
      <c r="B9" s="68"/>
      <c r="C9" s="108">
        <f>B7-B8</f>
        <v>19052274.909999967</v>
      </c>
      <c r="E9" s="11">
        <f>E8-E7</f>
        <v>137162566.8642664</v>
      </c>
      <c r="G9" s="11">
        <f>G7-G8</f>
        <v>-6572347.4200000167</v>
      </c>
      <c r="I9" s="11">
        <f>I7-I8</f>
        <v>-111537944.53426647</v>
      </c>
    </row>
    <row r="10" spans="1:9">
      <c r="A10" s="56"/>
      <c r="B10" s="68"/>
      <c r="C10" s="68"/>
      <c r="E10" s="11"/>
    </row>
    <row r="11" spans="1:9">
      <c r="A11" s="56" t="s">
        <v>502</v>
      </c>
      <c r="B11" s="108">
        <f>Tax!D17</f>
        <v>1199595</v>
      </c>
      <c r="C11" s="68"/>
    </row>
    <row r="12" spans="1:9">
      <c r="A12" s="56" t="s">
        <v>1057</v>
      </c>
      <c r="B12" s="108">
        <v>34667846.449999996</v>
      </c>
      <c r="C12" s="68"/>
    </row>
    <row r="13" spans="1:9">
      <c r="A13" s="56" t="s">
        <v>503</v>
      </c>
      <c r="B13" s="108">
        <v>12631131.67</v>
      </c>
      <c r="C13" s="68"/>
    </row>
    <row r="14" spans="1:9">
      <c r="A14" s="56" t="s">
        <v>504</v>
      </c>
      <c r="B14" s="108">
        <v>9745744.4100000001</v>
      </c>
      <c r="C14" s="68"/>
    </row>
    <row r="15" spans="1:9">
      <c r="A15" s="56" t="s">
        <v>1176</v>
      </c>
      <c r="B15" s="108">
        <f>+Tax!D23</f>
        <v>0</v>
      </c>
      <c r="C15" s="68"/>
    </row>
    <row r="16" spans="1:9">
      <c r="A16" s="56" t="s">
        <v>1177</v>
      </c>
      <c r="B16" s="108">
        <f>+Tax!D11</f>
        <v>0</v>
      </c>
      <c r="C16" s="68"/>
    </row>
    <row r="17" spans="1:5">
      <c r="A17" s="56"/>
      <c r="B17" s="108"/>
      <c r="C17" s="68"/>
    </row>
    <row r="18" spans="1:5">
      <c r="A18" s="56"/>
      <c r="B18" s="68"/>
      <c r="C18" s="108">
        <f>B11-SUM(B12:B14)+B15+B16</f>
        <v>-55845127.530000001</v>
      </c>
      <c r="E18" s="11">
        <f>C18</f>
        <v>-55845127.530000001</v>
      </c>
    </row>
    <row r="19" spans="1:5">
      <c r="A19" s="56" t="s">
        <v>505</v>
      </c>
      <c r="B19" s="68"/>
      <c r="C19" s="109">
        <f>SUM(C9:C18)</f>
        <v>-36792852.620000035</v>
      </c>
      <c r="D19" s="64"/>
      <c r="E19" s="11">
        <f>SUM(E9:E18)</f>
        <v>81317439.334266394</v>
      </c>
    </row>
    <row r="20" spans="1:5">
      <c r="A20" s="56"/>
      <c r="B20" s="68"/>
      <c r="C20" s="109"/>
    </row>
    <row r="21" spans="1:5">
      <c r="A21" s="56" t="s">
        <v>506</v>
      </c>
      <c r="B21" s="68"/>
      <c r="C21" s="108">
        <f>C19*30%</f>
        <v>-11037855.78600001</v>
      </c>
      <c r="E21" s="11">
        <f>E19*30%</f>
        <v>24395231.800279919</v>
      </c>
    </row>
    <row r="22" spans="1:5">
      <c r="A22" s="56" t="s">
        <v>507</v>
      </c>
      <c r="B22" s="68"/>
      <c r="C22" s="92">
        <v>9659868.5</v>
      </c>
      <c r="E22" s="11">
        <f>C22</f>
        <v>9659868.5</v>
      </c>
    </row>
    <row r="23" spans="1:5">
      <c r="A23" s="110" t="s">
        <v>509</v>
      </c>
      <c r="B23" s="69"/>
      <c r="C23" s="111">
        <f>C21-C22</f>
        <v>-20697724.28600001</v>
      </c>
      <c r="E23" s="121">
        <f>E21-E22</f>
        <v>14735363.300279919</v>
      </c>
    </row>
    <row r="24" spans="1:5" hidden="1">
      <c r="A24" s="65" t="s">
        <v>508</v>
      </c>
      <c r="B24" s="42"/>
      <c r="C24" s="63">
        <f>C21-C22</f>
        <v>-20697724.28600001</v>
      </c>
    </row>
    <row r="25" spans="1:5" hidden="1">
      <c r="C25" s="64" t="e">
        <f>C24-#REF!</f>
        <v>#REF!</v>
      </c>
    </row>
    <row r="26" spans="1:5" hidden="1"/>
    <row r="27" spans="1:5" hidden="1"/>
    <row r="28" spans="1:5">
      <c r="E28" s="11"/>
    </row>
    <row r="29" spans="1:5">
      <c r="A29" s="22" t="str">
        <f>'2SFP'!B61</f>
        <v>For GSA &amp; Associates.</v>
      </c>
    </row>
    <row r="30" spans="1:5">
      <c r="A30" s="3" t="str">
        <f>'2SFP'!B62</f>
        <v>Chartered accountants</v>
      </c>
      <c r="C30" s="64">
        <f>+C23-C22</f>
        <v>-30357592.78600001</v>
      </c>
    </row>
    <row r="31" spans="1:5">
      <c r="A31" s="3" t="str">
        <f>'2SFP'!B63</f>
        <v>(Firm Reg. No. 000257N)</v>
      </c>
      <c r="C31" s="64"/>
    </row>
    <row r="32" spans="1:5">
      <c r="A32" s="3"/>
      <c r="B32" s="1" t="s">
        <v>1178</v>
      </c>
      <c r="C32" s="5">
        <f>+C30</f>
        <v>-30357592.78600001</v>
      </c>
      <c r="D32" s="5"/>
      <c r="E32" s="133"/>
    </row>
    <row r="33" spans="1:5">
      <c r="A33" s="3"/>
      <c r="B33" s="1" t="s">
        <v>1179</v>
      </c>
      <c r="C33" s="5"/>
      <c r="D33" s="5"/>
      <c r="E33" s="5">
        <f>+C32</f>
        <v>-30357592.78600001</v>
      </c>
    </row>
    <row r="34" spans="1:5">
      <c r="A34" s="3"/>
    </row>
    <row r="35" spans="1:5">
      <c r="A35" s="22" t="str">
        <f>'2SFP'!B67</f>
        <v>Tanuj Chugh</v>
      </c>
    </row>
    <row r="36" spans="1:5">
      <c r="A36" s="3" t="str">
        <f>'2SFP'!B68</f>
        <v>Partner</v>
      </c>
    </row>
    <row r="37" spans="1:5">
      <c r="A37" s="3" t="str">
        <f>'2SFP'!B69</f>
        <v>M. No. 529619</v>
      </c>
    </row>
    <row r="38" spans="1:5">
      <c r="A38" s="3"/>
    </row>
    <row r="39" spans="1:5">
      <c r="A39" s="3" t="str">
        <f>'2SFP'!B71</f>
        <v xml:space="preserve">Place: </v>
      </c>
      <c r="B39" s="1577" t="s">
        <v>97</v>
      </c>
      <c r="C39" s="1577"/>
    </row>
    <row r="40" spans="1:5">
      <c r="A40" s="3" t="str">
        <f>'2SFP'!B72</f>
        <v xml:space="preserve">Date: </v>
      </c>
    </row>
  </sheetData>
  <mergeCells count="4">
    <mergeCell ref="B39:C39"/>
    <mergeCell ref="A3:C3"/>
    <mergeCell ref="A4:C4"/>
    <mergeCell ref="A5:C5"/>
  </mergeCells>
  <pageMargins left="1" right="0.7" top="0.75" bottom="0.75" header="0.3" footer="0.3"/>
  <pageSetup scale="90" orientation="portrait" r:id="rId1"/>
</worksheet>
</file>

<file path=xl/worksheets/sheet3.xml><?xml version="1.0" encoding="utf-8"?>
<worksheet xmlns="http://schemas.openxmlformats.org/spreadsheetml/2006/main" xmlns:r="http://schemas.openxmlformats.org/officeDocument/2006/relationships">
  <sheetPr enableFormatConditionsCalculation="0">
    <tabColor rgb="FF00B050"/>
  </sheetPr>
  <dimension ref="B1:I70"/>
  <sheetViews>
    <sheetView showGridLines="0" tabSelected="1" zoomScale="90" zoomScaleNormal="90" zoomScaleSheetLayoutView="90" zoomScalePageLayoutView="90" workbookViewId="0">
      <selection activeCell="F8" sqref="F8"/>
    </sheetView>
  </sheetViews>
  <sheetFormatPr defaultColWidth="9.140625" defaultRowHeight="15.75"/>
  <cols>
    <col min="1" max="1" width="6.7109375" style="3" customWidth="1"/>
    <col min="2" max="2" width="57.42578125" style="122" customWidth="1"/>
    <col min="3" max="3" width="8.85546875" style="122" customWidth="1"/>
    <col min="4" max="4" width="21.85546875" style="454" customWidth="1"/>
    <col min="5" max="5" width="20.140625" style="454" customWidth="1"/>
    <col min="6" max="6" width="18.7109375" style="3" bestFit="1" customWidth="1"/>
    <col min="7" max="7" width="19.7109375" style="3" bestFit="1" customWidth="1"/>
    <col min="8" max="8" width="14.7109375" style="3" bestFit="1" customWidth="1"/>
    <col min="9" max="9" width="13.42578125" style="3" bestFit="1" customWidth="1"/>
    <col min="10" max="16384" width="9.140625" style="3"/>
  </cols>
  <sheetData>
    <row r="1" spans="2:9">
      <c r="B1" s="1377" t="str">
        <f>'2SFP'!B1</f>
        <v>BHUTAN TELECOM LIMITED</v>
      </c>
      <c r="C1" s="1378"/>
      <c r="D1" s="1378"/>
      <c r="E1" s="1379"/>
    </row>
    <row r="2" spans="2:9" ht="15.75" customHeight="1">
      <c r="B2" s="1380" t="s">
        <v>1479</v>
      </c>
      <c r="C2" s="1381"/>
      <c r="D2" s="1381"/>
      <c r="E2" s="1382"/>
    </row>
    <row r="3" spans="2:9">
      <c r="B3" s="682"/>
      <c r="C3" s="248"/>
      <c r="D3" s="1015"/>
      <c r="E3" s="1016" t="str">
        <f>'2SFP'!E3</f>
        <v>Amount in Nu.</v>
      </c>
    </row>
    <row r="4" spans="2:9" ht="31.5">
      <c r="B4" s="207" t="str">
        <f>'2SFP'!B4</f>
        <v>Particulars</v>
      </c>
      <c r="C4" s="208" t="str">
        <f>'2SFP'!C4</f>
        <v>Note no.</v>
      </c>
      <c r="D4" s="1017" t="str">
        <f>'2SFP'!D4</f>
        <v>As at 31st March, 2019</v>
      </c>
      <c r="E4" s="1017" t="s">
        <v>1480</v>
      </c>
    </row>
    <row r="5" spans="2:9">
      <c r="B5" s="249" t="s">
        <v>1088</v>
      </c>
      <c r="C5" s="250"/>
      <c r="D5" s="1018"/>
      <c r="E5" s="1019"/>
    </row>
    <row r="6" spans="2:9">
      <c r="B6" s="252" t="s">
        <v>1090</v>
      </c>
      <c r="C6" s="253">
        <v>22</v>
      </c>
      <c r="D6" s="880">
        <f>+'10N_22-33'!E57</f>
        <v>952376539.67000008</v>
      </c>
      <c r="E6" s="880">
        <f>+'10N_22-33'!F57</f>
        <v>848267713.26999998</v>
      </c>
      <c r="F6" s="1013"/>
      <c r="G6" s="1012"/>
    </row>
    <row r="7" spans="2:9">
      <c r="B7" s="252" t="s">
        <v>1089</v>
      </c>
      <c r="C7" s="253">
        <v>23</v>
      </c>
      <c r="D7" s="880">
        <f>'10N_22-33'!E86</f>
        <v>2546414.4799999995</v>
      </c>
      <c r="E7" s="880">
        <f>'10N_22-33'!F86</f>
        <v>10655877.470000001</v>
      </c>
      <c r="F7" s="1013"/>
      <c r="G7" s="1012"/>
    </row>
    <row r="8" spans="2:9">
      <c r="B8" s="139"/>
      <c r="C8" s="136"/>
      <c r="D8" s="1020">
        <f>SUM(D6:D7)</f>
        <v>954922954.1500001</v>
      </c>
      <c r="E8" s="1020">
        <f>SUM(E6:E7)</f>
        <v>858923590.74000001</v>
      </c>
      <c r="F8" s="1012"/>
      <c r="G8" s="1012"/>
    </row>
    <row r="9" spans="2:9">
      <c r="B9" s="135"/>
      <c r="C9" s="136"/>
      <c r="D9" s="1021"/>
      <c r="E9" s="1022"/>
      <c r="G9" s="1013"/>
      <c r="I9" s="1207"/>
    </row>
    <row r="10" spans="2:9">
      <c r="B10" s="249" t="s">
        <v>1094</v>
      </c>
      <c r="C10" s="136"/>
      <c r="D10" s="1023"/>
      <c r="E10" s="1024"/>
    </row>
    <row r="11" spans="2:9">
      <c r="B11" s="252" t="s">
        <v>1095</v>
      </c>
      <c r="C11" s="253">
        <v>24</v>
      </c>
      <c r="D11" s="880">
        <f>'10N_22-33'!E119</f>
        <v>72101317.25999999</v>
      </c>
      <c r="E11" s="880">
        <f>'10N_22-33'!F119</f>
        <v>95160681.949999988</v>
      </c>
      <c r="F11" s="1013"/>
      <c r="G11" s="1013"/>
    </row>
    <row r="12" spans="2:9">
      <c r="B12" s="252" t="s">
        <v>1099</v>
      </c>
      <c r="C12" s="253">
        <v>25</v>
      </c>
      <c r="D12" s="880">
        <f>'10N_22-33'!E126</f>
        <v>7988860.7699999996</v>
      </c>
      <c r="E12" s="880">
        <f>'10N_22-33'!F126</f>
        <v>7061516.7000000002</v>
      </c>
      <c r="F12" s="1013"/>
      <c r="G12" s="1012"/>
    </row>
    <row r="13" spans="2:9">
      <c r="B13" s="252" t="s">
        <v>1096</v>
      </c>
      <c r="C13" s="253">
        <v>26</v>
      </c>
      <c r="D13" s="880">
        <f>'10N_22-33'!E149</f>
        <v>58511974.32</v>
      </c>
      <c r="E13" s="880">
        <f>'10N_22-33'!F149</f>
        <v>80211121.890000015</v>
      </c>
      <c r="F13" s="1013"/>
      <c r="G13" s="1012"/>
    </row>
    <row r="14" spans="2:9">
      <c r="B14" s="252" t="s">
        <v>1097</v>
      </c>
      <c r="C14" s="253">
        <v>27</v>
      </c>
      <c r="D14" s="880">
        <f>'10N_22-33'!E160</f>
        <v>43608033.340000004</v>
      </c>
      <c r="E14" s="880">
        <f>'10N_22-33'!F160</f>
        <v>39391984.490000002</v>
      </c>
      <c r="F14" s="1013"/>
      <c r="G14" s="1012"/>
    </row>
    <row r="15" spans="2:9">
      <c r="B15" s="252" t="s">
        <v>1101</v>
      </c>
      <c r="C15" s="253">
        <v>28</v>
      </c>
      <c r="D15" s="880">
        <f>'10N_22-33'!E179</f>
        <v>237493192.77999997</v>
      </c>
      <c r="E15" s="880">
        <f>'10N_22-33'!F179</f>
        <v>214018816.67000002</v>
      </c>
      <c r="F15" s="30"/>
      <c r="G15" s="1012"/>
    </row>
    <row r="16" spans="2:9">
      <c r="B16" s="252" t="s">
        <v>1100</v>
      </c>
      <c r="C16" s="253">
        <v>29</v>
      </c>
      <c r="D16" s="880">
        <f>'10N_22-33'!E188</f>
        <v>1850915.22</v>
      </c>
      <c r="E16" s="880">
        <f>'10N_22-33'!F188</f>
        <v>1079544.69</v>
      </c>
      <c r="F16" s="1013"/>
      <c r="G16" s="1012"/>
    </row>
    <row r="17" spans="2:9">
      <c r="B17" s="252" t="s">
        <v>1098</v>
      </c>
      <c r="C17" s="253">
        <v>30</v>
      </c>
      <c r="D17" s="880">
        <f>'10N_22-33'!E260</f>
        <v>13546047.879999999</v>
      </c>
      <c r="E17" s="880">
        <f>'10N_22-33'!F260</f>
        <v>11146149.310000002</v>
      </c>
      <c r="F17" s="1012"/>
      <c r="G17" s="1012"/>
      <c r="H17" s="1012"/>
    </row>
    <row r="18" spans="2:9">
      <c r="B18" s="138"/>
      <c r="C18" s="136"/>
      <c r="D18" s="1023"/>
      <c r="E18" s="1023"/>
      <c r="G18" s="1012"/>
    </row>
    <row r="19" spans="2:9">
      <c r="B19" s="138"/>
      <c r="C19" s="136"/>
      <c r="D19" s="1020">
        <f>SUM(D11:D17)</f>
        <v>435100341.56999999</v>
      </c>
      <c r="E19" s="1020">
        <f>SUM(E11:E17)</f>
        <v>448069815.70000005</v>
      </c>
      <c r="F19" s="1013"/>
      <c r="G19" s="1012"/>
      <c r="I19" s="1012"/>
    </row>
    <row r="20" spans="2:9">
      <c r="B20" s="138"/>
      <c r="C20" s="136"/>
      <c r="D20" s="1021"/>
      <c r="E20" s="1021"/>
      <c r="G20" s="1012"/>
    </row>
    <row r="21" spans="2:9" ht="31.5">
      <c r="B21" s="140" t="s">
        <v>1102</v>
      </c>
      <c r="C21" s="136"/>
      <c r="D21" s="1021">
        <f>D8-D19</f>
        <v>519822612.5800001</v>
      </c>
      <c r="E21" s="1021">
        <f>E8-E19</f>
        <v>410853775.03999996</v>
      </c>
      <c r="F21" s="1012"/>
    </row>
    <row r="22" spans="2:9">
      <c r="B22" s="135"/>
      <c r="C22" s="136"/>
      <c r="D22" s="1021"/>
      <c r="E22" s="1024"/>
    </row>
    <row r="23" spans="2:9">
      <c r="B23" s="255" t="s">
        <v>463</v>
      </c>
      <c r="C23" s="250"/>
      <c r="D23" s="1020">
        <f>+D21</f>
        <v>519822612.5800001</v>
      </c>
      <c r="E23" s="1020">
        <f>+E21</f>
        <v>410853775.03999996</v>
      </c>
      <c r="F23" s="1013"/>
      <c r="G23" s="1012"/>
      <c r="H23" s="1012"/>
    </row>
    <row r="24" spans="2:9">
      <c r="B24" s="255" t="s">
        <v>522</v>
      </c>
      <c r="C24" s="250">
        <v>31</v>
      </c>
      <c r="D24" s="1018"/>
      <c r="E24" s="1019"/>
      <c r="G24" s="1012"/>
    </row>
    <row r="25" spans="2:9">
      <c r="B25" s="252" t="s">
        <v>1103</v>
      </c>
      <c r="C25" s="253"/>
      <c r="D25" s="880">
        <f>+'10N_22-33'!E269</f>
        <v>0</v>
      </c>
      <c r="E25" s="880">
        <f>'10N_22-33'!F269</f>
        <v>0</v>
      </c>
      <c r="G25" s="1013"/>
    </row>
    <row r="26" spans="2:9">
      <c r="B26" s="252" t="s">
        <v>524</v>
      </c>
      <c r="C26" s="256" t="s">
        <v>93</v>
      </c>
      <c r="D26" s="880">
        <f>Tax!E46</f>
        <v>158153545.64700004</v>
      </c>
      <c r="E26" s="1025">
        <f>D26/D23*E23</f>
        <v>125000297.58715217</v>
      </c>
      <c r="G26" s="1012"/>
    </row>
    <row r="27" spans="2:9">
      <c r="B27" s="252" t="s">
        <v>523</v>
      </c>
      <c r="C27" s="253"/>
      <c r="D27" s="1026">
        <f>'10N_22-33'!E266</f>
        <v>0</v>
      </c>
      <c r="E27" s="1026">
        <f>-SUM('10N_22-33'!F266:F267)</f>
        <v>0</v>
      </c>
      <c r="G27" s="1012"/>
    </row>
    <row r="28" spans="2:9">
      <c r="B28" s="249" t="s">
        <v>468</v>
      </c>
      <c r="C28" s="250"/>
      <c r="D28" s="1027">
        <f>SUM(D25:D27)</f>
        <v>158153545.64700004</v>
      </c>
      <c r="E28" s="1027">
        <f>SUM(E25:E27)</f>
        <v>125000297.58715217</v>
      </c>
    </row>
    <row r="29" spans="2:9">
      <c r="B29" s="259"/>
      <c r="C29" s="250"/>
      <c r="D29" s="1019"/>
      <c r="E29" s="1019"/>
    </row>
    <row r="30" spans="2:9">
      <c r="B30" s="255" t="s">
        <v>464</v>
      </c>
      <c r="C30" s="260"/>
      <c r="D30" s="1027">
        <f>D23-D28</f>
        <v>361669066.93300009</v>
      </c>
      <c r="E30" s="1027">
        <f>E23-E28</f>
        <v>285853477.45284778</v>
      </c>
    </row>
    <row r="31" spans="2:9">
      <c r="B31" s="261"/>
      <c r="C31" s="260"/>
      <c r="D31" s="1019"/>
      <c r="E31" s="1019"/>
    </row>
    <row r="32" spans="2:9">
      <c r="B32" s="262" t="s">
        <v>465</v>
      </c>
      <c r="C32" s="250"/>
      <c r="D32" s="1018"/>
      <c r="E32" s="1019"/>
    </row>
    <row r="33" spans="2:7">
      <c r="B33" s="263" t="s">
        <v>77</v>
      </c>
      <c r="C33" s="253"/>
      <c r="D33" s="880">
        <f>'10N_22-33'!E272</f>
        <v>0</v>
      </c>
      <c r="E33" s="880">
        <f>'10N_22-33'!F272</f>
        <v>20624316</v>
      </c>
    </row>
    <row r="34" spans="2:7" ht="15.75" customHeight="1">
      <c r="B34" s="263" t="s">
        <v>569</v>
      </c>
      <c r="C34" s="253"/>
      <c r="D34" s="880">
        <f>'10N_22-33'!E273</f>
        <v>0</v>
      </c>
      <c r="E34" s="880">
        <f>-'10N_22-33'!F273</f>
        <v>-6187294.7999999998</v>
      </c>
    </row>
    <row r="35" spans="2:7">
      <c r="B35" s="263" t="s">
        <v>525</v>
      </c>
      <c r="C35" s="253"/>
      <c r="D35" s="1028">
        <f>D33+D34</f>
        <v>0</v>
      </c>
      <c r="E35" s="1028">
        <f>SUM(E33:E34)</f>
        <v>14437021.199999999</v>
      </c>
    </row>
    <row r="36" spans="2:7">
      <c r="B36" s="264" t="s">
        <v>466</v>
      </c>
      <c r="C36" s="265"/>
      <c r="D36" s="1020">
        <f>D30-D35</f>
        <v>361669066.93300009</v>
      </c>
      <c r="E36" s="1020">
        <f>E30-E35</f>
        <v>271416456.25284779</v>
      </c>
      <c r="F36" s="30"/>
      <c r="G36" s="1012"/>
    </row>
    <row r="37" spans="2:7">
      <c r="B37" s="683" t="s">
        <v>46</v>
      </c>
      <c r="C37" s="266">
        <v>33</v>
      </c>
      <c r="D37" s="267">
        <f>'10N_22-33'!E280</f>
        <v>423.45941833805193</v>
      </c>
      <c r="E37" s="684">
        <f>'10N_22-33'!F280</f>
        <v>334.69090491644567</v>
      </c>
      <c r="G37" s="1012"/>
    </row>
    <row r="38" spans="2:7">
      <c r="B38" s="251" t="str">
        <f>'2SFP'!B57</f>
        <v>Summary of significant accounting policies</v>
      </c>
      <c r="C38" s="268">
        <f>'2SFP'!C57</f>
        <v>1</v>
      </c>
      <c r="D38" s="1029"/>
      <c r="E38" s="1030"/>
      <c r="F38" s="1013"/>
    </row>
    <row r="39" spans="2:7" s="4" customFormat="1">
      <c r="B39" s="301" t="str">
        <f>'2SFP'!B58</f>
        <v>The above accompanying notes are an integral part of the financial statements</v>
      </c>
      <c r="C39" s="217"/>
      <c r="D39" s="499"/>
      <c r="E39" s="1031"/>
      <c r="F39" s="7"/>
    </row>
    <row r="40" spans="2:7" s="4" customFormat="1">
      <c r="B40" s="301" t="s">
        <v>570</v>
      </c>
      <c r="C40" s="217"/>
      <c r="D40" s="499"/>
      <c r="E40" s="1031"/>
    </row>
    <row r="41" spans="2:7">
      <c r="B41" s="138"/>
      <c r="D41" s="1032"/>
      <c r="E41" s="1030"/>
    </row>
    <row r="42" spans="2:7">
      <c r="B42" s="249" t="str">
        <f>'2SFP'!B61</f>
        <v>For GSA &amp; Associates.</v>
      </c>
      <c r="C42" s="268"/>
      <c r="D42" s="1033" t="str">
        <f>'2SFP'!E61</f>
        <v>for and on behalf of board of directors</v>
      </c>
      <c r="E42" s="1034"/>
    </row>
    <row r="43" spans="2:7">
      <c r="B43" s="251" t="str">
        <f>'2SFP'!B62</f>
        <v>Chartered accountants</v>
      </c>
      <c r="C43" s="268"/>
      <c r="D43" s="1032"/>
      <c r="E43" s="1034"/>
    </row>
    <row r="44" spans="2:7">
      <c r="B44" s="251" t="str">
        <f>'2SFP'!B63</f>
        <v>(Firm Reg. No. 000257N)</v>
      </c>
      <c r="C44" s="268"/>
      <c r="D44" s="1032"/>
      <c r="E44" s="1034"/>
    </row>
    <row r="45" spans="2:7">
      <c r="B45" s="251"/>
      <c r="C45" s="268"/>
      <c r="D45" s="1032"/>
      <c r="E45" s="1034"/>
    </row>
    <row r="46" spans="2:7">
      <c r="B46" s="251"/>
      <c r="C46" s="268"/>
      <c r="D46" s="1035" t="str">
        <f>'2SFP'!E65</f>
        <v>Chairman</v>
      </c>
      <c r="E46" s="1034"/>
    </row>
    <row r="47" spans="2:7">
      <c r="B47" s="138"/>
      <c r="D47" s="1032"/>
      <c r="E47" s="1034"/>
    </row>
    <row r="48" spans="2:7">
      <c r="B48" s="249" t="str">
        <f>'2SFP'!B67</f>
        <v>Tanuj Chugh</v>
      </c>
      <c r="D48" s="1032"/>
      <c r="E48" s="1034"/>
    </row>
    <row r="49" spans="2:5">
      <c r="B49" s="251" t="str">
        <f>'2SFP'!B68</f>
        <v>Partner</v>
      </c>
      <c r="C49" s="268"/>
      <c r="D49" s="1032"/>
      <c r="E49" s="1034"/>
    </row>
    <row r="50" spans="2:5">
      <c r="B50" s="251" t="str">
        <f>'2SFP'!B69</f>
        <v>M. No. 529619</v>
      </c>
      <c r="C50" s="268"/>
      <c r="D50" s="1036" t="str">
        <f>'2SFP'!E69</f>
        <v>Chief Executive Officer</v>
      </c>
      <c r="E50" s="1034"/>
    </row>
    <row r="51" spans="2:5">
      <c r="B51" s="251" t="str">
        <f>'2SFP'!B71</f>
        <v xml:space="preserve">Place: </v>
      </c>
      <c r="C51" s="268"/>
      <c r="D51" s="1032"/>
      <c r="E51" s="1030"/>
    </row>
    <row r="52" spans="2:5">
      <c r="B52" s="832" t="str">
        <f>'2SFP'!B72</f>
        <v xml:space="preserve">Date: </v>
      </c>
      <c r="C52" s="833"/>
      <c r="D52" s="1037"/>
      <c r="E52" s="1038"/>
    </row>
    <row r="53" spans="2:5">
      <c r="B53" s="252"/>
      <c r="C53" s="269"/>
      <c r="D53" s="1039"/>
      <c r="E53" s="1034"/>
    </row>
    <row r="54" spans="2:5">
      <c r="B54" s="138"/>
      <c r="E54" s="1034"/>
    </row>
    <row r="55" spans="2:5">
      <c r="B55" s="138" t="s">
        <v>217</v>
      </c>
      <c r="D55" s="454">
        <f>(D30/'2SFP'!D33)</f>
        <v>8.6837290573953854E-2</v>
      </c>
      <c r="E55" s="1034"/>
    </row>
    <row r="56" spans="2:5">
      <c r="B56" s="138" t="s">
        <v>218</v>
      </c>
      <c r="D56" s="454">
        <f>(D8/660)/1000000</f>
        <v>1.4468529608333334</v>
      </c>
      <c r="E56" s="1034"/>
    </row>
    <row r="57" spans="2:5">
      <c r="B57" s="138"/>
      <c r="E57" s="1034"/>
    </row>
    <row r="58" spans="2:5">
      <c r="B58" s="138"/>
      <c r="E58" s="1034"/>
    </row>
    <row r="59" spans="2:5">
      <c r="B59" s="138"/>
      <c r="E59" s="1034"/>
    </row>
    <row r="60" spans="2:5">
      <c r="B60" s="138"/>
      <c r="E60" s="1034"/>
    </row>
    <row r="61" spans="2:5">
      <c r="B61" s="138"/>
      <c r="E61" s="1034"/>
    </row>
    <row r="62" spans="2:5">
      <c r="B62" s="138"/>
      <c r="E62" s="1034"/>
    </row>
    <row r="63" spans="2:5">
      <c r="B63" s="138"/>
      <c r="E63" s="1034"/>
    </row>
    <row r="64" spans="2:5">
      <c r="B64" s="138"/>
      <c r="E64" s="1034"/>
    </row>
    <row r="65" spans="2:5">
      <c r="B65" s="138"/>
      <c r="E65" s="1034"/>
    </row>
    <row r="66" spans="2:5">
      <c r="B66" s="138"/>
      <c r="E66" s="1034"/>
    </row>
    <row r="67" spans="2:5">
      <c r="B67" s="138"/>
      <c r="E67" s="1034"/>
    </row>
    <row r="68" spans="2:5">
      <c r="B68" s="138"/>
      <c r="E68" s="1034"/>
    </row>
    <row r="69" spans="2:5">
      <c r="B69" s="138"/>
      <c r="E69" s="1034"/>
    </row>
    <row r="70" spans="2:5">
      <c r="B70" s="1014"/>
      <c r="C70" s="685"/>
      <c r="D70" s="1040"/>
      <c r="E70" s="1041"/>
    </row>
  </sheetData>
  <sortState ref="B16:E21">
    <sortCondition ref="B16"/>
  </sortState>
  <mergeCells count="2">
    <mergeCell ref="B1:E1"/>
    <mergeCell ref="B2:E2"/>
  </mergeCells>
  <pageMargins left="0.95" right="0.26" top="0.56000000000000005" bottom="0.2" header="0.05" footer="0.05"/>
  <pageSetup scale="81" fitToHeight="0" orientation="portrait" r:id="rId1"/>
</worksheet>
</file>

<file path=xl/worksheets/sheet4.xml><?xml version="1.0" encoding="utf-8"?>
<worksheet xmlns="http://schemas.openxmlformats.org/spreadsheetml/2006/main" xmlns:r="http://schemas.openxmlformats.org/officeDocument/2006/relationships">
  <sheetPr enableFormatConditionsCalculation="0">
    <tabColor rgb="FF00B050"/>
    <pageSetUpPr fitToPage="1"/>
  </sheetPr>
  <dimension ref="B1:I76"/>
  <sheetViews>
    <sheetView showGridLines="0" topLeftCell="A42" zoomScaleSheetLayoutView="90" workbookViewId="0">
      <selection activeCell="D62" sqref="D62"/>
    </sheetView>
  </sheetViews>
  <sheetFormatPr defaultColWidth="9.140625" defaultRowHeight="15.75"/>
  <cols>
    <col min="1" max="1" width="4.28515625" style="1294" customWidth="1"/>
    <col min="2" max="2" width="43.28515625" style="1271" customWidth="1"/>
    <col min="3" max="3" width="10.85546875" style="1271" customWidth="1"/>
    <col min="4" max="4" width="27" style="1271" bestFit="1" customWidth="1"/>
    <col min="5" max="5" width="29.7109375" style="1271" customWidth="1"/>
    <col min="6" max="6" width="18.85546875" style="1294" bestFit="1" customWidth="1"/>
    <col min="7" max="7" width="16.85546875" style="1294" bestFit="1" customWidth="1"/>
    <col min="8" max="8" width="14.42578125" style="1294" bestFit="1" customWidth="1"/>
    <col min="9" max="9" width="16.42578125" style="1294" bestFit="1" customWidth="1"/>
    <col min="10" max="16384" width="9.140625" style="1294"/>
  </cols>
  <sheetData>
    <row r="1" spans="2:8">
      <c r="B1" s="1383" t="s">
        <v>0</v>
      </c>
      <c r="C1" s="1384"/>
      <c r="D1" s="1384"/>
      <c r="E1" s="1385"/>
    </row>
    <row r="2" spans="2:8">
      <c r="B2" s="1392" t="s">
        <v>1477</v>
      </c>
      <c r="C2" s="1393"/>
      <c r="D2" s="1393"/>
      <c r="E2" s="1394"/>
    </row>
    <row r="3" spans="2:8">
      <c r="B3" s="1330"/>
      <c r="C3" s="1371"/>
      <c r="D3" s="1371"/>
      <c r="E3" s="1372" t="s">
        <v>64</v>
      </c>
    </row>
    <row r="4" spans="2:8">
      <c r="B4" s="1305" t="s">
        <v>21</v>
      </c>
      <c r="C4" s="1373" t="s">
        <v>99</v>
      </c>
      <c r="D4" s="1373" t="s">
        <v>1478</v>
      </c>
      <c r="E4" s="1373" t="s">
        <v>1881</v>
      </c>
    </row>
    <row r="5" spans="2:8">
      <c r="B5" s="1374" t="s">
        <v>95</v>
      </c>
      <c r="C5" s="1219"/>
      <c r="D5" s="1375"/>
      <c r="E5" s="1376"/>
    </row>
    <row r="6" spans="2:8">
      <c r="B6" s="1218" t="s">
        <v>452</v>
      </c>
      <c r="C6" s="1219"/>
      <c r="D6" s="1220"/>
      <c r="E6" s="1221"/>
    </row>
    <row r="7" spans="2:8">
      <c r="B7" s="1222" t="s">
        <v>513</v>
      </c>
      <c r="C7" s="1223" t="s">
        <v>449</v>
      </c>
      <c r="D7" s="1224">
        <f>'6N_PPE'!K20</f>
        <v>2934753576.1300001</v>
      </c>
      <c r="E7" s="1224">
        <f>'6N_PPE'!K21</f>
        <v>3079705096.1999989</v>
      </c>
      <c r="F7" s="1316"/>
      <c r="G7" s="1316"/>
    </row>
    <row r="8" spans="2:8">
      <c r="B8" s="1225" t="s">
        <v>221</v>
      </c>
      <c r="C8" s="1223" t="s">
        <v>450</v>
      </c>
      <c r="D8" s="1224">
        <f>'6N_PPE'!K24</f>
        <v>1040157754.49</v>
      </c>
      <c r="E8" s="1224">
        <f>'6N_PPE'!K25</f>
        <v>1130851871.24</v>
      </c>
      <c r="F8" s="1316"/>
      <c r="G8" s="1316"/>
    </row>
    <row r="9" spans="2:8">
      <c r="B9" s="1225" t="s">
        <v>22</v>
      </c>
      <c r="C9" s="1223" t="s">
        <v>451</v>
      </c>
      <c r="D9" s="1224">
        <f>'6N_PPE'!K28</f>
        <v>107757111.05000001</v>
      </c>
      <c r="E9" s="1224">
        <f>'6N_PPE'!K29</f>
        <v>83416952.069999993</v>
      </c>
      <c r="F9" s="1316"/>
      <c r="H9" s="1351"/>
    </row>
    <row r="10" spans="2:8">
      <c r="B10" s="1218" t="s">
        <v>1380</v>
      </c>
      <c r="C10" s="1219"/>
      <c r="D10" s="1226"/>
      <c r="E10" s="1226"/>
      <c r="F10" s="1316"/>
    </row>
    <row r="11" spans="2:8">
      <c r="B11" s="1227" t="s">
        <v>1135</v>
      </c>
      <c r="C11" s="1223">
        <v>3</v>
      </c>
      <c r="D11" s="1224">
        <f>'7N_3-12'!C11</f>
        <v>0</v>
      </c>
      <c r="E11" s="1224">
        <f>'7N_3-12'!D11</f>
        <v>0</v>
      </c>
      <c r="F11" s="1316"/>
    </row>
    <row r="12" spans="2:8">
      <c r="B12" s="1227" t="s">
        <v>1136</v>
      </c>
      <c r="C12" s="1223">
        <v>4</v>
      </c>
      <c r="D12" s="1224">
        <f>'7N_3-12'!C19</f>
        <v>190682582.52000001</v>
      </c>
      <c r="E12" s="1224">
        <f>'7N_3-12'!D19</f>
        <v>190682582.52000001</v>
      </c>
      <c r="F12" s="1316"/>
    </row>
    <row r="13" spans="2:8">
      <c r="B13" s="1227" t="s">
        <v>512</v>
      </c>
      <c r="C13" s="1223">
        <v>5</v>
      </c>
      <c r="D13" s="1224">
        <f>'7N_3-12'!C24</f>
        <v>27892023.539999999</v>
      </c>
      <c r="E13" s="1224">
        <f>'7N_3-12'!D24</f>
        <v>27892023.539999999</v>
      </c>
      <c r="F13" s="1316"/>
    </row>
    <row r="14" spans="2:8">
      <c r="B14" s="1225" t="s">
        <v>1459</v>
      </c>
      <c r="C14" s="1223">
        <v>6</v>
      </c>
      <c r="D14" s="1224">
        <f>'7N_3-12'!C48</f>
        <v>1282728.96</v>
      </c>
      <c r="E14" s="1224">
        <f>'7N_3-12'!D48</f>
        <v>1282728.96</v>
      </c>
      <c r="F14" s="1316"/>
    </row>
    <row r="15" spans="2:8">
      <c r="B15" s="1228" t="s">
        <v>453</v>
      </c>
      <c r="C15" s="1229"/>
      <c r="D15" s="1230">
        <f>SUM(D7:D14)</f>
        <v>4302525776.6900005</v>
      </c>
      <c r="E15" s="1230">
        <f>SUM(E7:E14)</f>
        <v>4513831254.5299988</v>
      </c>
      <c r="F15" s="1316"/>
      <c r="G15" s="1316"/>
      <c r="H15" s="1316"/>
    </row>
    <row r="16" spans="2:8">
      <c r="B16" s="1231"/>
      <c r="C16" s="1219"/>
      <c r="D16" s="1232"/>
      <c r="E16" s="1232"/>
      <c r="F16" s="1316"/>
    </row>
    <row r="17" spans="2:9">
      <c r="B17" s="1233" t="s">
        <v>454</v>
      </c>
      <c r="C17" s="1219"/>
      <c r="D17" s="1226"/>
      <c r="E17" s="1234"/>
      <c r="F17" s="1316"/>
    </row>
    <row r="18" spans="2:9">
      <c r="B18" s="1227" t="s">
        <v>23</v>
      </c>
      <c r="C18" s="1223">
        <v>7</v>
      </c>
      <c r="D18" s="1224">
        <f>'7N_3-12'!C63</f>
        <v>110369864.14999999</v>
      </c>
      <c r="E18" s="1224">
        <f>'7N_3-12'!D63</f>
        <v>98877103.849999994</v>
      </c>
      <c r="F18" s="1316"/>
      <c r="G18" s="1316"/>
    </row>
    <row r="19" spans="2:9">
      <c r="B19" s="1218" t="s">
        <v>1380</v>
      </c>
      <c r="C19" s="1219"/>
      <c r="D19" s="1226"/>
      <c r="E19" s="1226"/>
      <c r="F19" s="1316"/>
    </row>
    <row r="20" spans="2:9">
      <c r="B20" s="1227" t="s">
        <v>1155</v>
      </c>
      <c r="C20" s="1223">
        <v>8</v>
      </c>
      <c r="D20" s="1224">
        <f>'7N_3-12'!C75</f>
        <v>127620355.32000001</v>
      </c>
      <c r="E20" s="1224">
        <f>'7N_3-12'!D75</f>
        <v>108911295.60000001</v>
      </c>
      <c r="F20" s="1316"/>
      <c r="G20" s="1316"/>
    </row>
    <row r="21" spans="2:9">
      <c r="B21" s="1227" t="s">
        <v>1156</v>
      </c>
      <c r="C21" s="1223">
        <v>9</v>
      </c>
      <c r="D21" s="1224">
        <f>'7N_3-12'!C85</f>
        <v>771475012.73999989</v>
      </c>
      <c r="E21" s="1224">
        <f>'7N_3-12'!D85</f>
        <v>633519823.84999979</v>
      </c>
      <c r="F21" s="1316"/>
      <c r="G21" s="1316"/>
    </row>
    <row r="22" spans="2:9">
      <c r="B22" s="1227" t="s">
        <v>1157</v>
      </c>
      <c r="C22" s="1223">
        <v>10</v>
      </c>
      <c r="D22" s="1224">
        <f>'7N_3-12'!C95</f>
        <v>3337082.9</v>
      </c>
      <c r="E22" s="1224">
        <f>'7N_3-12'!D95</f>
        <v>3337082.9</v>
      </c>
      <c r="F22" s="1316"/>
    </row>
    <row r="23" spans="2:9">
      <c r="B23" s="1227" t="s">
        <v>211</v>
      </c>
      <c r="C23" s="1223">
        <v>11</v>
      </c>
      <c r="D23" s="1235">
        <f>'7N_3-12'!C113</f>
        <v>66225072.630000003</v>
      </c>
      <c r="E23" s="1235">
        <f>'7N_3-12'!D113</f>
        <v>22792738.480000004</v>
      </c>
      <c r="F23" s="1316"/>
      <c r="G23" s="1316"/>
    </row>
    <row r="24" spans="2:9">
      <c r="B24" s="1227" t="s">
        <v>1131</v>
      </c>
      <c r="C24" s="1223">
        <v>12</v>
      </c>
      <c r="D24" s="1235">
        <f>'7N_3-12'!C125</f>
        <v>99285178.310000002</v>
      </c>
      <c r="E24" s="1235">
        <f>'7N_3-12'!D125</f>
        <v>99285178.310000002</v>
      </c>
      <c r="F24" s="1316"/>
    </row>
    <row r="25" spans="2:9">
      <c r="B25" s="1228" t="s">
        <v>455</v>
      </c>
      <c r="C25" s="1236"/>
      <c r="D25" s="1237">
        <f>SUM(D18:D24)</f>
        <v>1178312566.05</v>
      </c>
      <c r="E25" s="1237">
        <f>SUM(E18:E24)</f>
        <v>966723222.98999977</v>
      </c>
      <c r="F25" s="1316"/>
      <c r="G25" s="1316"/>
      <c r="H25" s="1316"/>
      <c r="I25" s="1316"/>
    </row>
    <row r="26" spans="2:9">
      <c r="B26" s="1238"/>
      <c r="C26" s="1239"/>
      <c r="D26" s="1240"/>
      <c r="E26" s="1241"/>
      <c r="F26" s="1316"/>
    </row>
    <row r="27" spans="2:9">
      <c r="B27" s="1242" t="s">
        <v>456</v>
      </c>
      <c r="C27" s="1236"/>
      <c r="D27" s="1243">
        <f>D15+D25</f>
        <v>5480838342.7400007</v>
      </c>
      <c r="E27" s="1243">
        <f>+E15+E25</f>
        <v>5480554477.5199986</v>
      </c>
      <c r="F27" s="1316"/>
      <c r="G27" s="1316"/>
    </row>
    <row r="28" spans="2:9">
      <c r="B28" s="1244"/>
      <c r="C28" s="1239"/>
      <c r="D28" s="1234"/>
      <c r="E28" s="1234"/>
      <c r="F28" s="1316"/>
    </row>
    <row r="29" spans="2:9">
      <c r="B29" s="1245" t="s">
        <v>96</v>
      </c>
      <c r="C29" s="1239"/>
      <c r="D29" s="1234"/>
      <c r="E29" s="1234"/>
      <c r="F29" s="1316"/>
      <c r="G29" s="1316"/>
    </row>
    <row r="30" spans="2:9">
      <c r="B30" s="1218" t="s">
        <v>105</v>
      </c>
      <c r="C30" s="1239"/>
      <c r="D30" s="1234"/>
      <c r="E30" s="1234"/>
      <c r="F30" s="1316"/>
    </row>
    <row r="31" spans="2:9">
      <c r="B31" s="1246" t="s">
        <v>225</v>
      </c>
      <c r="C31" s="1247">
        <v>13</v>
      </c>
      <c r="D31" s="1248">
        <f>'8N_13'!D32</f>
        <v>854082000</v>
      </c>
      <c r="E31" s="1248">
        <f>'8N_13'!F32</f>
        <v>854082000</v>
      </c>
      <c r="F31" s="1316"/>
    </row>
    <row r="32" spans="2:9">
      <c r="B32" s="1227" t="s">
        <v>228</v>
      </c>
      <c r="C32" s="1223"/>
      <c r="D32" s="1224">
        <f>+'5SOCE'!D16+'5SOCE'!E16</f>
        <v>3310823014.2230005</v>
      </c>
      <c r="E32" s="1224">
        <f>'5SOCE'!D10+'5SOCE'!E10</f>
        <v>2949153947.2900004</v>
      </c>
      <c r="F32" s="1316"/>
    </row>
    <row r="33" spans="2:7">
      <c r="B33" s="1228" t="s">
        <v>457</v>
      </c>
      <c r="C33" s="1249"/>
      <c r="D33" s="1243">
        <f>D31+D32</f>
        <v>4164905014.2230005</v>
      </c>
      <c r="E33" s="1243">
        <f>E31+E32</f>
        <v>3803235947.2900004</v>
      </c>
      <c r="F33" s="1316"/>
    </row>
    <row r="34" spans="2:7">
      <c r="B34" s="1250"/>
      <c r="C34" s="1251"/>
      <c r="D34" s="1241"/>
      <c r="E34" s="1241"/>
      <c r="F34" s="1316"/>
    </row>
    <row r="35" spans="2:7">
      <c r="B35" s="1245" t="s">
        <v>1172</v>
      </c>
      <c r="C35" s="1252">
        <v>14</v>
      </c>
      <c r="D35" s="1253">
        <f>'9N_14-21'!C15</f>
        <v>87633713.719999999</v>
      </c>
      <c r="E35" s="1253">
        <f>'9N_14-21'!D15</f>
        <v>87633713.719999999</v>
      </c>
      <c r="F35" s="1316"/>
    </row>
    <row r="36" spans="2:7">
      <c r="B36" s="1254"/>
      <c r="C36" s="1251"/>
      <c r="D36" s="1241"/>
      <c r="E36" s="1241"/>
      <c r="F36" s="1316"/>
    </row>
    <row r="37" spans="2:7">
      <c r="B37" s="1233" t="s">
        <v>1173</v>
      </c>
      <c r="C37" s="1239"/>
      <c r="D37" s="1234"/>
      <c r="E37" s="1234"/>
      <c r="F37" s="1316"/>
    </row>
    <row r="38" spans="2:7" ht="6.75" customHeight="1">
      <c r="B38" s="1233"/>
      <c r="C38" s="1239"/>
      <c r="D38" s="1234"/>
      <c r="E38" s="1234"/>
      <c r="F38" s="1316"/>
    </row>
    <row r="39" spans="2:7">
      <c r="B39" s="1218" t="s">
        <v>1381</v>
      </c>
      <c r="C39" s="1239"/>
      <c r="D39" s="1234"/>
      <c r="E39" s="1234"/>
      <c r="F39" s="1316"/>
    </row>
    <row r="40" spans="2:7">
      <c r="B40" s="1227" t="s">
        <v>1195</v>
      </c>
      <c r="C40" s="1223">
        <v>15</v>
      </c>
      <c r="D40" s="1235">
        <f>'9N_14-21'!C31</f>
        <v>602627143.24000001</v>
      </c>
      <c r="E40" s="1235">
        <f>'9N_14-21'!D31</f>
        <v>602627143.24000001</v>
      </c>
      <c r="F40" s="1316"/>
    </row>
    <row r="41" spans="2:7">
      <c r="B41" s="1227" t="s">
        <v>1196</v>
      </c>
      <c r="C41" s="1223">
        <v>16</v>
      </c>
      <c r="D41" s="1235">
        <f>'9N_14-21'!C47</f>
        <v>155400000</v>
      </c>
      <c r="E41" s="1235">
        <f>'9N_14-21'!D47</f>
        <v>155400000</v>
      </c>
      <c r="F41" s="1316"/>
    </row>
    <row r="42" spans="2:7">
      <c r="B42" s="1227" t="s">
        <v>1280</v>
      </c>
      <c r="C42" s="1223">
        <v>5</v>
      </c>
      <c r="D42" s="1235">
        <v>0</v>
      </c>
      <c r="E42" s="1235">
        <v>0</v>
      </c>
      <c r="F42" s="1316"/>
    </row>
    <row r="43" spans="2:7">
      <c r="B43" s="1227" t="s">
        <v>229</v>
      </c>
      <c r="C43" s="1223">
        <v>17</v>
      </c>
      <c r="D43" s="1235">
        <f>'9N_14-21'!C66</f>
        <v>72186244.400000006</v>
      </c>
      <c r="E43" s="1235">
        <f>'9N_14-21'!D66</f>
        <v>57164638.400000006</v>
      </c>
      <c r="F43" s="1316"/>
    </row>
    <row r="44" spans="2:7">
      <c r="B44" s="1228" t="s">
        <v>458</v>
      </c>
      <c r="C44" s="1249"/>
      <c r="D44" s="1243">
        <f>SUM(D40:D43)</f>
        <v>830213387.63999999</v>
      </c>
      <c r="E44" s="1243">
        <f>SUM(E40:E43)</f>
        <v>815191781.63999999</v>
      </c>
      <c r="F44" s="1316"/>
      <c r="G44" s="1316"/>
    </row>
    <row r="45" spans="2:7">
      <c r="B45" s="1231"/>
      <c r="C45" s="1251"/>
      <c r="D45" s="1241"/>
      <c r="E45" s="1241"/>
      <c r="F45" s="1316"/>
      <c r="G45" s="1316"/>
    </row>
    <row r="46" spans="2:7">
      <c r="B46" s="1233" t="s">
        <v>1175</v>
      </c>
      <c r="C46" s="1239"/>
      <c r="D46" s="1234"/>
      <c r="E46" s="1234"/>
      <c r="F46" s="1316"/>
    </row>
    <row r="47" spans="2:7">
      <c r="B47" s="1218" t="s">
        <v>1382</v>
      </c>
      <c r="C47" s="1219"/>
      <c r="D47" s="1234"/>
      <c r="E47" s="1234"/>
      <c r="F47" s="1316"/>
    </row>
    <row r="48" spans="2:7">
      <c r="B48" s="1227" t="s">
        <v>1201</v>
      </c>
      <c r="C48" s="1223">
        <v>18</v>
      </c>
      <c r="D48" s="1224">
        <f>'9N_14-21'!C86</f>
        <v>154631743.07999998</v>
      </c>
      <c r="E48" s="1224">
        <f>'9N_14-21'!D86</f>
        <v>171166001.31999999</v>
      </c>
      <c r="F48" s="1316"/>
    </row>
    <row r="49" spans="2:8">
      <c r="B49" s="1227" t="s">
        <v>1202</v>
      </c>
      <c r="C49" s="1223">
        <v>19</v>
      </c>
      <c r="D49" s="1224">
        <f>+'9N_14-21'!C95</f>
        <v>57187101.519999996</v>
      </c>
      <c r="E49" s="1224">
        <f>+'9N_14-21'!D95</f>
        <v>96526009.099999994</v>
      </c>
      <c r="F49" s="1316"/>
    </row>
    <row r="50" spans="2:8">
      <c r="B50" s="1227" t="s">
        <v>231</v>
      </c>
      <c r="C50" s="1223">
        <v>20</v>
      </c>
      <c r="D50" s="1224">
        <f>'9N_14-21'!C104</f>
        <v>158178015.56700003</v>
      </c>
      <c r="E50" s="1224">
        <f>'9N_14-21'!D104</f>
        <v>236623130.08000001</v>
      </c>
      <c r="F50" s="1316"/>
    </row>
    <row r="51" spans="2:8">
      <c r="B51" s="1227" t="s">
        <v>243</v>
      </c>
      <c r="C51" s="1223">
        <v>21</v>
      </c>
      <c r="D51" s="1224">
        <f>'9N_14-21'!C137</f>
        <v>28089366.989999957</v>
      </c>
      <c r="E51" s="1224">
        <f>'9N_14-21'!D137</f>
        <v>270177894.37</v>
      </c>
      <c r="F51" s="1316"/>
    </row>
    <row r="52" spans="2:8">
      <c r="B52" s="1228" t="s">
        <v>459</v>
      </c>
      <c r="C52" s="1236"/>
      <c r="D52" s="1237">
        <f>SUM(D47:D51)</f>
        <v>398086227.15699995</v>
      </c>
      <c r="E52" s="1237">
        <f>SUM(E47:E51)</f>
        <v>774493034.87</v>
      </c>
      <c r="F52" s="1316"/>
      <c r="G52" s="1316"/>
    </row>
    <row r="53" spans="2:8">
      <c r="B53" s="1231"/>
      <c r="C53" s="1239"/>
      <c r="D53" s="1240"/>
      <c r="E53" s="1240"/>
      <c r="F53" s="1316"/>
    </row>
    <row r="54" spans="2:8">
      <c r="B54" s="1228" t="s">
        <v>1174</v>
      </c>
      <c r="C54" s="1249"/>
      <c r="D54" s="1237">
        <f>D44+D52+D35</f>
        <v>1315933328.517</v>
      </c>
      <c r="E54" s="1237">
        <f>E44+E52+E35</f>
        <v>1677318530.23</v>
      </c>
      <c r="F54" s="1316"/>
      <c r="G54" s="1316"/>
    </row>
    <row r="55" spans="2:8">
      <c r="B55" s="1238"/>
      <c r="C55" s="1251"/>
      <c r="D55" s="1240"/>
      <c r="E55" s="1240"/>
      <c r="F55" s="1316"/>
      <c r="G55" s="1316"/>
    </row>
    <row r="56" spans="2:8">
      <c r="B56" s="1255" t="s">
        <v>460</v>
      </c>
      <c r="C56" s="1256"/>
      <c r="D56" s="1243">
        <f>D33+D54</f>
        <v>5480838342.7400007</v>
      </c>
      <c r="E56" s="1243">
        <f>E33+E54</f>
        <v>5480554477.5200005</v>
      </c>
      <c r="F56" s="1316"/>
      <c r="G56" s="1316"/>
      <c r="H56" s="1316"/>
    </row>
    <row r="57" spans="2:8">
      <c r="B57" s="1257" t="s">
        <v>467</v>
      </c>
      <c r="C57" s="1258">
        <v>1</v>
      </c>
      <c r="D57" s="1259">
        <f>D56-D27</f>
        <v>0</v>
      </c>
      <c r="E57" s="1260">
        <f>E27-E56</f>
        <v>0</v>
      </c>
      <c r="F57" s="1316"/>
    </row>
    <row r="58" spans="2:8">
      <c r="B58" s="1386" t="s">
        <v>98</v>
      </c>
      <c r="C58" s="1387"/>
      <c r="D58" s="1387"/>
      <c r="E58" s="1388"/>
      <c r="F58" s="1365"/>
      <c r="G58" s="1316"/>
    </row>
    <row r="59" spans="2:8">
      <c r="B59" s="1386" t="s">
        <v>571</v>
      </c>
      <c r="C59" s="1389"/>
      <c r="D59" s="1389"/>
      <c r="E59" s="1390"/>
      <c r="F59" s="1316"/>
    </row>
    <row r="60" spans="2:8">
      <c r="B60" s="1391"/>
      <c r="C60" s="1389"/>
      <c r="D60" s="1389"/>
      <c r="E60" s="1390"/>
    </row>
    <row r="61" spans="2:8">
      <c r="B61" s="1245" t="s">
        <v>1086</v>
      </c>
      <c r="C61" s="1261"/>
      <c r="D61" s="1262"/>
      <c r="E61" s="1263" t="s">
        <v>462</v>
      </c>
    </row>
    <row r="62" spans="2:8">
      <c r="B62" s="1264" t="s">
        <v>461</v>
      </c>
      <c r="C62" s="1265"/>
      <c r="D62" s="1265"/>
      <c r="E62" s="1266"/>
    </row>
    <row r="63" spans="2:8">
      <c r="B63" s="1264" t="s">
        <v>1377</v>
      </c>
      <c r="C63" s="1265"/>
      <c r="D63" s="1267"/>
      <c r="E63" s="1266"/>
    </row>
    <row r="64" spans="2:8">
      <c r="B64" s="1264"/>
      <c r="C64" s="1265"/>
      <c r="D64" s="1265"/>
      <c r="E64" s="1268"/>
    </row>
    <row r="65" spans="2:5">
      <c r="B65" s="1245"/>
      <c r="C65" s="1265"/>
      <c r="D65" s="1265"/>
      <c r="E65" s="1269" t="s">
        <v>67</v>
      </c>
    </row>
    <row r="66" spans="2:5">
      <c r="B66" s="1264"/>
      <c r="C66" s="1265"/>
      <c r="D66" s="1265"/>
      <c r="E66" s="1270"/>
    </row>
    <row r="67" spans="2:5">
      <c r="B67" s="1245" t="s">
        <v>1087</v>
      </c>
      <c r="E67" s="1268"/>
    </row>
    <row r="68" spans="2:5">
      <c r="B68" s="1264" t="s">
        <v>66</v>
      </c>
      <c r="E68" s="1268"/>
    </row>
    <row r="69" spans="2:5">
      <c r="B69" s="1272" t="s">
        <v>1232</v>
      </c>
      <c r="E69" s="1273" t="s">
        <v>97</v>
      </c>
    </row>
    <row r="70" spans="2:5">
      <c r="B70" s="1274"/>
      <c r="E70" s="1266"/>
    </row>
    <row r="71" spans="2:5">
      <c r="B71" s="1264" t="s">
        <v>1378</v>
      </c>
      <c r="E71" s="1275"/>
    </row>
    <row r="72" spans="2:5">
      <c r="B72" s="1276" t="s">
        <v>1379</v>
      </c>
      <c r="C72" s="1277"/>
      <c r="D72" s="1277"/>
      <c r="E72" s="1278"/>
    </row>
    <row r="73" spans="2:5">
      <c r="B73" s="1279"/>
      <c r="D73" s="1280"/>
    </row>
    <row r="74" spans="2:5">
      <c r="D74" s="1280"/>
    </row>
    <row r="75" spans="2:5">
      <c r="B75" s="1281"/>
      <c r="D75" s="1282"/>
    </row>
    <row r="76" spans="2:5">
      <c r="D76" s="1283"/>
    </row>
  </sheetData>
  <mergeCells count="5">
    <mergeCell ref="B1:E1"/>
    <mergeCell ref="B58:E58"/>
    <mergeCell ref="B59:E59"/>
    <mergeCell ref="B60:E60"/>
    <mergeCell ref="B2:E2"/>
  </mergeCells>
  <pageMargins left="0.95" right="0.26" top="0.56000000000000005" bottom="0.2" header="0.05" footer="0.05"/>
  <pageSetup scale="67" orientation="portrait" r:id="rId1"/>
  <legacyDrawing r:id="rId2"/>
</worksheet>
</file>

<file path=xl/worksheets/sheet5.xml><?xml version="1.0" encoding="utf-8"?>
<worksheet xmlns="http://schemas.openxmlformats.org/spreadsheetml/2006/main" xmlns:r="http://schemas.openxmlformats.org/officeDocument/2006/relationships">
  <sheetPr codeName="Sheet10" enableFormatConditionsCalculation="0">
    <tabColor rgb="FF00B050"/>
  </sheetPr>
  <dimension ref="A1:O89"/>
  <sheetViews>
    <sheetView showGridLines="0" topLeftCell="B78" zoomScaleSheetLayoutView="90" workbookViewId="0">
      <selection activeCell="D98" sqref="D98"/>
    </sheetView>
  </sheetViews>
  <sheetFormatPr defaultColWidth="8.85546875" defaultRowHeight="15.75"/>
  <cols>
    <col min="1" max="1" width="0.140625" style="12" hidden="1" customWidth="1"/>
    <col min="2" max="2" width="59.28515625" style="147" customWidth="1"/>
    <col min="3" max="3" width="19.42578125" style="1170" bestFit="1" customWidth="1"/>
    <col min="4" max="4" width="21.28515625" style="1170" customWidth="1"/>
    <col min="5" max="5" width="19.7109375" style="1170" customWidth="1"/>
    <col min="6" max="6" width="24.7109375" style="1170" customWidth="1"/>
    <col min="7" max="7" width="19.7109375" style="12" bestFit="1" customWidth="1"/>
    <col min="8" max="8" width="19.42578125" style="12" bestFit="1" customWidth="1"/>
    <col min="9" max="10" width="8.85546875" style="12"/>
    <col min="11" max="11" width="20.140625" style="12" bestFit="1" customWidth="1"/>
    <col min="12" max="12" width="14.85546875" style="12" bestFit="1" customWidth="1"/>
    <col min="13" max="13" width="2.140625" style="12" customWidth="1"/>
    <col min="14" max="14" width="18.28515625" style="12" bestFit="1" customWidth="1"/>
    <col min="15" max="15" width="12.85546875" style="12" bestFit="1" customWidth="1"/>
    <col min="16" max="247" width="8.85546875" style="12"/>
    <col min="248" max="248" width="62.7109375" style="12" bestFit="1" customWidth="1"/>
    <col min="249" max="249" width="19" style="12" bestFit="1" customWidth="1"/>
    <col min="250" max="250" width="23.42578125" style="12" bestFit="1" customWidth="1"/>
    <col min="251" max="251" width="8.85546875" style="12"/>
    <col min="252" max="252" width="43.140625" style="12" bestFit="1" customWidth="1"/>
    <col min="253" max="253" width="18.7109375" style="12" bestFit="1" customWidth="1"/>
    <col min="254" max="254" width="19.85546875" style="12" bestFit="1" customWidth="1"/>
    <col min="255" max="255" width="19.42578125" style="12" bestFit="1" customWidth="1"/>
    <col min="256" max="503" width="8.85546875" style="12"/>
    <col min="504" max="504" width="62.7109375" style="12" bestFit="1" customWidth="1"/>
    <col min="505" max="505" width="19" style="12" bestFit="1" customWidth="1"/>
    <col min="506" max="506" width="23.42578125" style="12" bestFit="1" customWidth="1"/>
    <col min="507" max="507" width="8.85546875" style="12"/>
    <col min="508" max="508" width="43.140625" style="12" bestFit="1" customWidth="1"/>
    <col min="509" max="509" width="18.7109375" style="12" bestFit="1" customWidth="1"/>
    <col min="510" max="510" width="19.85546875" style="12" bestFit="1" customWidth="1"/>
    <col min="511" max="511" width="19.42578125" style="12" bestFit="1" customWidth="1"/>
    <col min="512" max="759" width="8.85546875" style="12"/>
    <col min="760" max="760" width="62.7109375" style="12" bestFit="1" customWidth="1"/>
    <col min="761" max="761" width="19" style="12" bestFit="1" customWidth="1"/>
    <col min="762" max="762" width="23.42578125" style="12" bestFit="1" customWidth="1"/>
    <col min="763" max="763" width="8.85546875" style="12"/>
    <col min="764" max="764" width="43.140625" style="12" bestFit="1" customWidth="1"/>
    <col min="765" max="765" width="18.7109375" style="12" bestFit="1" customWidth="1"/>
    <col min="766" max="766" width="19.85546875" style="12" bestFit="1" customWidth="1"/>
    <col min="767" max="767" width="19.42578125" style="12" bestFit="1" customWidth="1"/>
    <col min="768" max="1015" width="8.85546875" style="12"/>
    <col min="1016" max="1016" width="62.7109375" style="12" bestFit="1" customWidth="1"/>
    <col min="1017" max="1017" width="19" style="12" bestFit="1" customWidth="1"/>
    <col min="1018" max="1018" width="23.42578125" style="12" bestFit="1" customWidth="1"/>
    <col min="1019" max="1019" width="8.85546875" style="12"/>
    <col min="1020" max="1020" width="43.140625" style="12" bestFit="1" customWidth="1"/>
    <col min="1021" max="1021" width="18.7109375" style="12" bestFit="1" customWidth="1"/>
    <col min="1022" max="1022" width="19.85546875" style="12" bestFit="1" customWidth="1"/>
    <col min="1023" max="1023" width="19.42578125" style="12" bestFit="1" customWidth="1"/>
    <col min="1024" max="1271" width="8.85546875" style="12"/>
    <col min="1272" max="1272" width="62.7109375" style="12" bestFit="1" customWidth="1"/>
    <col min="1273" max="1273" width="19" style="12" bestFit="1" customWidth="1"/>
    <col min="1274" max="1274" width="23.42578125" style="12" bestFit="1" customWidth="1"/>
    <col min="1275" max="1275" width="8.85546875" style="12"/>
    <col min="1276" max="1276" width="43.140625" style="12" bestFit="1" customWidth="1"/>
    <col min="1277" max="1277" width="18.7109375" style="12" bestFit="1" customWidth="1"/>
    <col min="1278" max="1278" width="19.85546875" style="12" bestFit="1" customWidth="1"/>
    <col min="1279" max="1279" width="19.42578125" style="12" bestFit="1" customWidth="1"/>
    <col min="1280" max="1527" width="8.85546875" style="12"/>
    <col min="1528" max="1528" width="62.7109375" style="12" bestFit="1" customWidth="1"/>
    <col min="1529" max="1529" width="19" style="12" bestFit="1" customWidth="1"/>
    <col min="1530" max="1530" width="23.42578125" style="12" bestFit="1" customWidth="1"/>
    <col min="1531" max="1531" width="8.85546875" style="12"/>
    <col min="1532" max="1532" width="43.140625" style="12" bestFit="1" customWidth="1"/>
    <col min="1533" max="1533" width="18.7109375" style="12" bestFit="1" customWidth="1"/>
    <col min="1534" max="1534" width="19.85546875" style="12" bestFit="1" customWidth="1"/>
    <col min="1535" max="1535" width="19.42578125" style="12" bestFit="1" customWidth="1"/>
    <col min="1536" max="1783" width="8.85546875" style="12"/>
    <col min="1784" max="1784" width="62.7109375" style="12" bestFit="1" customWidth="1"/>
    <col min="1785" max="1785" width="19" style="12" bestFit="1" customWidth="1"/>
    <col min="1786" max="1786" width="23.42578125" style="12" bestFit="1" customWidth="1"/>
    <col min="1787" max="1787" width="8.85546875" style="12"/>
    <col min="1788" max="1788" width="43.140625" style="12" bestFit="1" customWidth="1"/>
    <col min="1789" max="1789" width="18.7109375" style="12" bestFit="1" customWidth="1"/>
    <col min="1790" max="1790" width="19.85546875" style="12" bestFit="1" customWidth="1"/>
    <col min="1791" max="1791" width="19.42578125" style="12" bestFit="1" customWidth="1"/>
    <col min="1792" max="2039" width="8.85546875" style="12"/>
    <col min="2040" max="2040" width="62.7109375" style="12" bestFit="1" customWidth="1"/>
    <col min="2041" max="2041" width="19" style="12" bestFit="1" customWidth="1"/>
    <col min="2042" max="2042" width="23.42578125" style="12" bestFit="1" customWidth="1"/>
    <col min="2043" max="2043" width="8.85546875" style="12"/>
    <col min="2044" max="2044" width="43.140625" style="12" bestFit="1" customWidth="1"/>
    <col min="2045" max="2045" width="18.7109375" style="12" bestFit="1" customWidth="1"/>
    <col min="2046" max="2046" width="19.85546875" style="12" bestFit="1" customWidth="1"/>
    <col min="2047" max="2047" width="19.42578125" style="12" bestFit="1" customWidth="1"/>
    <col min="2048" max="2295" width="8.85546875" style="12"/>
    <col min="2296" max="2296" width="62.7109375" style="12" bestFit="1" customWidth="1"/>
    <col min="2297" max="2297" width="19" style="12" bestFit="1" customWidth="1"/>
    <col min="2298" max="2298" width="23.42578125" style="12" bestFit="1" customWidth="1"/>
    <col min="2299" max="2299" width="8.85546875" style="12"/>
    <col min="2300" max="2300" width="43.140625" style="12" bestFit="1" customWidth="1"/>
    <col min="2301" max="2301" width="18.7109375" style="12" bestFit="1" customWidth="1"/>
    <col min="2302" max="2302" width="19.85546875" style="12" bestFit="1" customWidth="1"/>
    <col min="2303" max="2303" width="19.42578125" style="12" bestFit="1" customWidth="1"/>
    <col min="2304" max="2551" width="8.85546875" style="12"/>
    <col min="2552" max="2552" width="62.7109375" style="12" bestFit="1" customWidth="1"/>
    <col min="2553" max="2553" width="19" style="12" bestFit="1" customWidth="1"/>
    <col min="2554" max="2554" width="23.42578125" style="12" bestFit="1" customWidth="1"/>
    <col min="2555" max="2555" width="8.85546875" style="12"/>
    <col min="2556" max="2556" width="43.140625" style="12" bestFit="1" customWidth="1"/>
    <col min="2557" max="2557" width="18.7109375" style="12" bestFit="1" customWidth="1"/>
    <col min="2558" max="2558" width="19.85546875" style="12" bestFit="1" customWidth="1"/>
    <col min="2559" max="2559" width="19.42578125" style="12" bestFit="1" customWidth="1"/>
    <col min="2560" max="2807" width="8.85546875" style="12"/>
    <col min="2808" max="2808" width="62.7109375" style="12" bestFit="1" customWidth="1"/>
    <col min="2809" max="2809" width="19" style="12" bestFit="1" customWidth="1"/>
    <col min="2810" max="2810" width="23.42578125" style="12" bestFit="1" customWidth="1"/>
    <col min="2811" max="2811" width="8.85546875" style="12"/>
    <col min="2812" max="2812" width="43.140625" style="12" bestFit="1" customWidth="1"/>
    <col min="2813" max="2813" width="18.7109375" style="12" bestFit="1" customWidth="1"/>
    <col min="2814" max="2814" width="19.85546875" style="12" bestFit="1" customWidth="1"/>
    <col min="2815" max="2815" width="19.42578125" style="12" bestFit="1" customWidth="1"/>
    <col min="2816" max="3063" width="8.85546875" style="12"/>
    <col min="3064" max="3064" width="62.7109375" style="12" bestFit="1" customWidth="1"/>
    <col min="3065" max="3065" width="19" style="12" bestFit="1" customWidth="1"/>
    <col min="3066" max="3066" width="23.42578125" style="12" bestFit="1" customWidth="1"/>
    <col min="3067" max="3067" width="8.85546875" style="12"/>
    <col min="3068" max="3068" width="43.140625" style="12" bestFit="1" customWidth="1"/>
    <col min="3069" max="3069" width="18.7109375" style="12" bestFit="1" customWidth="1"/>
    <col min="3070" max="3070" width="19.85546875" style="12" bestFit="1" customWidth="1"/>
    <col min="3071" max="3071" width="19.42578125" style="12" bestFit="1" customWidth="1"/>
    <col min="3072" max="3319" width="8.85546875" style="12"/>
    <col min="3320" max="3320" width="62.7109375" style="12" bestFit="1" customWidth="1"/>
    <col min="3321" max="3321" width="19" style="12" bestFit="1" customWidth="1"/>
    <col min="3322" max="3322" width="23.42578125" style="12" bestFit="1" customWidth="1"/>
    <col min="3323" max="3323" width="8.85546875" style="12"/>
    <col min="3324" max="3324" width="43.140625" style="12" bestFit="1" customWidth="1"/>
    <col min="3325" max="3325" width="18.7109375" style="12" bestFit="1" customWidth="1"/>
    <col min="3326" max="3326" width="19.85546875" style="12" bestFit="1" customWidth="1"/>
    <col min="3327" max="3327" width="19.42578125" style="12" bestFit="1" customWidth="1"/>
    <col min="3328" max="3575" width="8.85546875" style="12"/>
    <col min="3576" max="3576" width="62.7109375" style="12" bestFit="1" customWidth="1"/>
    <col min="3577" max="3577" width="19" style="12" bestFit="1" customWidth="1"/>
    <col min="3578" max="3578" width="23.42578125" style="12" bestFit="1" customWidth="1"/>
    <col min="3579" max="3579" width="8.85546875" style="12"/>
    <col min="3580" max="3580" width="43.140625" style="12" bestFit="1" customWidth="1"/>
    <col min="3581" max="3581" width="18.7109375" style="12" bestFit="1" customWidth="1"/>
    <col min="3582" max="3582" width="19.85546875" style="12" bestFit="1" customWidth="1"/>
    <col min="3583" max="3583" width="19.42578125" style="12" bestFit="1" customWidth="1"/>
    <col min="3584" max="3831" width="8.85546875" style="12"/>
    <col min="3832" max="3832" width="62.7109375" style="12" bestFit="1" customWidth="1"/>
    <col min="3833" max="3833" width="19" style="12" bestFit="1" customWidth="1"/>
    <col min="3834" max="3834" width="23.42578125" style="12" bestFit="1" customWidth="1"/>
    <col min="3835" max="3835" width="8.85546875" style="12"/>
    <col min="3836" max="3836" width="43.140625" style="12" bestFit="1" customWidth="1"/>
    <col min="3837" max="3837" width="18.7109375" style="12" bestFit="1" customWidth="1"/>
    <col min="3838" max="3838" width="19.85546875" style="12" bestFit="1" customWidth="1"/>
    <col min="3839" max="3839" width="19.42578125" style="12" bestFit="1" customWidth="1"/>
    <col min="3840" max="4087" width="8.85546875" style="12"/>
    <col min="4088" max="4088" width="62.7109375" style="12" bestFit="1" customWidth="1"/>
    <col min="4089" max="4089" width="19" style="12" bestFit="1" customWidth="1"/>
    <col min="4090" max="4090" width="23.42578125" style="12" bestFit="1" customWidth="1"/>
    <col min="4091" max="4091" width="8.85546875" style="12"/>
    <col min="4092" max="4092" width="43.140625" style="12" bestFit="1" customWidth="1"/>
    <col min="4093" max="4093" width="18.7109375" style="12" bestFit="1" customWidth="1"/>
    <col min="4094" max="4094" width="19.85546875" style="12" bestFit="1" customWidth="1"/>
    <col min="4095" max="4095" width="19.42578125" style="12" bestFit="1" customWidth="1"/>
    <col min="4096" max="4343" width="8.85546875" style="12"/>
    <col min="4344" max="4344" width="62.7109375" style="12" bestFit="1" customWidth="1"/>
    <col min="4345" max="4345" width="19" style="12" bestFit="1" customWidth="1"/>
    <col min="4346" max="4346" width="23.42578125" style="12" bestFit="1" customWidth="1"/>
    <col min="4347" max="4347" width="8.85546875" style="12"/>
    <col min="4348" max="4348" width="43.140625" style="12" bestFit="1" customWidth="1"/>
    <col min="4349" max="4349" width="18.7109375" style="12" bestFit="1" customWidth="1"/>
    <col min="4350" max="4350" width="19.85546875" style="12" bestFit="1" customWidth="1"/>
    <col min="4351" max="4351" width="19.42578125" style="12" bestFit="1" customWidth="1"/>
    <col min="4352" max="4599" width="8.85546875" style="12"/>
    <col min="4600" max="4600" width="62.7109375" style="12" bestFit="1" customWidth="1"/>
    <col min="4601" max="4601" width="19" style="12" bestFit="1" customWidth="1"/>
    <col min="4602" max="4602" width="23.42578125" style="12" bestFit="1" customWidth="1"/>
    <col min="4603" max="4603" width="8.85546875" style="12"/>
    <col min="4604" max="4604" width="43.140625" style="12" bestFit="1" customWidth="1"/>
    <col min="4605" max="4605" width="18.7109375" style="12" bestFit="1" customWidth="1"/>
    <col min="4606" max="4606" width="19.85546875" style="12" bestFit="1" customWidth="1"/>
    <col min="4607" max="4607" width="19.42578125" style="12" bestFit="1" customWidth="1"/>
    <col min="4608" max="4855" width="8.85546875" style="12"/>
    <col min="4856" max="4856" width="62.7109375" style="12" bestFit="1" customWidth="1"/>
    <col min="4857" max="4857" width="19" style="12" bestFit="1" customWidth="1"/>
    <col min="4858" max="4858" width="23.42578125" style="12" bestFit="1" customWidth="1"/>
    <col min="4859" max="4859" width="8.85546875" style="12"/>
    <col min="4860" max="4860" width="43.140625" style="12" bestFit="1" customWidth="1"/>
    <col min="4861" max="4861" width="18.7109375" style="12" bestFit="1" customWidth="1"/>
    <col min="4862" max="4862" width="19.85546875" style="12" bestFit="1" customWidth="1"/>
    <col min="4863" max="4863" width="19.42578125" style="12" bestFit="1" customWidth="1"/>
    <col min="4864" max="5111" width="8.85546875" style="12"/>
    <col min="5112" max="5112" width="62.7109375" style="12" bestFit="1" customWidth="1"/>
    <col min="5113" max="5113" width="19" style="12" bestFit="1" customWidth="1"/>
    <col min="5114" max="5114" width="23.42578125" style="12" bestFit="1" customWidth="1"/>
    <col min="5115" max="5115" width="8.85546875" style="12"/>
    <col min="5116" max="5116" width="43.140625" style="12" bestFit="1" customWidth="1"/>
    <col min="5117" max="5117" width="18.7109375" style="12" bestFit="1" customWidth="1"/>
    <col min="5118" max="5118" width="19.85546875" style="12" bestFit="1" customWidth="1"/>
    <col min="5119" max="5119" width="19.42578125" style="12" bestFit="1" customWidth="1"/>
    <col min="5120" max="5367" width="8.85546875" style="12"/>
    <col min="5368" max="5368" width="62.7109375" style="12" bestFit="1" customWidth="1"/>
    <col min="5369" max="5369" width="19" style="12" bestFit="1" customWidth="1"/>
    <col min="5370" max="5370" width="23.42578125" style="12" bestFit="1" customWidth="1"/>
    <col min="5371" max="5371" width="8.85546875" style="12"/>
    <col min="5372" max="5372" width="43.140625" style="12" bestFit="1" customWidth="1"/>
    <col min="5373" max="5373" width="18.7109375" style="12" bestFit="1" customWidth="1"/>
    <col min="5374" max="5374" width="19.85546875" style="12" bestFit="1" customWidth="1"/>
    <col min="5375" max="5375" width="19.42578125" style="12" bestFit="1" customWidth="1"/>
    <col min="5376" max="5623" width="8.85546875" style="12"/>
    <col min="5624" max="5624" width="62.7109375" style="12" bestFit="1" customWidth="1"/>
    <col min="5625" max="5625" width="19" style="12" bestFit="1" customWidth="1"/>
    <col min="5626" max="5626" width="23.42578125" style="12" bestFit="1" customWidth="1"/>
    <col min="5627" max="5627" width="8.85546875" style="12"/>
    <col min="5628" max="5628" width="43.140625" style="12" bestFit="1" customWidth="1"/>
    <col min="5629" max="5629" width="18.7109375" style="12" bestFit="1" customWidth="1"/>
    <col min="5630" max="5630" width="19.85546875" style="12" bestFit="1" customWidth="1"/>
    <col min="5631" max="5631" width="19.42578125" style="12" bestFit="1" customWidth="1"/>
    <col min="5632" max="5879" width="8.85546875" style="12"/>
    <col min="5880" max="5880" width="62.7109375" style="12" bestFit="1" customWidth="1"/>
    <col min="5881" max="5881" width="19" style="12" bestFit="1" customWidth="1"/>
    <col min="5882" max="5882" width="23.42578125" style="12" bestFit="1" customWidth="1"/>
    <col min="5883" max="5883" width="8.85546875" style="12"/>
    <col min="5884" max="5884" width="43.140625" style="12" bestFit="1" customWidth="1"/>
    <col min="5885" max="5885" width="18.7109375" style="12" bestFit="1" customWidth="1"/>
    <col min="5886" max="5886" width="19.85546875" style="12" bestFit="1" customWidth="1"/>
    <col min="5887" max="5887" width="19.42578125" style="12" bestFit="1" customWidth="1"/>
    <col min="5888" max="6135" width="8.85546875" style="12"/>
    <col min="6136" max="6136" width="62.7109375" style="12" bestFit="1" customWidth="1"/>
    <col min="6137" max="6137" width="19" style="12" bestFit="1" customWidth="1"/>
    <col min="6138" max="6138" width="23.42578125" style="12" bestFit="1" customWidth="1"/>
    <col min="6139" max="6139" width="8.85546875" style="12"/>
    <col min="6140" max="6140" width="43.140625" style="12" bestFit="1" customWidth="1"/>
    <col min="6141" max="6141" width="18.7109375" style="12" bestFit="1" customWidth="1"/>
    <col min="6142" max="6142" width="19.85546875" style="12" bestFit="1" customWidth="1"/>
    <col min="6143" max="6143" width="19.42578125" style="12" bestFit="1" customWidth="1"/>
    <col min="6144" max="6391" width="8.85546875" style="12"/>
    <col min="6392" max="6392" width="62.7109375" style="12" bestFit="1" customWidth="1"/>
    <col min="6393" max="6393" width="19" style="12" bestFit="1" customWidth="1"/>
    <col min="6394" max="6394" width="23.42578125" style="12" bestFit="1" customWidth="1"/>
    <col min="6395" max="6395" width="8.85546875" style="12"/>
    <col min="6396" max="6396" width="43.140625" style="12" bestFit="1" customWidth="1"/>
    <col min="6397" max="6397" width="18.7109375" style="12" bestFit="1" customWidth="1"/>
    <col min="6398" max="6398" width="19.85546875" style="12" bestFit="1" customWidth="1"/>
    <col min="6399" max="6399" width="19.42578125" style="12" bestFit="1" customWidth="1"/>
    <col min="6400" max="6647" width="8.85546875" style="12"/>
    <col min="6648" max="6648" width="62.7109375" style="12" bestFit="1" customWidth="1"/>
    <col min="6649" max="6649" width="19" style="12" bestFit="1" customWidth="1"/>
    <col min="6650" max="6650" width="23.42578125" style="12" bestFit="1" customWidth="1"/>
    <col min="6651" max="6651" width="8.85546875" style="12"/>
    <col min="6652" max="6652" width="43.140625" style="12" bestFit="1" customWidth="1"/>
    <col min="6653" max="6653" width="18.7109375" style="12" bestFit="1" customWidth="1"/>
    <col min="6654" max="6654" width="19.85546875" style="12" bestFit="1" customWidth="1"/>
    <col min="6655" max="6655" width="19.42578125" style="12" bestFit="1" customWidth="1"/>
    <col min="6656" max="6903" width="8.85546875" style="12"/>
    <col min="6904" max="6904" width="62.7109375" style="12" bestFit="1" customWidth="1"/>
    <col min="6905" max="6905" width="19" style="12" bestFit="1" customWidth="1"/>
    <col min="6906" max="6906" width="23.42578125" style="12" bestFit="1" customWidth="1"/>
    <col min="6907" max="6907" width="8.85546875" style="12"/>
    <col min="6908" max="6908" width="43.140625" style="12" bestFit="1" customWidth="1"/>
    <col min="6909" max="6909" width="18.7109375" style="12" bestFit="1" customWidth="1"/>
    <col min="6910" max="6910" width="19.85546875" style="12" bestFit="1" customWidth="1"/>
    <col min="6911" max="6911" width="19.42578125" style="12" bestFit="1" customWidth="1"/>
    <col min="6912" max="7159" width="8.85546875" style="12"/>
    <col min="7160" max="7160" width="62.7109375" style="12" bestFit="1" customWidth="1"/>
    <col min="7161" max="7161" width="19" style="12" bestFit="1" customWidth="1"/>
    <col min="7162" max="7162" width="23.42578125" style="12" bestFit="1" customWidth="1"/>
    <col min="7163" max="7163" width="8.85546875" style="12"/>
    <col min="7164" max="7164" width="43.140625" style="12" bestFit="1" customWidth="1"/>
    <col min="7165" max="7165" width="18.7109375" style="12" bestFit="1" customWidth="1"/>
    <col min="7166" max="7166" width="19.85546875" style="12" bestFit="1" customWidth="1"/>
    <col min="7167" max="7167" width="19.42578125" style="12" bestFit="1" customWidth="1"/>
    <col min="7168" max="7415" width="8.85546875" style="12"/>
    <col min="7416" max="7416" width="62.7109375" style="12" bestFit="1" customWidth="1"/>
    <col min="7417" max="7417" width="19" style="12" bestFit="1" customWidth="1"/>
    <col min="7418" max="7418" width="23.42578125" style="12" bestFit="1" customWidth="1"/>
    <col min="7419" max="7419" width="8.85546875" style="12"/>
    <col min="7420" max="7420" width="43.140625" style="12" bestFit="1" customWidth="1"/>
    <col min="7421" max="7421" width="18.7109375" style="12" bestFit="1" customWidth="1"/>
    <col min="7422" max="7422" width="19.85546875" style="12" bestFit="1" customWidth="1"/>
    <col min="7423" max="7423" width="19.42578125" style="12" bestFit="1" customWidth="1"/>
    <col min="7424" max="7671" width="8.85546875" style="12"/>
    <col min="7672" max="7672" width="62.7109375" style="12" bestFit="1" customWidth="1"/>
    <col min="7673" max="7673" width="19" style="12" bestFit="1" customWidth="1"/>
    <col min="7674" max="7674" width="23.42578125" style="12" bestFit="1" customWidth="1"/>
    <col min="7675" max="7675" width="8.85546875" style="12"/>
    <col min="7676" max="7676" width="43.140625" style="12" bestFit="1" customWidth="1"/>
    <col min="7677" max="7677" width="18.7109375" style="12" bestFit="1" customWidth="1"/>
    <col min="7678" max="7678" width="19.85546875" style="12" bestFit="1" customWidth="1"/>
    <col min="7679" max="7679" width="19.42578125" style="12" bestFit="1" customWidth="1"/>
    <col min="7680" max="7927" width="8.85546875" style="12"/>
    <col min="7928" max="7928" width="62.7109375" style="12" bestFit="1" customWidth="1"/>
    <col min="7929" max="7929" width="19" style="12" bestFit="1" customWidth="1"/>
    <col min="7930" max="7930" width="23.42578125" style="12" bestFit="1" customWidth="1"/>
    <col min="7931" max="7931" width="8.85546875" style="12"/>
    <col min="7932" max="7932" width="43.140625" style="12" bestFit="1" customWidth="1"/>
    <col min="7933" max="7933" width="18.7109375" style="12" bestFit="1" customWidth="1"/>
    <col min="7934" max="7934" width="19.85546875" style="12" bestFit="1" customWidth="1"/>
    <col min="7935" max="7935" width="19.42578125" style="12" bestFit="1" customWidth="1"/>
    <col min="7936" max="8183" width="8.85546875" style="12"/>
    <col min="8184" max="8184" width="62.7109375" style="12" bestFit="1" customWidth="1"/>
    <col min="8185" max="8185" width="19" style="12" bestFit="1" customWidth="1"/>
    <col min="8186" max="8186" width="23.42578125" style="12" bestFit="1" customWidth="1"/>
    <col min="8187" max="8187" width="8.85546875" style="12"/>
    <col min="8188" max="8188" width="43.140625" style="12" bestFit="1" customWidth="1"/>
    <col min="8189" max="8189" width="18.7109375" style="12" bestFit="1" customWidth="1"/>
    <col min="8190" max="8190" width="19.85546875" style="12" bestFit="1" customWidth="1"/>
    <col min="8191" max="8191" width="19.42578125" style="12" bestFit="1" customWidth="1"/>
    <col min="8192" max="8439" width="8.85546875" style="12"/>
    <col min="8440" max="8440" width="62.7109375" style="12" bestFit="1" customWidth="1"/>
    <col min="8441" max="8441" width="19" style="12" bestFit="1" customWidth="1"/>
    <col min="8442" max="8442" width="23.42578125" style="12" bestFit="1" customWidth="1"/>
    <col min="8443" max="8443" width="8.85546875" style="12"/>
    <col min="8444" max="8444" width="43.140625" style="12" bestFit="1" customWidth="1"/>
    <col min="8445" max="8445" width="18.7109375" style="12" bestFit="1" customWidth="1"/>
    <col min="8446" max="8446" width="19.85546875" style="12" bestFit="1" customWidth="1"/>
    <col min="8447" max="8447" width="19.42578125" style="12" bestFit="1" customWidth="1"/>
    <col min="8448" max="8695" width="8.85546875" style="12"/>
    <col min="8696" max="8696" width="62.7109375" style="12" bestFit="1" customWidth="1"/>
    <col min="8697" max="8697" width="19" style="12" bestFit="1" customWidth="1"/>
    <col min="8698" max="8698" width="23.42578125" style="12" bestFit="1" customWidth="1"/>
    <col min="8699" max="8699" width="8.85546875" style="12"/>
    <col min="8700" max="8700" width="43.140625" style="12" bestFit="1" customWidth="1"/>
    <col min="8701" max="8701" width="18.7109375" style="12" bestFit="1" customWidth="1"/>
    <col min="8702" max="8702" width="19.85546875" style="12" bestFit="1" customWidth="1"/>
    <col min="8703" max="8703" width="19.42578125" style="12" bestFit="1" customWidth="1"/>
    <col min="8704" max="8951" width="8.85546875" style="12"/>
    <col min="8952" max="8952" width="62.7109375" style="12" bestFit="1" customWidth="1"/>
    <col min="8953" max="8953" width="19" style="12" bestFit="1" customWidth="1"/>
    <col min="8954" max="8954" width="23.42578125" style="12" bestFit="1" customWidth="1"/>
    <col min="8955" max="8955" width="8.85546875" style="12"/>
    <col min="8956" max="8956" width="43.140625" style="12" bestFit="1" customWidth="1"/>
    <col min="8957" max="8957" width="18.7109375" style="12" bestFit="1" customWidth="1"/>
    <col min="8958" max="8958" width="19.85546875" style="12" bestFit="1" customWidth="1"/>
    <col min="8959" max="8959" width="19.42578125" style="12" bestFit="1" customWidth="1"/>
    <col min="8960" max="9207" width="8.85546875" style="12"/>
    <col min="9208" max="9208" width="62.7109375" style="12" bestFit="1" customWidth="1"/>
    <col min="9209" max="9209" width="19" style="12" bestFit="1" customWidth="1"/>
    <col min="9210" max="9210" width="23.42578125" style="12" bestFit="1" customWidth="1"/>
    <col min="9211" max="9211" width="8.85546875" style="12"/>
    <col min="9212" max="9212" width="43.140625" style="12" bestFit="1" customWidth="1"/>
    <col min="9213" max="9213" width="18.7109375" style="12" bestFit="1" customWidth="1"/>
    <col min="9214" max="9214" width="19.85546875" style="12" bestFit="1" customWidth="1"/>
    <col min="9215" max="9215" width="19.42578125" style="12" bestFit="1" customWidth="1"/>
    <col min="9216" max="9463" width="8.85546875" style="12"/>
    <col min="9464" max="9464" width="62.7109375" style="12" bestFit="1" customWidth="1"/>
    <col min="9465" max="9465" width="19" style="12" bestFit="1" customWidth="1"/>
    <col min="9466" max="9466" width="23.42578125" style="12" bestFit="1" customWidth="1"/>
    <col min="9467" max="9467" width="8.85546875" style="12"/>
    <col min="9468" max="9468" width="43.140625" style="12" bestFit="1" customWidth="1"/>
    <col min="9469" max="9469" width="18.7109375" style="12" bestFit="1" customWidth="1"/>
    <col min="9470" max="9470" width="19.85546875" style="12" bestFit="1" customWidth="1"/>
    <col min="9471" max="9471" width="19.42578125" style="12" bestFit="1" customWidth="1"/>
    <col min="9472" max="9719" width="8.85546875" style="12"/>
    <col min="9720" max="9720" width="62.7109375" style="12" bestFit="1" customWidth="1"/>
    <col min="9721" max="9721" width="19" style="12" bestFit="1" customWidth="1"/>
    <col min="9722" max="9722" width="23.42578125" style="12" bestFit="1" customWidth="1"/>
    <col min="9723" max="9723" width="8.85546875" style="12"/>
    <col min="9724" max="9724" width="43.140625" style="12" bestFit="1" customWidth="1"/>
    <col min="9725" max="9725" width="18.7109375" style="12" bestFit="1" customWidth="1"/>
    <col min="9726" max="9726" width="19.85546875" style="12" bestFit="1" customWidth="1"/>
    <col min="9727" max="9727" width="19.42578125" style="12" bestFit="1" customWidth="1"/>
    <col min="9728" max="9975" width="8.85546875" style="12"/>
    <col min="9976" max="9976" width="62.7109375" style="12" bestFit="1" customWidth="1"/>
    <col min="9977" max="9977" width="19" style="12" bestFit="1" customWidth="1"/>
    <col min="9978" max="9978" width="23.42578125" style="12" bestFit="1" customWidth="1"/>
    <col min="9979" max="9979" width="8.85546875" style="12"/>
    <col min="9980" max="9980" width="43.140625" style="12" bestFit="1" customWidth="1"/>
    <col min="9981" max="9981" width="18.7109375" style="12" bestFit="1" customWidth="1"/>
    <col min="9982" max="9982" width="19.85546875" style="12" bestFit="1" customWidth="1"/>
    <col min="9983" max="9983" width="19.42578125" style="12" bestFit="1" customWidth="1"/>
    <col min="9984" max="10231" width="8.85546875" style="12"/>
    <col min="10232" max="10232" width="62.7109375" style="12" bestFit="1" customWidth="1"/>
    <col min="10233" max="10233" width="19" style="12" bestFit="1" customWidth="1"/>
    <col min="10234" max="10234" width="23.42578125" style="12" bestFit="1" customWidth="1"/>
    <col min="10235" max="10235" width="8.85546875" style="12"/>
    <col min="10236" max="10236" width="43.140625" style="12" bestFit="1" customWidth="1"/>
    <col min="10237" max="10237" width="18.7109375" style="12" bestFit="1" customWidth="1"/>
    <col min="10238" max="10238" width="19.85546875" style="12" bestFit="1" customWidth="1"/>
    <col min="10239" max="10239" width="19.42578125" style="12" bestFit="1" customWidth="1"/>
    <col min="10240" max="10487" width="8.85546875" style="12"/>
    <col min="10488" max="10488" width="62.7109375" style="12" bestFit="1" customWidth="1"/>
    <col min="10489" max="10489" width="19" style="12" bestFit="1" customWidth="1"/>
    <col min="10490" max="10490" width="23.42578125" style="12" bestFit="1" customWidth="1"/>
    <col min="10491" max="10491" width="8.85546875" style="12"/>
    <col min="10492" max="10492" width="43.140625" style="12" bestFit="1" customWidth="1"/>
    <col min="10493" max="10493" width="18.7109375" style="12" bestFit="1" customWidth="1"/>
    <col min="10494" max="10494" width="19.85546875" style="12" bestFit="1" customWidth="1"/>
    <col min="10495" max="10495" width="19.42578125" style="12" bestFit="1" customWidth="1"/>
    <col min="10496" max="10743" width="8.85546875" style="12"/>
    <col min="10744" max="10744" width="62.7109375" style="12" bestFit="1" customWidth="1"/>
    <col min="10745" max="10745" width="19" style="12" bestFit="1" customWidth="1"/>
    <col min="10746" max="10746" width="23.42578125" style="12" bestFit="1" customWidth="1"/>
    <col min="10747" max="10747" width="8.85546875" style="12"/>
    <col min="10748" max="10748" width="43.140625" style="12" bestFit="1" customWidth="1"/>
    <col min="10749" max="10749" width="18.7109375" style="12" bestFit="1" customWidth="1"/>
    <col min="10750" max="10750" width="19.85546875" style="12" bestFit="1" customWidth="1"/>
    <col min="10751" max="10751" width="19.42578125" style="12" bestFit="1" customWidth="1"/>
    <col min="10752" max="10999" width="8.85546875" style="12"/>
    <col min="11000" max="11000" width="62.7109375" style="12" bestFit="1" customWidth="1"/>
    <col min="11001" max="11001" width="19" style="12" bestFit="1" customWidth="1"/>
    <col min="11002" max="11002" width="23.42578125" style="12" bestFit="1" customWidth="1"/>
    <col min="11003" max="11003" width="8.85546875" style="12"/>
    <col min="11004" max="11004" width="43.140625" style="12" bestFit="1" customWidth="1"/>
    <col min="11005" max="11005" width="18.7109375" style="12" bestFit="1" customWidth="1"/>
    <col min="11006" max="11006" width="19.85546875" style="12" bestFit="1" customWidth="1"/>
    <col min="11007" max="11007" width="19.42578125" style="12" bestFit="1" customWidth="1"/>
    <col min="11008" max="11255" width="8.85546875" style="12"/>
    <col min="11256" max="11256" width="62.7109375" style="12" bestFit="1" customWidth="1"/>
    <col min="11257" max="11257" width="19" style="12" bestFit="1" customWidth="1"/>
    <col min="11258" max="11258" width="23.42578125" style="12" bestFit="1" customWidth="1"/>
    <col min="11259" max="11259" width="8.85546875" style="12"/>
    <col min="11260" max="11260" width="43.140625" style="12" bestFit="1" customWidth="1"/>
    <col min="11261" max="11261" width="18.7109375" style="12" bestFit="1" customWidth="1"/>
    <col min="11262" max="11262" width="19.85546875" style="12" bestFit="1" customWidth="1"/>
    <col min="11263" max="11263" width="19.42578125" style="12" bestFit="1" customWidth="1"/>
    <col min="11264" max="11511" width="8.85546875" style="12"/>
    <col min="11512" max="11512" width="62.7109375" style="12" bestFit="1" customWidth="1"/>
    <col min="11513" max="11513" width="19" style="12" bestFit="1" customWidth="1"/>
    <col min="11514" max="11514" width="23.42578125" style="12" bestFit="1" customWidth="1"/>
    <col min="11515" max="11515" width="8.85546875" style="12"/>
    <col min="11516" max="11516" width="43.140625" style="12" bestFit="1" customWidth="1"/>
    <col min="11517" max="11517" width="18.7109375" style="12" bestFit="1" customWidth="1"/>
    <col min="11518" max="11518" width="19.85546875" style="12" bestFit="1" customWidth="1"/>
    <col min="11519" max="11519" width="19.42578125" style="12" bestFit="1" customWidth="1"/>
    <col min="11520" max="11767" width="8.85546875" style="12"/>
    <col min="11768" max="11768" width="62.7109375" style="12" bestFit="1" customWidth="1"/>
    <col min="11769" max="11769" width="19" style="12" bestFit="1" customWidth="1"/>
    <col min="11770" max="11770" width="23.42578125" style="12" bestFit="1" customWidth="1"/>
    <col min="11771" max="11771" width="8.85546875" style="12"/>
    <col min="11772" max="11772" width="43.140625" style="12" bestFit="1" customWidth="1"/>
    <col min="11773" max="11773" width="18.7109375" style="12" bestFit="1" customWidth="1"/>
    <col min="11774" max="11774" width="19.85546875" style="12" bestFit="1" customWidth="1"/>
    <col min="11775" max="11775" width="19.42578125" style="12" bestFit="1" customWidth="1"/>
    <col min="11776" max="12023" width="8.85546875" style="12"/>
    <col min="12024" max="12024" width="62.7109375" style="12" bestFit="1" customWidth="1"/>
    <col min="12025" max="12025" width="19" style="12" bestFit="1" customWidth="1"/>
    <col min="12026" max="12026" width="23.42578125" style="12" bestFit="1" customWidth="1"/>
    <col min="12027" max="12027" width="8.85546875" style="12"/>
    <col min="12028" max="12028" width="43.140625" style="12" bestFit="1" customWidth="1"/>
    <col min="12029" max="12029" width="18.7109375" style="12" bestFit="1" customWidth="1"/>
    <col min="12030" max="12030" width="19.85546875" style="12" bestFit="1" customWidth="1"/>
    <col min="12031" max="12031" width="19.42578125" style="12" bestFit="1" customWidth="1"/>
    <col min="12032" max="12279" width="8.85546875" style="12"/>
    <col min="12280" max="12280" width="62.7109375" style="12" bestFit="1" customWidth="1"/>
    <col min="12281" max="12281" width="19" style="12" bestFit="1" customWidth="1"/>
    <col min="12282" max="12282" width="23.42578125" style="12" bestFit="1" customWidth="1"/>
    <col min="12283" max="12283" width="8.85546875" style="12"/>
    <col min="12284" max="12284" width="43.140625" style="12" bestFit="1" customWidth="1"/>
    <col min="12285" max="12285" width="18.7109375" style="12" bestFit="1" customWidth="1"/>
    <col min="12286" max="12286" width="19.85546875" style="12" bestFit="1" customWidth="1"/>
    <col min="12287" max="12287" width="19.42578125" style="12" bestFit="1" customWidth="1"/>
    <col min="12288" max="12535" width="8.85546875" style="12"/>
    <col min="12536" max="12536" width="62.7109375" style="12" bestFit="1" customWidth="1"/>
    <col min="12537" max="12537" width="19" style="12" bestFit="1" customWidth="1"/>
    <col min="12538" max="12538" width="23.42578125" style="12" bestFit="1" customWidth="1"/>
    <col min="12539" max="12539" width="8.85546875" style="12"/>
    <col min="12540" max="12540" width="43.140625" style="12" bestFit="1" customWidth="1"/>
    <col min="12541" max="12541" width="18.7109375" style="12" bestFit="1" customWidth="1"/>
    <col min="12542" max="12542" width="19.85546875" style="12" bestFit="1" customWidth="1"/>
    <col min="12543" max="12543" width="19.42578125" style="12" bestFit="1" customWidth="1"/>
    <col min="12544" max="12791" width="8.85546875" style="12"/>
    <col min="12792" max="12792" width="62.7109375" style="12" bestFit="1" customWidth="1"/>
    <col min="12793" max="12793" width="19" style="12" bestFit="1" customWidth="1"/>
    <col min="12794" max="12794" width="23.42578125" style="12" bestFit="1" customWidth="1"/>
    <col min="12795" max="12795" width="8.85546875" style="12"/>
    <col min="12796" max="12796" width="43.140625" style="12" bestFit="1" customWidth="1"/>
    <col min="12797" max="12797" width="18.7109375" style="12" bestFit="1" customWidth="1"/>
    <col min="12798" max="12798" width="19.85546875" style="12" bestFit="1" customWidth="1"/>
    <col min="12799" max="12799" width="19.42578125" style="12" bestFit="1" customWidth="1"/>
    <col min="12800" max="13047" width="8.85546875" style="12"/>
    <col min="13048" max="13048" width="62.7109375" style="12" bestFit="1" customWidth="1"/>
    <col min="13049" max="13049" width="19" style="12" bestFit="1" customWidth="1"/>
    <col min="13050" max="13050" width="23.42578125" style="12" bestFit="1" customWidth="1"/>
    <col min="13051" max="13051" width="8.85546875" style="12"/>
    <col min="13052" max="13052" width="43.140625" style="12" bestFit="1" customWidth="1"/>
    <col min="13053" max="13053" width="18.7109375" style="12" bestFit="1" customWidth="1"/>
    <col min="13054" max="13054" width="19.85546875" style="12" bestFit="1" customWidth="1"/>
    <col min="13055" max="13055" width="19.42578125" style="12" bestFit="1" customWidth="1"/>
    <col min="13056" max="13303" width="8.85546875" style="12"/>
    <col min="13304" max="13304" width="62.7109375" style="12" bestFit="1" customWidth="1"/>
    <col min="13305" max="13305" width="19" style="12" bestFit="1" customWidth="1"/>
    <col min="13306" max="13306" width="23.42578125" style="12" bestFit="1" customWidth="1"/>
    <col min="13307" max="13307" width="8.85546875" style="12"/>
    <col min="13308" max="13308" width="43.140625" style="12" bestFit="1" customWidth="1"/>
    <col min="13309" max="13309" width="18.7109375" style="12" bestFit="1" customWidth="1"/>
    <col min="13310" max="13310" width="19.85546875" style="12" bestFit="1" customWidth="1"/>
    <col min="13311" max="13311" width="19.42578125" style="12" bestFit="1" customWidth="1"/>
    <col min="13312" max="13559" width="8.85546875" style="12"/>
    <col min="13560" max="13560" width="62.7109375" style="12" bestFit="1" customWidth="1"/>
    <col min="13561" max="13561" width="19" style="12" bestFit="1" customWidth="1"/>
    <col min="13562" max="13562" width="23.42578125" style="12" bestFit="1" customWidth="1"/>
    <col min="13563" max="13563" width="8.85546875" style="12"/>
    <col min="13564" max="13564" width="43.140625" style="12" bestFit="1" customWidth="1"/>
    <col min="13565" max="13565" width="18.7109375" style="12" bestFit="1" customWidth="1"/>
    <col min="13566" max="13566" width="19.85546875" style="12" bestFit="1" customWidth="1"/>
    <col min="13567" max="13567" width="19.42578125" style="12" bestFit="1" customWidth="1"/>
    <col min="13568" max="13815" width="8.85546875" style="12"/>
    <col min="13816" max="13816" width="62.7109375" style="12" bestFit="1" customWidth="1"/>
    <col min="13817" max="13817" width="19" style="12" bestFit="1" customWidth="1"/>
    <col min="13818" max="13818" width="23.42578125" style="12" bestFit="1" customWidth="1"/>
    <col min="13819" max="13819" width="8.85546875" style="12"/>
    <col min="13820" max="13820" width="43.140625" style="12" bestFit="1" customWidth="1"/>
    <col min="13821" max="13821" width="18.7109375" style="12" bestFit="1" customWidth="1"/>
    <col min="13822" max="13822" width="19.85546875" style="12" bestFit="1" customWidth="1"/>
    <col min="13823" max="13823" width="19.42578125" style="12" bestFit="1" customWidth="1"/>
    <col min="13824" max="14071" width="8.85546875" style="12"/>
    <col min="14072" max="14072" width="62.7109375" style="12" bestFit="1" customWidth="1"/>
    <col min="14073" max="14073" width="19" style="12" bestFit="1" customWidth="1"/>
    <col min="14074" max="14074" width="23.42578125" style="12" bestFit="1" customWidth="1"/>
    <col min="14075" max="14075" width="8.85546875" style="12"/>
    <col min="14076" max="14076" width="43.140625" style="12" bestFit="1" customWidth="1"/>
    <col min="14077" max="14077" width="18.7109375" style="12" bestFit="1" customWidth="1"/>
    <col min="14078" max="14078" width="19.85546875" style="12" bestFit="1" customWidth="1"/>
    <col min="14079" max="14079" width="19.42578125" style="12" bestFit="1" customWidth="1"/>
    <col min="14080" max="14327" width="8.85546875" style="12"/>
    <col min="14328" max="14328" width="62.7109375" style="12" bestFit="1" customWidth="1"/>
    <col min="14329" max="14329" width="19" style="12" bestFit="1" customWidth="1"/>
    <col min="14330" max="14330" width="23.42578125" style="12" bestFit="1" customWidth="1"/>
    <col min="14331" max="14331" width="8.85546875" style="12"/>
    <col min="14332" max="14332" width="43.140625" style="12" bestFit="1" customWidth="1"/>
    <col min="14333" max="14333" width="18.7109375" style="12" bestFit="1" customWidth="1"/>
    <col min="14334" max="14334" width="19.85546875" style="12" bestFit="1" customWidth="1"/>
    <col min="14335" max="14335" width="19.42578125" style="12" bestFit="1" customWidth="1"/>
    <col min="14336" max="14583" width="8.85546875" style="12"/>
    <col min="14584" max="14584" width="62.7109375" style="12" bestFit="1" customWidth="1"/>
    <col min="14585" max="14585" width="19" style="12" bestFit="1" customWidth="1"/>
    <col min="14586" max="14586" width="23.42578125" style="12" bestFit="1" customWidth="1"/>
    <col min="14587" max="14587" width="8.85546875" style="12"/>
    <col min="14588" max="14588" width="43.140625" style="12" bestFit="1" customWidth="1"/>
    <col min="14589" max="14589" width="18.7109375" style="12" bestFit="1" customWidth="1"/>
    <col min="14590" max="14590" width="19.85546875" style="12" bestFit="1" customWidth="1"/>
    <col min="14591" max="14591" width="19.42578125" style="12" bestFit="1" customWidth="1"/>
    <col min="14592" max="14839" width="8.85546875" style="12"/>
    <col min="14840" max="14840" width="62.7109375" style="12" bestFit="1" customWidth="1"/>
    <col min="14841" max="14841" width="19" style="12" bestFit="1" customWidth="1"/>
    <col min="14842" max="14842" width="23.42578125" style="12" bestFit="1" customWidth="1"/>
    <col min="14843" max="14843" width="8.85546875" style="12"/>
    <col min="14844" max="14844" width="43.140625" style="12" bestFit="1" customWidth="1"/>
    <col min="14845" max="14845" width="18.7109375" style="12" bestFit="1" customWidth="1"/>
    <col min="14846" max="14846" width="19.85546875" style="12" bestFit="1" customWidth="1"/>
    <col min="14847" max="14847" width="19.42578125" style="12" bestFit="1" customWidth="1"/>
    <col min="14848" max="15095" width="8.85546875" style="12"/>
    <col min="15096" max="15096" width="62.7109375" style="12" bestFit="1" customWidth="1"/>
    <col min="15097" max="15097" width="19" style="12" bestFit="1" customWidth="1"/>
    <col min="15098" max="15098" width="23.42578125" style="12" bestFit="1" customWidth="1"/>
    <col min="15099" max="15099" width="8.85546875" style="12"/>
    <col min="15100" max="15100" width="43.140625" style="12" bestFit="1" customWidth="1"/>
    <col min="15101" max="15101" width="18.7109375" style="12" bestFit="1" customWidth="1"/>
    <col min="15102" max="15102" width="19.85546875" style="12" bestFit="1" customWidth="1"/>
    <col min="15103" max="15103" width="19.42578125" style="12" bestFit="1" customWidth="1"/>
    <col min="15104" max="15351" width="8.85546875" style="12"/>
    <col min="15352" max="15352" width="62.7109375" style="12" bestFit="1" customWidth="1"/>
    <col min="15353" max="15353" width="19" style="12" bestFit="1" customWidth="1"/>
    <col min="15354" max="15354" width="23.42578125" style="12" bestFit="1" customWidth="1"/>
    <col min="15355" max="15355" width="8.85546875" style="12"/>
    <col min="15356" max="15356" width="43.140625" style="12" bestFit="1" customWidth="1"/>
    <col min="15357" max="15357" width="18.7109375" style="12" bestFit="1" customWidth="1"/>
    <col min="15358" max="15358" width="19.85546875" style="12" bestFit="1" customWidth="1"/>
    <col min="15359" max="15359" width="19.42578125" style="12" bestFit="1" customWidth="1"/>
    <col min="15360" max="15607" width="8.85546875" style="12"/>
    <col min="15608" max="15608" width="62.7109375" style="12" bestFit="1" customWidth="1"/>
    <col min="15609" max="15609" width="19" style="12" bestFit="1" customWidth="1"/>
    <col min="15610" max="15610" width="23.42578125" style="12" bestFit="1" customWidth="1"/>
    <col min="15611" max="15611" width="8.85546875" style="12"/>
    <col min="15612" max="15612" width="43.140625" style="12" bestFit="1" customWidth="1"/>
    <col min="15613" max="15613" width="18.7109375" style="12" bestFit="1" customWidth="1"/>
    <col min="15614" max="15614" width="19.85546875" style="12" bestFit="1" customWidth="1"/>
    <col min="15615" max="15615" width="19.42578125" style="12" bestFit="1" customWidth="1"/>
    <col min="15616" max="15863" width="8.85546875" style="12"/>
    <col min="15864" max="15864" width="62.7109375" style="12" bestFit="1" customWidth="1"/>
    <col min="15865" max="15865" width="19" style="12" bestFit="1" customWidth="1"/>
    <col min="15866" max="15866" width="23.42578125" style="12" bestFit="1" customWidth="1"/>
    <col min="15867" max="15867" width="8.85546875" style="12"/>
    <col min="15868" max="15868" width="43.140625" style="12" bestFit="1" customWidth="1"/>
    <col min="15869" max="15869" width="18.7109375" style="12" bestFit="1" customWidth="1"/>
    <col min="15870" max="15870" width="19.85546875" style="12" bestFit="1" customWidth="1"/>
    <col min="15871" max="15871" width="19.42578125" style="12" bestFit="1" customWidth="1"/>
    <col min="15872" max="16119" width="8.85546875" style="12"/>
    <col min="16120" max="16120" width="62.7109375" style="12" bestFit="1" customWidth="1"/>
    <col min="16121" max="16121" width="19" style="12" bestFit="1" customWidth="1"/>
    <col min="16122" max="16122" width="23.42578125" style="12" bestFit="1" customWidth="1"/>
    <col min="16123" max="16123" width="8.85546875" style="12"/>
    <col min="16124" max="16124" width="43.140625" style="12" bestFit="1" customWidth="1"/>
    <col min="16125" max="16125" width="18.7109375" style="12" bestFit="1" customWidth="1"/>
    <col min="16126" max="16126" width="19.85546875" style="12" bestFit="1" customWidth="1"/>
    <col min="16127" max="16127" width="19.42578125" style="12" bestFit="1" customWidth="1"/>
    <col min="16128" max="16379" width="8.85546875" style="12"/>
    <col min="16380" max="16384" width="9.140625" style="12" customWidth="1"/>
  </cols>
  <sheetData>
    <row r="1" spans="2:8">
      <c r="B1" s="1397" t="str">
        <f>'2SFP'!B1</f>
        <v>BHUTAN TELECOM LIMITED</v>
      </c>
      <c r="C1" s="1398"/>
      <c r="D1" s="1398"/>
      <c r="E1" s="1398"/>
      <c r="F1" s="1399"/>
      <c r="G1" s="24"/>
    </row>
    <row r="2" spans="2:8">
      <c r="B2" s="1400" t="s">
        <v>1482</v>
      </c>
      <c r="C2" s="1401"/>
      <c r="D2" s="1401"/>
      <c r="E2" s="1401"/>
      <c r="F2" s="1402"/>
    </row>
    <row r="3" spans="2:8">
      <c r="B3" s="1403" t="s">
        <v>64</v>
      </c>
      <c r="C3" s="1404"/>
      <c r="D3" s="1404"/>
      <c r="E3" s="1404"/>
      <c r="F3" s="1405"/>
    </row>
    <row r="4" spans="2:8">
      <c r="B4" s="282" t="s">
        <v>21</v>
      </c>
      <c r="C4" s="1395">
        <v>2019</v>
      </c>
      <c r="D4" s="1396"/>
      <c r="E4" s="1395">
        <v>2018</v>
      </c>
      <c r="F4" s="1395"/>
    </row>
    <row r="5" spans="2:8">
      <c r="B5" s="283" t="s">
        <v>249</v>
      </c>
      <c r="C5" s="1141"/>
      <c r="D5" s="1142"/>
      <c r="E5" s="1143"/>
      <c r="F5" s="1144"/>
      <c r="H5" s="189"/>
    </row>
    <row r="6" spans="2:8" s="14" customFormat="1">
      <c r="B6" s="284" t="s">
        <v>60</v>
      </c>
      <c r="C6" s="886">
        <f>'3SOCI'!D23</f>
        <v>519822612.5800001</v>
      </c>
      <c r="D6" s="896"/>
      <c r="E6" s="886">
        <v>1365425825.3961716</v>
      </c>
      <c r="F6" s="887"/>
      <c r="G6" s="13"/>
      <c r="H6" s="18"/>
    </row>
    <row r="7" spans="2:8" s="14" customFormat="1">
      <c r="B7" s="285" t="s">
        <v>192</v>
      </c>
      <c r="C7" s="886">
        <f>('2SFP'!D50-'2SFP'!E50)+('2SFP'!D43-'2SFP'!E43)+('2SFP'!D42-'2SFP'!E42)-'3SOCI'!D28</f>
        <v>-221577054.16000003</v>
      </c>
      <c r="D7" s="896"/>
      <c r="E7" s="886">
        <v>19307887.728851438</v>
      </c>
      <c r="F7" s="887"/>
      <c r="G7" s="18"/>
      <c r="H7" s="13"/>
    </row>
    <row r="8" spans="2:8" s="15" customFormat="1">
      <c r="B8" s="286" t="s">
        <v>80</v>
      </c>
      <c r="C8" s="886"/>
      <c r="D8" s="896"/>
      <c r="E8" s="886">
        <v>-1055927.49</v>
      </c>
      <c r="F8" s="887"/>
      <c r="G8" s="190"/>
      <c r="H8" s="23"/>
    </row>
    <row r="9" spans="2:8" s="15" customFormat="1">
      <c r="B9" s="286" t="s">
        <v>1052</v>
      </c>
      <c r="C9" s="886"/>
      <c r="D9" s="896"/>
      <c r="E9" s="886">
        <v>2514248.2999999998</v>
      </c>
      <c r="F9" s="887"/>
      <c r="G9" s="190"/>
      <c r="H9" s="23"/>
    </row>
    <row r="10" spans="2:8" s="14" customFormat="1">
      <c r="B10" s="286" t="s">
        <v>78</v>
      </c>
      <c r="C10" s="886"/>
      <c r="D10" s="896"/>
      <c r="E10" s="886"/>
      <c r="F10" s="887"/>
    </row>
    <row r="11" spans="2:8" s="14" customFormat="1">
      <c r="B11" s="287" t="s">
        <v>220</v>
      </c>
      <c r="C11" s="1145"/>
      <c r="D11" s="895">
        <f>SUM(C6:C10)</f>
        <v>298245558.42000008</v>
      </c>
      <c r="E11" s="888"/>
      <c r="F11" s="889">
        <f>SUM(E6:E10)</f>
        <v>1386192033.9350228</v>
      </c>
    </row>
    <row r="12" spans="2:8" s="14" customFormat="1">
      <c r="B12" s="288" t="s">
        <v>65</v>
      </c>
      <c r="C12" s="1145"/>
      <c r="D12" s="895"/>
      <c r="E12" s="888"/>
      <c r="F12" s="890"/>
    </row>
    <row r="13" spans="2:8" s="14" customFormat="1">
      <c r="B13" s="286" t="s">
        <v>2</v>
      </c>
      <c r="C13" s="886">
        <f>'10N_22-33'!E179</f>
        <v>237493192.77999997</v>
      </c>
      <c r="D13" s="896"/>
      <c r="E13" s="886">
        <v>952836073.99000001</v>
      </c>
      <c r="F13" s="887"/>
    </row>
    <row r="14" spans="2:8" s="14" customFormat="1">
      <c r="B14" s="286" t="s">
        <v>202</v>
      </c>
      <c r="C14" s="886">
        <f>'10N_22-33'!E185+'10N_22-33'!E187</f>
        <v>1517653.52</v>
      </c>
      <c r="D14" s="896"/>
      <c r="E14" s="886">
        <v>51275301.299999997</v>
      </c>
      <c r="F14" s="887"/>
    </row>
    <row r="15" spans="2:8" s="14" customFormat="1">
      <c r="B15" s="286" t="s">
        <v>3</v>
      </c>
      <c r="C15" s="886">
        <f>-'10N_22-33'!E70</f>
        <v>-334557.40999999997</v>
      </c>
      <c r="D15" s="896">
        <f>SUM(C13:C15)</f>
        <v>238676288.88999999</v>
      </c>
      <c r="E15" s="886">
        <v>-11746876.01</v>
      </c>
      <c r="F15" s="887">
        <f>SUM(E13:E15)</f>
        <v>992364499.27999997</v>
      </c>
      <c r="G15" s="18"/>
    </row>
    <row r="16" spans="2:8" s="14" customFormat="1" ht="31.5">
      <c r="B16" s="287" t="s">
        <v>250</v>
      </c>
      <c r="C16" s="1145"/>
      <c r="D16" s="895">
        <f>SUM(D11:D15)</f>
        <v>536921847.31000006</v>
      </c>
      <c r="E16" s="888"/>
      <c r="F16" s="889">
        <f>SUM(F11:F15)</f>
        <v>2378556533.215023</v>
      </c>
    </row>
    <row r="17" spans="2:8" s="14" customFormat="1">
      <c r="B17" s="285" t="s">
        <v>79</v>
      </c>
      <c r="C17" s="886">
        <f>'2SFP'!E18-'2SFP'!D18</f>
        <v>-11492760.299999997</v>
      </c>
      <c r="D17" s="1146"/>
      <c r="E17" s="886">
        <v>8131842.1500000209</v>
      </c>
      <c r="F17" s="887"/>
      <c r="G17" s="13"/>
      <c r="H17" s="18"/>
    </row>
    <row r="18" spans="2:8" s="14" customFormat="1">
      <c r="B18" s="285" t="s">
        <v>235</v>
      </c>
      <c r="C18" s="886">
        <f>'2SFP'!E20-'2SFP'!D20</f>
        <v>-18709059.719999999</v>
      </c>
      <c r="D18" s="1146"/>
      <c r="E18" s="886">
        <v>18151037.951099977</v>
      </c>
      <c r="F18" s="887"/>
      <c r="G18" s="18"/>
      <c r="H18" s="18"/>
    </row>
    <row r="19" spans="2:8" s="14" customFormat="1">
      <c r="B19" s="285" t="s">
        <v>237</v>
      </c>
      <c r="C19" s="886">
        <f>'2SFP'!E22-'2SFP'!D22</f>
        <v>0</v>
      </c>
      <c r="D19" s="1146"/>
      <c r="E19" s="886">
        <v>-476440.89999999991</v>
      </c>
      <c r="F19" s="887"/>
      <c r="G19" s="13"/>
      <c r="H19" s="18"/>
    </row>
    <row r="20" spans="2:8" s="14" customFormat="1">
      <c r="B20" s="285" t="s">
        <v>236</v>
      </c>
      <c r="C20" s="886">
        <f>'2SFP'!E23-'2SFP'!D23</f>
        <v>-43432334.149999999</v>
      </c>
      <c r="D20" s="896"/>
      <c r="E20" s="886">
        <v>-18677611.060000002</v>
      </c>
      <c r="F20" s="887"/>
      <c r="G20" s="13"/>
      <c r="H20" s="18"/>
    </row>
    <row r="21" spans="2:8" s="14" customFormat="1">
      <c r="B21" s="285" t="s">
        <v>238</v>
      </c>
      <c r="C21" s="886">
        <f>'2SFP'!E13-'2SFP'!D13</f>
        <v>0</v>
      </c>
      <c r="D21" s="896"/>
      <c r="E21" s="886">
        <v>-18232155.000999987</v>
      </c>
      <c r="F21" s="887"/>
      <c r="G21" s="13"/>
      <c r="H21" s="18"/>
    </row>
    <row r="22" spans="2:8" s="14" customFormat="1">
      <c r="B22" s="285" t="s">
        <v>1041</v>
      </c>
      <c r="C22" s="886">
        <f>'2SFP'!E11-'2SFP'!D11</f>
        <v>0</v>
      </c>
      <c r="D22" s="896"/>
      <c r="E22" s="886">
        <v>92308400</v>
      </c>
      <c r="F22" s="887"/>
      <c r="G22" s="13"/>
      <c r="H22" s="18"/>
    </row>
    <row r="23" spans="2:8" s="14" customFormat="1">
      <c r="B23" s="285" t="s">
        <v>239</v>
      </c>
      <c r="C23" s="886">
        <f>+'7N_3-12'!D15-'7N_3-12'!C15-'7N_3-12'!D16+'7N_3-12'!C16</f>
        <v>0</v>
      </c>
      <c r="D23" s="896"/>
      <c r="E23" s="886">
        <v>-59000000</v>
      </c>
      <c r="F23" s="887"/>
      <c r="G23" s="13"/>
      <c r="H23" s="18"/>
    </row>
    <row r="24" spans="2:8" s="14" customFormat="1">
      <c r="B24" s="285" t="s">
        <v>240</v>
      </c>
      <c r="C24" s="886">
        <f>'2SFP'!E14-'2SFP'!D14</f>
        <v>0</v>
      </c>
      <c r="D24" s="896"/>
      <c r="E24" s="886">
        <v>-1282728.96</v>
      </c>
      <c r="F24" s="887"/>
      <c r="G24" s="13"/>
      <c r="H24" s="18"/>
    </row>
    <row r="25" spans="2:8" s="14" customFormat="1">
      <c r="B25" s="285" t="s">
        <v>241</v>
      </c>
      <c r="C25" s="886">
        <f>'2SFP'!D48-'2SFP'!E48</f>
        <v>-16534258.24000001</v>
      </c>
      <c r="D25" s="896"/>
      <c r="E25" s="886">
        <v>68212099.099999979</v>
      </c>
      <c r="F25" s="887"/>
      <c r="H25" s="18"/>
    </row>
    <row r="26" spans="2:8" s="14" customFormat="1" ht="16.5">
      <c r="B26" s="285" t="s">
        <v>242</v>
      </c>
      <c r="C26" s="886">
        <f>-('2SFP'!E51-'2SFP'!D51)</f>
        <v>-242088527.38000005</v>
      </c>
      <c r="D26" s="1147"/>
      <c r="E26" s="886">
        <v>144397972.87931097</v>
      </c>
      <c r="F26" s="887"/>
      <c r="G26" s="13"/>
      <c r="H26" s="18"/>
    </row>
    <row r="27" spans="2:8" s="14" customFormat="1">
      <c r="B27" s="285" t="s">
        <v>1267</v>
      </c>
      <c r="C27" s="886">
        <f>-('2SFP'!E49-'2SFP'!D49)</f>
        <v>-39338907.579999998</v>
      </c>
      <c r="D27" s="896"/>
      <c r="E27" s="886">
        <v>433805.50977951288</v>
      </c>
      <c r="F27" s="887"/>
      <c r="G27" s="13"/>
      <c r="H27" s="18"/>
    </row>
    <row r="28" spans="2:8" s="14" customFormat="1">
      <c r="B28" s="285" t="s">
        <v>1269</v>
      </c>
      <c r="C28" s="886">
        <f>+'2SFP'!E24-'2SFP'!D24</f>
        <v>0</v>
      </c>
      <c r="D28" s="896"/>
      <c r="E28" s="886">
        <v>-99285178.310000002</v>
      </c>
      <c r="F28" s="887"/>
      <c r="G28" s="13"/>
      <c r="H28" s="18"/>
    </row>
    <row r="29" spans="2:8" s="14" customFormat="1">
      <c r="B29" s="285" t="s">
        <v>1268</v>
      </c>
      <c r="C29" s="886">
        <f>-('2SFP'!E41-'2SFP'!D41)</f>
        <v>0</v>
      </c>
      <c r="D29" s="896"/>
      <c r="E29" s="886">
        <v>-38850000</v>
      </c>
      <c r="F29" s="887"/>
      <c r="G29" s="13"/>
      <c r="H29" s="18"/>
    </row>
    <row r="30" spans="2:8" s="14" customFormat="1">
      <c r="B30" s="285" t="s">
        <v>1270</v>
      </c>
      <c r="C30" s="886">
        <f>-('2SFP'!E35-'2SFP'!D35)</f>
        <v>0</v>
      </c>
      <c r="D30" s="896">
        <f>SUM(C17:C30)</f>
        <v>-371595847.37000006</v>
      </c>
      <c r="E30" s="886">
        <v>-23323851.030000001</v>
      </c>
      <c r="F30" s="887">
        <f>SUM(E17:E30)</f>
        <v>72507192.329190463</v>
      </c>
      <c r="G30" s="13"/>
      <c r="H30" s="18"/>
    </row>
    <row r="31" spans="2:8" s="14" customFormat="1">
      <c r="B31" s="288" t="s">
        <v>59</v>
      </c>
      <c r="C31" s="1145"/>
      <c r="D31" s="895">
        <f>SUM(D16:D30)</f>
        <v>165325999.94</v>
      </c>
      <c r="E31" s="888"/>
      <c r="F31" s="895">
        <f>SUM(F16:F30)</f>
        <v>2451063725.5442133</v>
      </c>
      <c r="H31" s="18"/>
    </row>
    <row r="32" spans="2:8" s="14" customFormat="1">
      <c r="B32" s="285" t="s">
        <v>58</v>
      </c>
      <c r="C32" s="886"/>
      <c r="D32" s="896"/>
      <c r="E32" s="886"/>
      <c r="F32" s="896">
        <v>-441029091.67785096</v>
      </c>
      <c r="H32" s="18"/>
    </row>
    <row r="33" spans="2:15" s="14" customFormat="1">
      <c r="B33" s="290" t="s">
        <v>251</v>
      </c>
      <c r="C33" s="1148"/>
      <c r="D33" s="1146">
        <f>SUM(D31:D32)</f>
        <v>165325999.94</v>
      </c>
      <c r="E33" s="886"/>
      <c r="F33" s="891">
        <f>SUM(F31:F32)</f>
        <v>2010034633.8663623</v>
      </c>
      <c r="G33" s="13"/>
    </row>
    <row r="34" spans="2:15" s="14" customFormat="1">
      <c r="B34" s="291" t="s">
        <v>252</v>
      </c>
      <c r="C34" s="886"/>
      <c r="D34" s="896"/>
      <c r="E34" s="886"/>
      <c r="F34" s="887"/>
      <c r="H34" s="18"/>
    </row>
    <row r="35" spans="2:15" s="14" customFormat="1">
      <c r="B35" s="285" t="s">
        <v>244</v>
      </c>
      <c r="C35" s="892">
        <f>-'6N_PPE'!D20</f>
        <v>-126437.70999999999</v>
      </c>
      <c r="D35" s="896"/>
      <c r="E35" s="886">
        <v>-407444263.65571219</v>
      </c>
      <c r="F35" s="887"/>
      <c r="L35" s="16"/>
      <c r="O35" s="16"/>
    </row>
    <row r="36" spans="2:15" s="14" customFormat="1">
      <c r="B36" s="285" t="s">
        <v>245</v>
      </c>
      <c r="C36" s="892">
        <f>-'6N_PPE'!D24</f>
        <v>-1721118.25</v>
      </c>
      <c r="D36" s="896"/>
      <c r="E36" s="886">
        <v>-145319454.88065022</v>
      </c>
      <c r="F36" s="887"/>
      <c r="L36" s="16"/>
    </row>
    <row r="37" spans="2:15" s="14" customFormat="1">
      <c r="B37" s="285" t="s">
        <v>246</v>
      </c>
      <c r="C37" s="892">
        <f>'2SFP'!E9-'2SFP'!D9</f>
        <v>-24340158.980000019</v>
      </c>
      <c r="D37" s="896"/>
      <c r="E37" s="886">
        <v>-68339937.409999996</v>
      </c>
      <c r="F37" s="887"/>
    </row>
    <row r="38" spans="2:15" s="14" customFormat="1">
      <c r="B38" s="285" t="s">
        <v>563</v>
      </c>
      <c r="C38" s="892">
        <v>0</v>
      </c>
      <c r="D38" s="896"/>
      <c r="E38" s="886">
        <v>1963000</v>
      </c>
      <c r="F38" s="887"/>
      <c r="L38" s="17"/>
    </row>
    <row r="39" spans="2:15" s="14" customFormat="1">
      <c r="B39" s="285" t="s">
        <v>3</v>
      </c>
      <c r="C39" s="892"/>
      <c r="D39" s="896"/>
      <c r="E39" s="886"/>
      <c r="F39" s="887"/>
    </row>
    <row r="40" spans="2:15" s="14" customFormat="1">
      <c r="B40" s="285" t="s">
        <v>247</v>
      </c>
      <c r="C40" s="892">
        <f>-C15</f>
        <v>334557.40999999997</v>
      </c>
      <c r="D40" s="896"/>
      <c r="E40" s="892">
        <v>11746876.01</v>
      </c>
      <c r="F40" s="887"/>
      <c r="L40" s="16"/>
    </row>
    <row r="41" spans="2:15" s="14" customFormat="1">
      <c r="B41" s="285" t="s">
        <v>248</v>
      </c>
      <c r="C41" s="892">
        <v>0</v>
      </c>
      <c r="D41" s="896"/>
      <c r="E41" s="892">
        <v>0</v>
      </c>
      <c r="F41" s="887"/>
      <c r="L41" s="16"/>
    </row>
    <row r="42" spans="2:15" s="14" customFormat="1">
      <c r="B42" s="288" t="s">
        <v>253</v>
      </c>
      <c r="C42" s="1145"/>
      <c r="D42" s="895">
        <f>SUM(C35:C41)</f>
        <v>-25853157.53000002</v>
      </c>
      <c r="E42" s="888"/>
      <c r="F42" s="889">
        <f>SUM(E35:E41)</f>
        <v>-607393779.93636239</v>
      </c>
      <c r="G42" s="13"/>
    </row>
    <row r="43" spans="2:15" s="14" customFormat="1">
      <c r="B43" s="289" t="s">
        <v>254</v>
      </c>
      <c r="C43" s="888"/>
      <c r="D43" s="1149"/>
      <c r="E43" s="888"/>
      <c r="F43" s="890"/>
    </row>
    <row r="44" spans="2:15" s="14" customFormat="1">
      <c r="B44" s="285" t="s">
        <v>448</v>
      </c>
      <c r="C44" s="886">
        <f>'2SFP'!D40-'2SFP'!E40</f>
        <v>0</v>
      </c>
      <c r="D44" s="896"/>
      <c r="E44" s="886">
        <v>-45988254.460000038</v>
      </c>
      <c r="F44" s="887"/>
    </row>
    <row r="45" spans="2:15" s="14" customFormat="1">
      <c r="B45" s="285" t="s">
        <v>230</v>
      </c>
      <c r="C45" s="886">
        <v>0</v>
      </c>
      <c r="D45" s="896"/>
      <c r="E45" s="886">
        <v>0</v>
      </c>
      <c r="F45" s="887"/>
    </row>
    <row r="46" spans="2:15" s="14" customFormat="1">
      <c r="B46" s="285" t="s">
        <v>255</v>
      </c>
      <c r="C46" s="886">
        <v>0</v>
      </c>
      <c r="D46" s="896"/>
      <c r="E46" s="886">
        <v>0</v>
      </c>
      <c r="F46" s="887"/>
    </row>
    <row r="47" spans="2:15" s="14" customFormat="1">
      <c r="B47" s="285" t="s">
        <v>256</v>
      </c>
      <c r="C47" s="886">
        <f>'5SOCE'!F13</f>
        <v>0</v>
      </c>
      <c r="D47" s="896"/>
      <c r="E47" s="886">
        <v>-843900560</v>
      </c>
      <c r="F47" s="887"/>
    </row>
    <row r="48" spans="2:15" s="14" customFormat="1">
      <c r="B48" s="285" t="s">
        <v>257</v>
      </c>
      <c r="C48" s="886">
        <f>-C14</f>
        <v>-1517653.52</v>
      </c>
      <c r="D48" s="896"/>
      <c r="E48" s="886">
        <v>-51275301.299999997</v>
      </c>
      <c r="F48" s="887"/>
    </row>
    <row r="49" spans="2:8" s="14" customFormat="1">
      <c r="B49" s="288" t="s">
        <v>258</v>
      </c>
      <c r="C49" s="1145"/>
      <c r="D49" s="895">
        <f>SUM(C44:C48)</f>
        <v>-1517653.52</v>
      </c>
      <c r="E49" s="888"/>
      <c r="F49" s="889">
        <f>SUM(E44:E48)</f>
        <v>-941164115.75999999</v>
      </c>
    </row>
    <row r="50" spans="2:8" s="14" customFormat="1">
      <c r="B50" s="288" t="s">
        <v>259</v>
      </c>
      <c r="C50" s="1145"/>
      <c r="D50" s="895">
        <f>D49+D42+D33</f>
        <v>137955188.88999999</v>
      </c>
      <c r="E50" s="888"/>
      <c r="F50" s="889">
        <f>F49+F42+F33</f>
        <v>461476738.16999984</v>
      </c>
    </row>
    <row r="51" spans="2:8" s="14" customFormat="1">
      <c r="B51" s="285" t="s">
        <v>109</v>
      </c>
      <c r="C51" s="886">
        <f>E52</f>
        <v>633519823.8499999</v>
      </c>
      <c r="D51" s="896" t="s">
        <v>93</v>
      </c>
      <c r="E51" s="886">
        <v>172043085.68000001</v>
      </c>
      <c r="F51" s="887"/>
      <c r="G51" s="18"/>
      <c r="H51" s="13"/>
    </row>
    <row r="52" spans="2:8" s="14" customFormat="1">
      <c r="B52" s="285" t="s">
        <v>108</v>
      </c>
      <c r="C52" s="886">
        <f>C61</f>
        <v>771475012.73999989</v>
      </c>
      <c r="D52" s="896"/>
      <c r="E52" s="886">
        <v>633519823.8499999</v>
      </c>
      <c r="F52" s="887"/>
      <c r="G52" s="18"/>
    </row>
    <row r="53" spans="2:8" s="14" customFormat="1">
      <c r="B53" s="292" t="s">
        <v>259</v>
      </c>
      <c r="C53" s="1150"/>
      <c r="D53" s="1151">
        <f>C52-C51</f>
        <v>137955188.88999999</v>
      </c>
      <c r="E53" s="893"/>
      <c r="F53" s="894">
        <f>E52-E51</f>
        <v>461476738.1699999</v>
      </c>
      <c r="G53" s="18"/>
    </row>
    <row r="54" spans="2:8" s="14" customFormat="1">
      <c r="B54" s="703"/>
      <c r="C54" s="454"/>
      <c r="D54" s="454">
        <f>D50-D53</f>
        <v>0</v>
      </c>
      <c r="E54" s="1152"/>
      <c r="F54" s="1173">
        <f>F50-F53</f>
        <v>0</v>
      </c>
      <c r="G54" s="18"/>
      <c r="H54" s="18"/>
    </row>
    <row r="55" spans="2:8" s="14" customFormat="1" ht="31.5">
      <c r="B55" s="293" t="s">
        <v>260</v>
      </c>
      <c r="C55" s="1171">
        <v>2019</v>
      </c>
      <c r="D55" s="1172">
        <v>2018</v>
      </c>
      <c r="E55" s="1153"/>
      <c r="F55" s="1154"/>
    </row>
    <row r="56" spans="2:8" s="14" customFormat="1">
      <c r="B56" s="294" t="s">
        <v>62</v>
      </c>
      <c r="C56" s="1039">
        <f>+'7N_3-12'!C80</f>
        <v>0</v>
      </c>
      <c r="D56" s="1093">
        <v>1209913.31</v>
      </c>
      <c r="E56" s="1155"/>
      <c r="F56" s="1034"/>
    </row>
    <row r="57" spans="2:8" s="14" customFormat="1">
      <c r="B57" s="294" t="s">
        <v>573</v>
      </c>
      <c r="C57" s="1039">
        <f>'7N_3-12'!C84</f>
        <v>771475012.73999989</v>
      </c>
      <c r="D57" s="1093">
        <v>632309910.53999984</v>
      </c>
      <c r="E57" s="1155"/>
      <c r="F57" s="1034"/>
    </row>
    <row r="58" spans="2:8" s="14" customFormat="1">
      <c r="B58" s="294" t="s">
        <v>63</v>
      </c>
      <c r="C58" s="1039">
        <v>0</v>
      </c>
      <c r="D58" s="1093">
        <v>0</v>
      </c>
      <c r="E58" s="1155"/>
      <c r="F58" s="1034"/>
    </row>
    <row r="59" spans="2:8" s="14" customFormat="1">
      <c r="B59" s="287" t="s">
        <v>261</v>
      </c>
      <c r="C59" s="267">
        <f>SUM(C56:C58)</f>
        <v>771475012.73999989</v>
      </c>
      <c r="D59" s="684">
        <f>SUM(D56:D58)</f>
        <v>633519823.84999979</v>
      </c>
      <c r="E59" s="1156"/>
      <c r="F59" s="1034"/>
    </row>
    <row r="60" spans="2:8" s="14" customFormat="1">
      <c r="B60" s="294" t="s">
        <v>572</v>
      </c>
      <c r="C60" s="1032"/>
      <c r="D60" s="1030"/>
      <c r="E60" s="1155"/>
      <c r="F60" s="1034"/>
      <c r="G60" s="19"/>
    </row>
    <row r="61" spans="2:8" s="14" customFormat="1" ht="31.5">
      <c r="B61" s="296" t="s">
        <v>262</v>
      </c>
      <c r="C61" s="1094">
        <f>+C59+C60</f>
        <v>771475012.73999989</v>
      </c>
      <c r="D61" s="1095">
        <f>+D59+D60</f>
        <v>633519823.84999979</v>
      </c>
      <c r="E61" s="1157"/>
      <c r="F61" s="1041"/>
    </row>
    <row r="62" spans="2:8" s="14" customFormat="1">
      <c r="B62" s="704" t="s">
        <v>263</v>
      </c>
      <c r="C62" s="454"/>
      <c r="D62" s="454"/>
      <c r="E62" s="454"/>
      <c r="F62" s="1034"/>
    </row>
    <row r="63" spans="2:8" s="14" customFormat="1">
      <c r="B63" s="703"/>
      <c r="C63" s="454"/>
      <c r="D63" s="454"/>
      <c r="E63" s="454"/>
      <c r="F63" s="1034"/>
    </row>
    <row r="64" spans="2:8" s="297" customFormat="1">
      <c r="B64" s="705" t="str">
        <f>'2SFP'!B61</f>
        <v>For GSA &amp; Associates.</v>
      </c>
      <c r="C64" s="1032"/>
      <c r="D64" s="267"/>
      <c r="E64" s="267" t="str">
        <f>'2SFP'!E61</f>
        <v>for and on behalf of board of directors</v>
      </c>
      <c r="F64" s="1030"/>
    </row>
    <row r="65" spans="2:8" s="14" customFormat="1">
      <c r="B65" s="704" t="str">
        <f>'2SFP'!B62</f>
        <v>Chartered accountants</v>
      </c>
      <c r="C65" s="454"/>
      <c r="D65" s="1032"/>
      <c r="E65" s="1032"/>
      <c r="F65" s="1034"/>
    </row>
    <row r="66" spans="2:8" s="14" customFormat="1">
      <c r="B66" s="704" t="str">
        <f>'2SFP'!B63</f>
        <v>(Firm Reg. No. 000257N)</v>
      </c>
      <c r="C66" s="1140"/>
      <c r="D66" s="267"/>
      <c r="E66" s="1032"/>
      <c r="F66" s="1034"/>
      <c r="H66" s="3"/>
    </row>
    <row r="67" spans="2:8" s="14" customFormat="1">
      <c r="B67" s="706"/>
      <c r="C67" s="1158"/>
      <c r="D67" s="1033"/>
      <c r="E67" s="1032"/>
      <c r="F67" s="1034"/>
      <c r="H67" s="3"/>
    </row>
    <row r="68" spans="2:8" s="14" customFormat="1">
      <c r="B68" s="706"/>
      <c r="C68" s="1140"/>
      <c r="D68" s="267"/>
      <c r="E68" s="1035" t="str">
        <f>'2SFP'!E65</f>
        <v>Chairman</v>
      </c>
      <c r="F68" s="1159"/>
      <c r="G68" s="3"/>
      <c r="H68" s="3"/>
    </row>
    <row r="69" spans="2:8" s="14" customFormat="1">
      <c r="B69" s="706"/>
      <c r="C69" s="1140"/>
      <c r="D69" s="267"/>
      <c r="E69" s="1032"/>
      <c r="F69" s="1034"/>
      <c r="G69" s="3"/>
      <c r="H69" s="3"/>
    </row>
    <row r="70" spans="2:8" s="14" customFormat="1">
      <c r="B70" s="705" t="str">
        <f>'2SFP'!B67</f>
        <v>Tanuj Chugh</v>
      </c>
      <c r="C70" s="454"/>
      <c r="D70" s="1032"/>
      <c r="E70" s="1032"/>
      <c r="F70" s="1034"/>
      <c r="G70" s="3"/>
      <c r="H70" s="3"/>
    </row>
    <row r="71" spans="2:8" s="14" customFormat="1">
      <c r="B71" s="704" t="str">
        <f>'2SFP'!B68</f>
        <v>Partner</v>
      </c>
      <c r="C71" s="1160"/>
      <c r="D71" s="1032"/>
      <c r="E71" s="1032"/>
      <c r="F71" s="1034"/>
      <c r="G71" s="3"/>
      <c r="H71" s="3"/>
    </row>
    <row r="72" spans="2:8" s="14" customFormat="1">
      <c r="B72" s="707" t="str">
        <f>'2SFP'!B69</f>
        <v>M. No. 529619</v>
      </c>
      <c r="C72" s="1161"/>
      <c r="D72" s="1037"/>
      <c r="E72" s="1162" t="str">
        <f>'2SFP'!E69</f>
        <v>Chief Executive Officer</v>
      </c>
      <c r="F72" s="1163"/>
      <c r="G72" s="3"/>
      <c r="H72" s="3"/>
    </row>
    <row r="73" spans="2:8" s="14" customFormat="1">
      <c r="B73" s="522"/>
      <c r="C73" s="1164"/>
      <c r="D73" s="1032"/>
      <c r="E73" s="1032"/>
      <c r="F73" s="1165"/>
      <c r="G73" s="3"/>
      <c r="H73" s="3"/>
    </row>
    <row r="74" spans="2:8" s="14" customFormat="1">
      <c r="B74" s="522" t="str">
        <f>'2SFP'!B71</f>
        <v xml:space="preserve">Place: </v>
      </c>
      <c r="C74" s="1039"/>
      <c r="D74" s="454"/>
      <c r="E74" s="454"/>
      <c r="F74" s="1165"/>
    </row>
    <row r="75" spans="2:8" s="14" customFormat="1" ht="16.5" thickBot="1">
      <c r="B75" s="523" t="str">
        <f>'2SFP'!B72</f>
        <v xml:space="preserve">Date: </v>
      </c>
      <c r="C75" s="1166"/>
      <c r="D75" s="1167"/>
      <c r="E75" s="1167"/>
      <c r="F75" s="1168"/>
    </row>
    <row r="76" spans="2:8" s="14" customFormat="1">
      <c r="B76" s="146"/>
      <c r="C76" s="1169"/>
      <c r="D76" s="1169"/>
      <c r="E76" s="1169"/>
      <c r="F76" s="1169"/>
    </row>
    <row r="77" spans="2:8" s="14" customFormat="1">
      <c r="B77" s="146"/>
      <c r="C77" s="1169"/>
      <c r="D77" s="1169"/>
      <c r="E77" s="1169"/>
      <c r="F77" s="1169"/>
    </row>
    <row r="78" spans="2:8" s="14" customFormat="1">
      <c r="B78" s="146"/>
      <c r="C78" s="1169"/>
      <c r="D78" s="1169"/>
      <c r="E78" s="1169"/>
      <c r="F78" s="1169"/>
    </row>
    <row r="79" spans="2:8" s="14" customFormat="1">
      <c r="B79" s="146"/>
      <c r="C79" s="1169"/>
      <c r="D79" s="1169"/>
      <c r="E79" s="1169"/>
      <c r="F79" s="1169"/>
    </row>
    <row r="80" spans="2:8" s="14" customFormat="1">
      <c r="B80" s="146"/>
      <c r="C80" s="1169"/>
      <c r="D80" s="1169"/>
      <c r="E80" s="1169"/>
      <c r="F80" s="1169"/>
    </row>
    <row r="81" spans="2:6" s="14" customFormat="1">
      <c r="B81" s="146"/>
      <c r="C81" s="1169"/>
      <c r="D81" s="1169"/>
      <c r="E81" s="1169"/>
      <c r="F81" s="1169"/>
    </row>
    <row r="82" spans="2:6" s="14" customFormat="1">
      <c r="B82" s="146"/>
      <c r="C82" s="1169"/>
      <c r="D82" s="1169"/>
      <c r="E82" s="1169"/>
      <c r="F82" s="1169"/>
    </row>
    <row r="83" spans="2:6" s="14" customFormat="1">
      <c r="B83" s="146"/>
      <c r="C83" s="1169"/>
      <c r="D83" s="1169"/>
      <c r="E83" s="1169"/>
      <c r="F83" s="1169"/>
    </row>
    <row r="84" spans="2:6" s="14" customFormat="1">
      <c r="B84" s="146"/>
      <c r="C84" s="1169"/>
      <c r="D84" s="1169"/>
      <c r="E84" s="1169"/>
      <c r="F84" s="1169"/>
    </row>
    <row r="85" spans="2:6" s="14" customFormat="1">
      <c r="B85" s="146"/>
      <c r="C85" s="1169"/>
      <c r="D85" s="1169"/>
      <c r="E85" s="1169"/>
      <c r="F85" s="1169"/>
    </row>
    <row r="86" spans="2:6" s="14" customFormat="1">
      <c r="B86" s="146"/>
      <c r="C86" s="1169"/>
      <c r="D86" s="1169"/>
      <c r="E86" s="1169"/>
      <c r="F86" s="1169"/>
    </row>
    <row r="87" spans="2:6" s="14" customFormat="1">
      <c r="B87" s="146"/>
      <c r="C87" s="1169"/>
      <c r="D87" s="1169"/>
      <c r="E87" s="1169"/>
      <c r="F87" s="1169"/>
    </row>
    <row r="88" spans="2:6" s="14" customFormat="1">
      <c r="B88" s="146"/>
      <c r="C88" s="1169"/>
      <c r="D88" s="1169"/>
      <c r="E88" s="1169"/>
      <c r="F88" s="1169"/>
    </row>
    <row r="89" spans="2:6" s="14" customFormat="1">
      <c r="B89" s="146"/>
      <c r="C89" s="1169"/>
      <c r="D89" s="1169"/>
      <c r="E89" s="1169"/>
      <c r="F89" s="1169"/>
    </row>
  </sheetData>
  <mergeCells count="5">
    <mergeCell ref="C4:D4"/>
    <mergeCell ref="E4:F4"/>
    <mergeCell ref="B1:F1"/>
    <mergeCell ref="B2:F2"/>
    <mergeCell ref="B3:F3"/>
  </mergeCells>
  <pageMargins left="0.88" right="0.26" top="0.56000000000000005" bottom="0.2" header="0.05" footer="0.05"/>
  <pageSetup paperSize="9" scale="62" fitToWidth="0" fitToHeight="0" orientation="portrait" r:id="rId1"/>
</worksheet>
</file>

<file path=xl/worksheets/sheet6.xml><?xml version="1.0" encoding="utf-8"?>
<worksheet xmlns="http://schemas.openxmlformats.org/spreadsheetml/2006/main" xmlns:r="http://schemas.openxmlformats.org/officeDocument/2006/relationships">
  <sheetPr enableFormatConditionsCalculation="0">
    <tabColor rgb="FF00B050"/>
    <pageSetUpPr fitToPage="1"/>
  </sheetPr>
  <dimension ref="B1:P71"/>
  <sheetViews>
    <sheetView showGridLines="0" topLeftCell="A17" zoomScale="70" zoomScaleNormal="70" zoomScaleSheetLayoutView="77" zoomScalePageLayoutView="70" workbookViewId="0">
      <selection activeCell="K43" sqref="K43"/>
    </sheetView>
  </sheetViews>
  <sheetFormatPr defaultColWidth="9.140625" defaultRowHeight="15.75"/>
  <cols>
    <col min="1" max="1" width="3.42578125" style="905" customWidth="1"/>
    <col min="2" max="2" width="28.85546875" style="223" customWidth="1"/>
    <col min="3" max="3" width="23.42578125" style="223" customWidth="1"/>
    <col min="4" max="4" width="21.28515625" style="238" bestFit="1" customWidth="1"/>
    <col min="5" max="5" width="19.85546875" style="223" bestFit="1" customWidth="1"/>
    <col min="6" max="7" width="23.42578125" style="223" bestFit="1" customWidth="1"/>
    <col min="8" max="8" width="21" style="238" bestFit="1" customWidth="1"/>
    <col min="9" max="9" width="19.28515625" style="223" customWidth="1"/>
    <col min="10" max="10" width="23.140625" style="223" bestFit="1" customWidth="1"/>
    <col min="11" max="12" width="23.42578125" style="223" bestFit="1" customWidth="1"/>
    <col min="13" max="13" width="20.28515625" style="905" bestFit="1" customWidth="1"/>
    <col min="14" max="14" width="16.85546875" style="905" bestFit="1" customWidth="1"/>
    <col min="15" max="15" width="9.140625" style="905"/>
    <col min="16" max="16" width="15.42578125" style="905" bestFit="1" customWidth="1"/>
    <col min="17" max="17" width="14" style="905" bestFit="1" customWidth="1"/>
    <col min="18" max="16384" width="9.140625" style="905"/>
  </cols>
  <sheetData>
    <row r="1" spans="2:16">
      <c r="B1" s="1412" t="str">
        <f>'2SFP'!B1</f>
        <v>BHUTAN TELECOM LIMITED</v>
      </c>
      <c r="C1" s="1413"/>
      <c r="D1" s="1413"/>
      <c r="E1" s="1413"/>
      <c r="F1" s="1413"/>
      <c r="G1" s="1413"/>
      <c r="H1" s="1413"/>
      <c r="I1" s="1413"/>
      <c r="J1" s="1413"/>
      <c r="K1" s="1413"/>
      <c r="L1" s="1414"/>
    </row>
    <row r="2" spans="2:16">
      <c r="B2" s="1418" t="s">
        <v>1483</v>
      </c>
      <c r="C2" s="1419"/>
      <c r="D2" s="1419"/>
      <c r="E2" s="1419"/>
      <c r="F2" s="1419"/>
      <c r="G2" s="1419"/>
      <c r="H2" s="1419"/>
      <c r="I2" s="1419"/>
      <c r="J2" s="1419"/>
      <c r="K2" s="1419"/>
      <c r="L2" s="1420"/>
    </row>
    <row r="3" spans="2:16">
      <c r="B3" s="209" t="s">
        <v>514</v>
      </c>
      <c r="L3" s="708" t="str">
        <f>'2SFP'!E3</f>
        <v>Amount in Nu.</v>
      </c>
    </row>
    <row r="4" spans="2:16" ht="18" customHeight="1">
      <c r="B4" s="1416" t="s">
        <v>21</v>
      </c>
      <c r="C4" s="1415" t="s">
        <v>73</v>
      </c>
      <c r="D4" s="1416"/>
      <c r="E4" s="1416"/>
      <c r="F4" s="1416"/>
      <c r="G4" s="1417" t="s">
        <v>74</v>
      </c>
      <c r="H4" s="1417"/>
      <c r="I4" s="1417"/>
      <c r="J4" s="1417"/>
      <c r="K4" s="1417" t="s">
        <v>75</v>
      </c>
      <c r="L4" s="1417"/>
    </row>
    <row r="5" spans="2:16">
      <c r="B5" s="1421"/>
      <c r="C5" s="224" t="s">
        <v>1473</v>
      </c>
      <c r="D5" s="225" t="s">
        <v>106</v>
      </c>
      <c r="E5" s="502" t="s">
        <v>107</v>
      </c>
      <c r="F5" s="226" t="s">
        <v>1472</v>
      </c>
      <c r="G5" s="224" t="s">
        <v>1473</v>
      </c>
      <c r="H5" s="225" t="s">
        <v>106</v>
      </c>
      <c r="I5" s="502" t="s">
        <v>107</v>
      </c>
      <c r="J5" s="226" t="s">
        <v>1486</v>
      </c>
      <c r="K5" s="226" t="s">
        <v>1472</v>
      </c>
      <c r="L5" s="224" t="s">
        <v>539</v>
      </c>
    </row>
    <row r="6" spans="2:16" s="816" customFormat="1">
      <c r="B6" s="227" t="s">
        <v>1137</v>
      </c>
      <c r="C6" s="1061">
        <v>0</v>
      </c>
      <c r="D6" s="499"/>
      <c r="E6" s="500"/>
      <c r="F6" s="500">
        <f>C6+D6-E6</f>
        <v>0</v>
      </c>
      <c r="G6" s="1062">
        <v>0</v>
      </c>
      <c r="H6" s="499"/>
      <c r="I6" s="500"/>
      <c r="J6" s="908">
        <f>G6+H6-I6</f>
        <v>0</v>
      </c>
      <c r="K6" s="1061">
        <f>F6-J6</f>
        <v>0</v>
      </c>
      <c r="L6" s="908">
        <f>C6-G6</f>
        <v>0</v>
      </c>
      <c r="M6" s="906"/>
    </row>
    <row r="7" spans="2:16" s="816" customFormat="1" ht="16.5">
      <c r="B7" s="227"/>
      <c r="C7" s="1061"/>
      <c r="D7" s="499"/>
      <c r="E7" s="500"/>
      <c r="F7" s="500"/>
      <c r="G7" s="1062"/>
      <c r="H7" s="499"/>
      <c r="I7" s="500"/>
      <c r="J7" s="908"/>
      <c r="K7" s="1061"/>
      <c r="L7" s="908"/>
      <c r="M7" s="906"/>
      <c r="P7" s="817"/>
    </row>
    <row r="8" spans="2:16" s="816" customFormat="1">
      <c r="B8" s="227" t="s">
        <v>1138</v>
      </c>
      <c r="C8" s="1061">
        <v>675562674.23000002</v>
      </c>
      <c r="D8" s="499"/>
      <c r="E8" s="500"/>
      <c r="F8" s="500">
        <f>C8+D8-E8</f>
        <v>675562674.23000002</v>
      </c>
      <c r="G8" s="1062">
        <v>207403931.95000002</v>
      </c>
      <c r="H8" s="499">
        <v>7015183.1900000004</v>
      </c>
      <c r="I8" s="500"/>
      <c r="J8" s="908">
        <f>G8+H8-I8</f>
        <v>214419115.14000002</v>
      </c>
      <c r="K8" s="1061">
        <f>F8-J8</f>
        <v>461143559.09000003</v>
      </c>
      <c r="L8" s="908">
        <f>C8-G8</f>
        <v>468158742.27999997</v>
      </c>
      <c r="M8" s="906"/>
    </row>
    <row r="9" spans="2:16" s="816" customFormat="1">
      <c r="B9" s="227"/>
      <c r="C9" s="1061"/>
      <c r="D9" s="499"/>
      <c r="E9" s="500"/>
      <c r="F9" s="500"/>
      <c r="G9" s="1062"/>
      <c r="H9" s="499"/>
      <c r="I9" s="500"/>
      <c r="J9" s="908"/>
      <c r="K9" s="1061"/>
      <c r="L9" s="908"/>
      <c r="M9" s="906"/>
    </row>
    <row r="10" spans="2:16" s="816" customFormat="1">
      <c r="B10" s="227" t="s">
        <v>1139</v>
      </c>
      <c r="C10" s="1061">
        <v>6380130786.7699995</v>
      </c>
      <c r="D10" s="499"/>
      <c r="E10" s="500"/>
      <c r="F10" s="500">
        <f>C10+D10-E10</f>
        <v>6380130786.7699995</v>
      </c>
      <c r="G10" s="1062">
        <v>4664047176.999999</v>
      </c>
      <c r="H10" s="499">
        <v>95176463.599999994</v>
      </c>
      <c r="I10" s="500"/>
      <c r="J10" s="908">
        <f>G10+H10-I10</f>
        <v>4759223640.5999994</v>
      </c>
      <c r="K10" s="1061">
        <f>F10-J10</f>
        <v>1620907146.1700001</v>
      </c>
      <c r="L10" s="908">
        <f>C10-G10-0.11</f>
        <v>1716083609.6600006</v>
      </c>
      <c r="M10" s="906"/>
    </row>
    <row r="11" spans="2:16" s="816" customFormat="1" ht="16.5">
      <c r="B11" s="227"/>
      <c r="C11" s="1061"/>
      <c r="D11" s="499"/>
      <c r="E11" s="500"/>
      <c r="F11" s="500"/>
      <c r="G11" s="1062"/>
      <c r="H11" s="499"/>
      <c r="I11" s="500"/>
      <c r="J11" s="908"/>
      <c r="K11" s="1061"/>
      <c r="L11" s="908"/>
      <c r="M11" s="906"/>
      <c r="P11" s="817"/>
    </row>
    <row r="12" spans="2:16" s="816" customFormat="1">
      <c r="B12" s="227" t="s">
        <v>1140</v>
      </c>
      <c r="C12" s="1061">
        <v>103332221.32000001</v>
      </c>
      <c r="D12" s="499">
        <v>37880</v>
      </c>
      <c r="E12" s="500"/>
      <c r="F12" s="500">
        <f>C12+D12-E12</f>
        <v>103370101.32000001</v>
      </c>
      <c r="G12" s="1062">
        <v>88515488.540000007</v>
      </c>
      <c r="H12" s="499">
        <v>1978783.08</v>
      </c>
      <c r="I12" s="500"/>
      <c r="J12" s="908">
        <f>G12+H12-I12</f>
        <v>90494271.620000005</v>
      </c>
      <c r="K12" s="1061">
        <f>F12-J12</f>
        <v>12875829.700000003</v>
      </c>
      <c r="L12" s="908">
        <f>C12-G12+0.15</f>
        <v>14816732.930000002</v>
      </c>
      <c r="M12" s="906"/>
    </row>
    <row r="13" spans="2:16" s="816" customFormat="1">
      <c r="B13" s="227"/>
      <c r="C13" s="1061"/>
      <c r="D13" s="499"/>
      <c r="E13" s="500"/>
      <c r="F13" s="500"/>
      <c r="G13" s="1062"/>
      <c r="H13" s="499"/>
      <c r="I13" s="500"/>
      <c r="J13" s="908"/>
      <c r="K13" s="1061"/>
      <c r="L13" s="908"/>
      <c r="M13" s="906"/>
    </row>
    <row r="14" spans="2:16" s="816" customFormat="1">
      <c r="B14" s="227" t="s">
        <v>1141</v>
      </c>
      <c r="C14" s="1061">
        <v>2045132941.97</v>
      </c>
      <c r="D14" s="499">
        <v>-55786.19</v>
      </c>
      <c r="E14" s="500"/>
      <c r="F14" s="500">
        <f>C14+D14-E14</f>
        <v>2045077155.78</v>
      </c>
      <c r="G14" s="1062">
        <v>1185551100.9000001</v>
      </c>
      <c r="H14" s="499">
        <v>38823932</v>
      </c>
      <c r="I14" s="500"/>
      <c r="J14" s="908">
        <f t="shared" ref="J14:J18" si="0">G14+H14-I14</f>
        <v>1224375032.9000001</v>
      </c>
      <c r="K14" s="1061">
        <f>F14-J14</f>
        <v>820702122.87999988</v>
      </c>
      <c r="L14" s="908">
        <f>C14-G14</f>
        <v>859581841.06999993</v>
      </c>
      <c r="M14" s="906"/>
    </row>
    <row r="15" spans="2:16" s="816" customFormat="1">
      <c r="B15" s="227"/>
      <c r="C15" s="1061"/>
      <c r="D15" s="499"/>
      <c r="E15" s="500"/>
      <c r="F15" s="500"/>
      <c r="G15" s="1062"/>
      <c r="H15" s="499"/>
      <c r="I15" s="500"/>
      <c r="J15" s="908"/>
      <c r="K15" s="1061"/>
      <c r="L15" s="908"/>
      <c r="M15" s="906"/>
    </row>
    <row r="16" spans="2:16" s="816" customFormat="1">
      <c r="B16" s="227" t="s">
        <v>1142</v>
      </c>
      <c r="C16" s="1061">
        <v>20837977.290000003</v>
      </c>
      <c r="D16" s="499">
        <v>144343.9</v>
      </c>
      <c r="E16" s="500"/>
      <c r="F16" s="500">
        <f>C16+D16-E16</f>
        <v>20982321.190000001</v>
      </c>
      <c r="G16" s="1062">
        <v>13964618.989999998</v>
      </c>
      <c r="H16" s="499">
        <v>362135.91</v>
      </c>
      <c r="I16" s="500"/>
      <c r="J16" s="908">
        <f t="shared" si="0"/>
        <v>14326754.899999999</v>
      </c>
      <c r="K16" s="1061">
        <f>F16-J16</f>
        <v>6655566.2900000028</v>
      </c>
      <c r="L16" s="908">
        <f>C16-G16</f>
        <v>6873358.3000000045</v>
      </c>
      <c r="M16" s="906"/>
    </row>
    <row r="17" spans="2:14" s="816" customFormat="1">
      <c r="B17" s="227"/>
      <c r="C17" s="1061"/>
      <c r="D17" s="499"/>
      <c r="E17" s="500"/>
      <c r="F17" s="500"/>
      <c r="G17" s="1062"/>
      <c r="H17" s="499"/>
      <c r="I17" s="500"/>
      <c r="J17" s="908"/>
      <c r="K17" s="1061"/>
      <c r="L17" s="908"/>
      <c r="M17" s="906"/>
    </row>
    <row r="18" spans="2:14" s="816" customFormat="1">
      <c r="B18" s="227" t="s">
        <v>1143</v>
      </c>
      <c r="C18" s="1061">
        <v>76372431.189999998</v>
      </c>
      <c r="D18" s="499"/>
      <c r="E18" s="500"/>
      <c r="F18" s="500">
        <f>C18+D18-E18</f>
        <v>76372431.189999998</v>
      </c>
      <c r="G18" s="1062">
        <v>62181619.189999998</v>
      </c>
      <c r="H18" s="499">
        <v>1721460</v>
      </c>
      <c r="I18" s="500"/>
      <c r="J18" s="908">
        <f t="shared" si="0"/>
        <v>63903079.189999998</v>
      </c>
      <c r="K18" s="1061">
        <f>F18-J18</f>
        <v>12469352</v>
      </c>
      <c r="L18" s="908">
        <f t="shared" ref="L18" si="1">C18-G18</f>
        <v>14190812</v>
      </c>
      <c r="M18" s="906"/>
    </row>
    <row r="19" spans="2:14" s="816" customFormat="1">
      <c r="B19" s="227"/>
      <c r="C19" s="1061"/>
      <c r="D19" s="499"/>
      <c r="E19" s="500"/>
      <c r="F19" s="500"/>
      <c r="G19" s="1062"/>
      <c r="H19" s="499"/>
      <c r="I19" s="500"/>
      <c r="J19" s="908"/>
      <c r="K19" s="1061"/>
      <c r="L19" s="908"/>
      <c r="M19" s="906"/>
    </row>
    <row r="20" spans="2:14" s="816" customFormat="1">
      <c r="B20" s="229" t="s">
        <v>76</v>
      </c>
      <c r="C20" s="1063">
        <f>SUM(C6:C18)</f>
        <v>9301369032.7700005</v>
      </c>
      <c r="D20" s="1064">
        <f>SUM(D6:D18)</f>
        <v>126437.70999999999</v>
      </c>
      <c r="E20" s="1064">
        <f>SUM(E6:E18)</f>
        <v>0</v>
      </c>
      <c r="F20" s="1064">
        <f t="shared" ref="F20:I20" si="2">SUM(F6:F18)</f>
        <v>9301495470.4800014</v>
      </c>
      <c r="G20" s="1063">
        <f t="shared" si="2"/>
        <v>6221663936.5699987</v>
      </c>
      <c r="H20" s="1064">
        <f t="shared" si="2"/>
        <v>145077957.78</v>
      </c>
      <c r="I20" s="1064">
        <f t="shared" si="2"/>
        <v>0</v>
      </c>
      <c r="J20" s="1065">
        <f>SUM(J6:J18)</f>
        <v>6366741894.3499994</v>
      </c>
      <c r="K20" s="1063">
        <f>SUM(K6:K18)</f>
        <v>2934753576.1300001</v>
      </c>
      <c r="L20" s="1065">
        <f>SUM(L6:L18)</f>
        <v>3079705096.2400007</v>
      </c>
      <c r="M20" s="906">
        <v>2934753585.3000002</v>
      </c>
      <c r="N20" s="816">
        <f>K20-M20</f>
        <v>-9.1700000762939453</v>
      </c>
    </row>
    <row r="21" spans="2:14" s="816" customFormat="1">
      <c r="B21" s="230" t="s">
        <v>265</v>
      </c>
      <c r="C21" s="1066">
        <v>9058351919.8099995</v>
      </c>
      <c r="D21" s="1067">
        <v>407444262.91000003</v>
      </c>
      <c r="E21" s="1067">
        <v>164427149.94999999</v>
      </c>
      <c r="F21" s="1067">
        <f>C21+D21-E21</f>
        <v>9301369032.7699986</v>
      </c>
      <c r="G21" s="1066">
        <v>5335022051.9699993</v>
      </c>
      <c r="H21" s="1067">
        <v>948362535.79000008</v>
      </c>
      <c r="I21" s="1067">
        <v>61720651.190000005</v>
      </c>
      <c r="J21" s="1068">
        <f>G21+H21-I21</f>
        <v>6221663936.5699997</v>
      </c>
      <c r="K21" s="1066">
        <f>F21-J21</f>
        <v>3079705096.1999989</v>
      </c>
      <c r="L21" s="1068">
        <v>3723329867.8800006</v>
      </c>
      <c r="M21" s="906"/>
    </row>
    <row r="22" spans="2:14" s="816" customFormat="1">
      <c r="B22" s="231"/>
      <c r="C22" s="1069"/>
      <c r="D22" s="1069"/>
      <c r="E22" s="1069"/>
      <c r="F22" s="1069"/>
      <c r="G22" s="1069"/>
      <c r="H22" s="1069"/>
      <c r="I22" s="1069"/>
      <c r="J22" s="1069"/>
      <c r="K22" s="1069"/>
      <c r="L22" s="1070"/>
      <c r="M22" s="906"/>
    </row>
    <row r="23" spans="2:14" s="816" customFormat="1">
      <c r="B23" s="709" t="s">
        <v>516</v>
      </c>
      <c r="C23" s="500"/>
      <c r="D23" s="500"/>
      <c r="E23" s="500"/>
      <c r="F23" s="500"/>
      <c r="G23" s="500"/>
      <c r="H23" s="500"/>
      <c r="I23" s="500"/>
      <c r="J23" s="500"/>
      <c r="K23" s="500"/>
      <c r="L23" s="908"/>
      <c r="M23" s="906"/>
    </row>
    <row r="24" spans="2:14" s="816" customFormat="1">
      <c r="B24" s="232" t="s">
        <v>1144</v>
      </c>
      <c r="C24" s="1066">
        <v>2491429738.77</v>
      </c>
      <c r="D24" s="1071">
        <v>1721118.25</v>
      </c>
      <c r="E24" s="1067">
        <v>0</v>
      </c>
      <c r="F24" s="1068">
        <f>C24+D24-E24</f>
        <v>2493150857.02</v>
      </c>
      <c r="G24" s="1072">
        <v>1360577867.53</v>
      </c>
      <c r="H24" s="1071">
        <v>92415235</v>
      </c>
      <c r="I24" s="1067"/>
      <c r="J24" s="1068">
        <f>G24+H24-I24</f>
        <v>1452993102.53</v>
      </c>
      <c r="K24" s="1066">
        <f>F24-J24</f>
        <v>1040157754.49</v>
      </c>
      <c r="L24" s="1068">
        <f>C24-G24</f>
        <v>1130851871.24</v>
      </c>
      <c r="M24" s="906">
        <v>1040157754.49</v>
      </c>
      <c r="N24" s="816">
        <f>K24-M24</f>
        <v>0</v>
      </c>
    </row>
    <row r="25" spans="2:14" s="816" customFormat="1">
      <c r="B25" s="233" t="s">
        <v>266</v>
      </c>
      <c r="C25" s="1073">
        <v>1569110284.3300002</v>
      </c>
      <c r="D25" s="1069">
        <v>922319454.43999994</v>
      </c>
      <c r="E25" s="1069">
        <v>0</v>
      </c>
      <c r="F25" s="1068">
        <f>C25+D25</f>
        <v>2491429738.77</v>
      </c>
      <c r="G25" s="1073">
        <v>481603885.85000002</v>
      </c>
      <c r="H25" s="1069">
        <v>878973981.67999995</v>
      </c>
      <c r="I25" s="1069"/>
      <c r="J25" s="1068">
        <f>G25+H25</f>
        <v>1360577867.53</v>
      </c>
      <c r="K25" s="1066">
        <f>F25-J25</f>
        <v>1130851871.24</v>
      </c>
      <c r="L25" s="1068">
        <f>C25-G25</f>
        <v>1087506398.48</v>
      </c>
      <c r="M25" s="906"/>
    </row>
    <row r="26" spans="2:14" s="816" customFormat="1">
      <c r="B26" s="709"/>
      <c r="C26" s="500"/>
      <c r="D26" s="500"/>
      <c r="E26" s="500"/>
      <c r="F26" s="500"/>
      <c r="G26" s="500"/>
      <c r="H26" s="500"/>
      <c r="I26" s="500"/>
      <c r="J26" s="500"/>
      <c r="K26" s="500"/>
      <c r="L26" s="908"/>
    </row>
    <row r="27" spans="2:14" s="816" customFormat="1">
      <c r="B27" s="709" t="s">
        <v>515</v>
      </c>
      <c r="C27" s="500"/>
      <c r="D27" s="500"/>
      <c r="E27" s="500"/>
      <c r="F27" s="500"/>
      <c r="G27" s="500"/>
      <c r="H27" s="500">
        <f>H20+H24</f>
        <v>237493192.78</v>
      </c>
      <c r="I27" s="500"/>
      <c r="J27" s="500"/>
      <c r="K27" s="500">
        <f>K24+K20</f>
        <v>3974911330.6199999</v>
      </c>
      <c r="L27" s="908"/>
    </row>
    <row r="28" spans="2:14" s="816" customFormat="1">
      <c r="B28" s="234" t="s">
        <v>22</v>
      </c>
      <c r="C28" s="1074">
        <v>83416952.069999993</v>
      </c>
      <c r="D28" s="1075">
        <v>24340158.980000012</v>
      </c>
      <c r="E28" s="1076"/>
      <c r="F28" s="1077">
        <f>C28+D28</f>
        <v>107757111.05000001</v>
      </c>
      <c r="G28" s="1074"/>
      <c r="H28" s="1076"/>
      <c r="I28" s="1076"/>
      <c r="J28" s="1077"/>
      <c r="K28" s="1074">
        <f>F28-J28</f>
        <v>107757111.05000001</v>
      </c>
      <c r="L28" s="1077">
        <f>C28-G28</f>
        <v>83416952.069999993</v>
      </c>
    </row>
    <row r="29" spans="2:14" s="816" customFormat="1">
      <c r="B29" s="233" t="s">
        <v>266</v>
      </c>
      <c r="C29" s="1073">
        <v>15077014.659999996</v>
      </c>
      <c r="D29" s="1069">
        <v>68339937.409999996</v>
      </c>
      <c r="E29" s="1069"/>
      <c r="F29" s="1070">
        <f>C29+D29</f>
        <v>83416952.069999993</v>
      </c>
      <c r="G29" s="1073"/>
      <c r="H29" s="1069"/>
      <c r="I29" s="1069"/>
      <c r="J29" s="1070"/>
      <c r="K29" s="1073">
        <f>F29-J29</f>
        <v>83416952.069999993</v>
      </c>
      <c r="L29" s="1070"/>
    </row>
    <row r="30" spans="2:14">
      <c r="B30" s="907"/>
      <c r="C30" s="500"/>
      <c r="D30" s="500"/>
      <c r="E30" s="500"/>
      <c r="F30" s="500">
        <f>F20+F24</f>
        <v>11794646327.500002</v>
      </c>
      <c r="G30" s="500"/>
      <c r="H30" s="500"/>
      <c r="I30" s="500"/>
      <c r="J30" s="500"/>
      <c r="K30" s="500"/>
      <c r="L30" s="908"/>
    </row>
    <row r="31" spans="2:14">
      <c r="B31" s="1406" t="s">
        <v>1464</v>
      </c>
      <c r="C31" s="1407"/>
      <c r="D31" s="1407"/>
      <c r="E31" s="1407"/>
      <c r="F31" s="1407"/>
      <c r="G31" s="1407"/>
      <c r="H31" s="1407"/>
      <c r="I31" s="1407"/>
      <c r="J31" s="1407"/>
      <c r="K31" s="1407"/>
      <c r="L31" s="1408"/>
    </row>
    <row r="32" spans="2:14" ht="30" customHeight="1">
      <c r="B32" s="1406"/>
      <c r="C32" s="1407"/>
      <c r="D32" s="1407"/>
      <c r="E32" s="1407"/>
      <c r="F32" s="1407"/>
      <c r="G32" s="1407"/>
      <c r="H32" s="1407"/>
      <c r="I32" s="1407"/>
      <c r="J32" s="1407"/>
      <c r="K32" s="1407"/>
      <c r="L32" s="1408"/>
      <c r="M32" s="1363"/>
    </row>
    <row r="33" spans="2:13" ht="19.5" customHeight="1">
      <c r="B33" s="1409" t="s">
        <v>1191</v>
      </c>
      <c r="C33" s="1410"/>
      <c r="D33" s="1410"/>
      <c r="E33" s="1410"/>
      <c r="F33" s="1410"/>
      <c r="G33" s="1410"/>
      <c r="H33" s="1410"/>
      <c r="I33" s="1410"/>
      <c r="J33" s="1410"/>
      <c r="K33" s="1410"/>
      <c r="L33" s="1411"/>
      <c r="M33" s="1364"/>
    </row>
    <row r="34" spans="2:13" ht="20.25" customHeight="1">
      <c r="B34" s="1409" t="s">
        <v>1273</v>
      </c>
      <c r="C34" s="1410"/>
      <c r="D34" s="1410"/>
      <c r="E34" s="1410"/>
      <c r="F34" s="1410"/>
      <c r="G34" s="1410"/>
      <c r="H34" s="1410"/>
      <c r="I34" s="1410"/>
      <c r="J34" s="1410"/>
      <c r="K34" s="1410"/>
      <c r="L34" s="1411"/>
      <c r="M34" s="1364"/>
    </row>
    <row r="35" spans="2:13" ht="20.25" customHeight="1">
      <c r="B35" s="914" t="s">
        <v>1274</v>
      </c>
      <c r="C35" s="912"/>
      <c r="D35" s="912"/>
      <c r="E35" s="912"/>
      <c r="F35" s="912"/>
      <c r="G35" s="912"/>
      <c r="H35" s="912"/>
      <c r="I35" s="912"/>
      <c r="J35" s="912"/>
      <c r="K35" s="912"/>
      <c r="L35" s="913"/>
    </row>
    <row r="36" spans="2:13" ht="20.25" customHeight="1">
      <c r="B36" s="914" t="s">
        <v>1192</v>
      </c>
      <c r="C36" s="242"/>
      <c r="D36" s="242"/>
      <c r="E36" s="242"/>
      <c r="F36" s="242"/>
      <c r="G36" s="242"/>
      <c r="H36" s="242"/>
      <c r="I36" s="242"/>
      <c r="J36" s="242"/>
      <c r="K36" s="242"/>
      <c r="L36" s="915"/>
    </row>
    <row r="37" spans="2:13" ht="12" customHeight="1">
      <c r="B37" s="909"/>
      <c r="C37" s="910"/>
      <c r="D37" s="910"/>
      <c r="E37" s="910"/>
      <c r="F37" s="910"/>
      <c r="G37" s="910"/>
      <c r="H37" s="910"/>
      <c r="I37" s="910"/>
      <c r="J37" s="910"/>
      <c r="K37" s="910"/>
      <c r="L37" s="911"/>
    </row>
    <row r="38" spans="2:13">
      <c r="B38" s="209" t="s">
        <v>517</v>
      </c>
      <c r="E38" s="238"/>
      <c r="F38" s="238"/>
      <c r="G38" s="500"/>
      <c r="I38" s="621"/>
      <c r="J38" s="238"/>
      <c r="K38" s="238"/>
      <c r="L38" s="710"/>
    </row>
    <row r="39" spans="2:13">
      <c r="B39" s="235" t="s">
        <v>518</v>
      </c>
      <c r="C39" s="235" t="s">
        <v>92</v>
      </c>
      <c r="E39" s="238"/>
      <c r="F39" s="238"/>
      <c r="G39" s="500"/>
      <c r="K39" s="622"/>
      <c r="L39" s="710"/>
    </row>
    <row r="40" spans="2:13">
      <c r="B40" s="236" t="s">
        <v>81</v>
      </c>
      <c r="C40" s="237" t="s">
        <v>26</v>
      </c>
      <c r="F40" s="238"/>
      <c r="G40" s="500"/>
      <c r="J40" s="238"/>
      <c r="K40" s="622"/>
      <c r="L40" s="710"/>
    </row>
    <row r="41" spans="2:13">
      <c r="B41" s="236" t="s">
        <v>82</v>
      </c>
      <c r="C41" s="237"/>
      <c r="K41" s="622"/>
      <c r="L41" s="710"/>
    </row>
    <row r="42" spans="2:13">
      <c r="B42" s="239" t="s">
        <v>267</v>
      </c>
      <c r="C42" s="237" t="s">
        <v>83</v>
      </c>
      <c r="E42" s="240"/>
      <c r="I42" s="241"/>
      <c r="J42" s="242"/>
      <c r="L42" s="710"/>
    </row>
    <row r="43" spans="2:13" ht="31.5">
      <c r="B43" s="243" t="s">
        <v>268</v>
      </c>
      <c r="C43" s="237" t="s">
        <v>84</v>
      </c>
      <c r="L43" s="710"/>
    </row>
    <row r="44" spans="2:13">
      <c r="B44" s="239" t="s">
        <v>269</v>
      </c>
      <c r="C44" s="237" t="s">
        <v>27</v>
      </c>
      <c r="L44" s="710"/>
    </row>
    <row r="45" spans="2:13">
      <c r="B45" s="236" t="s">
        <v>270</v>
      </c>
      <c r="C45" s="237"/>
      <c r="L45" s="710"/>
    </row>
    <row r="46" spans="2:13">
      <c r="B46" s="239" t="s">
        <v>85</v>
      </c>
      <c r="C46" s="237" t="s">
        <v>86</v>
      </c>
      <c r="L46" s="710"/>
    </row>
    <row r="47" spans="2:13">
      <c r="B47" s="239" t="s">
        <v>87</v>
      </c>
      <c r="C47" s="237" t="s">
        <v>91</v>
      </c>
      <c r="I47" s="244"/>
      <c r="L47" s="710"/>
    </row>
    <row r="48" spans="2:13">
      <c r="B48" s="236" t="s">
        <v>271</v>
      </c>
      <c r="C48" s="237"/>
      <c r="E48" s="240"/>
      <c r="L48" s="710"/>
    </row>
    <row r="49" spans="2:12">
      <c r="B49" s="239" t="s">
        <v>272</v>
      </c>
      <c r="C49" s="237" t="s">
        <v>27</v>
      </c>
      <c r="L49" s="710"/>
    </row>
    <row r="50" spans="2:12">
      <c r="B50" s="239" t="s">
        <v>87</v>
      </c>
      <c r="C50" s="237" t="s">
        <v>88</v>
      </c>
      <c r="L50" s="710"/>
    </row>
    <row r="51" spans="2:12">
      <c r="B51" s="236" t="s">
        <v>89</v>
      </c>
      <c r="C51" s="237" t="s">
        <v>88</v>
      </c>
      <c r="L51" s="710"/>
    </row>
    <row r="52" spans="2:12">
      <c r="B52" s="236" t="s">
        <v>273</v>
      </c>
      <c r="C52" s="237" t="s">
        <v>27</v>
      </c>
      <c r="L52" s="710"/>
    </row>
    <row r="53" spans="2:12">
      <c r="B53" s="236" t="s">
        <v>90</v>
      </c>
      <c r="C53" s="237" t="s">
        <v>27</v>
      </c>
      <c r="I53" s="241"/>
      <c r="L53" s="710"/>
    </row>
    <row r="54" spans="2:12">
      <c r="B54" s="245" t="s">
        <v>274</v>
      </c>
      <c r="C54" s="246" t="s">
        <v>27</v>
      </c>
      <c r="I54" s="241"/>
      <c r="L54" s="710"/>
    </row>
    <row r="55" spans="2:12" ht="31.5">
      <c r="B55" s="245" t="s">
        <v>1426</v>
      </c>
      <c r="C55" s="247" t="s">
        <v>1145</v>
      </c>
      <c r="L55" s="710"/>
    </row>
    <row r="56" spans="2:12" ht="16.5" thickBot="1">
      <c r="B56" s="711"/>
      <c r="C56" s="623"/>
      <c r="D56" s="624"/>
      <c r="E56" s="623"/>
      <c r="F56" s="623"/>
      <c r="G56" s="623"/>
      <c r="H56" s="624"/>
      <c r="I56" s="623"/>
      <c r="J56" s="623"/>
      <c r="K56" s="623"/>
      <c r="L56" s="712"/>
    </row>
    <row r="57" spans="2:12">
      <c r="B57" s="916"/>
      <c r="L57" s="710"/>
    </row>
    <row r="58" spans="2:12">
      <c r="B58" s="916"/>
      <c r="L58" s="710"/>
    </row>
    <row r="59" spans="2:12">
      <c r="B59" s="916"/>
      <c r="L59" s="710"/>
    </row>
    <row r="60" spans="2:12">
      <c r="B60" s="916"/>
      <c r="L60" s="710"/>
    </row>
    <row r="61" spans="2:12">
      <c r="B61" s="916"/>
      <c r="L61" s="710"/>
    </row>
    <row r="62" spans="2:12">
      <c r="B62" s="916"/>
      <c r="L62" s="710"/>
    </row>
    <row r="63" spans="2:12">
      <c r="B63" s="916"/>
      <c r="L63" s="710"/>
    </row>
    <row r="64" spans="2:12">
      <c r="B64" s="916"/>
      <c r="L64" s="710"/>
    </row>
    <row r="65" spans="2:12">
      <c r="B65" s="916"/>
      <c r="L65" s="710"/>
    </row>
    <row r="66" spans="2:12">
      <c r="B66" s="916"/>
      <c r="L66" s="710"/>
    </row>
    <row r="67" spans="2:12">
      <c r="B67" s="916"/>
      <c r="L67" s="710"/>
    </row>
    <row r="68" spans="2:12">
      <c r="B68" s="916"/>
      <c r="L68" s="710"/>
    </row>
    <row r="69" spans="2:12">
      <c r="B69" s="916"/>
      <c r="L69" s="710"/>
    </row>
    <row r="70" spans="2:12">
      <c r="B70" s="916"/>
      <c r="L70" s="710"/>
    </row>
    <row r="71" spans="2:12">
      <c r="B71" s="917"/>
      <c r="C71" s="918"/>
      <c r="D71" s="919"/>
      <c r="E71" s="918"/>
      <c r="F71" s="918"/>
      <c r="G71" s="918"/>
      <c r="H71" s="919"/>
      <c r="I71" s="918"/>
      <c r="J71" s="918"/>
      <c r="K71" s="918"/>
      <c r="L71" s="920"/>
    </row>
  </sheetData>
  <mergeCells count="9">
    <mergeCell ref="B31:L32"/>
    <mergeCell ref="B34:L34"/>
    <mergeCell ref="B33:L33"/>
    <mergeCell ref="B1:L1"/>
    <mergeCell ref="C4:F4"/>
    <mergeCell ref="G4:J4"/>
    <mergeCell ref="B2:L2"/>
    <mergeCell ref="K4:L4"/>
    <mergeCell ref="B4:B5"/>
  </mergeCells>
  <pageMargins left="0.37" right="0.51" top="1.41" bottom="0.2" header="0.05" footer="0.05"/>
  <pageSetup paperSize="9" scale="51" orientation="landscape" r:id="rId1"/>
</worksheet>
</file>

<file path=xl/worksheets/sheet7.xml><?xml version="1.0" encoding="utf-8"?>
<worksheet xmlns="http://schemas.openxmlformats.org/spreadsheetml/2006/main" xmlns:r="http://schemas.openxmlformats.org/officeDocument/2006/relationships">
  <sheetPr enableFormatConditionsCalculation="0">
    <tabColor rgb="FF00B050"/>
  </sheetPr>
  <dimension ref="A1:F130"/>
  <sheetViews>
    <sheetView showGridLines="0" showWhiteSpace="0" topLeftCell="A81" zoomScaleSheetLayoutView="90" workbookViewId="0">
      <selection activeCell="C90" sqref="C90"/>
    </sheetView>
  </sheetViews>
  <sheetFormatPr defaultColWidth="9.140625" defaultRowHeight="15.75"/>
  <cols>
    <col min="1" max="1" width="12.42578125" style="4" bestFit="1" customWidth="1"/>
    <col min="2" max="2" width="58.7109375" style="124" bestFit="1" customWidth="1"/>
    <col min="3" max="3" width="29.140625" style="144" bestFit="1" customWidth="1"/>
    <col min="4" max="4" width="29.7109375" style="144" bestFit="1" customWidth="1"/>
    <col min="5" max="5" width="9.140625" style="4"/>
    <col min="6" max="6" width="14.28515625" style="4" bestFit="1" customWidth="1"/>
    <col min="7" max="16302" width="9.140625" style="4"/>
    <col min="16303" max="16303" width="12.42578125" style="4" bestFit="1" customWidth="1"/>
    <col min="16304" max="16384" width="9.140625" style="4"/>
  </cols>
  <sheetData>
    <row r="1" spans="1:4">
      <c r="B1" s="1397" t="s">
        <v>0</v>
      </c>
      <c r="C1" s="1398"/>
      <c r="D1" s="1399"/>
    </row>
    <row r="2" spans="1:4">
      <c r="B2" s="1422" t="s">
        <v>1484</v>
      </c>
      <c r="C2" s="1423"/>
      <c r="D2" s="1424"/>
    </row>
    <row r="3" spans="1:4">
      <c r="B3" s="847"/>
      <c r="C3" s="499"/>
      <c r="D3" s="1104" t="str">
        <f>'2SFP'!E3</f>
        <v>Amount in Nu.</v>
      </c>
    </row>
    <row r="4" spans="1:4">
      <c r="B4" s="207" t="str">
        <f>'2SFP'!B4</f>
        <v>Particulars</v>
      </c>
      <c r="C4" s="1017" t="str">
        <f>'2SFP'!D4</f>
        <v>As at 31st March, 2019</v>
      </c>
      <c r="D4" s="1105" t="str">
        <f>'2SFP'!E4</f>
        <v>As at 31st December,  2018</v>
      </c>
    </row>
    <row r="5" spans="1:4">
      <c r="B5" s="211"/>
      <c r="C5" s="1044"/>
      <c r="D5" s="1031"/>
    </row>
    <row r="6" spans="1:4">
      <c r="B6" s="211" t="s">
        <v>519</v>
      </c>
      <c r="C6" s="1106"/>
      <c r="D6" s="1107"/>
    </row>
    <row r="7" spans="1:4">
      <c r="B7" s="304" t="s">
        <v>111</v>
      </c>
      <c r="C7" s="1043"/>
      <c r="D7" s="681"/>
    </row>
    <row r="8" spans="1:4">
      <c r="A8" s="4">
        <v>1205310000</v>
      </c>
      <c r="B8" s="304" t="s">
        <v>1376</v>
      </c>
      <c r="C8" s="1043">
        <f>IFERROR(VLOOKUP(A8,Trial!$A$2:$D$9995,3,0),0)</f>
        <v>0</v>
      </c>
      <c r="D8" s="681">
        <f>IFERROR(VLOOKUP(A8,Trial!$A$2:$D$9995,4,0),0)</f>
        <v>0</v>
      </c>
    </row>
    <row r="9" spans="1:4">
      <c r="B9" s="304" t="s">
        <v>1427</v>
      </c>
      <c r="C9" s="1043"/>
      <c r="D9" s="1108"/>
    </row>
    <row r="10" spans="1:4" ht="90">
      <c r="B10" s="503" t="s">
        <v>1428</v>
      </c>
      <c r="C10" s="1043"/>
      <c r="D10" s="1108"/>
    </row>
    <row r="11" spans="1:4">
      <c r="B11" s="722" t="s">
        <v>114</v>
      </c>
      <c r="C11" s="1079">
        <f>SUM(C8:C9)</f>
        <v>0</v>
      </c>
      <c r="D11" s="1109">
        <f>SUM(D8:D9)</f>
        <v>0</v>
      </c>
    </row>
    <row r="12" spans="1:4">
      <c r="B12" s="211" t="s">
        <v>114</v>
      </c>
      <c r="C12" s="499"/>
      <c r="D12" s="1031"/>
    </row>
    <row r="13" spans="1:4">
      <c r="B13" s="207" t="str">
        <f>+B4</f>
        <v>Particulars</v>
      </c>
      <c r="C13" s="1017" t="str">
        <f>+C4</f>
        <v>As at 31st March, 2019</v>
      </c>
      <c r="D13" s="1017" t="str">
        <f>+D4</f>
        <v>As at 31st December,  2018</v>
      </c>
    </row>
    <row r="14" spans="1:4">
      <c r="B14" s="211" t="s">
        <v>469</v>
      </c>
      <c r="C14" s="1106"/>
      <c r="D14" s="1107"/>
    </row>
    <row r="15" spans="1:4">
      <c r="A15" s="3">
        <v>1206103000</v>
      </c>
      <c r="B15" s="252" t="s">
        <v>1147</v>
      </c>
      <c r="C15" s="1043">
        <f>IFERROR(VLOOKUP(A15,Trial!$A$2:$D$9995,3,0),0)</f>
        <v>180000000</v>
      </c>
      <c r="D15" s="681">
        <f>IFERROR(VLOOKUP(A15,Trial!$A$2:$D$9995,4,0),0)</f>
        <v>180000000</v>
      </c>
    </row>
    <row r="16" spans="1:4">
      <c r="A16" s="4">
        <v>1205201001</v>
      </c>
      <c r="B16" s="304" t="s">
        <v>150</v>
      </c>
      <c r="C16" s="1043">
        <f>IFERROR(VLOOKUP(A16,Trial!$A$2:$D$10050,3,0),0)</f>
        <v>1000000</v>
      </c>
      <c r="D16" s="681">
        <f>IFERROR(VLOOKUP(A16,Trial!$A$2:$D$9995,4,0),0)</f>
        <v>1000000</v>
      </c>
    </row>
    <row r="17" spans="1:4">
      <c r="A17" s="4">
        <v>1205213001</v>
      </c>
      <c r="B17" s="304" t="s">
        <v>1146</v>
      </c>
      <c r="C17" s="1043">
        <f>IFERROR(VLOOKUP(A17,Trial!$A$2:$D$9995,3,0),0)</f>
        <v>9682582.5199999996</v>
      </c>
      <c r="D17" s="681">
        <f>IFERROR(VLOOKUP(A17,Trial!$A$2:$D$9995,4,0),0)</f>
        <v>9682582.5199999996</v>
      </c>
    </row>
    <row r="18" spans="1:4">
      <c r="B18" s="304" t="s">
        <v>1148</v>
      </c>
      <c r="C18" s="1043"/>
      <c r="D18" s="681"/>
    </row>
    <row r="19" spans="1:4">
      <c r="B19" s="848" t="s">
        <v>114</v>
      </c>
      <c r="C19" s="321">
        <f>SUM(C15:C17)</f>
        <v>190682582.52000001</v>
      </c>
      <c r="D19" s="1045">
        <f>SUM(D15:D17)</f>
        <v>190682582.52000001</v>
      </c>
    </row>
    <row r="20" spans="1:4">
      <c r="B20" s="211" t="s">
        <v>114</v>
      </c>
      <c r="C20" s="1110"/>
      <c r="D20" s="1107"/>
    </row>
    <row r="21" spans="1:4">
      <c r="B21" s="207" t="str">
        <f>+B13</f>
        <v>Particulars</v>
      </c>
      <c r="C21" s="1017" t="str">
        <f>+C13</f>
        <v>As at 31st March, 2019</v>
      </c>
      <c r="D21" s="1017" t="str">
        <f>+D13</f>
        <v>As at 31st December,  2018</v>
      </c>
    </row>
    <row r="22" spans="1:4">
      <c r="B22" s="211" t="s">
        <v>470</v>
      </c>
      <c r="C22" s="1106"/>
      <c r="D22" s="1107"/>
    </row>
    <row r="23" spans="1:4">
      <c r="A23" s="3">
        <v>1212101001</v>
      </c>
      <c r="B23" s="252" t="s">
        <v>520</v>
      </c>
      <c r="C23" s="1043">
        <f>IFERROR(VLOOKUP(A23,Trial!$A$2:$D$9995,3,0),0)</f>
        <v>27892023.539999999</v>
      </c>
      <c r="D23" s="681">
        <f>IFERROR(VLOOKUP(A23,Trial!$A$2:$D$9995,4,0),0)</f>
        <v>27892023.539999999</v>
      </c>
    </row>
    <row r="24" spans="1:4">
      <c r="B24" s="301" t="s">
        <v>114</v>
      </c>
      <c r="C24" s="321">
        <f>SUM(C23)</f>
        <v>27892023.539999999</v>
      </c>
      <c r="D24" s="1045">
        <f>SUM(D23)</f>
        <v>27892023.539999999</v>
      </c>
    </row>
    <row r="25" spans="1:4">
      <c r="B25" s="301"/>
      <c r="C25" s="1106"/>
      <c r="D25" s="1107"/>
    </row>
    <row r="26" spans="1:4">
      <c r="B26" s="301"/>
      <c r="C26" s="1106"/>
      <c r="D26" s="1107"/>
    </row>
    <row r="27" spans="1:4">
      <c r="B27" s="211" t="s">
        <v>1238</v>
      </c>
      <c r="C27" s="1106"/>
      <c r="D27" s="1107"/>
    </row>
    <row r="28" spans="1:4">
      <c r="B28" s="301"/>
      <c r="C28" s="1106"/>
      <c r="D28" s="1107"/>
    </row>
    <row r="29" spans="1:4">
      <c r="B29" s="304" t="s">
        <v>1248</v>
      </c>
      <c r="C29" s="1043">
        <f>+D23</f>
        <v>27892023.539999999</v>
      </c>
      <c r="D29" s="681">
        <v>-6783501.8300000001</v>
      </c>
    </row>
    <row r="30" spans="1:4">
      <c r="B30" s="304" t="s">
        <v>1275</v>
      </c>
      <c r="C30" s="1043">
        <f>+DT!C32+6187294.8</f>
        <v>-24170297.986000009</v>
      </c>
      <c r="D30" s="681">
        <v>16443370.83</v>
      </c>
    </row>
    <row r="31" spans="1:4">
      <c r="B31" s="304" t="s">
        <v>1244</v>
      </c>
      <c r="C31" s="1043">
        <f>'3SOCI'!D34</f>
        <v>0</v>
      </c>
      <c r="D31" s="681">
        <v>0</v>
      </c>
    </row>
    <row r="32" spans="1:4">
      <c r="B32" s="307" t="s">
        <v>1372</v>
      </c>
      <c r="C32" s="1111">
        <f>SUM(C29:C31)</f>
        <v>3721725.5539999902</v>
      </c>
      <c r="D32" s="1108">
        <v>9659869</v>
      </c>
    </row>
    <row r="33" spans="1:4">
      <c r="B33" s="849"/>
      <c r="C33" s="1112"/>
      <c r="D33" s="1113"/>
    </row>
    <row r="34" spans="1:4">
      <c r="B34" s="301"/>
      <c r="C34" s="499"/>
      <c r="D34" s="1107"/>
    </row>
    <row r="35" spans="1:4">
      <c r="B35" s="504" t="str">
        <f>+B21</f>
        <v>Particulars</v>
      </c>
      <c r="C35" s="1017" t="str">
        <f>+C21</f>
        <v>As at 31st March, 2019</v>
      </c>
      <c r="D35" s="1017" t="str">
        <f>+D21</f>
        <v>As at 31st December,  2018</v>
      </c>
    </row>
    <row r="36" spans="1:4">
      <c r="B36" s="211" t="s">
        <v>471</v>
      </c>
      <c r="C36" s="1044"/>
      <c r="D36" s="1031"/>
    </row>
    <row r="37" spans="1:4">
      <c r="A37" s="4">
        <v>1206105000</v>
      </c>
      <c r="B37" s="301" t="s">
        <v>1031</v>
      </c>
      <c r="C37" s="1044">
        <f>IFERROR(VLOOKUP(A37,Trial!$A$2:$D$9995,3,0),0)</f>
        <v>0</v>
      </c>
      <c r="D37" s="1031">
        <f>IFERROR(VLOOKUP(A37,Trial!$A$2:$D$9995,4,0),0)</f>
        <v>0</v>
      </c>
    </row>
    <row r="38" spans="1:4">
      <c r="A38" s="4">
        <v>1205101000</v>
      </c>
      <c r="B38" s="301" t="s">
        <v>147</v>
      </c>
      <c r="C38" s="1044">
        <f>IFERROR(VLOOKUP(A38,Trial!$A$2:$D$10050,3,0),0)</f>
        <v>0</v>
      </c>
      <c r="D38" s="1031">
        <f>IFERROR(VLOOKUP(A38,Trial!$A$2:$D$9995,4,0),0)</f>
        <v>0</v>
      </c>
    </row>
    <row r="39" spans="1:4">
      <c r="A39" s="4">
        <v>1205101001</v>
      </c>
      <c r="B39" s="301" t="s">
        <v>148</v>
      </c>
      <c r="C39" s="1044">
        <f>IFERROR(VLOOKUP(A39,Trial!$A$2:$D$10050,3,0),0)</f>
        <v>0</v>
      </c>
      <c r="D39" s="1031">
        <f>IFERROR(VLOOKUP(A39,Trial!$A$2:$D$9995,4,0),0)</f>
        <v>0</v>
      </c>
    </row>
    <row r="40" spans="1:4">
      <c r="A40" s="4">
        <v>1205201000</v>
      </c>
      <c r="B40" s="301" t="s">
        <v>149</v>
      </c>
      <c r="C40" s="1044">
        <f>IFERROR(VLOOKUP(A40,Trial!$A$2:$D$10050,3,0),0)</f>
        <v>0</v>
      </c>
      <c r="D40" s="1031">
        <f>IFERROR(VLOOKUP(A40,Trial!$A$2:$D$9995,4,0),0)</f>
        <v>0</v>
      </c>
    </row>
    <row r="41" spans="1:4">
      <c r="A41" s="4">
        <v>1205210000</v>
      </c>
      <c r="B41" s="301" t="s">
        <v>151</v>
      </c>
      <c r="C41" s="1044">
        <f>IFERROR(VLOOKUP(A41,Trial!$A$2:$D$10050,3,0),0)</f>
        <v>0</v>
      </c>
      <c r="D41" s="1031">
        <f>IFERROR(VLOOKUP(A41,Trial!$A$2:$D$9995,4,0),0)</f>
        <v>0</v>
      </c>
    </row>
    <row r="42" spans="1:4">
      <c r="A42" s="4">
        <v>1206101000</v>
      </c>
      <c r="B42" s="301" t="s">
        <v>152</v>
      </c>
      <c r="C42" s="1044">
        <f>IFERROR(VLOOKUP(A42,Trial!$A$2:$D$10050,3,0),0)</f>
        <v>0</v>
      </c>
      <c r="D42" s="1031">
        <f>IFERROR(VLOOKUP(A42,Trial!$A$2:$D$9995,4,0),0)</f>
        <v>0</v>
      </c>
    </row>
    <row r="43" spans="1:4">
      <c r="A43" s="4">
        <v>1206101001</v>
      </c>
      <c r="B43" s="301" t="s">
        <v>153</v>
      </c>
      <c r="C43" s="1044">
        <f>IFERROR(VLOOKUP(A43,Trial!$A$2:$D$10050,3,0),0)</f>
        <v>0</v>
      </c>
      <c r="D43" s="1031">
        <f>IFERROR(VLOOKUP(A43,Trial!$A$2:$D$9995,4,0),0)</f>
        <v>0</v>
      </c>
    </row>
    <row r="44" spans="1:4">
      <c r="A44" s="4">
        <v>1206102000</v>
      </c>
      <c r="B44" s="301" t="s">
        <v>154</v>
      </c>
      <c r="C44" s="1044">
        <f>IFERROR(VLOOKUP(A44,Trial!$A$2:$D$10050,3,0),0)</f>
        <v>0</v>
      </c>
      <c r="D44" s="1031">
        <f>IFERROR(VLOOKUP(A44,Trial!$A$2:$D$9995,4,0),0)</f>
        <v>0</v>
      </c>
    </row>
    <row r="45" spans="1:4">
      <c r="A45" s="4">
        <v>1206108001</v>
      </c>
      <c r="B45" s="304" t="s">
        <v>1162</v>
      </c>
      <c r="C45" s="1043">
        <f>IFERROR(VLOOKUP(A45,Trial!$A$2:$D$9995,3,0),0)</f>
        <v>1282728.96</v>
      </c>
      <c r="D45" s="1031">
        <f>IFERROR(VLOOKUP(A45,Trial!$A$2:$D$9995,4,0),0)</f>
        <v>1282728.96</v>
      </c>
    </row>
    <row r="46" spans="1:4">
      <c r="A46" s="4">
        <v>1206104001</v>
      </c>
      <c r="B46" s="304" t="s">
        <v>155</v>
      </c>
      <c r="C46" s="1043">
        <f>IFERROR(VLOOKUP(A46,Trial!$A$2:$D$10050,3,0),0)</f>
        <v>0</v>
      </c>
      <c r="D46" s="1031">
        <f>IFERROR(VLOOKUP(A46,Trial!$A$2:$D$9995,4,0),0)</f>
        <v>0</v>
      </c>
    </row>
    <row r="47" spans="1:4">
      <c r="B47" s="304" t="s">
        <v>1149</v>
      </c>
      <c r="C47" s="1043"/>
      <c r="D47" s="681"/>
    </row>
    <row r="48" spans="1:4">
      <c r="B48" s="848" t="s">
        <v>114</v>
      </c>
      <c r="C48" s="321">
        <f>SUM(C37:C46)</f>
        <v>1282728.96</v>
      </c>
      <c r="D48" s="1045">
        <f>SUM(D37:D46)</f>
        <v>1282728.96</v>
      </c>
    </row>
    <row r="49" spans="1:4">
      <c r="B49" s="301" t="s">
        <v>114</v>
      </c>
      <c r="C49" s="1110"/>
      <c r="D49" s="1107"/>
    </row>
    <row r="50" spans="1:4">
      <c r="B50" s="504" t="str">
        <f>+B35</f>
        <v>Particulars</v>
      </c>
      <c r="C50" s="1017" t="str">
        <f>+C35</f>
        <v>As at 31st March, 2019</v>
      </c>
      <c r="D50" s="1017" t="str">
        <f>+D35</f>
        <v>As at 31st December,  2018</v>
      </c>
    </row>
    <row r="51" spans="1:4">
      <c r="B51" s="211" t="s">
        <v>472</v>
      </c>
      <c r="C51" s="1044"/>
      <c r="D51" s="1031"/>
    </row>
    <row r="52" spans="1:4">
      <c r="A52" s="4">
        <v>1111301000</v>
      </c>
      <c r="B52" s="301" t="s">
        <v>294</v>
      </c>
      <c r="C52" s="1044">
        <f>IFERROR(VLOOKUP(A52,Trial!$A$2:$D$9995,3,0),0)</f>
        <v>984624.19</v>
      </c>
      <c r="D52" s="1031">
        <f>IFERROR(VLOOKUP(A52,Trial!$A$2:$D$9995,4,0),0)</f>
        <v>862363.71</v>
      </c>
    </row>
    <row r="53" spans="1:4">
      <c r="A53" s="4">
        <v>1111301001</v>
      </c>
      <c r="B53" s="301" t="s">
        <v>295</v>
      </c>
      <c r="C53" s="1044">
        <f>IFERROR(VLOOKUP(A53,Trial!$A$2:$D$9995,3,0),0)</f>
        <v>2996702.03</v>
      </c>
      <c r="D53" s="1031">
        <f>IFERROR(VLOOKUP(A53,Trial!$A$2:$D$9995,4,0),0)</f>
        <v>3340300.56</v>
      </c>
    </row>
    <row r="54" spans="1:4">
      <c r="A54" s="4">
        <v>1111301002</v>
      </c>
      <c r="B54" s="301" t="s">
        <v>296</v>
      </c>
      <c r="C54" s="1044">
        <f>IFERROR(VLOOKUP(A54,Trial!$A$2:$D$9995,3,0),0)</f>
        <v>20440627.469999999</v>
      </c>
      <c r="D54" s="1031">
        <f>IFERROR(VLOOKUP(A54,Trial!$A$2:$D$9995,4,0),0)</f>
        <v>22829188.75</v>
      </c>
    </row>
    <row r="55" spans="1:4">
      <c r="A55" s="4">
        <v>1111301003</v>
      </c>
      <c r="B55" s="301" t="s">
        <v>297</v>
      </c>
      <c r="C55" s="1044">
        <f>IFERROR(VLOOKUP(A55,Trial!$A$2:$D$9995,3,0),0)</f>
        <v>5950</v>
      </c>
      <c r="D55" s="1031">
        <f>IFERROR(VLOOKUP(A55,Trial!$A$2:$D$9995,4,0),0)</f>
        <v>28540</v>
      </c>
    </row>
    <row r="56" spans="1:4">
      <c r="A56" s="4">
        <v>1111301004</v>
      </c>
      <c r="B56" s="301" t="s">
        <v>298</v>
      </c>
      <c r="C56" s="1044">
        <f>IFERROR(VLOOKUP(A56,Trial!$A$2:$D$9995,3,0),0)</f>
        <v>2865561.34</v>
      </c>
      <c r="D56" s="1031">
        <f>IFERROR(VLOOKUP(A56,Trial!$A$2:$D$9995,4,0),0)</f>
        <v>2030088.63</v>
      </c>
    </row>
    <row r="57" spans="1:4">
      <c r="A57" s="4">
        <v>1111301005</v>
      </c>
      <c r="B57" s="301" t="s">
        <v>299</v>
      </c>
      <c r="C57" s="1044">
        <f>IFERROR(VLOOKUP(A57,Trial!$A$2:$D$9995,3,0),0)</f>
        <v>988563.74</v>
      </c>
      <c r="D57" s="1031">
        <f>IFERROR(VLOOKUP(A57,Trial!$A$2:$D$9995,4,0),0)</f>
        <v>1093718.04</v>
      </c>
    </row>
    <row r="58" spans="1:4">
      <c r="B58" s="304" t="s">
        <v>298</v>
      </c>
      <c r="C58" s="1043">
        <f>SUM(C52:C57)</f>
        <v>28282028.769999996</v>
      </c>
      <c r="D58" s="681">
        <f>SUM(D52:D57)</f>
        <v>30184199.689999998</v>
      </c>
    </row>
    <row r="59" spans="1:4">
      <c r="A59" s="4">
        <v>1111301008</v>
      </c>
      <c r="B59" s="304" t="s">
        <v>1152</v>
      </c>
      <c r="C59" s="1043">
        <f>IFERROR(VLOOKUP(A59,Trial!$A$2:$D$9995,3,0),0)</f>
        <v>51521338.189999998</v>
      </c>
      <c r="D59" s="681">
        <f>IFERROR(VLOOKUP(A59,Trial!$A$2:$D$9995,4,0),0)</f>
        <v>59553250.07</v>
      </c>
    </row>
    <row r="60" spans="1:4">
      <c r="A60" s="4">
        <v>1111301007</v>
      </c>
      <c r="B60" s="304" t="s">
        <v>1150</v>
      </c>
      <c r="C60" s="1043">
        <f>IFERROR(VLOOKUP(A60,Trial!$A$2:$D$9995,3,0),0)</f>
        <v>39275351.189999998</v>
      </c>
      <c r="D60" s="681">
        <f>IFERROR(VLOOKUP(A60,Trial!$A$2:$D$9995,4,0),0)</f>
        <v>17848508.09</v>
      </c>
    </row>
    <row r="61" spans="1:4">
      <c r="B61" s="211" t="s">
        <v>1151</v>
      </c>
      <c r="C61" s="321">
        <f>SUM(C58:C60)</f>
        <v>119078718.14999999</v>
      </c>
      <c r="D61" s="1045">
        <f>SUM(D58:D60)</f>
        <v>107585957.84999999</v>
      </c>
    </row>
    <row r="62" spans="1:4">
      <c r="A62" s="4">
        <v>1111302001</v>
      </c>
      <c r="B62" s="308" t="s">
        <v>1461</v>
      </c>
      <c r="C62" s="1043">
        <f>IFERROR(VLOOKUP(A62,Trial!$A$2:$D$9995,3,0),0)</f>
        <v>-8708854</v>
      </c>
      <c r="D62" s="681">
        <f>IFERROR(VLOOKUP(A62,Trial!$A$2:$D$9995,4,0),0)</f>
        <v>-8708854</v>
      </c>
    </row>
    <row r="63" spans="1:4">
      <c r="B63" s="214" t="s">
        <v>1462</v>
      </c>
      <c r="C63" s="321">
        <f>SUM(C61:C62)</f>
        <v>110369864.14999999</v>
      </c>
      <c r="D63" s="321">
        <f>SUM(D61:D62)</f>
        <v>98877103.849999994</v>
      </c>
    </row>
    <row r="64" spans="1:4">
      <c r="B64" s="846"/>
      <c r="C64" s="1114"/>
      <c r="D64" s="1115"/>
    </row>
    <row r="65" spans="1:4">
      <c r="B65" s="504" t="str">
        <f>+B50</f>
        <v>Particulars</v>
      </c>
      <c r="C65" s="1017" t="str">
        <f>+C50</f>
        <v>As at 31st March, 2019</v>
      </c>
      <c r="D65" s="1017" t="str">
        <f>+D50</f>
        <v>As at 31st December,  2018</v>
      </c>
    </row>
    <row r="66" spans="1:4">
      <c r="B66" s="211" t="s">
        <v>473</v>
      </c>
      <c r="C66" s="1044"/>
      <c r="D66" s="1031"/>
    </row>
    <row r="67" spans="1:4">
      <c r="B67" s="304" t="s">
        <v>100</v>
      </c>
      <c r="C67" s="1043"/>
      <c r="D67" s="681"/>
    </row>
    <row r="68" spans="1:4">
      <c r="A68" s="4">
        <v>1107101000</v>
      </c>
      <c r="B68" s="304" t="s">
        <v>1032</v>
      </c>
      <c r="C68" s="1043">
        <f>IFERROR(VLOOKUP(A68,Trial!$A$2:$D$9995,3,0),0)</f>
        <v>137247314.58000001</v>
      </c>
      <c r="D68" s="681">
        <f>IFERROR(VLOOKUP(A68,Trial!$A$2:$D$9995,4,0),0)</f>
        <v>124694678.72</v>
      </c>
    </row>
    <row r="69" spans="1:4">
      <c r="A69" s="4">
        <v>1107102000</v>
      </c>
      <c r="B69" s="304" t="s">
        <v>435</v>
      </c>
      <c r="C69" s="1043">
        <f>IFERROR(VLOOKUP(A69,Trial!$A$2:$D$9995,3,0),0)</f>
        <v>0</v>
      </c>
      <c r="D69" s="681">
        <f>IFERROR(VLOOKUP(A69,Trial!$A$2:$D$9995,4,0),0)</f>
        <v>0</v>
      </c>
    </row>
    <row r="70" spans="1:4">
      <c r="A70" s="4">
        <v>1107104000</v>
      </c>
      <c r="B70" s="304" t="s">
        <v>1033</v>
      </c>
      <c r="C70" s="1043">
        <f>IFERROR(VLOOKUP(A70,Trial!$A$2:$D$9995,3,0),0)</f>
        <v>21051371.25</v>
      </c>
      <c r="D70" s="681">
        <f>IFERROR(VLOOKUP(A70,Trial!$A$2:$D$9995,4,0),0)</f>
        <v>14894947.390000001</v>
      </c>
    </row>
    <row r="71" spans="1:4">
      <c r="B71" s="301"/>
      <c r="C71" s="1106">
        <f>SUM(C68:C70)</f>
        <v>158298685.83000001</v>
      </c>
      <c r="D71" s="1107">
        <f>SUM(D68:D70)</f>
        <v>139589626.11000001</v>
      </c>
    </row>
    <row r="72" spans="1:4">
      <c r="A72" s="4">
        <v>1107103000</v>
      </c>
      <c r="B72" s="304" t="s">
        <v>1153</v>
      </c>
      <c r="C72" s="1043">
        <f>IFERROR(VLOOKUP(A72,Trial!$A$2:$D$9995,3,0),0)</f>
        <v>-30678330.510000002</v>
      </c>
      <c r="D72" s="681">
        <f>IFERROR(VLOOKUP(A72,Trial!$A$2:$D$9995,4,0),0)</f>
        <v>-30678330.510000002</v>
      </c>
    </row>
    <row r="73" spans="1:4">
      <c r="A73" s="4" t="s">
        <v>114</v>
      </c>
      <c r="B73" s="304" t="s">
        <v>114</v>
      </c>
      <c r="C73" s="1111"/>
      <c r="D73" s="1108"/>
    </row>
    <row r="74" spans="1:4">
      <c r="B74" s="304"/>
      <c r="C74" s="1043"/>
      <c r="D74" s="681"/>
    </row>
    <row r="75" spans="1:4">
      <c r="B75" s="722" t="s">
        <v>1276</v>
      </c>
      <c r="C75" s="1079">
        <f>SUM(C71:C72)</f>
        <v>127620355.32000001</v>
      </c>
      <c r="D75" s="1109">
        <f>SUM(D71:D72)</f>
        <v>108911295.60000001</v>
      </c>
    </row>
    <row r="76" spans="1:4">
      <c r="B76" s="301" t="s">
        <v>114</v>
      </c>
      <c r="C76" s="1110"/>
      <c r="D76" s="1107"/>
    </row>
    <row r="77" spans="1:4">
      <c r="B77" s="504" t="str">
        <f>+B65</f>
        <v>Particulars</v>
      </c>
      <c r="C77" s="1017" t="str">
        <f>+C65</f>
        <v>As at 31st March, 2019</v>
      </c>
      <c r="D77" s="1017" t="str">
        <f>+D65</f>
        <v>As at 31st December,  2018</v>
      </c>
    </row>
    <row r="78" spans="1:4">
      <c r="B78" s="211" t="s">
        <v>474</v>
      </c>
      <c r="C78" s="1044"/>
      <c r="D78" s="1031"/>
    </row>
    <row r="79" spans="1:4">
      <c r="A79" s="3"/>
      <c r="B79" s="304" t="s">
        <v>1034</v>
      </c>
      <c r="C79" s="1043"/>
      <c r="D79" s="681"/>
    </row>
    <row r="80" spans="1:4">
      <c r="A80" s="3"/>
      <c r="B80" s="304" t="s">
        <v>223</v>
      </c>
      <c r="C80" s="1043">
        <f>SUM(Trial!C2:C4)</f>
        <v>0</v>
      </c>
      <c r="D80" s="1043">
        <f>SUM(Trial!D2:D4)</f>
        <v>1209913.31</v>
      </c>
    </row>
    <row r="81" spans="1:4">
      <c r="B81" s="304" t="s">
        <v>1429</v>
      </c>
      <c r="C81" s="1043"/>
      <c r="D81" s="681"/>
    </row>
    <row r="82" spans="1:4">
      <c r="B82" s="304" t="s">
        <v>114</v>
      </c>
      <c r="C82" s="1043"/>
      <c r="D82" s="681"/>
    </row>
    <row r="83" spans="1:4">
      <c r="B83" s="211" t="s">
        <v>224</v>
      </c>
      <c r="C83" s="1044"/>
      <c r="D83" s="1031"/>
    </row>
    <row r="84" spans="1:4">
      <c r="B84" s="304" t="s">
        <v>1154</v>
      </c>
      <c r="C84" s="1116">
        <f>SUM(Trial!C5:C296)</f>
        <v>771475012.73999989</v>
      </c>
      <c r="D84" s="1116">
        <f>SUM(Trial!D5:D296)</f>
        <v>632309910.53999984</v>
      </c>
    </row>
    <row r="85" spans="1:4">
      <c r="B85" s="214" t="s">
        <v>521</v>
      </c>
      <c r="C85" s="321">
        <f>C84+C80</f>
        <v>771475012.73999989</v>
      </c>
      <c r="D85" s="1045">
        <f>D84+D80</f>
        <v>633519823.84999979</v>
      </c>
    </row>
    <row r="86" spans="1:4">
      <c r="B86" s="301" t="s">
        <v>114</v>
      </c>
      <c r="C86" s="1110"/>
      <c r="D86" s="1107"/>
    </row>
    <row r="87" spans="1:4">
      <c r="B87" s="504" t="str">
        <f>+B77</f>
        <v>Particulars</v>
      </c>
      <c r="C87" s="1017" t="str">
        <f>+C77</f>
        <v>As at 31st March, 2019</v>
      </c>
      <c r="D87" s="1017" t="str">
        <f>+D77</f>
        <v>As at 31st December,  2018</v>
      </c>
    </row>
    <row r="88" spans="1:4">
      <c r="B88" s="211" t="s">
        <v>475</v>
      </c>
      <c r="C88" s="1044"/>
      <c r="D88" s="1031"/>
    </row>
    <row r="89" spans="1:4">
      <c r="B89" s="304" t="s">
        <v>100</v>
      </c>
      <c r="C89" s="1043"/>
      <c r="D89" s="681"/>
    </row>
    <row r="90" spans="1:4" ht="30">
      <c r="B90" s="308" t="s">
        <v>101</v>
      </c>
      <c r="C90" s="1117"/>
      <c r="D90" s="1118"/>
    </row>
    <row r="91" spans="1:4">
      <c r="A91" s="4">
        <v>1107203000</v>
      </c>
      <c r="B91" s="304" t="s">
        <v>820</v>
      </c>
      <c r="C91" s="1210">
        <f>IFERROR(VLOOKUP(A91,Trial!$A$2:$D$9995,3,0),0)</f>
        <v>1265005.6499999999</v>
      </c>
      <c r="D91" s="681">
        <f>IFERROR(VLOOKUP(A91,Trial!$A$2:$D$9995,4,0),0)</f>
        <v>1265005.6499999999</v>
      </c>
    </row>
    <row r="92" spans="1:4">
      <c r="A92" s="4">
        <v>1109101000</v>
      </c>
      <c r="B92" s="304" t="s">
        <v>824</v>
      </c>
      <c r="C92" s="1210">
        <f>IFERROR(VLOOKUP(A92,Trial!$A$2:$D$9995,3,0),0)</f>
        <v>64264.35</v>
      </c>
      <c r="D92" s="681">
        <f>IFERROR(VLOOKUP(A92,Trial!$A$2:$D$9995,4,0),0)</f>
        <v>64264.35</v>
      </c>
    </row>
    <row r="93" spans="1:4">
      <c r="A93" s="4">
        <v>1107215000</v>
      </c>
      <c r="B93" s="304" t="s">
        <v>823</v>
      </c>
      <c r="C93" s="1210">
        <f>IFERROR(VLOOKUP(A93,Trial!$A$2:$D$9995,3,0),0)</f>
        <v>2007812.9</v>
      </c>
      <c r="D93" s="681">
        <f>IFERROR(VLOOKUP(A93,Trial!$A$2:$D$9995,4,0),0)</f>
        <v>2007812.9</v>
      </c>
    </row>
    <row r="94" spans="1:4">
      <c r="A94" s="4">
        <v>1107212000</v>
      </c>
      <c r="B94" s="301" t="s">
        <v>144</v>
      </c>
      <c r="C94" s="1044">
        <f>IFERROR(VLOOKUP(A94,Trial!$A$2:$D$10050,3,0),0)</f>
        <v>0</v>
      </c>
      <c r="D94" s="1031">
        <f>IFERROR(VLOOKUP(A94,Trial!$A$2:$D$10002,4,0),0)</f>
        <v>0</v>
      </c>
    </row>
    <row r="95" spans="1:4">
      <c r="B95" s="848" t="s">
        <v>114</v>
      </c>
      <c r="C95" s="321">
        <f>SUM(C91:C94)</f>
        <v>3337082.9</v>
      </c>
      <c r="D95" s="1045">
        <f>SUM(D91:D94)</f>
        <v>3337082.9</v>
      </c>
    </row>
    <row r="96" spans="1:4">
      <c r="B96" s="301"/>
      <c r="C96" s="1110"/>
      <c r="D96" s="1107"/>
    </row>
    <row r="97" spans="1:6">
      <c r="B97" s="504" t="str">
        <f>+B87</f>
        <v>Particulars</v>
      </c>
      <c r="C97" s="1017" t="str">
        <f>+C87</f>
        <v>As at 31st March, 2019</v>
      </c>
      <c r="D97" s="1017" t="str">
        <f>+D87</f>
        <v>As at 31st December,  2018</v>
      </c>
    </row>
    <row r="98" spans="1:6">
      <c r="B98" s="211" t="s">
        <v>476</v>
      </c>
      <c r="C98" s="1044"/>
      <c r="D98" s="1031"/>
    </row>
    <row r="99" spans="1:6">
      <c r="B99" s="301"/>
      <c r="C99" s="1044"/>
      <c r="D99" s="1031"/>
    </row>
    <row r="100" spans="1:6">
      <c r="A100" s="1294">
        <v>1107214000</v>
      </c>
      <c r="B100" s="1295" t="s">
        <v>1158</v>
      </c>
      <c r="C100" s="1210">
        <f>IFERROR(VLOOKUP(A100,Trial!$A$2:$D$9995,3,0),0)</f>
        <v>51120917.68</v>
      </c>
      <c r="D100" s="1260">
        <f>IFERROR(VLOOKUP(A100,Trial!$A$2:$D$9995,4,0),0)</f>
        <v>21171721.940000001</v>
      </c>
      <c r="E100" s="1209"/>
      <c r="F100" s="7"/>
    </row>
    <row r="101" spans="1:6">
      <c r="A101" s="1294">
        <v>1107214001</v>
      </c>
      <c r="B101" s="1295" t="s">
        <v>1159</v>
      </c>
      <c r="C101" s="1210">
        <f>IFERROR(VLOOKUP(A101,Trial!$A$2:$D$9995,3,0),0)</f>
        <v>767113.19</v>
      </c>
      <c r="D101" s="1260">
        <f>IFERROR(VLOOKUP(A101,Trial!$A$2:$D$9995,4,0),0)</f>
        <v>767113.19</v>
      </c>
    </row>
    <row r="102" spans="1:6">
      <c r="A102" s="1294">
        <v>1109104000</v>
      </c>
      <c r="B102" s="1295" t="s">
        <v>825</v>
      </c>
      <c r="C102" s="1210">
        <f>IFERROR(VLOOKUP(A102,Trial!$A$2:$D$9995,3,0),0)</f>
        <v>913043.08</v>
      </c>
      <c r="D102" s="1260">
        <f>IFERROR(VLOOKUP(A102,Trial!$A$2:$D$9995,4,0),0)</f>
        <v>0</v>
      </c>
    </row>
    <row r="103" spans="1:6">
      <c r="A103" s="1294">
        <v>1109104001</v>
      </c>
      <c r="B103" s="1295" t="s">
        <v>826</v>
      </c>
      <c r="C103" s="1210">
        <f>IFERROR(VLOOKUP(A103,Trial!$A$2:$D$9995,3,0),0)</f>
        <v>187461.82</v>
      </c>
      <c r="D103" s="1260">
        <f>IFERROR(VLOOKUP(A103,Trial!$A$2:$D$9995,4,0),0)</f>
        <v>0</v>
      </c>
    </row>
    <row r="104" spans="1:6">
      <c r="A104" s="1294">
        <v>1109104002</v>
      </c>
      <c r="B104" s="1295" t="s">
        <v>1160</v>
      </c>
      <c r="C104" s="1210">
        <f>IFERROR(VLOOKUP(A104,Trial!$A$2:$D$9995,3,0),0)</f>
        <v>1454833.77</v>
      </c>
      <c r="D104" s="1260">
        <f>IFERROR(VLOOKUP(A104,Trial!$A$2:$D$9995,4,0),0)</f>
        <v>37976.620000000003</v>
      </c>
    </row>
    <row r="105" spans="1:6">
      <c r="A105" s="1294">
        <v>1109104003</v>
      </c>
      <c r="B105" s="1295" t="s">
        <v>828</v>
      </c>
      <c r="C105" s="1210">
        <f>IFERROR(VLOOKUP(A105,Trial!$A$2:$D$9995,3,0),0)</f>
        <v>10770676</v>
      </c>
      <c r="D105" s="1260">
        <f>IFERROR(VLOOKUP(A105,Trial!$A$2:$D$9995,4,0),0)</f>
        <v>0</v>
      </c>
      <c r="F105" s="1209"/>
    </row>
    <row r="106" spans="1:6">
      <c r="A106" s="1294"/>
      <c r="B106" s="1295" t="s">
        <v>264</v>
      </c>
      <c r="C106" s="1235"/>
      <c r="D106" s="1260">
        <f>IFERROR(VLOOKUP(A106,Trial!$A$2:$D$9995,4,0),0)</f>
        <v>0</v>
      </c>
      <c r="F106" s="1209"/>
    </row>
    <row r="107" spans="1:6">
      <c r="A107" s="1294">
        <v>1109105000</v>
      </c>
      <c r="B107" s="1295" t="s">
        <v>1161</v>
      </c>
      <c r="C107" s="1210">
        <f>IFERROR(VLOOKUP(A107,Trial!$A$2:$D$9995,3,0),0)</f>
        <v>104572</v>
      </c>
      <c r="D107" s="1260">
        <f>IFERROR(VLOOKUP(A107,Trial!$A$2:$D$9995,4,0),0)</f>
        <v>99486</v>
      </c>
      <c r="F107" s="1209"/>
    </row>
    <row r="108" spans="1:6">
      <c r="A108" s="1294"/>
      <c r="B108" s="1296" t="s">
        <v>1125</v>
      </c>
      <c r="C108" s="1235"/>
      <c r="D108" s="1260">
        <f>IFERROR(VLOOKUP(A108,Trial!$A$2:$D$9995,4,0),0)</f>
        <v>0</v>
      </c>
    </row>
    <row r="109" spans="1:6">
      <c r="A109" s="1297">
        <v>1109203000</v>
      </c>
      <c r="B109" s="1298" t="s">
        <v>206</v>
      </c>
      <c r="C109" s="1210">
        <f>IFERROR(VLOOKUP(A109,Trial!$A$2:$D$9995,3,0),0)</f>
        <v>478878.77</v>
      </c>
      <c r="D109" s="1260">
        <f>IFERROR(VLOOKUP(A109,Trial!$A$2:$D$9995,4,0),0)</f>
        <v>288864.40999999997</v>
      </c>
    </row>
    <row r="110" spans="1:6">
      <c r="A110" s="1299">
        <v>1109201000</v>
      </c>
      <c r="B110" s="1298" t="s">
        <v>146</v>
      </c>
      <c r="C110" s="1235">
        <f>IFERROR(VLOOKUP(A110,Trial!$A$2:$D$9995,3,0),0)</f>
        <v>0</v>
      </c>
      <c r="D110" s="1260">
        <f>IFERROR(VLOOKUP(A110,Trial!$A$2:$D$9995,4,0),0)</f>
        <v>0</v>
      </c>
    </row>
    <row r="111" spans="1:6">
      <c r="A111" s="1299">
        <v>1109108001</v>
      </c>
      <c r="B111" s="1298" t="s">
        <v>1122</v>
      </c>
      <c r="C111" s="1235">
        <f>IFERROR(VLOOKUP(A111,Trial!$A$2:$D$9995,3,0),0)</f>
        <v>427576.32000000001</v>
      </c>
      <c r="D111" s="1260">
        <f>IFERROR(VLOOKUP(A111,Trial!$A$2:$D$9995,4,0),0)</f>
        <v>427576.32000000001</v>
      </c>
    </row>
    <row r="112" spans="1:6">
      <c r="A112" s="1299">
        <v>1107215001</v>
      </c>
      <c r="B112" s="1300" t="s">
        <v>145</v>
      </c>
      <c r="C112" s="1253">
        <f>IFERROR(VLOOKUP(A112,Trial!$A$2:$D$10050,3,0),0)</f>
        <v>0</v>
      </c>
      <c r="D112" s="1260">
        <f>IFERROR(VLOOKUP(A112,Trial!$A$2:$D$9995,4,0),0)</f>
        <v>0</v>
      </c>
    </row>
    <row r="113" spans="1:4">
      <c r="A113" s="1294"/>
      <c r="B113" s="1276"/>
      <c r="C113" s="1243">
        <f>SUM(C100:C112)</f>
        <v>66225072.630000003</v>
      </c>
      <c r="D113" s="1301">
        <f>SUM(D100:D112)</f>
        <v>22792738.480000004</v>
      </c>
    </row>
    <row r="114" spans="1:4">
      <c r="A114" s="1294"/>
      <c r="B114" s="1295" t="s">
        <v>1163</v>
      </c>
      <c r="C114" s="1302"/>
      <c r="D114" s="1303"/>
    </row>
    <row r="115" spans="1:4">
      <c r="A115" s="1294"/>
      <c r="B115" s="1295" t="s">
        <v>1164</v>
      </c>
      <c r="C115" s="1302"/>
      <c r="D115" s="1303"/>
    </row>
    <row r="116" spans="1:4">
      <c r="A116" s="1294"/>
      <c r="B116" s="1434" t="s">
        <v>1165</v>
      </c>
      <c r="C116" s="1435"/>
      <c r="D116" s="1436"/>
    </row>
    <row r="117" spans="1:4">
      <c r="A117" s="1294"/>
      <c r="B117" s="1434" t="s">
        <v>1430</v>
      </c>
      <c r="C117" s="1435"/>
      <c r="D117" s="1436"/>
    </row>
    <row r="118" spans="1:4">
      <c r="A118" s="1294"/>
      <c r="B118" s="1295" t="s">
        <v>1167</v>
      </c>
      <c r="C118" s="1302"/>
      <c r="D118" s="1303"/>
    </row>
    <row r="119" spans="1:4">
      <c r="A119" s="1294"/>
      <c r="B119" s="1295" t="s">
        <v>1166</v>
      </c>
      <c r="C119" s="1302"/>
      <c r="D119" s="1303"/>
    </row>
    <row r="120" spans="1:4">
      <c r="B120" s="850"/>
      <c r="C120" s="1120"/>
      <c r="D120" s="1113"/>
    </row>
    <row r="121" spans="1:4">
      <c r="B121" s="856"/>
      <c r="C121" s="1114"/>
      <c r="D121" s="1115"/>
    </row>
    <row r="122" spans="1:4">
      <c r="B122" s="504" t="str">
        <f>+B97</f>
        <v>Particulars</v>
      </c>
      <c r="C122" s="1017" t="str">
        <f>+C97</f>
        <v>As at 31st March, 2019</v>
      </c>
      <c r="D122" s="1017" t="str">
        <f>+D97</f>
        <v>As at 31st December,  2018</v>
      </c>
    </row>
    <row r="123" spans="1:4">
      <c r="B123" s="211" t="s">
        <v>1168</v>
      </c>
      <c r="C123" s="1044"/>
      <c r="D123" s="1031"/>
    </row>
    <row r="124" spans="1:4">
      <c r="A124" s="4">
        <v>1109109001</v>
      </c>
      <c r="B124" s="304" t="s">
        <v>1169</v>
      </c>
      <c r="C124" s="1043">
        <f>IFERROR(VLOOKUP(A124,Trial!$A$2:$D$9995,3,0),0)</f>
        <v>99285178.310000002</v>
      </c>
      <c r="D124" s="681">
        <f>IFERROR(VLOOKUP(A124,Trial!$A$2:$D$9995,4,0),0)</f>
        <v>99285178.310000002</v>
      </c>
    </row>
    <row r="125" spans="1:4">
      <c r="B125" s="303"/>
      <c r="C125" s="321">
        <f>C124</f>
        <v>99285178.310000002</v>
      </c>
      <c r="D125" s="1045">
        <f>D124</f>
        <v>99285178.310000002</v>
      </c>
    </row>
    <row r="126" spans="1:4">
      <c r="B126" s="1425" t="s">
        <v>1431</v>
      </c>
      <c r="C126" s="1426"/>
      <c r="D126" s="1427"/>
    </row>
    <row r="127" spans="1:4">
      <c r="B127" s="1428"/>
      <c r="C127" s="1429"/>
      <c r="D127" s="1430"/>
    </row>
    <row r="128" spans="1:4">
      <c r="B128" s="1428"/>
      <c r="C128" s="1429"/>
      <c r="D128" s="1430"/>
    </row>
    <row r="129" spans="2:4">
      <c r="B129" s="1428"/>
      <c r="C129" s="1429"/>
      <c r="D129" s="1430"/>
    </row>
    <row r="130" spans="2:4">
      <c r="B130" s="1431"/>
      <c r="C130" s="1432"/>
      <c r="D130" s="1433"/>
    </row>
  </sheetData>
  <mergeCells count="5">
    <mergeCell ref="B1:D1"/>
    <mergeCell ref="B2:D2"/>
    <mergeCell ref="B126:D130"/>
    <mergeCell ref="B116:D116"/>
    <mergeCell ref="B117:D117"/>
  </mergeCells>
  <printOptions horizontalCentered="1"/>
  <pageMargins left="0" right="0" top="0" bottom="0.19685039370078741" header="3.937007874015748E-2" footer="3.937007874015748E-2"/>
  <pageSetup paperSize="9" scale="80" orientation="portrait" r:id="rId1"/>
  <rowBreaks count="2" manualBreakCount="2">
    <brk id="63" max="16383" man="1"/>
    <brk id="120" max="16383" man="1"/>
  </rowBreaks>
  <legacyDrawing r:id="rId2"/>
</worksheet>
</file>

<file path=xl/worksheets/sheet8.xml><?xml version="1.0" encoding="utf-8"?>
<worksheet xmlns="http://schemas.openxmlformats.org/spreadsheetml/2006/main" xmlns:r="http://schemas.openxmlformats.org/officeDocument/2006/relationships">
  <sheetPr enableFormatConditionsCalculation="0">
    <tabColor rgb="FF00B050"/>
  </sheetPr>
  <dimension ref="A1:F33"/>
  <sheetViews>
    <sheetView showGridLines="0" showWhiteSpace="0" topLeftCell="A14" zoomScaleSheetLayoutView="90" workbookViewId="0">
      <selection activeCell="D32" sqref="D32"/>
    </sheetView>
  </sheetViews>
  <sheetFormatPr defaultColWidth="9.140625" defaultRowHeight="15.75"/>
  <cols>
    <col min="1" max="1" width="12.42578125" style="4" bestFit="1" customWidth="1"/>
    <col min="2" max="2" width="30.42578125" style="124" customWidth="1"/>
    <col min="3" max="3" width="12.85546875" style="124" customWidth="1"/>
    <col min="4" max="4" width="18.42578125" style="124" bestFit="1" customWidth="1"/>
    <col min="5" max="5" width="22.140625" style="172" customWidth="1"/>
    <col min="6" max="6" width="22.42578125" style="172" customWidth="1"/>
    <col min="7" max="7" width="18.7109375" style="4" bestFit="1" customWidth="1"/>
    <col min="8" max="8" width="5.85546875" style="4" customWidth="1"/>
    <col min="9" max="9" width="10.7109375" style="4" customWidth="1"/>
    <col min="10" max="12" width="17.28515625" style="4" bestFit="1" customWidth="1"/>
    <col min="13" max="13" width="16.85546875" style="4" bestFit="1" customWidth="1"/>
    <col min="14" max="14" width="13" style="4" customWidth="1"/>
    <col min="15" max="16384" width="9.140625" style="4"/>
  </cols>
  <sheetData>
    <row r="1" spans="1:6">
      <c r="B1" s="1397" t="str">
        <f>'2SFP'!B1</f>
        <v>BHUTAN TELECOM LIMITED</v>
      </c>
      <c r="C1" s="1398"/>
      <c r="D1" s="1398"/>
      <c r="E1" s="1398"/>
      <c r="F1" s="1399"/>
    </row>
    <row r="2" spans="1:6">
      <c r="B2" s="1418" t="s">
        <v>1484</v>
      </c>
      <c r="C2" s="1419"/>
      <c r="D2" s="1419"/>
      <c r="E2" s="1419"/>
      <c r="F2" s="1420"/>
    </row>
    <row r="3" spans="1:6">
      <c r="B3" s="209"/>
      <c r="C3" s="217"/>
      <c r="D3" s="217"/>
      <c r="E3" s="524"/>
      <c r="F3" s="713" t="str">
        <f>'2SFP'!E3</f>
        <v>Amount in Nu.</v>
      </c>
    </row>
    <row r="4" spans="1:6" ht="31.5">
      <c r="B4" s="1443" t="str">
        <f>'2SFP'!B4</f>
        <v>Particulars</v>
      </c>
      <c r="C4" s="1443"/>
      <c r="D4" s="1443"/>
      <c r="E4" s="298" t="str">
        <f>'2SFP'!D4</f>
        <v>As at 31st March, 2019</v>
      </c>
      <c r="F4" s="298" t="str">
        <f>'2SFP'!E4</f>
        <v>As at 31st December,  2018</v>
      </c>
    </row>
    <row r="5" spans="1:6">
      <c r="B5" s="309" t="s">
        <v>1170</v>
      </c>
      <c r="C5" s="217"/>
      <c r="D5" s="310"/>
      <c r="E5" s="228"/>
      <c r="F5" s="311"/>
    </row>
    <row r="6" spans="1:6">
      <c r="B6" s="211" t="s">
        <v>225</v>
      </c>
      <c r="C6" s="217"/>
      <c r="D6" s="310"/>
      <c r="E6" s="228"/>
      <c r="F6" s="300"/>
    </row>
    <row r="7" spans="1:6">
      <c r="B7" s="211" t="s">
        <v>102</v>
      </c>
      <c r="C7" s="312"/>
      <c r="D7" s="313"/>
      <c r="E7" s="228"/>
      <c r="F7" s="300"/>
    </row>
    <row r="8" spans="1:6">
      <c r="B8" s="1437" t="s">
        <v>24</v>
      </c>
      <c r="C8" s="1438"/>
      <c r="D8" s="1439"/>
      <c r="E8" s="1129">
        <v>1500000000</v>
      </c>
      <c r="F8" s="1130">
        <v>1500000000</v>
      </c>
    </row>
    <row r="9" spans="1:6">
      <c r="B9" s="151"/>
      <c r="C9" s="149"/>
      <c r="D9" s="150"/>
      <c r="E9" s="1131"/>
      <c r="F9" s="1132"/>
    </row>
    <row r="10" spans="1:6">
      <c r="B10" s="141" t="s">
        <v>226</v>
      </c>
      <c r="C10" s="149"/>
      <c r="D10" s="150"/>
      <c r="E10" s="720"/>
      <c r="F10" s="1133"/>
    </row>
    <row r="11" spans="1:6">
      <c r="A11" s="3">
        <v>3101101000</v>
      </c>
      <c r="B11" s="1440" t="s">
        <v>25</v>
      </c>
      <c r="C11" s="1441"/>
      <c r="D11" s="1442"/>
      <c r="E11" s="1087">
        <f>ABS(IFERROR(VLOOKUP(A11,Trial!$A$2:$D$9995,3,0),0))</f>
        <v>854082000</v>
      </c>
      <c r="F11" s="1134">
        <f>ABS(IFERROR(VLOOKUP(A11,Trial!$A$2:$D$9995,4,0),0))</f>
        <v>854082000</v>
      </c>
    </row>
    <row r="12" spans="1:6">
      <c r="B12" s="211" t="s">
        <v>110</v>
      </c>
      <c r="C12" s="217"/>
      <c r="D12" s="310"/>
      <c r="E12" s="1127">
        <f>E11</f>
        <v>854082000</v>
      </c>
      <c r="F12" s="1045">
        <f>SUM(F11)</f>
        <v>854082000</v>
      </c>
    </row>
    <row r="13" spans="1:6">
      <c r="B13" s="145"/>
      <c r="C13" s="152"/>
      <c r="D13" s="153"/>
      <c r="E13" s="148"/>
      <c r="F13" s="154"/>
    </row>
    <row r="14" spans="1:6">
      <c r="B14" s="714"/>
      <c r="C14" s="156"/>
      <c r="D14" s="156"/>
      <c r="E14" s="157"/>
      <c r="F14" s="715"/>
    </row>
    <row r="15" spans="1:6">
      <c r="B15" s="716" t="s">
        <v>103</v>
      </c>
      <c r="C15" s="155"/>
      <c r="D15" s="155"/>
      <c r="E15" s="158"/>
      <c r="F15" s="717"/>
    </row>
    <row r="16" spans="1:6">
      <c r="B16" s="1444" t="s">
        <v>1171</v>
      </c>
      <c r="C16" s="1445"/>
      <c r="D16" s="1445"/>
      <c r="E16" s="1445"/>
      <c r="F16" s="1446"/>
    </row>
    <row r="17" spans="2:6">
      <c r="B17" s="718"/>
      <c r="C17" s="159"/>
      <c r="D17" s="159"/>
      <c r="E17" s="160"/>
      <c r="F17" s="719"/>
    </row>
    <row r="18" spans="2:6">
      <c r="B18" s="1460" t="s">
        <v>227</v>
      </c>
      <c r="C18" s="1461"/>
      <c r="D18" s="159"/>
      <c r="E18" s="160"/>
      <c r="F18" s="719"/>
    </row>
    <row r="19" spans="2:6">
      <c r="B19" s="1462" t="s">
        <v>37</v>
      </c>
      <c r="C19" s="1464" t="str">
        <f>E4</f>
        <v>As at 31st March, 2019</v>
      </c>
      <c r="D19" s="1465"/>
      <c r="E19" s="1466" t="str">
        <f>F4</f>
        <v>As at 31st December,  2018</v>
      </c>
      <c r="F19" s="1467"/>
    </row>
    <row r="20" spans="2:6" ht="47.25">
      <c r="B20" s="1463"/>
      <c r="C20" s="314" t="s">
        <v>38</v>
      </c>
      <c r="D20" s="315" t="s">
        <v>39</v>
      </c>
      <c r="E20" s="318" t="s">
        <v>38</v>
      </c>
      <c r="F20" s="317" t="s">
        <v>39</v>
      </c>
    </row>
    <row r="21" spans="2:6" ht="30">
      <c r="B21" s="319" t="s">
        <v>40</v>
      </c>
      <c r="C21" s="1126">
        <v>854082</v>
      </c>
      <c r="D21" s="511">
        <v>100</v>
      </c>
      <c r="E21" s="1128">
        <v>854082</v>
      </c>
      <c r="F21" s="320">
        <v>100</v>
      </c>
    </row>
    <row r="22" spans="2:6">
      <c r="B22" s="321" t="s">
        <v>1</v>
      </c>
      <c r="C22" s="1127">
        <f>SUM(C21)</f>
        <v>854082</v>
      </c>
      <c r="D22" s="210">
        <f>SUM(D21)</f>
        <v>100</v>
      </c>
      <c r="E22" s="321">
        <f>SUM(E21)</f>
        <v>854082</v>
      </c>
      <c r="F22" s="302">
        <f>SUM(F21)</f>
        <v>100</v>
      </c>
    </row>
    <row r="23" spans="2:6">
      <c r="B23" s="720"/>
      <c r="C23" s="161"/>
      <c r="D23" s="162"/>
      <c r="E23" s="163"/>
      <c r="F23" s="721"/>
    </row>
    <row r="24" spans="2:6">
      <c r="B24" s="720"/>
      <c r="C24" s="161"/>
      <c r="D24" s="162"/>
      <c r="E24" s="163"/>
      <c r="F24" s="721"/>
    </row>
    <row r="25" spans="2:6">
      <c r="B25" s="716" t="s">
        <v>61</v>
      </c>
      <c r="C25" s="164"/>
      <c r="D25" s="165"/>
      <c r="E25" s="1447"/>
      <c r="F25" s="1448"/>
    </row>
    <row r="26" spans="2:6">
      <c r="B26" s="1449" t="s">
        <v>21</v>
      </c>
      <c r="C26" s="1452" t="str">
        <f>C19</f>
        <v>As at 31st March, 2019</v>
      </c>
      <c r="D26" s="1453"/>
      <c r="E26" s="1454" t="str">
        <f>E19</f>
        <v>As at 31st December,  2018</v>
      </c>
      <c r="F26" s="1455"/>
    </row>
    <row r="27" spans="2:6">
      <c r="B27" s="1450"/>
      <c r="C27" s="1456" t="s">
        <v>41</v>
      </c>
      <c r="D27" s="1457"/>
      <c r="E27" s="1458" t="s">
        <v>71</v>
      </c>
      <c r="F27" s="1459"/>
    </row>
    <row r="28" spans="2:6" ht="31.5">
      <c r="B28" s="1451"/>
      <c r="C28" s="314" t="s">
        <v>42</v>
      </c>
      <c r="D28" s="322" t="s">
        <v>64</v>
      </c>
      <c r="E28" s="316" t="s">
        <v>42</v>
      </c>
      <c r="F28" s="254" t="s">
        <v>64</v>
      </c>
    </row>
    <row r="29" spans="2:6" ht="30">
      <c r="B29" s="323" t="s">
        <v>43</v>
      </c>
      <c r="C29" s="1121">
        <f>+C21</f>
        <v>854082</v>
      </c>
      <c r="D29" s="1122">
        <f>C29*1000</f>
        <v>854082000</v>
      </c>
      <c r="E29" s="1121">
        <f>+E21</f>
        <v>854082</v>
      </c>
      <c r="F29" s="1122">
        <f>+E29*1000</f>
        <v>854082000</v>
      </c>
    </row>
    <row r="30" spans="2:6">
      <c r="B30" s="323" t="s">
        <v>104</v>
      </c>
      <c r="C30" s="1121">
        <v>0</v>
      </c>
      <c r="D30" s="1122">
        <v>0</v>
      </c>
      <c r="E30" s="1123">
        <v>0</v>
      </c>
      <c r="F30" s="1124">
        <v>0</v>
      </c>
    </row>
    <row r="31" spans="2:6" ht="30">
      <c r="B31" s="323" t="s">
        <v>44</v>
      </c>
      <c r="C31" s="1121">
        <v>0</v>
      </c>
      <c r="D31" s="1122">
        <v>0</v>
      </c>
      <c r="E31" s="1121">
        <v>0</v>
      </c>
      <c r="F31" s="1122">
        <v>0</v>
      </c>
    </row>
    <row r="32" spans="2:6" ht="31.5">
      <c r="B32" s="324" t="s">
        <v>45</v>
      </c>
      <c r="C32" s="1125">
        <f t="shared" ref="C32:F32" si="0">C29+C30-C31</f>
        <v>854082</v>
      </c>
      <c r="D32" s="1020">
        <f>D29+D30-D31</f>
        <v>854082000</v>
      </c>
      <c r="E32" s="1125">
        <f t="shared" si="0"/>
        <v>854082</v>
      </c>
      <c r="F32" s="1020">
        <f t="shared" si="0"/>
        <v>854082000</v>
      </c>
    </row>
    <row r="33" spans="2:6">
      <c r="B33" s="155"/>
      <c r="C33" s="166"/>
      <c r="D33" s="166"/>
      <c r="E33" s="194"/>
      <c r="F33" s="194"/>
    </row>
  </sheetData>
  <mergeCells count="16">
    <mergeCell ref="B16:F16"/>
    <mergeCell ref="E25:F25"/>
    <mergeCell ref="B26:B28"/>
    <mergeCell ref="C26:D26"/>
    <mergeCell ref="E26:F26"/>
    <mergeCell ref="C27:D27"/>
    <mergeCell ref="E27:F27"/>
    <mergeCell ref="B18:C18"/>
    <mergeCell ref="B19:B20"/>
    <mergeCell ref="C19:D19"/>
    <mergeCell ref="E19:F19"/>
    <mergeCell ref="B8:D8"/>
    <mergeCell ref="B11:D11"/>
    <mergeCell ref="B2:F2"/>
    <mergeCell ref="B1:F1"/>
    <mergeCell ref="B4:D4"/>
  </mergeCells>
  <printOptions horizontalCentered="1"/>
  <pageMargins left="0.94488188976377963" right="0.27559055118110237" top="0.55118110236220474" bottom="0.19685039370078741" header="3.937007874015748E-2" footer="3.937007874015748E-2"/>
  <pageSetup paperSize="9" scale="85" orientation="portrait" r:id="rId1"/>
  <colBreaks count="1" manualBreakCount="1">
    <brk id="6" max="52" man="1"/>
  </colBreaks>
</worksheet>
</file>

<file path=xl/worksheets/sheet9.xml><?xml version="1.0" encoding="utf-8"?>
<worksheet xmlns="http://schemas.openxmlformats.org/spreadsheetml/2006/main" xmlns:r="http://schemas.openxmlformats.org/officeDocument/2006/relationships">
  <sheetPr enableFormatConditionsCalculation="0">
    <tabColor rgb="FF00B050"/>
  </sheetPr>
  <dimension ref="A1:G142"/>
  <sheetViews>
    <sheetView showGridLines="0" topLeftCell="A124" zoomScaleSheetLayoutView="90" workbookViewId="0">
      <selection activeCell="C143" sqref="C143"/>
    </sheetView>
  </sheetViews>
  <sheetFormatPr defaultColWidth="9.140625" defaultRowHeight="15.75"/>
  <cols>
    <col min="1" max="1" width="12.42578125" style="1294" bestFit="1" customWidth="1"/>
    <col min="2" max="2" width="55" style="1271" customWidth="1"/>
    <col min="3" max="3" width="22.28515625" style="1283" customWidth="1"/>
    <col min="4" max="4" width="23.42578125" style="1283" customWidth="1"/>
    <col min="5" max="5" width="3.28515625" style="1294" customWidth="1"/>
    <col min="6" max="6" width="16.28515625" style="1294" customWidth="1"/>
    <col min="7" max="7" width="16.85546875" style="1294" bestFit="1" customWidth="1"/>
    <col min="8" max="9" width="9.140625" style="1294"/>
    <col min="10" max="10" width="12.42578125" style="1294" bestFit="1" customWidth="1"/>
    <col min="11" max="11" width="9.140625" style="1294"/>
    <col min="12" max="12" width="13" style="1294" customWidth="1"/>
    <col min="13" max="16384" width="9.140625" style="1294"/>
  </cols>
  <sheetData>
    <row r="1" spans="1:7">
      <c r="B1" s="1383" t="str">
        <f>'2SFP'!B1</f>
        <v>BHUTAN TELECOM LIMITED</v>
      </c>
      <c r="C1" s="1384"/>
      <c r="D1" s="1385"/>
    </row>
    <row r="2" spans="1:7">
      <c r="B2" s="1392" t="s">
        <v>1484</v>
      </c>
      <c r="C2" s="1393"/>
      <c r="D2" s="1394"/>
    </row>
    <row r="3" spans="1:7">
      <c r="B3" s="1296"/>
      <c r="C3" s="1259"/>
      <c r="D3" s="1304" t="str">
        <f>'2SFP'!E3</f>
        <v>Amount in Nu.</v>
      </c>
    </row>
    <row r="4" spans="1:7" ht="31.5">
      <c r="B4" s="1305" t="str">
        <f>'2SFP'!B4</f>
        <v>Particulars</v>
      </c>
      <c r="C4" s="1306" t="str">
        <f>'2SFP'!D4</f>
        <v>As at 31st March, 2019</v>
      </c>
      <c r="D4" s="1307" t="str">
        <f>'2SFP'!E4</f>
        <v>As at 31st December,  2018</v>
      </c>
    </row>
    <row r="5" spans="1:7">
      <c r="B5" s="1308"/>
      <c r="C5" s="1309"/>
      <c r="D5" s="1310"/>
    </row>
    <row r="6" spans="1:7">
      <c r="B6" s="1245" t="s">
        <v>1035</v>
      </c>
      <c r="C6" s="1235"/>
      <c r="D6" s="1260"/>
    </row>
    <row r="7" spans="1:7">
      <c r="B7" s="1311" t="s">
        <v>1182</v>
      </c>
      <c r="C7" s="1235">
        <f>+SUM(C8:C9)</f>
        <v>81133478</v>
      </c>
      <c r="D7" s="1260">
        <f>+SUM(D8:D9)</f>
        <v>81133478</v>
      </c>
    </row>
    <row r="8" spans="1:7">
      <c r="A8" s="1312">
        <v>2101101000</v>
      </c>
      <c r="B8" s="1311" t="s">
        <v>1180</v>
      </c>
      <c r="C8" s="1211">
        <f>ABS(IFERROR(VLOOKUP(A8,Trial!$A$2:$D$9995,3,0),0))</f>
        <v>18617639.34</v>
      </c>
      <c r="D8" s="1314">
        <f>ABS(IFERROR(VLOOKUP(A8,Trial!$A$2:$D$9995,4,0),0))</f>
        <v>18617639.34</v>
      </c>
    </row>
    <row r="9" spans="1:7">
      <c r="A9" s="1294">
        <v>2201101000</v>
      </c>
      <c r="B9" s="1315" t="s">
        <v>1180</v>
      </c>
      <c r="C9" s="1211">
        <f>ABS(IFERROR(VLOOKUP(A9,Trial!$A$2:$D$9995,3,0),0))</f>
        <v>62515838.659999996</v>
      </c>
      <c r="D9" s="1314">
        <f>ABS(IFERROR(VLOOKUP(A9,Trial!$A$2:$D$9995,4,0),0))</f>
        <v>62515838.659999996</v>
      </c>
      <c r="E9" s="1294" t="s">
        <v>1487</v>
      </c>
      <c r="F9" s="1316"/>
      <c r="G9" s="1316"/>
    </row>
    <row r="10" spans="1:7">
      <c r="A10" s="1312">
        <v>2101101001</v>
      </c>
      <c r="B10" s="1311" t="s">
        <v>1184</v>
      </c>
      <c r="C10" s="1313">
        <f>ABS(IFERROR(VLOOKUP(A10,Trial!$A$2:$D$9995,3,0),0))</f>
        <v>0</v>
      </c>
      <c r="D10" s="1314">
        <f>ABS(IFERROR(VLOOKUP(A10,Trial!$A$2:$D$9995,4,0),0))</f>
        <v>0</v>
      </c>
      <c r="F10" s="1317"/>
      <c r="G10" s="1317"/>
    </row>
    <row r="11" spans="1:7">
      <c r="A11" s="1312"/>
      <c r="B11" s="1315" t="s">
        <v>1183</v>
      </c>
      <c r="C11" s="1313">
        <f>+SUM(C12:C13)</f>
        <v>6500235.7199999997</v>
      </c>
      <c r="D11" s="1314">
        <f>+SUM(D12:D13)</f>
        <v>6500235.7199999997</v>
      </c>
      <c r="F11" s="1317"/>
      <c r="G11" s="1317"/>
    </row>
    <row r="12" spans="1:7">
      <c r="A12" s="1312">
        <v>2101101002</v>
      </c>
      <c r="B12" s="1315" t="s">
        <v>1181</v>
      </c>
      <c r="C12" s="1211">
        <f>ABS(IFERROR(VLOOKUP(A12,Trial!$A$2:$D$9995,3,0),0))</f>
        <v>2238705</v>
      </c>
      <c r="D12" s="1314">
        <f>ABS(IFERROR(VLOOKUP(A12,Trial!$A$2:$D$9995,4,0),0))</f>
        <v>2238705</v>
      </c>
      <c r="F12" s="1316"/>
      <c r="G12" s="1316"/>
    </row>
    <row r="13" spans="1:7">
      <c r="A13" s="1294">
        <v>2201101002</v>
      </c>
      <c r="B13" s="1315" t="s">
        <v>1181</v>
      </c>
      <c r="C13" s="1211">
        <f>ABS(IFERROR(VLOOKUP(A13,Trial!$A$2:$D$9995,3,0),0))</f>
        <v>4261530.72</v>
      </c>
      <c r="D13" s="1314">
        <f>ABS(IFERROR(VLOOKUP(A13,Trial!$A$2:$D$9995,4,0),0))</f>
        <v>4261530.72</v>
      </c>
      <c r="F13" s="1316"/>
      <c r="G13" s="1316"/>
    </row>
    <row r="14" spans="1:7">
      <c r="B14" s="1311" t="s">
        <v>114</v>
      </c>
      <c r="C14" s="1318">
        <f>+C7+C10+C11</f>
        <v>87633713.719999999</v>
      </c>
      <c r="D14" s="1319">
        <f>+D7+D10+D11</f>
        <v>87633713.719999999</v>
      </c>
      <c r="E14" s="1365"/>
      <c r="F14" s="1316"/>
      <c r="G14" s="1316"/>
    </row>
    <row r="15" spans="1:7">
      <c r="B15" s="1245" t="s">
        <v>1374</v>
      </c>
      <c r="C15" s="1320">
        <f>+C14</f>
        <v>87633713.719999999</v>
      </c>
      <c r="D15" s="1321">
        <f>+D14</f>
        <v>87633713.719999999</v>
      </c>
    </row>
    <row r="16" spans="1:7">
      <c r="B16" s="1471" t="s">
        <v>1185</v>
      </c>
      <c r="C16" s="1472"/>
      <c r="D16" s="1473"/>
    </row>
    <row r="17" spans="1:7">
      <c r="B17" s="1474" t="s">
        <v>1186</v>
      </c>
      <c r="C17" s="1475"/>
      <c r="D17" s="1476"/>
    </row>
    <row r="18" spans="1:7">
      <c r="B18" s="1322" t="s">
        <v>1187</v>
      </c>
      <c r="C18" s="1302"/>
      <c r="D18" s="1323"/>
    </row>
    <row r="19" spans="1:7">
      <c r="B19" s="1296"/>
      <c r="C19" s="1324"/>
      <c r="D19" s="1303"/>
    </row>
    <row r="20" spans="1:7">
      <c r="B20" s="1296"/>
      <c r="C20" s="1324"/>
      <c r="D20" s="1303"/>
    </row>
    <row r="21" spans="1:7">
      <c r="B21" s="1296" t="s">
        <v>232</v>
      </c>
      <c r="C21" s="1325">
        <f>+C15</f>
        <v>87633713.719999999</v>
      </c>
      <c r="D21" s="1326">
        <f>+D15</f>
        <v>87633713.719999999</v>
      </c>
    </row>
    <row r="22" spans="1:7" ht="31.5">
      <c r="B22" s="1305" t="str">
        <f>+B4</f>
        <v>Particulars</v>
      </c>
      <c r="C22" s="1306" t="str">
        <f t="shared" ref="C22:D22" si="0">+C4</f>
        <v>As at 31st March, 2019</v>
      </c>
      <c r="D22" s="1307" t="str">
        <f t="shared" si="0"/>
        <v>As at 31st December,  2018</v>
      </c>
    </row>
    <row r="23" spans="1:7">
      <c r="B23" s="1245" t="s">
        <v>1036</v>
      </c>
      <c r="C23" s="1235"/>
      <c r="D23" s="1260"/>
    </row>
    <row r="24" spans="1:7">
      <c r="A24" s="1299">
        <v>2204201000</v>
      </c>
      <c r="B24" s="1295" t="s">
        <v>214</v>
      </c>
      <c r="C24" s="1211">
        <f>ABS(IFERROR(VLOOKUP(A24,Trial!$A$2:$D$9995,3,0),0))</f>
        <v>302627143.24000001</v>
      </c>
      <c r="D24" s="1314">
        <f>ABS(IFERROR(VLOOKUP(A24,Trial!$A$2:$D$9995,4,0),0))</f>
        <v>302627143.24000001</v>
      </c>
      <c r="F24" s="1327"/>
      <c r="G24" s="1327"/>
    </row>
    <row r="25" spans="1:7">
      <c r="A25" s="1299">
        <v>2104302001</v>
      </c>
      <c r="B25" s="1295"/>
      <c r="C25" s="1211">
        <f>ABS(IFERROR(VLOOKUP(A25,Trial!$A$2:$D$9995,3,0),0))</f>
        <v>71296102.209999993</v>
      </c>
      <c r="D25" s="1314">
        <f>ABS(IFERROR(VLOOKUP(A25,Trial!$A$2:$D$9995,4,0),0))</f>
        <v>94199332.450000003</v>
      </c>
      <c r="F25" s="1327"/>
      <c r="G25" s="1327"/>
    </row>
    <row r="26" spans="1:7">
      <c r="A26" s="1299"/>
      <c r="B26" s="1295" t="s">
        <v>1432</v>
      </c>
      <c r="C26" s="1313">
        <f>SUM(C24:C25)</f>
        <v>373923245.44999999</v>
      </c>
      <c r="D26" s="1314">
        <f>SUM(D24:D25)</f>
        <v>396826475.69</v>
      </c>
      <c r="F26" s="1327"/>
      <c r="G26" s="1327"/>
    </row>
    <row r="27" spans="1:7">
      <c r="A27" s="1299">
        <v>2104302001</v>
      </c>
      <c r="B27" s="1295" t="s">
        <v>1188</v>
      </c>
      <c r="C27" s="1211">
        <f>ABS(IFERROR(VLOOKUP(A25,Trial!$A$2:$D$9995,3,0),0))</f>
        <v>71296102.209999993</v>
      </c>
      <c r="D27" s="1314">
        <f>ABS(IFERROR(VLOOKUP(A25,Trial!$A$2:$D$9995,4,0),0))</f>
        <v>94199332.450000003</v>
      </c>
      <c r="F27" s="1327"/>
      <c r="G27" s="1327"/>
    </row>
    <row r="28" spans="1:7">
      <c r="A28" s="1299"/>
      <c r="B28" s="1245" t="s">
        <v>1433</v>
      </c>
      <c r="C28" s="1328">
        <f>+C26-C27</f>
        <v>302627143.24000001</v>
      </c>
      <c r="D28" s="1329">
        <f>+D26-D27</f>
        <v>302627143.24000001</v>
      </c>
      <c r="F28" s="1327"/>
      <c r="G28" s="1327"/>
    </row>
    <row r="29" spans="1:7">
      <c r="A29" s="1299">
        <v>2204203000</v>
      </c>
      <c r="B29" s="1295" t="s">
        <v>1375</v>
      </c>
      <c r="C29" s="1211">
        <f>ABS(IFERROR(VLOOKUP(A29,Trial!$A$2:$D$9995,3,0),0))</f>
        <v>300000000</v>
      </c>
      <c r="D29" s="1314">
        <f>ABS(IFERROR(VLOOKUP(A29,Trial!$A$2:$D$9995,4,0),0))</f>
        <v>300000000</v>
      </c>
    </row>
    <row r="30" spans="1:7">
      <c r="A30" s="1299"/>
      <c r="B30" s="1295"/>
      <c r="C30" s="1313"/>
      <c r="D30" s="1314"/>
    </row>
    <row r="31" spans="1:7">
      <c r="B31" s="1330" t="s">
        <v>1373</v>
      </c>
      <c r="C31" s="1331">
        <f>+C28+C29</f>
        <v>602627143.24000001</v>
      </c>
      <c r="D31" s="1326">
        <f>+D28+D29</f>
        <v>602627143.24000001</v>
      </c>
    </row>
    <row r="32" spans="1:7">
      <c r="B32" s="1332"/>
      <c r="C32" s="1333"/>
      <c r="D32" s="1303"/>
    </row>
    <row r="33" spans="1:6">
      <c r="A33" s="1299"/>
      <c r="B33" s="1477" t="s">
        <v>1434</v>
      </c>
      <c r="C33" s="1478"/>
      <c r="D33" s="1479"/>
    </row>
    <row r="34" spans="1:6">
      <c r="A34" s="1299"/>
      <c r="B34" s="1295" t="s">
        <v>1193</v>
      </c>
      <c r="C34" s="1334"/>
      <c r="D34" s="1314"/>
    </row>
    <row r="35" spans="1:6">
      <c r="A35" s="1299"/>
      <c r="B35" s="1295" t="s">
        <v>1190</v>
      </c>
      <c r="C35" s="1335"/>
      <c r="D35" s="1314"/>
    </row>
    <row r="36" spans="1:6">
      <c r="A36" s="1299"/>
      <c r="B36" s="1295"/>
      <c r="C36" s="1335"/>
      <c r="D36" s="1314"/>
    </row>
    <row r="37" spans="1:6">
      <c r="B37" s="1434" t="s">
        <v>1435</v>
      </c>
      <c r="C37" s="1435"/>
      <c r="D37" s="1436"/>
    </row>
    <row r="38" spans="1:6">
      <c r="B38" s="1336"/>
      <c r="C38" s="1337"/>
      <c r="D38" s="1338"/>
    </row>
    <row r="39" spans="1:6">
      <c r="B39" s="1339"/>
      <c r="C39" s="1340"/>
      <c r="D39" s="1341"/>
    </row>
    <row r="40" spans="1:6" ht="31.5">
      <c r="B40" s="1305" t="str">
        <f>+B22</f>
        <v>Particulars</v>
      </c>
      <c r="C40" s="1306" t="str">
        <f t="shared" ref="C40:D40" si="1">+C22</f>
        <v>As at 31st March, 2019</v>
      </c>
      <c r="D40" s="1307" t="str">
        <f t="shared" si="1"/>
        <v>As at 31st December,  2018</v>
      </c>
    </row>
    <row r="41" spans="1:6">
      <c r="B41" s="1342" t="s">
        <v>1194</v>
      </c>
      <c r="C41" s="1320"/>
      <c r="D41" s="1303"/>
    </row>
    <row r="42" spans="1:6">
      <c r="A42" s="1294">
        <v>2205401001</v>
      </c>
      <c r="B42" s="1311" t="s">
        <v>1129</v>
      </c>
      <c r="C42" s="1211">
        <f>ABS(IFERROR(VLOOKUP(A42,Trial!$A$2:$D$9995,3,0),0))</f>
        <v>155400000</v>
      </c>
      <c r="D42" s="1314">
        <f>ABS(IFERROR(VLOOKUP(A42,Trial!$A$2:$D$9995,4,0),0))</f>
        <v>194250000</v>
      </c>
      <c r="F42" s="1343"/>
    </row>
    <row r="43" spans="1:6">
      <c r="B43" s="1295"/>
      <c r="C43" s="1235"/>
      <c r="D43" s="1260"/>
    </row>
    <row r="44" spans="1:6">
      <c r="B44" s="1295"/>
      <c r="C44" s="1235"/>
      <c r="D44" s="1260"/>
    </row>
    <row r="45" spans="1:6">
      <c r="B45" s="1311"/>
      <c r="C45" s="1235"/>
      <c r="D45" s="1260"/>
    </row>
    <row r="46" spans="1:6">
      <c r="B46" s="1311" t="s">
        <v>1271</v>
      </c>
      <c r="C46" s="1235"/>
      <c r="D46" s="1235">
        <f>-38850000</f>
        <v>-38850000</v>
      </c>
    </row>
    <row r="47" spans="1:6">
      <c r="B47" s="1311"/>
      <c r="C47" s="1331">
        <f>SUM(C42:C46)</f>
        <v>155400000</v>
      </c>
      <c r="D47" s="1326">
        <f>SUM(D42:D46)</f>
        <v>155400000</v>
      </c>
    </row>
    <row r="48" spans="1:6">
      <c r="B48" s="1344"/>
      <c r="C48" s="1333"/>
      <c r="D48" s="1260"/>
    </row>
    <row r="49" spans="1:6">
      <c r="A49" s="1294">
        <v>2203301000</v>
      </c>
      <c r="B49" s="1295"/>
      <c r="C49" s="1313"/>
      <c r="D49" s="1314"/>
    </row>
    <row r="50" spans="1:6">
      <c r="B50" s="1295" t="s">
        <v>114</v>
      </c>
      <c r="C50" s="1331">
        <f>SUM(C49)</f>
        <v>0</v>
      </c>
      <c r="D50" s="1326">
        <f>SUM(D49)</f>
        <v>0</v>
      </c>
    </row>
    <row r="51" spans="1:6">
      <c r="B51" s="1295"/>
      <c r="C51" s="1333"/>
      <c r="D51" s="1303"/>
    </row>
    <row r="52" spans="1:6" ht="31.5">
      <c r="B52" s="1305" t="str">
        <f>+B40</f>
        <v>Particulars</v>
      </c>
      <c r="C52" s="1306" t="str">
        <f t="shared" ref="C52:D52" si="2">+C40</f>
        <v>As at 31st March, 2019</v>
      </c>
      <c r="D52" s="1307" t="str">
        <f t="shared" si="2"/>
        <v>As at 31st December,  2018</v>
      </c>
    </row>
    <row r="53" spans="1:6">
      <c r="B53" s="1342" t="s">
        <v>477</v>
      </c>
      <c r="C53" s="1333"/>
      <c r="D53" s="1303"/>
    </row>
    <row r="54" spans="1:6">
      <c r="A54" s="1294">
        <v>2207101001</v>
      </c>
      <c r="B54" s="1298" t="s">
        <v>1383</v>
      </c>
      <c r="C54" s="1211">
        <f>ABS(IFERROR(VLOOKUP(A54,Trial!$A$2:$D$9995,3,0),0))</f>
        <v>14379000.460000001</v>
      </c>
      <c r="D54" s="1314">
        <f>ABS(IFERROR(VLOOKUP(A54,Trial!$A$2:$D$9995,4,0),0))</f>
        <v>14379000.460000001</v>
      </c>
      <c r="F54" s="1343"/>
    </row>
    <row r="55" spans="1:6">
      <c r="A55" s="1294">
        <v>2105101000</v>
      </c>
      <c r="B55" s="1295" t="s">
        <v>181</v>
      </c>
      <c r="C55" s="1313">
        <f>ABS(IFERROR(VLOOKUP(A55,Trial!$A$2:$D$10050,3,0),0))</f>
        <v>0</v>
      </c>
      <c r="D55" s="1314">
        <f>ABS(IFERROR(VLOOKUP(A55,Trial!$A$2:$D$10050,4,0),0))</f>
        <v>0</v>
      </c>
    </row>
    <row r="56" spans="1:6">
      <c r="A56" s="1294">
        <v>2203101000</v>
      </c>
      <c r="B56" s="1298" t="s">
        <v>182</v>
      </c>
      <c r="C56" s="1313">
        <f>ABS(IFERROR(VLOOKUP(A56,Trial!$A$2:$D$10050,3,0),0))</f>
        <v>0</v>
      </c>
      <c r="D56" s="1314">
        <f>ABS(IFERROR(VLOOKUP(A56,Trial!$A$2:$D$10050,4,0),0))</f>
        <v>0</v>
      </c>
    </row>
    <row r="57" spans="1:6">
      <c r="A57" s="1294">
        <v>2203102000</v>
      </c>
      <c r="B57" s="1298" t="s">
        <v>183</v>
      </c>
      <c r="C57" s="1313">
        <f>ABS(IFERROR(VLOOKUP(A57,Trial!$A$2:$D$10050,3,0),0))</f>
        <v>0</v>
      </c>
      <c r="D57" s="1314">
        <f>ABS(IFERROR(VLOOKUP(A57,Trial!$A$2:$D$10050,4,0),0))</f>
        <v>0</v>
      </c>
    </row>
    <row r="58" spans="1:6">
      <c r="A58" s="1294">
        <v>2203103000</v>
      </c>
      <c r="B58" s="1298" t="s">
        <v>184</v>
      </c>
      <c r="C58" s="1313">
        <f>ABS(IFERROR(VLOOKUP(A58,Trial!$A$2:$D$10050,3,0),0))</f>
        <v>0</v>
      </c>
      <c r="D58" s="1314">
        <f>ABS(IFERROR(VLOOKUP(A58,Trial!$A$2:$D$10050,4,0),0))</f>
        <v>0</v>
      </c>
    </row>
    <row r="59" spans="1:6">
      <c r="A59" s="1294">
        <v>2205103000</v>
      </c>
      <c r="B59" s="1298" t="s">
        <v>996</v>
      </c>
      <c r="C59" s="1313">
        <f>ABS(IFERROR(VLOOKUP(A59,Trial!$A$2:$D$10050,3,0),0))</f>
        <v>0</v>
      </c>
      <c r="D59" s="1314">
        <f>ABS(IFERROR(VLOOKUP(A59,Trial!$A$2:$D$10050,4,0),0))</f>
        <v>0</v>
      </c>
    </row>
    <row r="60" spans="1:6">
      <c r="B60" s="1298" t="s">
        <v>1197</v>
      </c>
      <c r="C60" s="1345"/>
      <c r="D60" s="1345">
        <v>-1182606</v>
      </c>
    </row>
    <row r="61" spans="1:6">
      <c r="B61" s="1298"/>
      <c r="C61" s="1328">
        <f>SUM(C54:C60)</f>
        <v>14379000.460000001</v>
      </c>
      <c r="D61" s="1329">
        <f>SUM(D54:D60)</f>
        <v>13196394.460000001</v>
      </c>
    </row>
    <row r="62" spans="1:6">
      <c r="A62" s="1294">
        <v>2107101001</v>
      </c>
      <c r="B62" s="1295" t="s">
        <v>1384</v>
      </c>
      <c r="C62" s="1211">
        <f>ABS(IFERROR(VLOOKUP(A62,Trial!$A$2:$D$9995,3,0),0))</f>
        <v>31357034</v>
      </c>
      <c r="D62" s="1314">
        <f>ABS(IFERROR(VLOOKUP(A62,Trial!$A$2:$D$10050,4,0),0))</f>
        <v>31357034</v>
      </c>
    </row>
    <row r="63" spans="1:6">
      <c r="B63" s="1298" t="s">
        <v>1197</v>
      </c>
      <c r="C63" s="1345"/>
      <c r="D63" s="1345">
        <v>-13839000</v>
      </c>
    </row>
    <row r="64" spans="1:6">
      <c r="B64" s="1298"/>
      <c r="C64" s="1328">
        <f>SUM(C62:C63)</f>
        <v>31357034</v>
      </c>
      <c r="D64" s="1329">
        <f>SUM(D62:D63)</f>
        <v>17518034</v>
      </c>
    </row>
    <row r="65" spans="1:4">
      <c r="A65" s="1294">
        <v>2207101000</v>
      </c>
      <c r="B65" s="1298" t="s">
        <v>1436</v>
      </c>
      <c r="C65" s="1211">
        <f>ABS(IFERROR(VLOOKUP(A65,Trial!$A$2:$D$9995,3,0),0))</f>
        <v>26450209.940000001</v>
      </c>
      <c r="D65" s="1314">
        <f>ABS(IFERROR(VLOOKUP(A65,Trial!$A$2:$D$9995,4,0),0))</f>
        <v>26450209.940000001</v>
      </c>
    </row>
    <row r="66" spans="1:4">
      <c r="B66" s="1346" t="s">
        <v>1385</v>
      </c>
      <c r="C66" s="1331">
        <f>+C61+C64+C65</f>
        <v>72186244.400000006</v>
      </c>
      <c r="D66" s="1326">
        <f>+D61+D64+D65</f>
        <v>57164638.400000006</v>
      </c>
    </row>
    <row r="67" spans="1:4">
      <c r="B67" s="1344"/>
      <c r="C67" s="1333"/>
      <c r="D67" s="1303"/>
    </row>
    <row r="68" spans="1:4">
      <c r="B68" s="1295"/>
      <c r="C68" s="1235"/>
      <c r="D68" s="1260"/>
    </row>
    <row r="69" spans="1:4">
      <c r="B69" s="1311"/>
      <c r="C69" s="1320"/>
      <c r="D69" s="1321"/>
    </row>
    <row r="70" spans="1:4">
      <c r="B70" s="1347"/>
      <c r="C70" s="1348"/>
      <c r="D70" s="1321"/>
    </row>
    <row r="71" spans="1:4" ht="31.5">
      <c r="B71" s="1349" t="str">
        <f>+B4</f>
        <v>Particulars</v>
      </c>
      <c r="C71" s="1306" t="str">
        <f>+C4</f>
        <v>As at 31st March, 2019</v>
      </c>
      <c r="D71" s="1306" t="str">
        <f>+D4</f>
        <v>As at 31st December,  2018</v>
      </c>
    </row>
    <row r="72" spans="1:4">
      <c r="B72" s="1245" t="s">
        <v>1200</v>
      </c>
      <c r="C72" s="1235"/>
      <c r="D72" s="1260"/>
    </row>
    <row r="73" spans="1:4">
      <c r="B73" s="1245" t="s">
        <v>233</v>
      </c>
      <c r="C73" s="1235"/>
      <c r="D73" s="1260"/>
    </row>
    <row r="74" spans="1:4">
      <c r="A74" s="1294">
        <v>2103101000</v>
      </c>
      <c r="B74" s="1298" t="s">
        <v>835</v>
      </c>
      <c r="C74" s="1366">
        <f>ABS(IFERROR(VLOOKUP(A74,Trial!$A$2:$D$9995,3,0),0))</f>
        <v>38749787.25</v>
      </c>
      <c r="D74" s="1314">
        <f>ABS(IFERROR(VLOOKUP(A74,Trial!$A$2:$D$9995,4,0),0))</f>
        <v>29644522.789999999</v>
      </c>
    </row>
    <row r="75" spans="1:4">
      <c r="A75" s="1294">
        <v>2103102000</v>
      </c>
      <c r="B75" s="1298" t="s">
        <v>1203</v>
      </c>
      <c r="C75" s="1366">
        <f>ABS(IFERROR(VLOOKUP(A75,Trial!$A$2:$D$9995,3,0),0))</f>
        <v>0</v>
      </c>
      <c r="D75" s="1314">
        <f>ABS(IFERROR(VLOOKUP(A75,Trial!$A$2:$D$9995,4,0),0))</f>
        <v>24290</v>
      </c>
    </row>
    <row r="76" spans="1:4">
      <c r="A76" s="1294">
        <v>2103103000</v>
      </c>
      <c r="B76" s="1298" t="s">
        <v>837</v>
      </c>
      <c r="C76" s="1366">
        <f>ABS(IFERROR(VLOOKUP(A76,Trial!$A$2:$D$9995,3,0),0))</f>
        <v>96541473.329999998</v>
      </c>
      <c r="D76" s="1314">
        <f>ABS(IFERROR(VLOOKUP(A76,Trial!$A$2:$D$9995,4,0),0))</f>
        <v>111008117.88</v>
      </c>
    </row>
    <row r="77" spans="1:4">
      <c r="B77" s="1298" t="s">
        <v>234</v>
      </c>
      <c r="C77" s="1313">
        <f>+SUM(C78:C82)</f>
        <v>19340482.5</v>
      </c>
      <c r="D77" s="1313">
        <f>+SUM(D78:D81)</f>
        <v>30489070.649999999</v>
      </c>
    </row>
    <row r="78" spans="1:4">
      <c r="A78" s="1294">
        <v>2103401000</v>
      </c>
      <c r="B78" s="1298" t="s">
        <v>1011</v>
      </c>
      <c r="C78" s="1366">
        <f>ABS(IFERROR(VLOOKUP(A78,Trial!$A$2:$D$9995,3,0),0))</f>
        <v>0</v>
      </c>
      <c r="D78" s="1314">
        <f>ABS(IFERROR(VLOOKUP(A78,Trial!$A$2:$D$9995,4,0),0))</f>
        <v>11149808.15</v>
      </c>
    </row>
    <row r="79" spans="1:4">
      <c r="A79" s="1294">
        <v>2108701001</v>
      </c>
      <c r="B79" s="1298" t="s">
        <v>1460</v>
      </c>
      <c r="C79" s="1366">
        <f>ABS(IFERROR(VLOOKUP(A79,Trial!$A$2:$D$9995,3,0),0))</f>
        <v>19194172</v>
      </c>
      <c r="D79" s="1314">
        <f>ABS(IFERROR(VLOOKUP(A79,Trial!$A$2:$D$9995,4,0),0))</f>
        <v>19194172</v>
      </c>
    </row>
    <row r="80" spans="1:4">
      <c r="A80" s="1294">
        <v>2103701000</v>
      </c>
      <c r="B80" s="1298" t="s">
        <v>840</v>
      </c>
      <c r="C80" s="1366">
        <f>ABS(IFERROR(VLOOKUP(A80,Trial!$A$2:$D$9995,3,0),0))</f>
        <v>19523</v>
      </c>
      <c r="D80" s="1314">
        <f>ABS(IFERROR(VLOOKUP(A80,Trial!$A$2:$D$9995,4,0),0))</f>
        <v>18303</v>
      </c>
    </row>
    <row r="81" spans="1:7">
      <c r="A81" s="1294">
        <v>2106202000</v>
      </c>
      <c r="B81" s="1298" t="s">
        <v>1012</v>
      </c>
      <c r="C81" s="1366">
        <f>ABS(IFERROR(VLOOKUP(A81,Trial!$A$2:$D$9995,3,0),0))</f>
        <v>126787.5</v>
      </c>
      <c r="D81" s="1314">
        <f>ABS(IFERROR(VLOOKUP(A81,Trial!$A$2:$D$9995,4,0),0))</f>
        <v>126787.5</v>
      </c>
    </row>
    <row r="82" spans="1:7">
      <c r="A82" s="1294">
        <v>2106501001</v>
      </c>
      <c r="B82" s="1298" t="s">
        <v>1014</v>
      </c>
      <c r="C82" s="1366">
        <f>ABS(IFERROR(VLOOKUP(A82,Trial!$A$2:$D$9995,3,0),0))</f>
        <v>0</v>
      </c>
      <c r="D82" s="1314">
        <f>ABS(IFERROR(VLOOKUP(A82,Trial!$A$2:$D$9995,4,0),0))</f>
        <v>0</v>
      </c>
    </row>
    <row r="83" spans="1:7">
      <c r="B83" s="1295"/>
      <c r="C83" s="1235"/>
      <c r="D83" s="1260"/>
    </row>
    <row r="84" spans="1:7">
      <c r="B84" s="1295"/>
      <c r="C84" s="1235"/>
      <c r="D84" s="1260"/>
    </row>
    <row r="85" spans="1:7">
      <c r="B85" s="1298" t="s">
        <v>114</v>
      </c>
      <c r="C85" s="1313"/>
      <c r="D85" s="1314"/>
    </row>
    <row r="86" spans="1:7">
      <c r="B86" s="1350" t="s">
        <v>114</v>
      </c>
      <c r="C86" s="1331">
        <f>+C74+C75+C76+C77</f>
        <v>154631743.07999998</v>
      </c>
      <c r="D86" s="1331">
        <f>+D74+D75+D76+D77</f>
        <v>171166001.31999999</v>
      </c>
      <c r="E86" s="1365"/>
      <c r="F86" s="1316"/>
      <c r="G86" s="1351"/>
    </row>
    <row r="87" spans="1:7">
      <c r="B87" s="1295"/>
      <c r="C87" s="1302"/>
      <c r="D87" s="1303"/>
    </row>
    <row r="88" spans="1:7" ht="31.5">
      <c r="B88" s="1305" t="str">
        <f>+B71</f>
        <v>Particulars</v>
      </c>
      <c r="C88" s="1306" t="str">
        <f t="shared" ref="C88:D88" si="3">+C71</f>
        <v>As at 31st March, 2019</v>
      </c>
      <c r="D88" s="1307" t="str">
        <f t="shared" si="3"/>
        <v>As at 31st December,  2018</v>
      </c>
    </row>
    <row r="89" spans="1:7">
      <c r="B89" s="1245" t="s">
        <v>1205</v>
      </c>
      <c r="C89" s="1333"/>
      <c r="D89" s="1303"/>
    </row>
    <row r="90" spans="1:7">
      <c r="B90" s="1295" t="s">
        <v>1272</v>
      </c>
      <c r="C90" s="1235"/>
      <c r="D90" s="1235">
        <f>-'9N_14-21'!D46</f>
        <v>38850000</v>
      </c>
    </row>
    <row r="91" spans="1:7">
      <c r="A91" s="1294">
        <v>2106601000</v>
      </c>
      <c r="B91" s="1298" t="s">
        <v>846</v>
      </c>
      <c r="C91" s="1366">
        <f>ABS(IFERROR(VLOOKUP(A91,Trial!$A$2:$D$9995,3,0),0))</f>
        <v>3240000</v>
      </c>
      <c r="D91" s="1314">
        <f>ABS(IFERROR(VLOOKUP(A91,Trial!$A$2:$D$9995,4,0),0))</f>
        <v>3230000</v>
      </c>
    </row>
    <row r="92" spans="1:7">
      <c r="A92" s="1294">
        <v>2106601001</v>
      </c>
      <c r="B92" s="1298" t="s">
        <v>847</v>
      </c>
      <c r="C92" s="1366">
        <f>ABS(IFERROR(VLOOKUP(A92,Trial!$A$2:$D$9995,3,0),0))</f>
        <v>8930640.3300000001</v>
      </c>
      <c r="D92" s="1314">
        <f>ABS(IFERROR(VLOOKUP(A92,Trial!$A$2:$D$9995,4,0),0))</f>
        <v>9473957.9100000001</v>
      </c>
    </row>
    <row r="93" spans="1:7">
      <c r="A93" s="1294">
        <v>2106501000</v>
      </c>
      <c r="B93" s="1298" t="s">
        <v>1204</v>
      </c>
      <c r="C93" s="1366">
        <f>ABS(IFERROR(VLOOKUP(A93,Trial!$A$2:$D$9995,3,0),0))</f>
        <v>101821</v>
      </c>
      <c r="D93" s="1314">
        <f>ABS(IFERROR(VLOOKUP(A93,Trial!$A$2:$D$9995,4,0),0))</f>
        <v>57411</v>
      </c>
    </row>
    <row r="94" spans="1:7">
      <c r="A94" s="1294">
        <v>2108600001</v>
      </c>
      <c r="B94" s="1295" t="s">
        <v>1128</v>
      </c>
      <c r="C94" s="1366">
        <f>ABS(IFERROR(VLOOKUP(A94,Trial!$A$2:$D$9995,3,0),0))</f>
        <v>44914640.189999998</v>
      </c>
      <c r="D94" s="1314">
        <f>ABS(IFERROR(VLOOKUP(A94,Trial!$A$2:$D$9995,4,0),0))</f>
        <v>44914640.189999998</v>
      </c>
      <c r="E94" s="1316"/>
      <c r="G94" s="1316"/>
    </row>
    <row r="95" spans="1:7">
      <c r="B95" s="1350"/>
      <c r="C95" s="1331">
        <f>SUM(C90:C94)</f>
        <v>57187101.519999996</v>
      </c>
      <c r="D95" s="1331">
        <f>SUM(D90:D94)</f>
        <v>96526009.099999994</v>
      </c>
    </row>
    <row r="96" spans="1:7">
      <c r="B96" s="1295"/>
      <c r="C96" s="1321"/>
      <c r="D96" s="1321"/>
    </row>
    <row r="97" spans="1:6" ht="31.5">
      <c r="B97" s="1305" t="str">
        <f>+B88</f>
        <v>Particulars</v>
      </c>
      <c r="C97" s="1306" t="str">
        <f t="shared" ref="C97:D97" si="4">+C88</f>
        <v>As at 31st March, 2019</v>
      </c>
      <c r="D97" s="1307" t="str">
        <f t="shared" si="4"/>
        <v>As at 31st December,  2018</v>
      </c>
    </row>
    <row r="98" spans="1:6">
      <c r="B98" s="1245" t="s">
        <v>1037</v>
      </c>
      <c r="C98" s="1235"/>
      <c r="D98" s="1260"/>
    </row>
    <row r="99" spans="1:6">
      <c r="A99" s="1294">
        <v>2108101000</v>
      </c>
      <c r="B99" s="1298" t="s">
        <v>1386</v>
      </c>
      <c r="C99" s="1366">
        <f>ABS(IFERROR(VLOOKUP(A99,Trial!$A$2:$D$9995,3,0),0))+'3SOCI'!D28</f>
        <v>158178015.56700003</v>
      </c>
      <c r="D99" s="1314">
        <f>ABS(IFERROR(VLOOKUP(A99,Trial!$A$2:$D$9995,4,0),0))</f>
        <v>221601524.08000001</v>
      </c>
      <c r="F99" s="1352"/>
    </row>
    <row r="100" spans="1:6">
      <c r="A100" s="1294">
        <v>2107101000</v>
      </c>
      <c r="B100" s="1295" t="s">
        <v>1198</v>
      </c>
      <c r="C100" s="1313">
        <f>-C60</f>
        <v>0</v>
      </c>
      <c r="D100" s="1313">
        <f>-D60</f>
        <v>1182606</v>
      </c>
      <c r="F100" s="1316"/>
    </row>
    <row r="101" spans="1:6">
      <c r="B101" s="1295" t="s">
        <v>1199</v>
      </c>
      <c r="C101" s="1235"/>
      <c r="D101" s="1235">
        <f>+-D63</f>
        <v>13839000</v>
      </c>
      <c r="F101" s="1327"/>
    </row>
    <row r="102" spans="1:6">
      <c r="B102" s="1295"/>
      <c r="C102" s="1235"/>
      <c r="D102" s="1260"/>
    </row>
    <row r="103" spans="1:6">
      <c r="B103" s="1298" t="s">
        <v>1038</v>
      </c>
      <c r="C103" s="1313">
        <f>ABS(IFERROR(VLOOKUP(A103,Trial!$A$2:$D$9995,3,0),0))</f>
        <v>0</v>
      </c>
      <c r="D103" s="1314">
        <f>ABS(IFERROR(VLOOKUP(A103,Trial!$A$2:$D$9995,4,0),0))</f>
        <v>0</v>
      </c>
    </row>
    <row r="104" spans="1:6">
      <c r="B104" s="1350" t="s">
        <v>114</v>
      </c>
      <c r="C104" s="1331">
        <f>SUM(C99:C103)</f>
        <v>158178015.56700003</v>
      </c>
      <c r="D104" s="1331">
        <f>SUM(D99:D103)</f>
        <v>236623130.08000001</v>
      </c>
    </row>
    <row r="105" spans="1:6">
      <c r="B105" s="1295"/>
      <c r="C105" s="1302"/>
      <c r="D105" s="1303"/>
    </row>
    <row r="106" spans="1:6" ht="31.5">
      <c r="B106" s="1353" t="str">
        <f>+B97</f>
        <v>Particulars</v>
      </c>
      <c r="C106" s="1306" t="str">
        <f t="shared" ref="C106:D106" si="5">+C97</f>
        <v>As at 31st March, 2019</v>
      </c>
      <c r="D106" s="1306" t="str">
        <f t="shared" si="5"/>
        <v>As at 31st December,  2018</v>
      </c>
    </row>
    <row r="107" spans="1:6">
      <c r="B107" s="1245" t="s">
        <v>478</v>
      </c>
      <c r="C107" s="1235"/>
      <c r="D107" s="1260"/>
    </row>
    <row r="108" spans="1:6">
      <c r="A108" s="1294">
        <v>2104302001</v>
      </c>
      <c r="B108" s="1311" t="s">
        <v>1189</v>
      </c>
      <c r="C108" s="1366">
        <f>ABS(IFERROR(VLOOKUP(A108,Trial!$A$2:$D$9995,3,0),0))</f>
        <v>71296102.209999993</v>
      </c>
      <c r="D108" s="1314">
        <f>ABS(IFERROR(VLOOKUP(A108,Trial!$A$2:$D$9995,4,0),0))</f>
        <v>94199332.450000003</v>
      </c>
    </row>
    <row r="109" spans="1:6">
      <c r="B109" s="1311" t="s">
        <v>1207</v>
      </c>
      <c r="C109" s="1313">
        <f>+C110+C111</f>
        <v>15129892.76</v>
      </c>
      <c r="D109" s="1314">
        <f>+D110+D111</f>
        <v>16285213.510000002</v>
      </c>
    </row>
    <row r="110" spans="1:6">
      <c r="A110" s="1294">
        <v>2103501000</v>
      </c>
      <c r="B110" s="1298" t="s">
        <v>1206</v>
      </c>
      <c r="C110" s="1366">
        <f>ABS(IFERROR(VLOOKUP(A110,Trial!$A$2:$D$9995,3,0),0))</f>
        <v>303562.44</v>
      </c>
      <c r="D110" s="1314">
        <f>ABS(IFERROR(VLOOKUP(A110,Trial!$A$2:$D$9995,4,0),0))</f>
        <v>290802.38</v>
      </c>
    </row>
    <row r="111" spans="1:6">
      <c r="A111" s="1294">
        <v>2103501001</v>
      </c>
      <c r="B111" s="1298" t="s">
        <v>839</v>
      </c>
      <c r="C111" s="1366">
        <f>ABS(IFERROR(VLOOKUP(A111,Trial!$A$2:$D$9995,3,0),0))</f>
        <v>14826330.32</v>
      </c>
      <c r="D111" s="1314">
        <f>ABS(IFERROR(VLOOKUP(A111,Trial!$A$2:$D$9995,4,0),0))</f>
        <v>15994411.130000001</v>
      </c>
    </row>
    <row r="112" spans="1:6">
      <c r="B112" s="1354" t="s">
        <v>1208</v>
      </c>
      <c r="C112" s="1313"/>
      <c r="D112" s="1314"/>
    </row>
    <row r="113" spans="1:5">
      <c r="A113" s="1294">
        <v>2106103000</v>
      </c>
      <c r="B113" s="1298" t="s">
        <v>841</v>
      </c>
      <c r="C113" s="1366">
        <f>ABS(IFERROR(VLOOKUP(A113,Trial!$A$2:$D$9995,3,0),0))</f>
        <v>3439354.35</v>
      </c>
      <c r="D113" s="1314">
        <f>ABS(IFERROR(VLOOKUP(A113,Trial!$A$2:$D$9995,4,0),0))</f>
        <v>0</v>
      </c>
    </row>
    <row r="114" spans="1:5">
      <c r="A114" s="1294">
        <v>2106103001</v>
      </c>
      <c r="B114" s="1298" t="s">
        <v>842</v>
      </c>
      <c r="C114" s="1313">
        <f>ABS(IFERROR(VLOOKUP(A114,Trial!$A$2:$D$9995,3,0),0))-SUM(Trial!C626:C638)</f>
        <v>-165487491.03000003</v>
      </c>
      <c r="D114" s="1314">
        <f>ABS(IFERROR(VLOOKUP(A114,Trial!$A$2:$D$9995,4,0),0))</f>
        <v>8335472.6299999999</v>
      </c>
    </row>
    <row r="115" spans="1:5">
      <c r="A115" s="1294">
        <v>2106103002</v>
      </c>
      <c r="B115" s="1298" t="s">
        <v>511</v>
      </c>
      <c r="C115" s="1313">
        <f>ABS(IFERROR(VLOOKUP(A115,Trial!$A$2:$D$9995,3,0),0))</f>
        <v>3048374.53</v>
      </c>
      <c r="D115" s="1314">
        <f>ABS(IFERROR(VLOOKUP(A115,Trial!$A$2:$D$9995,4,0),0))</f>
        <v>3048374.53</v>
      </c>
    </row>
    <row r="116" spans="1:5">
      <c r="A116" s="1294">
        <v>2106201000</v>
      </c>
      <c r="B116" s="1298" t="s">
        <v>843</v>
      </c>
      <c r="C116" s="1313">
        <f>ABS(IFERROR(VLOOKUP(A116,Trial!$A$2:$D$9995,3,0),0))</f>
        <v>0</v>
      </c>
      <c r="D116" s="1314">
        <f>ABS(IFERROR(VLOOKUP(A116,Trial!$A$2:$D$9995,4,0),0))</f>
        <v>0</v>
      </c>
    </row>
    <row r="117" spans="1:5">
      <c r="A117" s="1294">
        <v>2106201001</v>
      </c>
      <c r="B117" s="1298" t="s">
        <v>999</v>
      </c>
      <c r="C117" s="1313">
        <f>ABS(IFERROR(VLOOKUP(A117,Trial!$A$2:$D$9995,3,0),0))</f>
        <v>14342</v>
      </c>
      <c r="D117" s="1314">
        <f>ABS(IFERROR(VLOOKUP(A117,Trial!$A$2:$D$9995,4,0),0))</f>
        <v>0</v>
      </c>
    </row>
    <row r="118" spans="1:5">
      <c r="A118" s="1294">
        <v>2106201002</v>
      </c>
      <c r="B118" s="1298" t="s">
        <v>1000</v>
      </c>
      <c r="C118" s="1313">
        <f>ABS(IFERROR(VLOOKUP(A118,Trial!$A$2:$D$9995,3,0),0))</f>
        <v>0</v>
      </c>
      <c r="D118" s="1314">
        <f>ABS(IFERROR(VLOOKUP(A118,Trial!$A$2:$D$9995,4,0),0))</f>
        <v>0</v>
      </c>
      <c r="E118" s="1316"/>
    </row>
    <row r="119" spans="1:5">
      <c r="A119" s="1294">
        <v>2106201003</v>
      </c>
      <c r="B119" s="1298" t="s">
        <v>1001</v>
      </c>
      <c r="C119" s="1313">
        <f>ABS(IFERROR(VLOOKUP(A119,Trial!$A$2:$D$9995,3,0),0))</f>
        <v>0</v>
      </c>
      <c r="D119" s="1314">
        <f>ABS(IFERROR(VLOOKUP(A119,Trial!$A$2:$D$9995,4,0),0))</f>
        <v>0</v>
      </c>
    </row>
    <row r="120" spans="1:5">
      <c r="A120" s="1294">
        <v>2106201004</v>
      </c>
      <c r="B120" s="1298" t="s">
        <v>1002</v>
      </c>
      <c r="C120" s="1313">
        <f>ABS(IFERROR(VLOOKUP(A120,Trial!$A$2:$D$9995,3,0),0))</f>
        <v>0</v>
      </c>
      <c r="D120" s="1314">
        <f>ABS(IFERROR(VLOOKUP(A120,Trial!$A$2:$D$9995,4,0),0))</f>
        <v>0</v>
      </c>
    </row>
    <row r="121" spans="1:5">
      <c r="A121" s="1294">
        <v>2106201005</v>
      </c>
      <c r="B121" s="1298" t="s">
        <v>1003</v>
      </c>
      <c r="C121" s="1313">
        <f>ABS(IFERROR(VLOOKUP(A121,Trial!$A$2:$D$9995,3,0),0))</f>
        <v>0</v>
      </c>
      <c r="D121" s="1314">
        <f>ABS(IFERROR(VLOOKUP(A121,Trial!$A$2:$D$9995,4,0),0))</f>
        <v>0</v>
      </c>
    </row>
    <row r="122" spans="1:5">
      <c r="A122" s="1294">
        <v>2106301000</v>
      </c>
      <c r="B122" s="1298" t="s">
        <v>1010</v>
      </c>
      <c r="C122" s="1313">
        <f>ABS(IFERROR(VLOOKUP(A122,Trial!$A$2:$D$9995,3,0),0))</f>
        <v>0</v>
      </c>
      <c r="D122" s="1314">
        <f>ABS(IFERROR(VLOOKUP(A122,Trial!$A$2:$D$9995,4,0),0))</f>
        <v>0</v>
      </c>
    </row>
    <row r="123" spans="1:5">
      <c r="A123" s="1294">
        <v>2106301001</v>
      </c>
      <c r="B123" s="1298" t="s">
        <v>561</v>
      </c>
      <c r="C123" s="1313">
        <f>ABS(IFERROR(VLOOKUP(A123,Trial!$A$2:$D$9995,3,0),0))</f>
        <v>0</v>
      </c>
      <c r="D123" s="1314">
        <f>ABS(IFERROR(VLOOKUP(A123,Trial!$A$2:$D$9995,4,0),0))</f>
        <v>0</v>
      </c>
    </row>
    <row r="124" spans="1:5">
      <c r="A124" s="1294">
        <v>2106301002</v>
      </c>
      <c r="B124" s="1298" t="s">
        <v>1009</v>
      </c>
      <c r="C124" s="1313">
        <f>ABS(IFERROR(VLOOKUP(A124,Trial!$A$2:$D$9995,3,0),0))</f>
        <v>0</v>
      </c>
      <c r="D124" s="1314">
        <f>ABS(IFERROR(VLOOKUP(A124,Trial!$A$2:$D$9995,4,0),0))</f>
        <v>0</v>
      </c>
    </row>
    <row r="125" spans="1:5">
      <c r="A125" s="1294">
        <v>2106301003</v>
      </c>
      <c r="B125" s="1298" t="s">
        <v>1004</v>
      </c>
      <c r="C125" s="1313">
        <f>ABS(IFERROR(VLOOKUP(A125,Trial!$A$2:$D$9995,3,0),0))</f>
        <v>0</v>
      </c>
      <c r="D125" s="1314">
        <f>ABS(IFERROR(VLOOKUP(A125,Trial!$A$2:$D$9995,4,0),0))</f>
        <v>0</v>
      </c>
    </row>
    <row r="126" spans="1:5">
      <c r="A126" s="1294">
        <v>2106301005</v>
      </c>
      <c r="B126" s="1298" t="s">
        <v>1005</v>
      </c>
      <c r="C126" s="1313">
        <f>ABS(IFERROR(VLOOKUP(A126,Trial!$A$2:$D$9995,3,0),0))</f>
        <v>0</v>
      </c>
      <c r="D126" s="1314">
        <f>ABS(IFERROR(VLOOKUP(A126,Trial!$A$2:$D$9995,4,0),0))</f>
        <v>0</v>
      </c>
    </row>
    <row r="127" spans="1:5">
      <c r="A127" s="1294">
        <v>2106301006</v>
      </c>
      <c r="B127" s="1298" t="s">
        <v>1013</v>
      </c>
      <c r="C127" s="1313">
        <f>ABS(IFERROR(VLOOKUP(A127,Trial!$A$2:$D$9995,3,0),0))</f>
        <v>0</v>
      </c>
      <c r="D127" s="1314">
        <f>ABS(IFERROR(VLOOKUP(A127,Trial!$A$2:$D$9995,4,0),0))</f>
        <v>0</v>
      </c>
    </row>
    <row r="128" spans="1:5">
      <c r="A128" s="1294">
        <v>2106602000</v>
      </c>
      <c r="B128" s="1298" t="s">
        <v>1006</v>
      </c>
      <c r="C128" s="1313">
        <f>ABS(IFERROR(VLOOKUP(A128,Trial!$A$2:$D$9995,3,0),0))</f>
        <v>0</v>
      </c>
      <c r="D128" s="1314">
        <f>ABS(IFERROR(VLOOKUP(A128,Trial!$A$2:$D$9995,4,0),0))</f>
        <v>0</v>
      </c>
    </row>
    <row r="129" spans="1:7">
      <c r="A129" s="1294">
        <v>2106703000</v>
      </c>
      <c r="B129" s="1298" t="s">
        <v>1007</v>
      </c>
      <c r="C129" s="1313">
        <f>ABS(IFERROR(VLOOKUP(A129,Trial!$A$2:$D$9995,3,0),0))</f>
        <v>0</v>
      </c>
      <c r="D129" s="1314">
        <f>ABS(IFERROR(VLOOKUP(A129,Trial!$A$2:$D$9995,4,0),0))</f>
        <v>47577716.939999998</v>
      </c>
    </row>
    <row r="130" spans="1:7">
      <c r="A130" s="1294">
        <v>2103602000</v>
      </c>
      <c r="B130" s="1295" t="s">
        <v>998</v>
      </c>
      <c r="C130" s="1313">
        <f>ABS(IFERROR(VLOOKUP(A130,Trial!$A$2:$D$10050,3,0),0))</f>
        <v>0</v>
      </c>
      <c r="D130" s="1355">
        <v>0</v>
      </c>
      <c r="E130" s="1316"/>
      <c r="G130" s="1316"/>
    </row>
    <row r="131" spans="1:7">
      <c r="B131" s="1295"/>
      <c r="C131" s="1356">
        <f>SUM(C113:C130)</f>
        <v>-158985420.15000004</v>
      </c>
      <c r="D131" s="1357">
        <f>SUM(D113:D130)</f>
        <v>58961564.099999994</v>
      </c>
      <c r="E131" s="1316"/>
      <c r="G131" s="1316"/>
    </row>
    <row r="132" spans="1:7">
      <c r="B132" s="1295"/>
      <c r="C132" s="1328"/>
      <c r="D132" s="1329"/>
      <c r="E132" s="1316"/>
      <c r="G132" s="1316"/>
    </row>
    <row r="133" spans="1:7">
      <c r="A133" s="1294">
        <v>2106703001</v>
      </c>
      <c r="B133" s="1295" t="s">
        <v>1209</v>
      </c>
      <c r="C133" s="1358">
        <f>ABS(IFERROR(VLOOKUP(A133,Trial!$A$2:$D$10050,3,0),0))</f>
        <v>99285178.310000002</v>
      </c>
      <c r="D133" s="1314">
        <f>ABS(IFERROR(VLOOKUP(A133,Trial!$A$2:$D$9995,4,0),0))</f>
        <v>99285178.310000002</v>
      </c>
      <c r="E133" s="1316"/>
      <c r="G133" s="1316"/>
    </row>
    <row r="134" spans="1:7">
      <c r="A134" s="1294">
        <v>2106301004</v>
      </c>
      <c r="B134" s="1359" t="s">
        <v>844</v>
      </c>
      <c r="C134" s="1358">
        <f>ABS(IFERROR(VLOOKUP(A134,Trial!$A$2:$D$10050,3,0),0))</f>
        <v>1363613.86</v>
      </c>
      <c r="D134" s="1314">
        <f>ABS(IFERROR(VLOOKUP(A134,Trial!$A$2:$D$9995,4,0),0))</f>
        <v>1446606</v>
      </c>
      <c r="E134" s="1316"/>
      <c r="G134" s="1316"/>
    </row>
    <row r="135" spans="1:7">
      <c r="A135" s="1294">
        <v>2104101000</v>
      </c>
      <c r="B135" s="1295" t="s">
        <v>1008</v>
      </c>
      <c r="C135" s="1334">
        <f>ABS(IFERROR(VLOOKUP(A135,Trial!$A$2:$D$10050,3,0),0))</f>
        <v>0</v>
      </c>
      <c r="D135" s="1355"/>
      <c r="E135" s="1316"/>
      <c r="G135" s="1316"/>
    </row>
    <row r="136" spans="1:7">
      <c r="B136" s="1295"/>
      <c r="C136" s="1259"/>
      <c r="D136" s="1260"/>
    </row>
    <row r="137" spans="1:7" ht="16.5" thickBot="1">
      <c r="B137" s="1360"/>
      <c r="C137" s="1361">
        <f>C131+C133+C134+C108+C109</f>
        <v>28089366.989999957</v>
      </c>
      <c r="D137" s="1361">
        <f>D131+D133+D134+D108+D109</f>
        <v>270177894.37</v>
      </c>
    </row>
    <row r="138" spans="1:7" ht="16.5" thickTop="1">
      <c r="B138" s="1468" t="s">
        <v>1210</v>
      </c>
      <c r="C138" s="1469"/>
      <c r="D138" s="1470"/>
    </row>
    <row r="139" spans="1:7">
      <c r="C139" s="1362"/>
      <c r="D139" s="1362"/>
    </row>
    <row r="140" spans="1:7">
      <c r="C140" s="1362"/>
      <c r="D140" s="1362"/>
    </row>
    <row r="141" spans="1:7">
      <c r="B141" s="1280"/>
    </row>
    <row r="142" spans="1:7">
      <c r="B142" s="1282"/>
    </row>
  </sheetData>
  <mergeCells count="7">
    <mergeCell ref="B37:D37"/>
    <mergeCell ref="B138:D138"/>
    <mergeCell ref="B1:D1"/>
    <mergeCell ref="B2:D2"/>
    <mergeCell ref="B16:D16"/>
    <mergeCell ref="B17:D17"/>
    <mergeCell ref="B33:D33"/>
  </mergeCells>
  <printOptions horizontalCentered="1"/>
  <pageMargins left="0.21" right="0.27559055118110237" top="0.55118110236220474" bottom="0.19685039370078741" header="3.937007874015748E-2" footer="3.937007874015748E-2"/>
  <pageSetup paperSize="9" scale="84" fitToWidth="0" fitToHeight="0" orientation="portrait" r:id="rId1"/>
  <rowBreaks count="1" manualBreakCount="1">
    <brk id="66" max="3" man="1"/>
  </rowBreaks>
  <colBreaks count="1" manualBreakCount="1">
    <brk id="4" max="1048575" man="1"/>
  </colBreaks>
  <ignoredErrors>
    <ignoredError sqref="C110:D110 D114 C112:D113 D111 D109" formula="1"/>
  </ignoredErrors>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SAP </vt:lpstr>
      <vt:lpstr>Trial</vt:lpstr>
      <vt:lpstr>3SOCI</vt:lpstr>
      <vt:lpstr>2SFP</vt:lpstr>
      <vt:lpstr>4CF</vt:lpstr>
      <vt:lpstr>6N_PPE</vt:lpstr>
      <vt:lpstr>7N_3-12</vt:lpstr>
      <vt:lpstr>8N_13</vt:lpstr>
      <vt:lpstr>9N_14-21</vt:lpstr>
      <vt:lpstr>10N_22-33</vt:lpstr>
      <vt:lpstr>Note 32</vt:lpstr>
      <vt:lpstr>10FV_34</vt:lpstr>
      <vt:lpstr>11FRM_35</vt:lpstr>
      <vt:lpstr>12CapMgt_36</vt:lpstr>
      <vt:lpstr>Note 37</vt:lpstr>
      <vt:lpstr>Ratio</vt:lpstr>
      <vt:lpstr>Tax</vt:lpstr>
      <vt:lpstr>5SOCE</vt:lpstr>
      <vt:lpstr>13IFRS</vt:lpstr>
      <vt:lpstr>CFs</vt:lpstr>
      <vt:lpstr>DT</vt:lpstr>
      <vt:lpstr>'10FV_34'!Print_Area</vt:lpstr>
      <vt:lpstr>'10N_22-33'!Print_Area</vt:lpstr>
      <vt:lpstr>'11FRM_35'!Print_Area</vt:lpstr>
      <vt:lpstr>'2SFP'!Print_Area</vt:lpstr>
      <vt:lpstr>'3SOCI'!Print_Area</vt:lpstr>
      <vt:lpstr>'4CF'!Print_Area</vt:lpstr>
      <vt:lpstr>'5SOCE'!Print_Area</vt:lpstr>
      <vt:lpstr>'6N_PPE'!Print_Area</vt:lpstr>
      <vt:lpstr>'8N_13'!Print_Area</vt:lpstr>
      <vt:lpstr>'9N_14-21'!Print_Area</vt:lpstr>
      <vt:lpstr>'Note 32'!Print_Area</vt:lpstr>
      <vt:lpstr>'Note 37'!Print_Area</vt:lpstr>
      <vt:lpstr>Ratio!Print_Area</vt:lpstr>
      <vt:lpstr>'SAP '!Print_Area</vt:lpstr>
      <vt:lpstr>Tax!Print_Area</vt:lpstr>
      <vt:lpstr>Trial!Print_Area</vt:lpstr>
      <vt:lpstr>Trial_Balance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Work.</dc:title>
  <dc:creator>Phub Dorji.</dc:creator>
  <cp:lastModifiedBy>Tshering</cp:lastModifiedBy>
  <cp:lastPrinted>2019-04-08T12:44:23Z</cp:lastPrinted>
  <dcterms:created xsi:type="dcterms:W3CDTF">2009-10-27T07:25:09Z</dcterms:created>
  <dcterms:modified xsi:type="dcterms:W3CDTF">2019-04-18T09:55:48Z</dcterms:modified>
</cp:coreProperties>
</file>