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defaultThemeVersion="124226"/>
  <xr:revisionPtr revIDLastSave="0" documentId="8_{5CB05757-0A02-F84F-B251-DC16AD6F11A3}" xr6:coauthVersionLast="47" xr6:coauthVersionMax="47" xr10:uidLastSave="{00000000-0000-0000-0000-000000000000}"/>
  <bookViews>
    <workbookView xWindow="0" yWindow="0" windowWidth="28800" windowHeight="18000" activeTab="5" xr2:uid="{00000000-000D-0000-FFFF-FFFF00000000}"/>
  </bookViews>
  <sheets>
    <sheet name="Case Study" sheetId="11" r:id="rId1"/>
    <sheet name="Colleges" sheetId="8" r:id="rId2"/>
    <sheet name="Offices" sheetId="7" r:id="rId3"/>
    <sheet name="Malls" sheetId="6" r:id="rId4"/>
    <sheet name="Analysis" sheetId="9" r:id="rId5"/>
    <sheet name="Report" sheetId="2" r:id="rId6"/>
    <sheet name="Appendix" sheetId="3" r:id="rId7"/>
  </sheets>
  <definedNames>
    <definedName name="solver_cvg" localSheetId="4" hidden="1">0.0001</definedName>
    <definedName name="solver_cvg" localSheetId="3" hidden="1">0.0001</definedName>
    <definedName name="solver_drv" localSheetId="4" hidden="1">1</definedName>
    <definedName name="solver_drv" localSheetId="3" hidden="1">1</definedName>
    <definedName name="solver_eng" localSheetId="4" hidden="1">1</definedName>
    <definedName name="solver_eng" localSheetId="3" hidden="1">1</definedName>
    <definedName name="solver_eng" localSheetId="2" hidden="1">1</definedName>
    <definedName name="solver_itr" localSheetId="4" hidden="1">2147483647</definedName>
    <definedName name="solver_itr" localSheetId="3" hidden="1">2147483647</definedName>
    <definedName name="solver_lhs1" localSheetId="4" hidden="1">Analysis!$D$62</definedName>
    <definedName name="solver_lhs2" localSheetId="4" hidden="1">Analysis!$D$63</definedName>
    <definedName name="solver_lhs3" localSheetId="4" hidden="1">Analysis!#REF!</definedName>
    <definedName name="solver_lin" localSheetId="4" hidden="1">2</definedName>
    <definedName name="solver_lin" localSheetId="3" hidden="1">2</definedName>
    <definedName name="solver_lin" localSheetId="2" hidden="1">2</definedName>
    <definedName name="solver_mip" localSheetId="4" hidden="1">2147483647</definedName>
    <definedName name="solver_mip" localSheetId="3" hidden="1">2147483647</definedName>
    <definedName name="solver_mni" localSheetId="4" hidden="1">30</definedName>
    <definedName name="solver_mni" localSheetId="3" hidden="1">30</definedName>
    <definedName name="solver_mrt" localSheetId="4" hidden="1">0.075</definedName>
    <definedName name="solver_mrt" localSheetId="3" hidden="1">0.075</definedName>
    <definedName name="solver_msl" localSheetId="4" hidden="1">2</definedName>
    <definedName name="solver_msl" localSheetId="3" hidden="1">2</definedName>
    <definedName name="solver_neg" localSheetId="4" hidden="1">2</definedName>
    <definedName name="solver_neg" localSheetId="3" hidden="1">1</definedName>
    <definedName name="solver_neg" localSheetId="2" hidden="1">1</definedName>
    <definedName name="solver_nod" localSheetId="4" hidden="1">2147483647</definedName>
    <definedName name="solver_nod" localSheetId="3" hidden="1">2147483647</definedName>
    <definedName name="solver_num" localSheetId="4" hidden="1">2</definedName>
    <definedName name="solver_num" localSheetId="3" hidden="1">0</definedName>
    <definedName name="solver_num" localSheetId="2" hidden="1">0</definedName>
    <definedName name="solver_opt" localSheetId="4" hidden="1">Analysis!$H$65</definedName>
    <definedName name="solver_opt" localSheetId="3" hidden="1">Malls!$B$38</definedName>
    <definedName name="solver_opt" localSheetId="2" hidden="1">Offices!$I$18</definedName>
    <definedName name="solver_pre" localSheetId="4" hidden="1">0.000001</definedName>
    <definedName name="solver_pre" localSheetId="3" hidden="1">0.000001</definedName>
    <definedName name="solver_rbv" localSheetId="4" hidden="1">2</definedName>
    <definedName name="solver_rbv" localSheetId="3" hidden="1">1</definedName>
    <definedName name="solver_rel1" localSheetId="4" hidden="1">2</definedName>
    <definedName name="solver_rel2" localSheetId="4" hidden="1">2</definedName>
    <definedName name="solver_rel3" localSheetId="4" hidden="1">2</definedName>
    <definedName name="solver_rhs1" localSheetId="4" hidden="1">Analysis!$D$63</definedName>
    <definedName name="solver_rhs2" localSheetId="4" hidden="1">Analysis!$D$64</definedName>
    <definedName name="solver_rhs3" localSheetId="4" hidden="1">30</definedName>
    <definedName name="solver_rlx" localSheetId="4" hidden="1">2</definedName>
    <definedName name="solver_rlx" localSheetId="3" hidden="1">2</definedName>
    <definedName name="solver_rsd" localSheetId="4" hidden="1">0</definedName>
    <definedName name="solver_rsd" localSheetId="3" hidden="1">0</definedName>
    <definedName name="solver_scl" localSheetId="4" hidden="1">2</definedName>
    <definedName name="solver_scl" localSheetId="3" hidden="1">1</definedName>
    <definedName name="solver_sho" localSheetId="4" hidden="1">2</definedName>
    <definedName name="solver_sho" localSheetId="3" hidden="1">2</definedName>
    <definedName name="solver_ssz" localSheetId="4" hidden="1">100</definedName>
    <definedName name="solver_ssz" localSheetId="3" hidden="1">100</definedName>
    <definedName name="solver_tim" localSheetId="4" hidden="1">2147483647</definedName>
    <definedName name="solver_tim" localSheetId="3" hidden="1">2147483647</definedName>
    <definedName name="solver_tol" localSheetId="4" hidden="1">0.01</definedName>
    <definedName name="solver_tol" localSheetId="3" hidden="1">0.01</definedName>
    <definedName name="solver_typ" localSheetId="4" hidden="1">1</definedName>
    <definedName name="solver_typ" localSheetId="3" hidden="1">1</definedName>
    <definedName name="solver_typ" localSheetId="2" hidden="1">1</definedName>
    <definedName name="solver_val" localSheetId="4" hidden="1">3000000</definedName>
    <definedName name="solver_val" localSheetId="3" hidden="1">0</definedName>
    <definedName name="solver_val" localSheetId="2" hidden="1">0</definedName>
    <definedName name="solver_ver" localSheetId="4" hidden="1">2</definedName>
    <definedName name="solver_ver" localSheetId="3" hidden="1">2</definedName>
    <definedName name="solver_ver" localSheetId="2"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7" i="3" l="1"/>
  <c r="C78" i="3"/>
  <c r="C79" i="3"/>
  <c r="C80" i="3"/>
  <c r="C81" i="3"/>
  <c r="C82" i="3"/>
  <c r="C83" i="3"/>
  <c r="C84" i="3"/>
  <c r="C85" i="3"/>
  <c r="C86" i="3"/>
  <c r="C87" i="3"/>
  <c r="C88" i="3"/>
  <c r="C89" i="3"/>
  <c r="C76" i="3"/>
  <c r="B48" i="7"/>
  <c r="C5" i="9" s="1"/>
  <c r="B105" i="3"/>
  <c r="F105" i="3" s="1"/>
  <c r="B104" i="3"/>
  <c r="F104" i="3" s="1"/>
  <c r="B103" i="3"/>
  <c r="F103" i="3" s="1"/>
  <c r="B102" i="3"/>
  <c r="B101" i="3"/>
  <c r="F101" i="3" s="1"/>
  <c r="B100" i="3"/>
  <c r="F100" i="3" s="1"/>
  <c r="B99" i="3"/>
  <c r="F99" i="3" s="1"/>
  <c r="B98" i="3"/>
  <c r="F98" i="3" s="1"/>
  <c r="B97" i="3"/>
  <c r="F97" i="3" s="1"/>
  <c r="B96" i="3"/>
  <c r="F96" i="3" s="1"/>
  <c r="B95" i="3"/>
  <c r="F95" i="3" s="1"/>
  <c r="B94" i="3"/>
  <c r="B93" i="3"/>
  <c r="F93" i="3" s="1"/>
  <c r="B89" i="3"/>
  <c r="F89" i="3" s="1"/>
  <c r="B88" i="3"/>
  <c r="F88" i="3" s="1"/>
  <c r="B87" i="3"/>
  <c r="F87" i="3" s="1"/>
  <c r="B86" i="3"/>
  <c r="F86" i="3" s="1"/>
  <c r="B85" i="3"/>
  <c r="F85" i="3" s="1"/>
  <c r="B84" i="3"/>
  <c r="F84" i="3" s="1"/>
  <c r="B83" i="3"/>
  <c r="B82" i="3"/>
  <c r="F82" i="3" s="1"/>
  <c r="B81" i="3"/>
  <c r="F81" i="3" s="1"/>
  <c r="B80" i="3"/>
  <c r="F80" i="3" s="1"/>
  <c r="B79" i="3"/>
  <c r="F79" i="3" s="1"/>
  <c r="B78" i="3"/>
  <c r="F78" i="3" s="1"/>
  <c r="B77" i="3"/>
  <c r="F77" i="3" s="1"/>
  <c r="B76" i="3"/>
  <c r="F76" i="3" s="1"/>
  <c r="C72" i="3"/>
  <c r="B72" i="3"/>
  <c r="C71" i="3"/>
  <c r="B71" i="3"/>
  <c r="C70" i="3"/>
  <c r="B70" i="3"/>
  <c r="F70" i="3" s="1"/>
  <c r="C69" i="3"/>
  <c r="B69" i="3"/>
  <c r="C68" i="3"/>
  <c r="B68" i="3"/>
  <c r="F68" i="3" s="1"/>
  <c r="C67" i="3"/>
  <c r="B67" i="3"/>
  <c r="F67" i="3" s="1"/>
  <c r="C66" i="3"/>
  <c r="B66" i="3"/>
  <c r="F66" i="3" s="1"/>
  <c r="C65" i="3"/>
  <c r="B65" i="3"/>
  <c r="C64" i="3"/>
  <c r="B64" i="3"/>
  <c r="F64" i="3" s="1"/>
  <c r="C63" i="3"/>
  <c r="B63" i="3"/>
  <c r="C62" i="3"/>
  <c r="B62" i="3"/>
  <c r="C61" i="3"/>
  <c r="B61" i="3"/>
  <c r="C60" i="3"/>
  <c r="B60" i="3"/>
  <c r="F60" i="3" s="1"/>
  <c r="C59" i="3"/>
  <c r="B59" i="3"/>
  <c r="F59" i="3" s="1"/>
  <c r="D16" i="3"/>
  <c r="D17" i="3"/>
  <c r="D18" i="3"/>
  <c r="C21" i="9" l="1"/>
  <c r="C42" i="9"/>
  <c r="C34" i="9"/>
  <c r="C13" i="9"/>
  <c r="G63" i="3"/>
  <c r="G71" i="3"/>
  <c r="G61" i="3"/>
  <c r="G60" i="3"/>
  <c r="H60" i="3" s="1"/>
  <c r="G62" i="3"/>
  <c r="G65" i="3"/>
  <c r="G67" i="3"/>
  <c r="H67" i="3" s="1"/>
  <c r="G72" i="3"/>
  <c r="G70" i="3"/>
  <c r="H70" i="3" s="1"/>
  <c r="F61" i="3"/>
  <c r="G68" i="3"/>
  <c r="H68" i="3" s="1"/>
  <c r="F62" i="3"/>
  <c r="G66" i="3"/>
  <c r="H66" i="3" s="1"/>
  <c r="G69" i="3"/>
  <c r="G59" i="3"/>
  <c r="H59" i="3" s="1"/>
  <c r="F69" i="3"/>
  <c r="G64" i="3"/>
  <c r="H64" i="3" s="1"/>
  <c r="F71" i="3"/>
  <c r="F63" i="3"/>
  <c r="H63" i="3" s="1"/>
  <c r="F65" i="3"/>
  <c r="F72" i="3"/>
  <c r="F83" i="3"/>
  <c r="F94" i="3"/>
  <c r="F102" i="3"/>
  <c r="B28" i="8"/>
  <c r="B87" i="9"/>
  <c r="B86" i="9"/>
  <c r="F86" i="9" s="1"/>
  <c r="B85" i="9"/>
  <c r="F85" i="9" s="1"/>
  <c r="D88" i="9"/>
  <c r="C85" i="9"/>
  <c r="B4" i="9"/>
  <c r="F4" i="9" s="1"/>
  <c r="C4" i="9"/>
  <c r="B5" i="9"/>
  <c r="F5" i="9" s="1"/>
  <c r="B6" i="9"/>
  <c r="F6" i="9" s="1"/>
  <c r="D7" i="9"/>
  <c r="D80" i="9"/>
  <c r="B79" i="9"/>
  <c r="B78" i="9"/>
  <c r="C77" i="9"/>
  <c r="B77" i="9"/>
  <c r="C33" i="9"/>
  <c r="B72" i="9"/>
  <c r="F72" i="9" s="1"/>
  <c r="B71" i="9"/>
  <c r="F71" i="9" s="1"/>
  <c r="B70" i="9"/>
  <c r="F70" i="9" s="1"/>
  <c r="D73" i="9"/>
  <c r="C72" i="9"/>
  <c r="C71" i="9"/>
  <c r="C70" i="9"/>
  <c r="D65" i="9"/>
  <c r="D44" i="9"/>
  <c r="C41" i="9"/>
  <c r="D36" i="9"/>
  <c r="D23" i="9"/>
  <c r="D15" i="9"/>
  <c r="B22" i="9"/>
  <c r="B21" i="9"/>
  <c r="B126" i="3" s="1"/>
  <c r="B20" i="9"/>
  <c r="C20" i="9"/>
  <c r="B12" i="9"/>
  <c r="B14" i="9"/>
  <c r="B119" i="3" s="1"/>
  <c r="B13" i="9"/>
  <c r="C12" i="9"/>
  <c r="D19" i="7"/>
  <c r="E19" i="7" s="1"/>
  <c r="D22" i="7"/>
  <c r="E22" i="7" s="1"/>
  <c r="D40" i="7"/>
  <c r="D39" i="7"/>
  <c r="E39" i="7" s="1"/>
  <c r="D17" i="7"/>
  <c r="E17" i="7" s="1"/>
  <c r="D45" i="7"/>
  <c r="E45" i="7" s="1"/>
  <c r="D10" i="7"/>
  <c r="E10" i="7" s="1"/>
  <c r="D9" i="7"/>
  <c r="E9" i="7" s="1"/>
  <c r="B38" i="6"/>
  <c r="C35" i="9" s="1"/>
  <c r="C38" i="6"/>
  <c r="D9" i="6"/>
  <c r="E9" i="6" s="1"/>
  <c r="D30" i="6"/>
  <c r="E30" i="6" s="1"/>
  <c r="D27" i="6"/>
  <c r="E27" i="6" s="1"/>
  <c r="D11" i="6"/>
  <c r="E11" i="6" s="1"/>
  <c r="D22" i="6"/>
  <c r="E22" i="6" s="1"/>
  <c r="D19" i="6"/>
  <c r="E19" i="6" s="1"/>
  <c r="D17" i="6"/>
  <c r="E17" i="6" s="1"/>
  <c r="D18" i="6"/>
  <c r="E18" i="6" s="1"/>
  <c r="D29" i="6"/>
  <c r="E29" i="6" s="1"/>
  <c r="D20" i="6"/>
  <c r="E20" i="6" s="1"/>
  <c r="D25" i="6"/>
  <c r="E25" i="6" s="1"/>
  <c r="D15" i="6"/>
  <c r="E15" i="6" s="1"/>
  <c r="D16" i="6"/>
  <c r="E16" i="6" s="1"/>
  <c r="D12" i="6"/>
  <c r="E12" i="6" s="1"/>
  <c r="D34" i="6"/>
  <c r="E34" i="6" s="1"/>
  <c r="D21" i="6"/>
  <c r="E21" i="6" s="1"/>
  <c r="D31" i="6"/>
  <c r="E31" i="6" s="1"/>
  <c r="D33" i="6"/>
  <c r="E33" i="6" s="1"/>
  <c r="D32" i="6"/>
  <c r="E32" i="6" s="1"/>
  <c r="D23" i="6"/>
  <c r="E23" i="6" s="1"/>
  <c r="D36" i="6"/>
  <c r="E36" i="6" s="1"/>
  <c r="D13" i="6"/>
  <c r="E13" i="6" s="1"/>
  <c r="D26" i="6"/>
  <c r="E26" i="6" s="1"/>
  <c r="D14" i="6"/>
  <c r="E14" i="6" s="1"/>
  <c r="D35" i="6"/>
  <c r="D10" i="6"/>
  <c r="E10" i="6" s="1"/>
  <c r="D24" i="6"/>
  <c r="E24" i="6" s="1"/>
  <c r="D28" i="6"/>
  <c r="E28" i="6" s="1"/>
  <c r="D37" i="6"/>
  <c r="E37" i="6" s="1"/>
  <c r="D8" i="6"/>
  <c r="D21" i="7"/>
  <c r="E21" i="7" s="1"/>
  <c r="D13" i="7"/>
  <c r="E13" i="7" s="1"/>
  <c r="D28" i="7"/>
  <c r="E28" i="7" s="1"/>
  <c r="D12" i="7"/>
  <c r="E12" i="7" s="1"/>
  <c r="D29" i="7"/>
  <c r="E29" i="7" s="1"/>
  <c r="D47" i="7"/>
  <c r="D36" i="7"/>
  <c r="E36" i="7" s="1"/>
  <c r="D11" i="7"/>
  <c r="E11" i="7" s="1"/>
  <c r="D33" i="7"/>
  <c r="E33" i="7" s="1"/>
  <c r="D24" i="7"/>
  <c r="E24" i="7" s="1"/>
  <c r="D35" i="7"/>
  <c r="E35" i="7" s="1"/>
  <c r="D46" i="7"/>
  <c r="E46" i="7" s="1"/>
  <c r="D41" i="7"/>
  <c r="E41" i="7" s="1"/>
  <c r="D18" i="7"/>
  <c r="E18" i="7" s="1"/>
  <c r="D43" i="7"/>
  <c r="E43" i="7" s="1"/>
  <c r="D25" i="7"/>
  <c r="E25" i="7" s="1"/>
  <c r="D32" i="7"/>
  <c r="E32" i="7" s="1"/>
  <c r="D23" i="7"/>
  <c r="E23" i="7" s="1"/>
  <c r="D30" i="7"/>
  <c r="E30" i="7" s="1"/>
  <c r="D37" i="7"/>
  <c r="E37" i="7" s="1"/>
  <c r="D15" i="7"/>
  <c r="E15" i="7" s="1"/>
  <c r="D34" i="7"/>
  <c r="E34" i="7" s="1"/>
  <c r="D14" i="7"/>
  <c r="E14" i="7" s="1"/>
  <c r="D20" i="7"/>
  <c r="D44" i="7"/>
  <c r="E44" i="7" s="1"/>
  <c r="D16" i="7"/>
  <c r="E16" i="7" s="1"/>
  <c r="D42" i="7"/>
  <c r="E42" i="7" s="1"/>
  <c r="D38" i="7"/>
  <c r="E38" i="7" s="1"/>
  <c r="D8" i="7"/>
  <c r="D27" i="7"/>
  <c r="E27" i="7" s="1"/>
  <c r="D26" i="7"/>
  <c r="E26" i="7" s="1"/>
  <c r="D31" i="7"/>
  <c r="E31" i="7" s="1"/>
  <c r="D13" i="8"/>
  <c r="E13" i="8" s="1"/>
  <c r="D12" i="8"/>
  <c r="E12" i="8" s="1"/>
  <c r="D23" i="8"/>
  <c r="E23" i="8" s="1"/>
  <c r="D24" i="8"/>
  <c r="E24" i="8" s="1"/>
  <c r="D14" i="8"/>
  <c r="E14" i="8" s="1"/>
  <c r="D20" i="8"/>
  <c r="E20" i="8" s="1"/>
  <c r="D22" i="8"/>
  <c r="E22" i="8" s="1"/>
  <c r="D19" i="8"/>
  <c r="E19" i="8" s="1"/>
  <c r="D27" i="8"/>
  <c r="E27" i="8" s="1"/>
  <c r="D25" i="8"/>
  <c r="E25" i="8" s="1"/>
  <c r="D16" i="8"/>
  <c r="E16" i="8" s="1"/>
  <c r="D15" i="8"/>
  <c r="E15" i="8" s="1"/>
  <c r="D18" i="8"/>
  <c r="E18" i="8" s="1"/>
  <c r="D11" i="8"/>
  <c r="E11" i="8" s="1"/>
  <c r="D8" i="8"/>
  <c r="D9" i="8"/>
  <c r="E9" i="8" s="1"/>
  <c r="D21" i="8"/>
  <c r="E21" i="8" s="1"/>
  <c r="D17" i="8"/>
  <c r="E17" i="8" s="1"/>
  <c r="D26" i="8"/>
  <c r="E26" i="8" s="1"/>
  <c r="D10" i="8"/>
  <c r="E10" i="8" s="1"/>
  <c r="D39" i="6" l="1"/>
  <c r="D49" i="7"/>
  <c r="E8" i="7"/>
  <c r="F22" i="9"/>
  <c r="B127" i="3"/>
  <c r="F20" i="9"/>
  <c r="B125" i="3"/>
  <c r="F12" i="9"/>
  <c r="B117" i="3"/>
  <c r="F13" i="9"/>
  <c r="B118" i="3"/>
  <c r="C25" i="3"/>
  <c r="C24" i="3"/>
  <c r="D29" i="8"/>
  <c r="B24" i="3"/>
  <c r="B32" i="3" s="1"/>
  <c r="B25" i="3"/>
  <c r="D24" i="3"/>
  <c r="D32" i="3" s="1"/>
  <c r="D25" i="3"/>
  <c r="G86" i="3"/>
  <c r="H86" i="3" s="1"/>
  <c r="G82" i="3"/>
  <c r="H82" i="3" s="1"/>
  <c r="G78" i="3"/>
  <c r="H78" i="3" s="1"/>
  <c r="G87" i="3"/>
  <c r="H87" i="3" s="1"/>
  <c r="G83" i="3"/>
  <c r="H83" i="3" s="1"/>
  <c r="G79" i="3"/>
  <c r="H79" i="3" s="1"/>
  <c r="G89" i="3"/>
  <c r="H89" i="3" s="1"/>
  <c r="G81" i="3"/>
  <c r="H81" i="3" s="1"/>
  <c r="G77" i="3"/>
  <c r="H77" i="3" s="1"/>
  <c r="G88" i="3"/>
  <c r="H88" i="3" s="1"/>
  <c r="G84" i="3"/>
  <c r="H84" i="3" s="1"/>
  <c r="G80" i="3"/>
  <c r="H80" i="3" s="1"/>
  <c r="G76" i="3"/>
  <c r="H76" i="3" s="1"/>
  <c r="G85" i="3"/>
  <c r="H85" i="3" s="1"/>
  <c r="H71" i="3"/>
  <c r="H61" i="3"/>
  <c r="F25" i="3"/>
  <c r="F24" i="3"/>
  <c r="F32" i="3" s="1"/>
  <c r="H72" i="3"/>
  <c r="H62" i="3"/>
  <c r="H65" i="3"/>
  <c r="H69" i="3"/>
  <c r="G70" i="9"/>
  <c r="C43" i="9"/>
  <c r="H10" i="7"/>
  <c r="G13" i="9"/>
  <c r="H15" i="6"/>
  <c r="D38" i="6"/>
  <c r="I22" i="6" s="1"/>
  <c r="H9" i="6"/>
  <c r="H17" i="6"/>
  <c r="C14" i="9"/>
  <c r="G14" i="9" s="1"/>
  <c r="C22" i="9"/>
  <c r="G22" i="9" s="1"/>
  <c r="H14" i="6"/>
  <c r="H11" i="6"/>
  <c r="H8" i="6"/>
  <c r="H10" i="6"/>
  <c r="C6" i="9"/>
  <c r="G6" i="9" s="1"/>
  <c r="H6" i="9" s="1"/>
  <c r="E8" i="6"/>
  <c r="H13" i="6"/>
  <c r="H12" i="6"/>
  <c r="H16" i="6"/>
  <c r="G21" i="9"/>
  <c r="H8" i="7"/>
  <c r="D48" i="7"/>
  <c r="I22" i="7" s="1"/>
  <c r="H11" i="7"/>
  <c r="E8" i="8"/>
  <c r="B62" i="9"/>
  <c r="F62" i="9" s="1"/>
  <c r="G4" i="9"/>
  <c r="H4" i="9" s="1"/>
  <c r="D28" i="8"/>
  <c r="I22" i="8" s="1"/>
  <c r="G77" i="9"/>
  <c r="H9" i="8"/>
  <c r="H16" i="7"/>
  <c r="E20" i="7"/>
  <c r="H14" i="7"/>
  <c r="H15" i="7"/>
  <c r="H17" i="7"/>
  <c r="C63" i="9"/>
  <c r="E47" i="7"/>
  <c r="F87" i="9"/>
  <c r="F88" i="9" s="1"/>
  <c r="G85" i="9"/>
  <c r="F7" i="9"/>
  <c r="F78" i="9"/>
  <c r="F79" i="9"/>
  <c r="F77" i="9"/>
  <c r="G71" i="9"/>
  <c r="H71" i="9" s="1"/>
  <c r="G72" i="9"/>
  <c r="H72" i="9" s="1"/>
  <c r="F73" i="9"/>
  <c r="H70" i="9"/>
  <c r="B64" i="9"/>
  <c r="F64" i="9" s="1"/>
  <c r="B34" i="9"/>
  <c r="C118" i="3" s="1"/>
  <c r="C62" i="9"/>
  <c r="G62" i="9" s="1"/>
  <c r="H62" i="9" s="1"/>
  <c r="B63" i="9"/>
  <c r="F63" i="9" s="1"/>
  <c r="B33" i="9"/>
  <c r="C117" i="3" s="1"/>
  <c r="F117" i="3" s="1"/>
  <c r="G117" i="3" s="1"/>
  <c r="B35" i="9"/>
  <c r="C119" i="3" s="1"/>
  <c r="F119" i="3" s="1"/>
  <c r="G119" i="3" s="1"/>
  <c r="B41" i="9"/>
  <c r="C125" i="3" s="1"/>
  <c r="F125" i="3" s="1"/>
  <c r="G125" i="3" s="1"/>
  <c r="B42" i="9"/>
  <c r="C126" i="3" s="1"/>
  <c r="F126" i="3" s="1"/>
  <c r="G126" i="3" s="1"/>
  <c r="B43" i="9"/>
  <c r="C127" i="3" s="1"/>
  <c r="F127" i="3" s="1"/>
  <c r="G127" i="3" s="1"/>
  <c r="G20" i="9"/>
  <c r="F21" i="9"/>
  <c r="F23" i="9" s="1"/>
  <c r="G12" i="9"/>
  <c r="F14" i="9"/>
  <c r="H9" i="7"/>
  <c r="E40" i="7"/>
  <c r="H12" i="7"/>
  <c r="H13" i="7"/>
  <c r="E35" i="6"/>
  <c r="H11" i="8"/>
  <c r="H17" i="8"/>
  <c r="H16" i="8"/>
  <c r="H14" i="8"/>
  <c r="H13" i="8"/>
  <c r="H15" i="8"/>
  <c r="H12" i="8"/>
  <c r="H8" i="8"/>
  <c r="H10" i="8"/>
  <c r="E48" i="7" l="1"/>
  <c r="I23" i="7" s="1"/>
  <c r="D27" i="3"/>
  <c r="E49" i="7"/>
  <c r="H22" i="9"/>
  <c r="E39" i="6"/>
  <c r="F15" i="9"/>
  <c r="H12" i="9"/>
  <c r="F118" i="3"/>
  <c r="G118" i="3" s="1"/>
  <c r="H13" i="9"/>
  <c r="E29" i="8"/>
  <c r="C26" i="3"/>
  <c r="B27" i="3"/>
  <c r="B26" i="3"/>
  <c r="B33" i="3" s="1"/>
  <c r="B36" i="3" s="1"/>
  <c r="C27" i="3"/>
  <c r="E28" i="8"/>
  <c r="I23" i="8" s="1"/>
  <c r="I26" i="8" s="1"/>
  <c r="D26" i="3"/>
  <c r="D33" i="3" s="1"/>
  <c r="D36" i="3" s="1"/>
  <c r="C102" i="3"/>
  <c r="G102" i="3" s="1"/>
  <c r="H102" i="3" s="1"/>
  <c r="C98" i="3"/>
  <c r="G98" i="3" s="1"/>
  <c r="H98" i="3" s="1"/>
  <c r="C94" i="3"/>
  <c r="G94" i="3" s="1"/>
  <c r="H94" i="3" s="1"/>
  <c r="C105" i="3"/>
  <c r="G105" i="3" s="1"/>
  <c r="H105" i="3" s="1"/>
  <c r="C101" i="3"/>
  <c r="G101" i="3" s="1"/>
  <c r="H101" i="3" s="1"/>
  <c r="C97" i="3"/>
  <c r="G97" i="3" s="1"/>
  <c r="H97" i="3" s="1"/>
  <c r="C93" i="3"/>
  <c r="G93" i="3" s="1"/>
  <c r="H93" i="3" s="1"/>
  <c r="C100" i="3"/>
  <c r="G100" i="3" s="1"/>
  <c r="H100" i="3" s="1"/>
  <c r="C96" i="3"/>
  <c r="G96" i="3" s="1"/>
  <c r="H96" i="3" s="1"/>
  <c r="C103" i="3"/>
  <c r="G103" i="3" s="1"/>
  <c r="H103" i="3" s="1"/>
  <c r="C99" i="3"/>
  <c r="G99" i="3" s="1"/>
  <c r="H99" i="3" s="1"/>
  <c r="C95" i="3"/>
  <c r="G95" i="3" s="1"/>
  <c r="H95" i="3" s="1"/>
  <c r="C104" i="3"/>
  <c r="G104" i="3" s="1"/>
  <c r="H104" i="3" s="1"/>
  <c r="F27" i="3"/>
  <c r="F26" i="3"/>
  <c r="F33" i="3" s="1"/>
  <c r="F36" i="3" s="1"/>
  <c r="G34" i="9"/>
  <c r="C79" i="9"/>
  <c r="G79" i="9" s="1"/>
  <c r="H79" i="9" s="1"/>
  <c r="C64" i="9"/>
  <c r="G64" i="9" s="1"/>
  <c r="H64" i="9" s="1"/>
  <c r="C87" i="9"/>
  <c r="G87" i="9" s="1"/>
  <c r="H87" i="9" s="1"/>
  <c r="E38" i="6"/>
  <c r="G23" i="9"/>
  <c r="H20" i="9"/>
  <c r="G5" i="9"/>
  <c r="C86" i="9"/>
  <c r="G86" i="9" s="1"/>
  <c r="H86" i="9" s="1"/>
  <c r="G73" i="9"/>
  <c r="I26" i="7"/>
  <c r="C78" i="9"/>
  <c r="G78" i="9" s="1"/>
  <c r="H85" i="9"/>
  <c r="F80" i="9"/>
  <c r="H77" i="9"/>
  <c r="H73" i="9"/>
  <c r="F41" i="9"/>
  <c r="F35" i="9"/>
  <c r="F43" i="9"/>
  <c r="F34" i="9"/>
  <c r="G63" i="9"/>
  <c r="H63" i="9" s="1"/>
  <c r="F33" i="9"/>
  <c r="G33" i="9"/>
  <c r="F65" i="9"/>
  <c r="G41" i="9"/>
  <c r="G35" i="9"/>
  <c r="G43" i="9"/>
  <c r="G42" i="9"/>
  <c r="F42" i="9"/>
  <c r="H21" i="9"/>
  <c r="G15" i="9"/>
  <c r="H14" i="9"/>
  <c r="I14" i="9" s="1"/>
  <c r="H18" i="7"/>
  <c r="I11" i="7" s="1"/>
  <c r="H18" i="6"/>
  <c r="I8" i="6" s="1"/>
  <c r="H18" i="8"/>
  <c r="I8" i="8" s="1"/>
  <c r="D117" i="3" l="1"/>
  <c r="I12" i="9"/>
  <c r="D125" i="3"/>
  <c r="I20" i="9"/>
  <c r="D126" i="3"/>
  <c r="I23" i="6"/>
  <c r="I26" i="6" s="1"/>
  <c r="D127" i="3"/>
  <c r="I22" i="9"/>
  <c r="D118" i="3"/>
  <c r="H34" i="9"/>
  <c r="E118" i="3" s="1"/>
  <c r="H118" i="3" s="1"/>
  <c r="I118" i="3" s="1"/>
  <c r="H15" i="9"/>
  <c r="D119" i="3"/>
  <c r="H43" i="9"/>
  <c r="E127" i="3" s="1"/>
  <c r="G80" i="9"/>
  <c r="H78" i="9"/>
  <c r="H80" i="9" s="1"/>
  <c r="H88" i="9"/>
  <c r="H41" i="9"/>
  <c r="E125" i="3" s="1"/>
  <c r="H23" i="9"/>
  <c r="H33" i="9"/>
  <c r="E117" i="3" s="1"/>
  <c r="H117" i="3" s="1"/>
  <c r="I117" i="3" s="1"/>
  <c r="H5" i="9"/>
  <c r="H7" i="9" s="1"/>
  <c r="G7" i="9"/>
  <c r="G88" i="9"/>
  <c r="H35" i="9"/>
  <c r="E119" i="3" s="1"/>
  <c r="H65" i="9"/>
  <c r="G65" i="9"/>
  <c r="G36" i="9"/>
  <c r="G44" i="9"/>
  <c r="F36" i="9"/>
  <c r="F44" i="9"/>
  <c r="H42" i="9"/>
  <c r="E126" i="3" s="1"/>
  <c r="I13" i="7"/>
  <c r="I16" i="7"/>
  <c r="I17" i="7"/>
  <c r="I8" i="7"/>
  <c r="I10" i="7"/>
  <c r="I15" i="7"/>
  <c r="I12" i="7"/>
  <c r="I14" i="7"/>
  <c r="I9" i="7"/>
  <c r="I17" i="6"/>
  <c r="I10" i="6"/>
  <c r="I9" i="6"/>
  <c r="I14" i="6"/>
  <c r="I15" i="6"/>
  <c r="I11" i="6"/>
  <c r="I12" i="6"/>
  <c r="I16" i="6"/>
  <c r="I13" i="6"/>
  <c r="I15" i="8"/>
  <c r="I10" i="8"/>
  <c r="I17" i="8"/>
  <c r="I11" i="8"/>
  <c r="I14" i="8"/>
  <c r="I16" i="8"/>
  <c r="I12" i="8"/>
  <c r="I9" i="8"/>
  <c r="I13" i="8"/>
  <c r="H127" i="3" l="1"/>
  <c r="I127" i="3" s="1"/>
  <c r="H125" i="3"/>
  <c r="I125" i="3" s="1"/>
  <c r="D120" i="3"/>
  <c r="I15" i="9"/>
  <c r="I13" i="9"/>
  <c r="I21" i="9"/>
  <c r="D128" i="3"/>
  <c r="I23" i="9"/>
  <c r="H126" i="3"/>
  <c r="I126" i="3" s="1"/>
  <c r="H119" i="3"/>
  <c r="I119" i="3" s="1"/>
  <c r="H36" i="9"/>
  <c r="E120" i="3" s="1"/>
  <c r="H120" i="3" s="1"/>
  <c r="I120" i="3" s="1"/>
  <c r="H44" i="9"/>
  <c r="E128" i="3" s="1"/>
  <c r="I18" i="7"/>
  <c r="I18" i="6"/>
  <c r="I18" i="8"/>
  <c r="H128" i="3" l="1"/>
  <c r="I128" i="3" s="1"/>
</calcChain>
</file>

<file path=xl/sharedStrings.xml><?xml version="1.0" encoding="utf-8"?>
<sst xmlns="http://schemas.openxmlformats.org/spreadsheetml/2006/main" count="377" uniqueCount="119">
  <si>
    <t>1. METHODOLOGY</t>
  </si>
  <si>
    <t>2. INTERPRETATION</t>
  </si>
  <si>
    <t>3. RECOMMENDATION</t>
  </si>
  <si>
    <t>Total</t>
  </si>
  <si>
    <t>Discount rate</t>
  </si>
  <si>
    <t>Retention rate</t>
  </si>
  <si>
    <t>Offices summary - Based on contribution margin</t>
  </si>
  <si>
    <t>ID</t>
  </si>
  <si>
    <t xml:space="preserve">Annual expenses
</t>
  </si>
  <si>
    <t>Contribution margin</t>
  </si>
  <si>
    <t>CLV</t>
  </si>
  <si>
    <t>Decile</t>
  </si>
  <si>
    <t>Margin</t>
  </si>
  <si>
    <t>% of total contribution</t>
  </si>
  <si>
    <t>Prospect Life time Value</t>
  </si>
  <si>
    <t>Expected initial margin (avg.)</t>
  </si>
  <si>
    <t>Expected CLV (avg.)</t>
  </si>
  <si>
    <t>Acqusition rate</t>
  </si>
  <si>
    <t>Acquisition spending</t>
  </si>
  <si>
    <t>PLV</t>
  </si>
  <si>
    <t>Colleges summary - Based on contribution margin</t>
  </si>
  <si>
    <t>Malls summary - Based on contribution margin</t>
  </si>
  <si>
    <t>Profitability calculation: Current profits</t>
  </si>
  <si>
    <t>Sector</t>
  </si>
  <si>
    <t>No. of clients</t>
  </si>
  <si>
    <t>Avg. annual expenses per client</t>
  </si>
  <si>
    <t>Service fee per client</t>
  </si>
  <si>
    <t>Fixed costs</t>
  </si>
  <si>
    <t>Revenue</t>
  </si>
  <si>
    <t>Costs</t>
  </si>
  <si>
    <t>Net Profit</t>
  </si>
  <si>
    <t>Offices</t>
  </si>
  <si>
    <t>Colleges</t>
  </si>
  <si>
    <t>Malls</t>
  </si>
  <si>
    <t>Solver solution for same price</t>
  </si>
  <si>
    <t>Solver solution for different prices</t>
  </si>
  <si>
    <t>Sensitivity analysis</t>
  </si>
  <si>
    <t>Solver solution for same price (+20%)</t>
  </si>
  <si>
    <t>Solver solution for different prices (+20%)</t>
  </si>
  <si>
    <t>Annual subscription fee</t>
  </si>
  <si>
    <t>Mean</t>
  </si>
  <si>
    <t>Totals</t>
  </si>
  <si>
    <t>No clients</t>
  </si>
  <si>
    <t>No clients (+20%)</t>
  </si>
  <si>
    <t>Net profit</t>
  </si>
  <si>
    <t>Net profit (+20%)</t>
  </si>
  <si>
    <t>Difference in Clients</t>
  </si>
  <si>
    <t>Diff in Net Profit</t>
  </si>
  <si>
    <t>DIFFERENT PRICES</t>
  </si>
  <si>
    <t>SAME PRICES</t>
  </si>
  <si>
    <t>SENSITIVITY</t>
  </si>
  <si>
    <t>% Diff</t>
  </si>
  <si>
    <t>Constributing Clients</t>
  </si>
  <si>
    <t>PLV - Contributing Clients</t>
  </si>
  <si>
    <t>Table 1</t>
  </si>
  <si>
    <t>Table 2</t>
  </si>
  <si>
    <t xml:space="preserve">Total </t>
  </si>
  <si>
    <t>Table 3</t>
  </si>
  <si>
    <t>Table 4</t>
  </si>
  <si>
    <t>Clients</t>
  </si>
  <si>
    <t>Deciles</t>
  </si>
  <si>
    <t>Clients per decile</t>
  </si>
  <si>
    <t>Table Overview</t>
  </si>
  <si>
    <t>Table 5</t>
  </si>
  <si>
    <t>Table 6</t>
  </si>
  <si>
    <t>Table 7</t>
  </si>
  <si>
    <t>Table 8</t>
  </si>
  <si>
    <t>Table 9</t>
  </si>
  <si>
    <t>Expt. initial margin (avg.)</t>
  </si>
  <si>
    <t>No of Clients</t>
  </si>
  <si>
    <t>Average CLV</t>
  </si>
  <si>
    <t>Total CLV</t>
  </si>
  <si>
    <t>Avg. Contribution Margin</t>
  </si>
  <si>
    <t>Tot. Contribution Margin</t>
  </si>
  <si>
    <t>New values</t>
  </si>
  <si>
    <t>Original values</t>
  </si>
  <si>
    <t>New values2</t>
  </si>
  <si>
    <t>Original values3</t>
  </si>
  <si>
    <t>New values3</t>
  </si>
  <si>
    <t>Original values4</t>
  </si>
  <si>
    <t>New PLV</t>
  </si>
  <si>
    <t>Old PLV</t>
  </si>
  <si>
    <t>New PLV2</t>
  </si>
  <si>
    <t>Old PLV3</t>
  </si>
  <si>
    <t>New PLV3</t>
  </si>
  <si>
    <t>Old PLV4</t>
  </si>
  <si>
    <t>Figure 1</t>
  </si>
  <si>
    <t>Figure 2</t>
  </si>
  <si>
    <t>Figure 3</t>
  </si>
  <si>
    <t>Relative change</t>
  </si>
  <si>
    <t>Description</t>
  </si>
  <si>
    <t xml:space="preserve">Retention rate, Acquisition rate in 'Colleges' 'Offices' 'Malls' </t>
  </si>
  <si>
    <t xml:space="preserve">Contribution Margin &amp; CLV Calculation in 'Colleges' 'Offices' 'Malls' </t>
  </si>
  <si>
    <t xml:space="preserve">Contribution Distribution in 'Colleges' 'Offices' 'Malls' </t>
  </si>
  <si>
    <t xml:space="preserve">PLC Calculation in 'Colleges' 'Offices' 'Malls' </t>
  </si>
  <si>
    <t>Formula Overview</t>
  </si>
  <si>
    <t xml:space="preserve">1.     Contribution Margin = Annual Subscription Fee – Annual Expenses </t>
  </si>
  <si>
    <t>3.     =SUM(OFFSET(Contribution Margin ‘Table 2’,1,0,Number of Clients in decile,1))</t>
  </si>
  <si>
    <t>4.     PLV = Acquisition Rate (%) * (Initial Margin ($) + CLV ($) - Acquisition Spending per Prospect (KILDE)</t>
  </si>
  <si>
    <t xml:space="preserve">2.     CLV = Margin * (Retention Rate (%) / (1+Discount Rate (%) - Retention Rate (%) </t>
  </si>
  <si>
    <t>5.    Revenue = Service fee per client * Number of clients</t>
  </si>
  <si>
    <t xml:space="preserve">6.    Cost = (Average annual expenses * Number of clients) + Fixed cost per sector </t>
  </si>
  <si>
    <t>7.    Demand increase = Trunc(Number,0) Number of customers * 1.2</t>
  </si>
  <si>
    <t>Profitability calculation: Current profits in 'Analysis'</t>
  </si>
  <si>
    <t>Solver solution for same price in 'Analysis'</t>
  </si>
  <si>
    <t>Solver solution for different prices in 'Analysis'</t>
  </si>
  <si>
    <t>Solver solution for same price (+20%) in 'Analysis'</t>
  </si>
  <si>
    <t>Solver solution for different prices (+20%) in 'Analysis'</t>
  </si>
  <si>
    <t>Figure 4</t>
  </si>
  <si>
    <t>Figure 5</t>
  </si>
  <si>
    <t>Figure 6</t>
  </si>
  <si>
    <t>Reference list</t>
  </si>
  <si>
    <t>Several calculations and methods were applied to identify if acquiring new clients could increase Bris Guards profitability. By utilising the provided template tables in Sheet ‘Colleges’, ‘Offices’ and ‘Malls,’ Customer Lifetime Value (CLV), Contribution Margin Deciles and Prospect Lifetime Value (PLV) were calculated. A table and formula overview is provided in the Appendix. Methodology was performed the same across ‘Colleges, Offices and Malls’. CLV is known as the net profit or loss from a customer, contributing to a company over the entire life of transactions from that given customer. CLV can be used to calculate future customer activity, marketing cost and contributing margins making it highly relevant for Briz Guard. Other metrics as Share-of-Wallet and Past Customer Value, have been frequently used to identify customer value. However, as these are based on historical behaviour, CLV performs better when predicting future activity and profit (Jain &amp; Singh, 2002). Tables 1 &amp; 2 present the CLV analysis. Firstly, the provided values of discount rate, retention rate and annual subscription fee were included in Tables 1 &amp; 2. Then, the contribution margin was calculated with Formula 1 (see Appendix for mentioned formulas). The CLV was calculated with Formula 2, resulting in an average and total CLV of: Colleges: $193,162, $3,863,234, Offices: $319,717, $12,788,697, Malls: $108,785, $3,263,541. A client contribution table (Table 3) of ten deciles is provided to present the distributed contribution across the sectors and client's (Kumar et al., 2009). Table 1 in the Appendix show calculations of clients per decile, and was calculated using Formula 3. Total contribution percentage was estimated in the same table by dividing each decile's margin by the total margin ($515 296), - clustered charts (Figure 1-3, Appendix) were developed to visualise, which will be addressed later in the assignment. PLV was calculated to see if an acquisition strategy is profitable. The respective sector's average of the Contribution Margin and CLV was extracted and added in Table 4, together with the Acquisition rate (15%) and Acquisition spending ($100 000). Formula 4 was used to calculate the PLV in Table 4. 
Task two asked to analyse whether Briz Guard could extract more profits from its current clients by 1) increasing its service fee uniformly or 2) charging different service fees for different sectors. First, considering fixed and variable costs, it was necessary to calculate the current net profit with existing clients' portfolios. Utilising Table 5 (Analysis), the demand was calculated (in No. of Clients) with the provided demand equations - and TRUNC(number,0) as No. of Clients were not supposed to be in fractions. Then the average annual expenses were collected from the respective sheets ($169,501, $149,518, $182,823) and included in the table, as well as service fees per client ($200 000) and fixed cost ($500 000). Formulas 5 and 6 in the Appendix present the revenue and cost calculations, resulting in a net profit of $1,644,548. Then, all values were copied and pasted into Tables 6 &amp; 7 to do an Excel Solver Optimisation Analysis. Task 1) to maximise the profit while keeping the current clients and charging the same service fee, the following Solver Parameters were used in Table 6. Set Objective: Net Profit (H15), To: Max, By Changing Variable Cells: Service fee per client (D32:D34), Constraints: Service Fee Colleges=Service Fee Offices &amp; Service Fee Offices= Service Fee Malls (D12=D13, D13=D14), Solving Method: GRG Nonlinear. Resulting in a net profit of $2,563,433. In Table 7 (Analysis), we wanted to find max profit while charging different fees, therefore, no constraints were included. Following Parameters were used Set Objectives: Net Profit (H23), To: Max, By Changing Variable Cells: Service fee per client (D20:D22). Resulting in a Net Profit of $2,749,764 with different service fees across the various sectors. Lastly, a sensitivity analysis was conducted to identify the sensitivity of the results in Tables 6 &amp; 7, particularly to a 20% increase in demand. Tables 8 &amp; 9 present the results, and Formula 7 in the Appendix presents the calculations of demand increase. Results from Table 6 saw an increase of $732,095 (29%) in Table 8, while Table 7 saw an increase of $724,472 (26%). Additionally, Tables 7 &amp; 8 in Appendix were developed to present the differences in the sensitivity analysis between Solver results with the same price and different price increases, showcasing which results were the most sensitive to a demand increase.</t>
  </si>
  <si>
    <t>As mentioned, CLV and contribution margin are metrics explaining how clients or client deciles contribute to the relevant company. Looking at Table 2 in 'Colleges', one can see that the average CLV is positive ($193 162), meaning the company is earning a profit in total from the clients. However, as Table 2 is sorted ascending in 'Annual expenses', it shows that the clients with the lowest annual expenses contribute the most to the company, and consequently, the clients with the highest annual expenses contribute the most negatively. Moreover, in Table 3, where the clients are divided into ten deciles, it becomes clear that decile 7 to 10 contributes negatively to the company, which is also visualised in Figure 1 in the Appendix. By calculating the PLV in Table 4, we want to identify whether Bris Guard can improve profitability by acquiring new clients. However, due to several negatively contributing clients, we receive relatively low values within the expected initial margin and CLV, which, together with the acquisition rate of only 15% and a high spend per customer ($100 000), results in a negative PLV of minus $66 451. Tables 2, 3 and 4 in Sheet' Offices' and 'Malls' show the same tendencies, with several negatively contributing clients impacting the expected initial margin and CLV to a lower value. Moreover, the Office sector holds three negative deciles and the Malls sector holds four, and the sectors receive PLVs of minus $44 470 and $81 106, respectively. Meaning the Office sector has the least negative PLV, while Malls have the most negative. Furthermore, as one only should proceed with an acquisition strategy if PLV equals larger than 0, an acquisition strategy might be unbeneficial with the current client portfolio. Table 5 in 'Analysis' presents the net profit ($ 1 644 548) given the current no. of clients and service fee per client, and Tables 6 &amp; 7 show the new net profits calculated with the parameters explained in the methodology using Excel Solver. Both calculations provide new net profits without acquiring new clients but relocating resources and abandoning some clients. Moreover, although by keeping the service fee uniformly across all sectors at $230 000 we can achieve higher revenue, the total net profit comes out lower than when charging different service fees across different sectors as the cost is lowered by 31% in total in this calculation (Colleges: $219 999, Offices: $239 907, Malls: 240 000)—specifically, $2 563 433 against $2 749 764 in net profit. Bris Guard can extract the most profit by charging different service fees for different sectors. To check the results, Tables and Figures 4, 5 and 6 in the Appendix were developed, showing in the highlighted areas that the No. of clients, service fees, and net profit aligns with the results from the Excel Solver. However, Excel Solver will have the ability to be more accurate than the provided tables and figures. Lastly, the sensitivity analysis in Tables 8 &amp; 9 'Analysis' identifies which results from the last section are most sensitive to potential changes from its net present value (The Treasury, 2015), particularly a 20% increase. However, to make it easier to compare, Tables 7 &amp; 8 in the Appendix were created using the values from the sensitivity analysis. From the tables, one can see that the results from 'Table 6: Uniform fees' is the most sensitive to a 20% increase in demand, with 29% compared to 'Different fees' increase of 26 %, which should be taken into consideration when choosing which price model to apply. At the same time, it is essential to mention that the net profit still is higher in the model opting for different prices for different sectors.</t>
  </si>
  <si>
    <t>The Treasury. (2015). Approaches to sensitivity analysis. New Zealand Government. https://www.treasury.govt.nz/information-and-services/state-sector-leadership/investment-management/better-business-cases-bbc/bbc-methods-and-tools/approaches-sensitivity-analysis</t>
  </si>
  <si>
    <r>
      <t xml:space="preserve">Jain, D., &amp; Singh, S. S. (2002). Customer lifetime value research in marketing: A review and future directions. </t>
    </r>
    <r>
      <rPr>
        <i/>
        <sz val="12"/>
        <color theme="1"/>
        <rFont val="Calibri"/>
        <family val="2"/>
        <scheme val="minor"/>
      </rPr>
      <t>Journal of Interactive Marketing</t>
    </r>
    <r>
      <rPr>
        <sz val="12"/>
        <color theme="1"/>
        <rFont val="Calibri"/>
        <family val="2"/>
        <scheme val="minor"/>
      </rPr>
      <t xml:space="preserve">, 16(2), 34-46. https://doi.org/https://doi.org/10.1002/dir.10032 </t>
    </r>
  </si>
  <si>
    <r>
      <t xml:space="preserve">Kumar, V., Venkatesan, R., Bohling, T., &amp; Beckmann, D. (2008). Practice Prize Report The Power of CLV: Managing Customer Lifetime Value at IBM. </t>
    </r>
    <r>
      <rPr>
        <i/>
        <sz val="12"/>
        <color theme="1"/>
        <rFont val="Calibri"/>
        <family val="2"/>
        <scheme val="minor"/>
      </rPr>
      <t>Marketing Science</t>
    </r>
    <r>
      <rPr>
        <sz val="12"/>
        <color theme="1"/>
        <rFont val="Calibri"/>
        <family val="2"/>
        <scheme val="minor"/>
      </rPr>
      <t xml:space="preserve">, 27(4), 585-599. https://doi.org/10.1287/mksc.1070.0319 </t>
    </r>
  </si>
  <si>
    <r>
      <t xml:space="preserve">Kumar, V., Venkatesan, R., &amp; Rajan, B. (2009). Implementing profitability through a customer lifetime value management framework. </t>
    </r>
    <r>
      <rPr>
        <i/>
        <sz val="12"/>
        <color theme="1"/>
        <rFont val="Calibri"/>
        <family val="2"/>
        <scheme val="minor"/>
      </rPr>
      <t>NIM Marketing Intelligence Review</t>
    </r>
    <r>
      <rPr>
        <sz val="12"/>
        <color theme="1"/>
        <rFont val="Calibri"/>
        <family val="2"/>
        <scheme val="minor"/>
      </rPr>
      <t xml:space="preserve">, 1(2), 32-43. https://doi.org/doi:10.2478/gfkmir-2014-0076 </t>
    </r>
  </si>
  <si>
    <t>There are several actions Bris Guard can take to improve their net profits through retention and acquisition strategies. Starting with relocating resources and focus by using the values and insights from Tables 1 &amp; 2 (Colleges, Offices, Malls) and Figures 1,2 &amp; 3 (Appendix), showing the distribution of contribution amongst its clients. For example, in Table 2 (Appendix), compared to the original values, one can see an updated CLV calculation using the recommended numbers of clients from Excel Solver in Table 7 (Analysis). The results in this table present a significant difference in CLV and Contribution Margin, therefore, Bris Guard should focus on retention, relocating resources and abandoning negatively contributing clients. Consequently, in Table 3 (Appendix), the updated margins and CLV were utilised to calculate updated PLVs across the sectors. As shown in the table, there are considerable differences between the original and the updated values, and although most still are negative, the Mall's sectors received a positive PLV with the updated values and initial acquisition rate and spending. Therefore, if one successfully abandons the negative contributing clients, there is a potential to acquire new clients from the Malls sector. 
IBM is one of many companies that has used CLV analysis to relocate their resources amongst their clients, to boost the profitability of their positively contributing clients. By sorting their clients by contribution and CVL in deciles, IBM could identify customers that contributed substantially and clients with high potential that had been previously overlooked on behalf of less contributing clients. For this reason, they abandoned specific clients to focus on clients with a higher value potential and used excess resources to acquire new clients (Kumar et al., 2008; Kumar et al., 2009). Moreover, by optimising and differentiating focus on each sector, Bris Guard can maximise their net profit even more. As discussed in the Interpretation, by lowering the number of customers and increasing the service fee differentiated across the sectors, in terms of the results from Table 7 (analysis), the company will see lower costs, higher revenue, and higher net profits than its current level. Furthermore, even though the highest earning potential still is within the office sector, the mall sector has the potential for the most significant relative change (see Table 7 'Analysis') and could therefore be an excellent sector to relocate resources (expenses) to. Also, using the CLV to perform target marketing, securing loyal customers and acquiring new ones through loyalty programs and referral bonuses, are all found to be low-cost, demanding small resources and effective methods (Jain &amp; Singh,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</si>
</sst>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Red]\-&quot;$&quot;#,##0"/>
    <numFmt numFmtId="165" formatCode="_-&quot;$&quot;* #,##0.00_-;\-&quot;$&quot;* #,##0.00_-;_-&quot;$&quot;* &quot;-&quot;??_-;_-@_-"/>
    <numFmt numFmtId="166" formatCode="&quot;$&quot;#,##0"/>
    <numFmt numFmtId="167" formatCode="_-[$$-C09]* #,##0_-;\-[$$-C09]* #,##0_-;_-[$$-C09]* &quot;-&quot;_-;_-@_-"/>
    <numFmt numFmtId="168" formatCode="_-[$$-C09]* #,##0_-;\-[$$-C09]* #,##0_-;_-[$$-C09]* &quot;-&quot;??_-;_-@_-"/>
    <numFmt numFmtId="169" formatCode="_(&quot;$&quot;* #,##0_);_(&quot;$&quot;* \(#,##0\);_(&quot;$&quot;* &quot;-&quot;??_);_(@_)"/>
    <numFmt numFmtId="170" formatCode="_-&quot;$&quot;* #,##0_-;\-&quot;$&quot;* #,##0_-;_-&quot;$&quot;* &quot;-&quot;??_-;_-@_-"/>
  </numFmts>
  <fonts count="28" x14ac:knownFonts="1">
    <font>
      <sz val="11"/>
      <color theme="1"/>
      <name val="Calibri"/>
      <family val="2"/>
      <scheme val="minor"/>
    </font>
    <font>
      <sz val="12"/>
      <color theme="1"/>
      <name val="Calibri"/>
      <family val="2"/>
      <scheme val="minor"/>
    </font>
    <font>
      <sz val="12"/>
      <color theme="1"/>
      <name val="Calibri"/>
      <family val="2"/>
      <scheme val="minor"/>
    </font>
    <font>
      <b/>
      <sz val="12"/>
      <name val="Arial"/>
      <family val="2"/>
    </font>
    <font>
      <b/>
      <sz val="16"/>
      <name val="Arial"/>
      <family val="2"/>
    </font>
    <font>
      <b/>
      <sz val="10"/>
      <name val="Arial"/>
      <family val="2"/>
    </font>
    <font>
      <sz val="10"/>
      <name val="Arial"/>
      <family val="2"/>
    </font>
    <font>
      <sz val="11"/>
      <color theme="1"/>
      <name val="Calibri"/>
      <family val="2"/>
      <scheme val="minor"/>
    </font>
    <font>
      <b/>
      <sz val="11"/>
      <color theme="1"/>
      <name val="Calibri"/>
      <family val="2"/>
      <scheme val="minor"/>
    </font>
    <font>
      <sz val="11"/>
      <color rgb="FFFF0000"/>
      <name val="Calibri"/>
      <family val="2"/>
      <scheme val="minor"/>
    </font>
    <font>
      <b/>
      <sz val="12"/>
      <color theme="1"/>
      <name val="Times New Roman"/>
      <family val="1"/>
    </font>
    <font>
      <b/>
      <sz val="16"/>
      <color theme="1"/>
      <name val="Calibri"/>
      <family val="2"/>
      <scheme val="minor"/>
    </font>
    <font>
      <sz val="11"/>
      <color rgb="FF0000CC"/>
      <name val="Calibri"/>
      <family val="2"/>
      <scheme val="minor"/>
    </font>
    <font>
      <b/>
      <sz val="11"/>
      <color rgb="FF0000CC"/>
      <name val="Calibri"/>
      <family val="2"/>
      <scheme val="minor"/>
    </font>
    <font>
      <b/>
      <sz val="11"/>
      <color rgb="FFC00000"/>
      <name val="Calibri"/>
      <family val="2"/>
      <scheme val="minor"/>
    </font>
    <font>
      <b/>
      <sz val="16"/>
      <color rgb="FFFF0000"/>
      <name val="Arial"/>
      <family val="2"/>
    </font>
    <font>
      <b/>
      <sz val="10"/>
      <color rgb="FFFF0000"/>
      <name val="Arial"/>
      <family val="2"/>
    </font>
    <font>
      <sz val="12"/>
      <color rgb="FFFF0000"/>
      <name val="Times New Roman"/>
      <family val="1"/>
    </font>
    <font>
      <b/>
      <sz val="12"/>
      <color theme="1"/>
      <name val="Calibri"/>
      <family val="2"/>
      <scheme val="minor"/>
    </font>
    <font>
      <sz val="11"/>
      <name val="Calibri"/>
      <family val="2"/>
      <scheme val="minor"/>
    </font>
    <font>
      <sz val="12"/>
      <color theme="1"/>
      <name val="Symbol"/>
      <charset val="2"/>
    </font>
    <font>
      <u/>
      <sz val="11"/>
      <color theme="10"/>
      <name val="Calibri"/>
      <family val="2"/>
      <scheme val="minor"/>
    </font>
    <font>
      <sz val="11"/>
      <color rgb="FF000000"/>
      <name val="Calibri"/>
      <family val="2"/>
      <scheme val="minor"/>
    </font>
    <font>
      <b/>
      <sz val="11"/>
      <color rgb="FF000000"/>
      <name val="Calibri"/>
      <family val="2"/>
      <scheme val="minor"/>
    </font>
    <font>
      <sz val="11"/>
      <color theme="1"/>
      <name val="Times New Roman"/>
      <family val="1"/>
    </font>
    <font>
      <b/>
      <sz val="11"/>
      <color theme="6" tint="-0.499984740745262"/>
      <name val="Calibri"/>
      <family val="2"/>
      <scheme val="minor"/>
    </font>
    <font>
      <sz val="8"/>
      <name val="Calibri"/>
      <family val="2"/>
      <scheme val="minor"/>
    </font>
    <font>
      <i/>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theme="1"/>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165" fontId="7" fillId="0" borderId="0" applyFon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cellStyleXfs>
  <cellXfs count="172">
    <xf numFmtId="0" fontId="0" fillId="0" borderId="0" xfId="0"/>
    <xf numFmtId="0" fontId="0" fillId="2" borderId="0" xfId="0" applyFill="1"/>
    <xf numFmtId="0" fontId="10" fillId="2" borderId="0" xfId="0" applyFont="1" applyFill="1"/>
    <xf numFmtId="9" fontId="0" fillId="3" borderId="1" xfId="0" applyNumberFormat="1" applyFill="1" applyBorder="1"/>
    <xf numFmtId="0" fontId="3" fillId="0" borderId="0" xfId="0" applyFont="1" applyAlignment="1">
      <alignment horizontal="left"/>
    </xf>
    <xf numFmtId="0" fontId="4" fillId="0" borderId="0" xfId="0" applyFont="1" applyAlignment="1">
      <alignment horizontal="right"/>
    </xf>
    <xf numFmtId="0" fontId="0" fillId="0" borderId="0" xfId="0" applyAlignment="1">
      <alignment horizontal="right"/>
    </xf>
    <xf numFmtId="0" fontId="11" fillId="0" borderId="0" xfId="0" applyFont="1" applyAlignment="1">
      <alignment horizontal="center"/>
    </xf>
    <xf numFmtId="0" fontId="8" fillId="0" borderId="0" xfId="0" applyFont="1" applyAlignment="1">
      <alignment horizontal="center" vertical="top"/>
    </xf>
    <xf numFmtId="0" fontId="8" fillId="4" borderId="1" xfId="0" applyFont="1" applyFill="1" applyBorder="1" applyAlignment="1">
      <alignment horizontal="center"/>
    </xf>
    <xf numFmtId="0" fontId="8" fillId="4" borderId="1" xfId="0" applyFont="1" applyFill="1" applyBorder="1" applyAlignment="1">
      <alignment horizontal="center" wrapText="1"/>
    </xf>
    <xf numFmtId="0" fontId="8" fillId="4" borderId="1" xfId="0" applyFont="1" applyFill="1" applyBorder="1" applyAlignment="1">
      <alignment horizontal="left" wrapText="1"/>
    </xf>
    <xf numFmtId="167" fontId="0" fillId="0" borderId="0" xfId="0" applyNumberFormat="1"/>
    <xf numFmtId="0" fontId="0" fillId="0" borderId="1" xfId="0" applyBorder="1" applyAlignment="1">
      <alignment horizontal="center"/>
    </xf>
    <xf numFmtId="167" fontId="12" fillId="5" borderId="1" xfId="0" quotePrefix="1" applyNumberFormat="1" applyFont="1" applyFill="1" applyBorder="1"/>
    <xf numFmtId="9" fontId="12" fillId="0" borderId="1" xfId="2" applyFont="1" applyBorder="1"/>
    <xf numFmtId="167" fontId="12" fillId="0" borderId="1" xfId="0" quotePrefix="1" applyNumberFormat="1" applyFont="1" applyBorder="1"/>
    <xf numFmtId="168" fontId="0" fillId="0" borderId="0" xfId="0" applyNumberFormat="1"/>
    <xf numFmtId="0" fontId="8" fillId="3" borderId="1" xfId="0" applyFont="1" applyFill="1" applyBorder="1" applyAlignment="1">
      <alignment horizontal="center"/>
    </xf>
    <xf numFmtId="167" fontId="13" fillId="3" borderId="1" xfId="0" applyNumberFormat="1" applyFont="1" applyFill="1" applyBorder="1"/>
    <xf numFmtId="168" fontId="12" fillId="5" borderId="0" xfId="0" applyNumberFormat="1" applyFont="1" applyFill="1"/>
    <xf numFmtId="167" fontId="0" fillId="0" borderId="1" xfId="0" applyNumberFormat="1" applyBorder="1"/>
    <xf numFmtId="9" fontId="0" fillId="0" borderId="1" xfId="0" applyNumberFormat="1" applyBorder="1"/>
    <xf numFmtId="164" fontId="0" fillId="0" borderId="1" xfId="0" applyNumberFormat="1" applyBorder="1"/>
    <xf numFmtId="168" fontId="14" fillId="3" borderId="1" xfId="0" applyNumberFormat="1" applyFont="1" applyFill="1" applyBorder="1"/>
    <xf numFmtId="0" fontId="8" fillId="0" borderId="0" xfId="0" applyFont="1"/>
    <xf numFmtId="0" fontId="0" fillId="3" borderId="1" xfId="0" applyFill="1" applyBorder="1"/>
    <xf numFmtId="0" fontId="0" fillId="3" borderId="1" xfId="0" applyFill="1" applyBorder="1" applyAlignment="1">
      <alignment horizontal="center" wrapText="1"/>
    </xf>
    <xf numFmtId="0" fontId="0" fillId="0" borderId="1" xfId="0" applyBorder="1"/>
    <xf numFmtId="164" fontId="12" fillId="0" borderId="1" xfId="0" applyNumberFormat="1" applyFont="1" applyBorder="1"/>
    <xf numFmtId="164" fontId="13" fillId="0" borderId="1" xfId="0" applyNumberFormat="1" applyFont="1" applyBorder="1"/>
    <xf numFmtId="0" fontId="9" fillId="0" borderId="0" xfId="0" applyFont="1"/>
    <xf numFmtId="0" fontId="15" fillId="0" borderId="0" xfId="0" applyFont="1" applyAlignment="1">
      <alignment horizontal="right"/>
    </xf>
    <xf numFmtId="0" fontId="9" fillId="0" borderId="0" xfId="0" applyFont="1" applyAlignment="1">
      <alignment horizontal="right"/>
    </xf>
    <xf numFmtId="9" fontId="9" fillId="0" borderId="0" xfId="0" applyNumberFormat="1" applyFont="1"/>
    <xf numFmtId="0" fontId="16" fillId="0" borderId="0" xfId="0" applyFont="1" applyAlignment="1">
      <alignment horizontal="center" wrapText="1"/>
    </xf>
    <xf numFmtId="9" fontId="0" fillId="0" borderId="0" xfId="0" applyNumberFormat="1"/>
    <xf numFmtId="0" fontId="5" fillId="0" borderId="0" xfId="0" applyFont="1" applyAlignment="1">
      <alignment horizontal="center" wrapText="1"/>
    </xf>
    <xf numFmtId="167" fontId="13" fillId="3" borderId="1" xfId="0" quotePrefix="1" applyNumberFormat="1" applyFont="1" applyFill="1" applyBorder="1"/>
    <xf numFmtId="10" fontId="13" fillId="3" borderId="1" xfId="0" quotePrefix="1" applyNumberFormat="1" applyFont="1" applyFill="1" applyBorder="1"/>
    <xf numFmtId="0" fontId="20" fillId="0" borderId="0" xfId="0" applyFont="1" applyAlignment="1">
      <alignment horizontal="left" vertical="center" indent="6"/>
    </xf>
    <xf numFmtId="166" fontId="8" fillId="0" borderId="11" xfId="0" applyNumberFormat="1" applyFont="1" applyBorder="1"/>
    <xf numFmtId="10" fontId="13" fillId="3" borderId="1" xfId="0" applyNumberFormat="1" applyFont="1" applyFill="1" applyBorder="1"/>
    <xf numFmtId="0" fontId="8" fillId="3" borderId="8" xfId="0" applyFont="1" applyFill="1" applyBorder="1"/>
    <xf numFmtId="166" fontId="0" fillId="0" borderId="0" xfId="0" applyNumberFormat="1"/>
    <xf numFmtId="0" fontId="0" fillId="0" borderId="12" xfId="0" applyBorder="1"/>
    <xf numFmtId="0" fontId="0" fillId="0" borderId="13" xfId="0" applyBorder="1"/>
    <xf numFmtId="0" fontId="0" fillId="0" borderId="10" xfId="0" applyBorder="1"/>
    <xf numFmtId="0" fontId="0" fillId="0" borderId="14" xfId="0" applyBorder="1"/>
    <xf numFmtId="0" fontId="12" fillId="0" borderId="1" xfId="0" applyFont="1" applyBorder="1"/>
    <xf numFmtId="164" fontId="0" fillId="0" borderId="0" xfId="0" applyNumberFormat="1"/>
    <xf numFmtId="166" fontId="8" fillId="0" borderId="0" xfId="0" applyNumberFormat="1" applyFont="1"/>
    <xf numFmtId="164" fontId="12" fillId="0" borderId="0" xfId="0" applyNumberFormat="1" applyFont="1"/>
    <xf numFmtId="164" fontId="12" fillId="7" borderId="0" xfId="0" applyNumberFormat="1" applyFont="1" applyFill="1"/>
    <xf numFmtId="0" fontId="0" fillId="0" borderId="0" xfId="0" applyAlignment="1">
      <alignment horizontal="center" wrapText="1"/>
    </xf>
    <xf numFmtId="166" fontId="12" fillId="0" borderId="0" xfId="0" applyNumberFormat="1" applyFont="1"/>
    <xf numFmtId="10" fontId="0" fillId="0" borderId="0" xfId="0" applyNumberFormat="1"/>
    <xf numFmtId="0" fontId="0" fillId="0" borderId="0" xfId="0" applyAlignment="1">
      <alignment horizontal="center"/>
    </xf>
    <xf numFmtId="1" fontId="12" fillId="0" borderId="1" xfId="0" applyNumberFormat="1" applyFont="1" applyBorder="1"/>
    <xf numFmtId="0" fontId="0" fillId="0" borderId="11" xfId="0" applyBorder="1"/>
    <xf numFmtId="166" fontId="0" fillId="0" borderId="11" xfId="0" applyNumberFormat="1" applyBorder="1"/>
    <xf numFmtId="0" fontId="8" fillId="0" borderId="0" xfId="0" applyFont="1" applyAlignment="1">
      <alignment horizontal="center"/>
    </xf>
    <xf numFmtId="164" fontId="8" fillId="0" borderId="1" xfId="0" applyNumberFormat="1" applyFont="1" applyBorder="1"/>
    <xf numFmtId="0" fontId="8" fillId="0" borderId="1" xfId="0" applyFont="1" applyBorder="1"/>
    <xf numFmtId="0" fontId="0" fillId="0" borderId="15" xfId="0" applyBorder="1"/>
    <xf numFmtId="0" fontId="8" fillId="0" borderId="15" xfId="0" applyFont="1" applyBorder="1"/>
    <xf numFmtId="0" fontId="8" fillId="0" borderId="6" xfId="0" applyFont="1" applyBorder="1"/>
    <xf numFmtId="0" fontId="8" fillId="0" borderId="5" xfId="0" applyFont="1" applyBorder="1"/>
    <xf numFmtId="166" fontId="8" fillId="0" borderId="1" xfId="0" applyNumberFormat="1" applyFont="1" applyBorder="1"/>
    <xf numFmtId="0" fontId="0" fillId="3" borderId="1" xfId="0" applyFill="1" applyBorder="1" applyAlignment="1">
      <alignment wrapText="1"/>
    </xf>
    <xf numFmtId="9" fontId="0" fillId="0" borderId="1" xfId="2" applyFont="1" applyBorder="1"/>
    <xf numFmtId="9" fontId="8" fillId="0" borderId="1" xfId="2" applyFont="1" applyBorder="1"/>
    <xf numFmtId="9" fontId="8" fillId="0" borderId="5" xfId="2" applyFont="1" applyBorder="1"/>
    <xf numFmtId="9" fontId="8" fillId="0" borderId="1" xfId="0" applyNumberFormat="1" applyFont="1" applyBorder="1"/>
    <xf numFmtId="0" fontId="0" fillId="0" borderId="7" xfId="0" applyBorder="1"/>
    <xf numFmtId="3" fontId="6" fillId="0" borderId="0" xfId="0" applyNumberFormat="1" applyFont="1" applyAlignment="1">
      <alignment horizontal="left"/>
    </xf>
    <xf numFmtId="166" fontId="7" fillId="0" borderId="0" xfId="1" applyNumberFormat="1" applyFont="1" applyFill="1" applyBorder="1"/>
    <xf numFmtId="0" fontId="0" fillId="0" borderId="0" xfId="0" applyAlignment="1">
      <alignment horizontal="left"/>
    </xf>
    <xf numFmtId="166" fontId="19" fillId="0" borderId="0" xfId="0" applyNumberFormat="1" applyFont="1"/>
    <xf numFmtId="166" fontId="0" fillId="0" borderId="0" xfId="0" applyNumberFormat="1" applyAlignment="1">
      <alignment horizontal="right"/>
    </xf>
    <xf numFmtId="0" fontId="8" fillId="0" borderId="0" xfId="0" applyFont="1" applyAlignment="1">
      <alignment horizontal="left"/>
    </xf>
    <xf numFmtId="166" fontId="0" fillId="0" borderId="0" xfId="1" applyNumberFormat="1" applyFont="1" applyFill="1" applyBorder="1"/>
    <xf numFmtId="0" fontId="18" fillId="0" borderId="0" xfId="0" applyFont="1"/>
    <xf numFmtId="168" fontId="14" fillId="0" borderId="0" xfId="0" applyNumberFormat="1" applyFont="1"/>
    <xf numFmtId="164" fontId="13" fillId="0" borderId="0" xfId="0" applyNumberFormat="1" applyFont="1"/>
    <xf numFmtId="164" fontId="8" fillId="0" borderId="0" xfId="0" applyNumberFormat="1" applyFont="1"/>
    <xf numFmtId="9" fontId="8" fillId="0" borderId="0" xfId="2" applyFont="1" applyBorder="1"/>
    <xf numFmtId="0" fontId="5" fillId="0" borderId="0" xfId="0" applyFont="1" applyAlignment="1">
      <alignment horizontal="left"/>
    </xf>
    <xf numFmtId="0" fontId="23" fillId="0" borderId="0" xfId="0" applyFont="1"/>
    <xf numFmtId="0" fontId="22" fillId="0" borderId="0" xfId="0" applyFont="1"/>
    <xf numFmtId="0" fontId="8" fillId="0" borderId="5" xfId="0" applyFont="1" applyBorder="1" applyAlignment="1">
      <alignment horizontal="center"/>
    </xf>
    <xf numFmtId="0" fontId="8" fillId="0" borderId="1" xfId="0" applyFont="1" applyBorder="1" applyAlignment="1">
      <alignment horizontal="center"/>
    </xf>
    <xf numFmtId="0" fontId="8" fillId="0" borderId="14" xfId="0" applyFont="1" applyBorder="1"/>
    <xf numFmtId="0" fontId="8" fillId="0" borderId="15" xfId="0" applyFont="1" applyBorder="1" applyAlignment="1">
      <alignment horizontal="center" wrapText="1"/>
    </xf>
    <xf numFmtId="0" fontId="8" fillId="0" borderId="13" xfId="0" applyFont="1" applyBorder="1"/>
    <xf numFmtId="169" fontId="0" fillId="0" borderId="0" xfId="1" applyNumberFormat="1" applyFont="1" applyFill="1"/>
    <xf numFmtId="170" fontId="0" fillId="0" borderId="0" xfId="1" applyNumberFormat="1" applyFont="1" applyFill="1"/>
    <xf numFmtId="169" fontId="0" fillId="0" borderId="0" xfId="1" applyNumberFormat="1" applyFont="1" applyFill="1" applyAlignment="1">
      <alignment horizontal="right"/>
    </xf>
    <xf numFmtId="169" fontId="0" fillId="0" borderId="0" xfId="0" applyNumberFormat="1"/>
    <xf numFmtId="169" fontId="0" fillId="0" borderId="13" xfId="1" applyNumberFormat="1" applyFont="1" applyFill="1" applyBorder="1"/>
    <xf numFmtId="0" fontId="0" fillId="0" borderId="13" xfId="1" applyNumberFormat="1" applyFont="1" applyFill="1" applyBorder="1"/>
    <xf numFmtId="0" fontId="0" fillId="0" borderId="14" xfId="1" applyNumberFormat="1" applyFont="1" applyFill="1" applyBorder="1"/>
    <xf numFmtId="169" fontId="0" fillId="0" borderId="14" xfId="1" applyNumberFormat="1" applyFont="1" applyFill="1" applyBorder="1" applyAlignment="1">
      <alignment horizontal="right"/>
    </xf>
    <xf numFmtId="169" fontId="0" fillId="0" borderId="8" xfId="1" applyNumberFormat="1" applyFont="1" applyFill="1" applyBorder="1"/>
    <xf numFmtId="169" fontId="0" fillId="0" borderId="7" xfId="1" applyNumberFormat="1" applyFont="1" applyFill="1" applyBorder="1" applyAlignment="1">
      <alignment horizontal="right"/>
    </xf>
    <xf numFmtId="170" fontId="0" fillId="0" borderId="14" xfId="1" applyNumberFormat="1" applyFont="1" applyFill="1" applyBorder="1"/>
    <xf numFmtId="170" fontId="0" fillId="0" borderId="7" xfId="1" applyNumberFormat="1" applyFont="1" applyFill="1" applyBorder="1"/>
    <xf numFmtId="169" fontId="0" fillId="0" borderId="14" xfId="0" applyNumberFormat="1" applyBorder="1"/>
    <xf numFmtId="169" fontId="0" fillId="0" borderId="7" xfId="0" applyNumberFormat="1" applyBorder="1"/>
    <xf numFmtId="169" fontId="0" fillId="0" borderId="14" xfId="1" applyNumberFormat="1" applyFont="1" applyFill="1" applyBorder="1"/>
    <xf numFmtId="9" fontId="0" fillId="0" borderId="0" xfId="2" applyFont="1"/>
    <xf numFmtId="0" fontId="0" fillId="0" borderId="15" xfId="0" applyBorder="1" applyAlignment="1">
      <alignment horizontal="center" wrapText="1"/>
    </xf>
    <xf numFmtId="1" fontId="0" fillId="0" borderId="0" xfId="0" applyNumberFormat="1"/>
    <xf numFmtId="0" fontId="6" fillId="3" borderId="9" xfId="0" applyFont="1" applyFill="1" applyBorder="1" applyAlignment="1">
      <alignment horizontal="left"/>
    </xf>
    <xf numFmtId="166" fontId="0" fillId="3" borderId="12" xfId="0" applyNumberFormat="1" applyFill="1" applyBorder="1"/>
    <xf numFmtId="0" fontId="0" fillId="3" borderId="12" xfId="0" applyFill="1" applyBorder="1"/>
    <xf numFmtId="166" fontId="12" fillId="3" borderId="12" xfId="0" applyNumberFormat="1" applyFont="1" applyFill="1" applyBorder="1"/>
    <xf numFmtId="166" fontId="12" fillId="3" borderId="10" xfId="0" applyNumberFormat="1" applyFont="1" applyFill="1" applyBorder="1"/>
    <xf numFmtId="166" fontId="13" fillId="3" borderId="5" xfId="0" applyNumberFormat="1" applyFont="1" applyFill="1" applyBorder="1"/>
    <xf numFmtId="166" fontId="8" fillId="3" borderId="5" xfId="0" applyNumberFormat="1" applyFont="1" applyFill="1" applyBorder="1"/>
    <xf numFmtId="166" fontId="13" fillId="3" borderId="7" xfId="0" applyNumberFormat="1" applyFont="1" applyFill="1" applyBorder="1"/>
    <xf numFmtId="0" fontId="8" fillId="3" borderId="9" xfId="0" applyFont="1" applyFill="1" applyBorder="1"/>
    <xf numFmtId="166" fontId="8" fillId="3" borderId="12" xfId="0" applyNumberFormat="1" applyFont="1" applyFill="1" applyBorder="1"/>
    <xf numFmtId="166" fontId="8" fillId="3" borderId="10" xfId="0" applyNumberFormat="1" applyFont="1" applyFill="1" applyBorder="1"/>
    <xf numFmtId="166" fontId="8" fillId="3" borderId="7" xfId="0" applyNumberFormat="1" applyFont="1" applyFill="1" applyBorder="1"/>
    <xf numFmtId="3" fontId="6" fillId="3" borderId="9" xfId="0" applyNumberFormat="1" applyFont="1" applyFill="1" applyBorder="1" applyAlignment="1">
      <alignment horizontal="left"/>
    </xf>
    <xf numFmtId="166" fontId="0" fillId="3" borderId="8" xfId="0" applyNumberFormat="1" applyFill="1" applyBorder="1"/>
    <xf numFmtId="166" fontId="12" fillId="3" borderId="5" xfId="0" applyNumberFormat="1" applyFont="1" applyFill="1" applyBorder="1"/>
    <xf numFmtId="167" fontId="9" fillId="5" borderId="1" xfId="0" quotePrefix="1" applyNumberFormat="1" applyFont="1" applyFill="1" applyBorder="1"/>
    <xf numFmtId="9" fontId="9" fillId="0" borderId="1" xfId="2" applyFont="1" applyBorder="1"/>
    <xf numFmtId="167" fontId="9" fillId="0" borderId="1" xfId="0" quotePrefix="1" applyNumberFormat="1" applyFont="1" applyBorder="1"/>
    <xf numFmtId="168" fontId="25" fillId="0" borderId="0" xfId="0" applyNumberFormat="1" applyFont="1"/>
    <xf numFmtId="9" fontId="0" fillId="3" borderId="1" xfId="2" applyFont="1" applyFill="1" applyBorder="1"/>
    <xf numFmtId="0" fontId="8" fillId="0" borderId="9" xfId="0" applyFont="1" applyBorder="1"/>
    <xf numFmtId="0" fontId="8" fillId="0" borderId="8" xfId="0" applyFont="1" applyBorder="1"/>
    <xf numFmtId="0" fontId="0" fillId="0" borderId="5" xfId="0" applyBorder="1" applyAlignment="1">
      <alignment horizontal="left"/>
    </xf>
    <xf numFmtId="0" fontId="0" fillId="0" borderId="12" xfId="0" applyBorder="1" applyAlignment="1">
      <alignment horizontal="left"/>
    </xf>
    <xf numFmtId="166" fontId="0" fillId="3" borderId="10" xfId="0" applyNumberFormat="1" applyFill="1" applyBorder="1"/>
    <xf numFmtId="166" fontId="0" fillId="3" borderId="5" xfId="0" applyNumberFormat="1" applyFill="1" applyBorder="1" applyAlignment="1">
      <alignment horizontal="right"/>
    </xf>
    <xf numFmtId="166" fontId="0" fillId="3" borderId="7" xfId="0" applyNumberFormat="1" applyFill="1" applyBorder="1" applyAlignment="1">
      <alignment horizontal="right"/>
    </xf>
    <xf numFmtId="0" fontId="0" fillId="0" borderId="9" xfId="0" applyBorder="1" applyAlignment="1">
      <alignment horizontal="left"/>
    </xf>
    <xf numFmtId="0" fontId="0" fillId="0" borderId="13" xfId="0" applyBorder="1" applyAlignment="1">
      <alignment horizontal="left"/>
    </xf>
    <xf numFmtId="0" fontId="0" fillId="0" borderId="8" xfId="0" applyBorder="1" applyAlignment="1">
      <alignment horizontal="left"/>
    </xf>
    <xf numFmtId="0" fontId="18" fillId="0" borderId="0" xfId="0" applyFont="1" applyAlignment="1">
      <alignment horizontal="left"/>
    </xf>
    <xf numFmtId="0" fontId="2" fillId="0" borderId="0" xfId="3" applyFont="1" applyAlignment="1">
      <alignment horizontal="left" vertical="center"/>
    </xf>
    <xf numFmtId="0" fontId="8" fillId="3" borderId="2" xfId="0" applyFont="1" applyFill="1" applyBorder="1" applyAlignment="1">
      <alignment horizontal="left"/>
    </xf>
    <xf numFmtId="0" fontId="8" fillId="3" borderId="4" xfId="0" applyFont="1" applyFill="1" applyBorder="1" applyAlignment="1">
      <alignment horizontal="left"/>
    </xf>
    <xf numFmtId="0" fontId="8" fillId="6" borderId="5" xfId="0" applyFont="1" applyFill="1" applyBorder="1" applyAlignment="1">
      <alignment horizontal="center"/>
    </xf>
    <xf numFmtId="0" fontId="0" fillId="0" borderId="1" xfId="0" applyBorder="1"/>
    <xf numFmtId="0" fontId="0" fillId="5" borderId="1" xfId="0" applyFill="1" applyBorder="1" applyAlignment="1">
      <alignment wrapText="1"/>
    </xf>
    <xf numFmtId="0" fontId="17" fillId="0" borderId="0" xfId="0" applyFont="1" applyAlignment="1">
      <alignment horizontal="left" vertical="top" wrapText="1"/>
    </xf>
    <xf numFmtId="0" fontId="18" fillId="3" borderId="2" xfId="0" applyFont="1" applyFill="1" applyBorder="1" applyAlignment="1">
      <alignment horizontal="left"/>
    </xf>
    <xf numFmtId="0" fontId="18" fillId="3" borderId="3" xfId="0" applyFont="1" applyFill="1" applyBorder="1" applyAlignment="1">
      <alignment horizontal="left"/>
    </xf>
    <xf numFmtId="0" fontId="18" fillId="3" borderId="4" xfId="0" applyFont="1" applyFill="1"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8" fillId="0" borderId="2" xfId="0" applyFont="1" applyBorder="1" applyAlignment="1">
      <alignment horizontal="left"/>
    </xf>
    <xf numFmtId="0" fontId="8" fillId="0" borderId="4" xfId="0" applyFont="1" applyBorder="1" applyAlignment="1">
      <alignment horizontal="left"/>
    </xf>
    <xf numFmtId="0" fontId="8" fillId="6" borderId="1" xfId="0" applyFont="1" applyFill="1" applyBorder="1" applyAlignment="1">
      <alignment horizontal="center"/>
    </xf>
    <xf numFmtId="0" fontId="24" fillId="5" borderId="0" xfId="0" applyFont="1" applyFill="1" applyAlignment="1" applyProtection="1">
      <alignment horizontal="left" vertical="top" wrapText="1"/>
      <protection locked="0"/>
    </xf>
    <xf numFmtId="0" fontId="0" fillId="4" borderId="9" xfId="0" applyFill="1" applyBorder="1" applyAlignment="1">
      <alignment horizontal="center"/>
    </xf>
    <xf numFmtId="0" fontId="0" fillId="4" borderId="10" xfId="0" applyFill="1" applyBorder="1" applyAlignment="1">
      <alignment horizontal="center"/>
    </xf>
    <xf numFmtId="0" fontId="8" fillId="8" borderId="5" xfId="0" applyFont="1" applyFill="1" applyBorder="1" applyAlignment="1">
      <alignment horizontal="center"/>
    </xf>
    <xf numFmtId="0" fontId="8" fillId="0" borderId="0" xfId="0" applyFont="1" applyAlignment="1">
      <alignment horizontal="center"/>
    </xf>
    <xf numFmtId="0" fontId="0" fillId="0" borderId="0" xfId="0" applyAlignment="1">
      <alignment horizontal="left"/>
    </xf>
    <xf numFmtId="0" fontId="0" fillId="0" borderId="14"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8" fillId="0" borderId="12" xfId="0" applyFont="1" applyBorder="1" applyAlignment="1">
      <alignment horizontal="left"/>
    </xf>
    <xf numFmtId="0" fontId="8" fillId="0" borderId="10" xfId="0" applyFont="1" applyBorder="1" applyAlignment="1">
      <alignment horizontal="left"/>
    </xf>
    <xf numFmtId="0" fontId="0" fillId="0" borderId="12" xfId="0" applyBorder="1" applyAlignment="1">
      <alignment horizontal="left"/>
    </xf>
    <xf numFmtId="0" fontId="0" fillId="0" borderId="10" xfId="0" applyBorder="1" applyAlignment="1">
      <alignment horizontal="left"/>
    </xf>
  </cellXfs>
  <cellStyles count="4">
    <cellStyle name="Currency" xfId="1" builtinId="4"/>
    <cellStyle name="Hyperlink" xfId="3" builtinId="8"/>
    <cellStyle name="Normal" xfId="0" builtinId="0"/>
    <cellStyle name="Per cent" xfId="2" builtinId="5"/>
  </cellStyles>
  <dxfs count="95">
    <dxf>
      <font>
        <strike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right style="thin">
          <color indexed="64"/>
        </right>
        <top/>
        <bottom/>
        <vertical/>
        <horizontal/>
      </border>
    </dxf>
    <dxf>
      <font>
        <strike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top/>
        <bottom/>
        <vertical/>
        <horizontal/>
      </border>
    </dxf>
    <dxf>
      <font>
        <strike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right style="thin">
          <color indexed="64"/>
        </right>
        <top/>
        <bottom/>
        <vertical/>
        <horizontal/>
      </border>
    </dxf>
    <dxf>
      <font>
        <strike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top/>
        <bottom/>
        <vertical/>
        <horizontal/>
      </border>
    </dxf>
    <dxf>
      <font>
        <strike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dxf>
    <dxf>
      <font>
        <strike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top/>
        <bottom/>
        <horizontal/>
      </border>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rgb="FF0000CC"/>
        <name val="Calibri"/>
        <family val="2"/>
        <scheme val="minor"/>
      </font>
      <numFmt numFmtId="164" formatCode="&quot;$&quot;#,##0;[Red]\-&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quot;$&quot;#,##0;[Red]\-&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quot;$&quot;#,##0;[Red]\-&quot;$&quot;#,##0"/>
      <fill>
        <patternFill patternType="none">
          <fgColor indexed="64"/>
          <bgColor auto="1"/>
        </patternFill>
      </fill>
    </dxf>
    <dxf>
      <font>
        <strike val="0"/>
        <outline val="0"/>
        <shadow val="0"/>
        <u val="none"/>
        <vertAlign val="baseline"/>
        <sz val="11"/>
        <color theme="1"/>
        <name val="Calibri"/>
        <family val="2"/>
        <scheme val="minor"/>
      </font>
      <numFmt numFmtId="164" formatCode="&quot;$&quot;#,##0;[Red]\-&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CC"/>
        <name val="Calibri"/>
        <family val="2"/>
        <scheme val="minor"/>
      </font>
      <numFmt numFmtId="164" formatCode="&quot;$&quot;#,##0;[Red]\-&quot;$&quot;#,##0"/>
    </dxf>
    <dxf>
      <font>
        <b val="0"/>
        <i val="0"/>
        <strike val="0"/>
        <condense val="0"/>
        <extend val="0"/>
        <outline val="0"/>
        <shadow val="0"/>
        <u val="none"/>
        <vertAlign val="baseline"/>
        <sz val="11"/>
        <color theme="1"/>
        <name val="Calibri"/>
        <family val="2"/>
        <scheme val="minor"/>
      </font>
      <numFmt numFmtId="164" formatCode="&quot;$&quot;#,##0;[Red]\-&quot;$&quot;#,##0"/>
    </dxf>
    <dxf>
      <font>
        <b val="0"/>
        <i val="0"/>
        <strike val="0"/>
        <condense val="0"/>
        <extend val="0"/>
        <outline val="0"/>
        <shadow val="0"/>
        <u val="none"/>
        <vertAlign val="baseline"/>
        <sz val="11"/>
        <color theme="1"/>
        <name val="Calibri"/>
        <family val="2"/>
        <scheme val="minor"/>
      </font>
      <numFmt numFmtId="164" formatCode="&quot;$&quot;#,##0;[Red]\-&quot;$&quot;#,##0"/>
    </dxf>
    <dxf>
      <font>
        <b val="0"/>
        <strike val="0"/>
        <outline val="0"/>
        <shadow val="0"/>
        <u val="none"/>
        <vertAlign val="baseline"/>
        <sz val="11"/>
        <color theme="1"/>
        <name val="Calibri"/>
        <family val="2"/>
        <scheme val="minor"/>
      </font>
      <numFmt numFmtId="164" formatCode="&quot;$&quot;#,##0;[Red]\-&quot;$&quot;#,##0"/>
    </dxf>
    <dxf>
      <font>
        <b val="0"/>
        <i val="0"/>
        <strike val="0"/>
        <condense val="0"/>
        <extend val="0"/>
        <outline val="0"/>
        <shadow val="0"/>
        <u val="none"/>
        <vertAlign val="baseline"/>
        <sz val="11"/>
        <color theme="1"/>
        <name val="Calibri"/>
        <family val="2"/>
        <scheme val="minor"/>
      </font>
      <numFmt numFmtId="166" formatCode="&quot;$&quot;#,##0"/>
    </dxf>
    <dxf>
      <font>
        <b val="0"/>
        <strike val="0"/>
        <outline val="0"/>
        <shadow val="0"/>
        <u val="none"/>
        <vertAlign val="baseline"/>
        <sz val="11"/>
        <color theme="1"/>
        <name val="Calibri"/>
        <family val="2"/>
        <scheme val="minor"/>
      </font>
      <numFmt numFmtId="164" formatCode="&quot;$&quot;#,##0;[Red]\-&quot;$&quot;#,##0"/>
    </dxf>
    <dxf>
      <font>
        <b val="0"/>
        <i val="0"/>
        <strike val="0"/>
        <condense val="0"/>
        <extend val="0"/>
        <outline val="0"/>
        <shadow val="0"/>
        <u val="none"/>
        <vertAlign val="baseline"/>
        <sz val="11"/>
        <color theme="1"/>
        <name val="Calibri"/>
        <family val="2"/>
        <scheme val="minor"/>
      </font>
      <numFmt numFmtId="1" formatCode="0"/>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CC"/>
        <name val="Calibri"/>
        <family val="2"/>
        <scheme val="minor"/>
      </font>
      <numFmt numFmtId="164" formatCode="&quot;$&quot;#,##0;[Red]\-&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quot;$&quot;#,##0;[Red]\-&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quot;$&quot;#,##0;[Red]\-&quot;$&quot;#,##0"/>
      <fill>
        <patternFill patternType="none">
          <fgColor indexed="64"/>
          <bgColor auto="1"/>
        </patternFill>
      </fill>
    </dxf>
    <dxf>
      <font>
        <strike val="0"/>
        <outline val="0"/>
        <shadow val="0"/>
        <u val="none"/>
        <vertAlign val="baseline"/>
        <sz val="11"/>
        <color theme="1"/>
        <name val="Calibri"/>
        <family val="2"/>
        <scheme val="minor"/>
      </font>
      <numFmt numFmtId="164" formatCode="&quot;$&quot;#,##0;[Red]\-&quot;$&quot;#,##0"/>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166" formatCode="&quot;$&quot;#,##0"/>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rder>
    </dxf>
    <dxf>
      <fill>
        <patternFill patternType="none">
          <fgColor indexed="64"/>
          <bgColor auto="1"/>
        </patternFill>
      </fill>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family val="2"/>
        <scheme val="minor"/>
      </font>
      <fill>
        <patternFill patternType="none">
          <fgColor rgb="FFD9D9D9"/>
          <bgColor auto="1"/>
        </patternFill>
      </fill>
    </dxf>
    <dxf>
      <font>
        <b val="0"/>
        <i val="0"/>
        <strike val="0"/>
        <condense val="0"/>
        <extend val="0"/>
        <outline val="0"/>
        <shadow val="0"/>
        <u val="none"/>
        <vertAlign val="baseline"/>
        <sz val="11"/>
        <color rgb="FF000000"/>
        <name val="Calibri"/>
        <family val="2"/>
        <scheme val="minor"/>
      </font>
      <fill>
        <patternFill patternType="none">
          <fgColor rgb="FFD9D9D9"/>
          <bgColor auto="1"/>
        </patternFill>
      </fill>
    </dxf>
    <dxf>
      <font>
        <b val="0"/>
        <i val="0"/>
        <strike val="0"/>
        <condense val="0"/>
        <extend val="0"/>
        <outline val="0"/>
        <shadow val="0"/>
        <u val="none"/>
        <vertAlign val="baseline"/>
        <sz val="11"/>
        <color rgb="FF000000"/>
        <name val="Calibri"/>
        <family val="2"/>
        <scheme val="minor"/>
      </font>
      <fill>
        <patternFill patternType="none">
          <fgColor rgb="FFD9D9D9"/>
          <bgColor auto="1"/>
        </patternFill>
      </fill>
    </dxf>
    <dxf>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D9D9D9"/>
          <bgColor auto="1"/>
        </patternFill>
      </fill>
    </dxf>
    <dxf>
      <font>
        <b/>
        <i val="0"/>
        <strike val="0"/>
        <condense val="0"/>
        <extend val="0"/>
        <outline val="0"/>
        <shadow val="0"/>
        <u val="none"/>
        <vertAlign val="baseline"/>
        <sz val="11"/>
        <color rgb="FF000000"/>
        <name val="Calibri"/>
        <family val="2"/>
        <scheme val="minor"/>
      </font>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rgb="FF0000CC"/>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1"/>
        <color rgb="FF0000CC"/>
        <name val="Calibri"/>
        <family val="2"/>
        <scheme val="minor"/>
      </font>
      <numFmt numFmtId="166" formatCode="&quot;$&quot;#,##0"/>
      <fill>
        <patternFill patternType="none">
          <fgColor indexed="64"/>
          <bgColor auto="1"/>
        </patternFill>
      </fill>
    </dxf>
    <dxf>
      <numFmt numFmtId="166" formatCode="&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border outline="0">
        <top style="thin">
          <color indexed="64"/>
        </top>
      </border>
    </dxf>
    <dxf>
      <border outline="0">
        <left style="thin">
          <color indexed="64"/>
        </left>
        <right style="thin">
          <color indexed="64"/>
        </right>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CC"/>
        <name val="Calibri"/>
        <family val="2"/>
        <scheme val="minor"/>
      </font>
      <numFmt numFmtId="166" formatCode="&quot;$&quot;#,##0"/>
      <fill>
        <patternFill patternType="solid">
          <fgColor indexed="64"/>
          <bgColor theme="6" tint="0.5999938962981048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CC"/>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1"/>
        <color rgb="FF0000CC"/>
        <name val="Calibri"/>
        <family val="2"/>
        <scheme val="minor"/>
      </font>
      <numFmt numFmtId="166" formatCode="&quot;$&quot;#,##0"/>
      <fill>
        <patternFill patternType="solid">
          <fgColor indexed="64"/>
          <bgColor theme="6" tint="0.59999389629810485"/>
        </patternFill>
      </fill>
      <border diagonalUp="0" diagonalDown="0" outline="0">
        <left/>
        <right/>
        <top style="thin">
          <color indexed="64"/>
        </top>
        <bottom/>
      </border>
    </dxf>
    <dxf>
      <font>
        <b val="0"/>
        <i val="0"/>
        <strike val="0"/>
        <condense val="0"/>
        <extend val="0"/>
        <outline val="0"/>
        <shadow val="0"/>
        <u val="none"/>
        <vertAlign val="baseline"/>
        <sz val="11"/>
        <color rgb="FF0000CC"/>
        <name val="Calibri"/>
        <family val="2"/>
        <scheme val="minor"/>
      </font>
      <numFmt numFmtId="166" formatCode="&quot;$&quot;#,##0"/>
      <fill>
        <patternFill patternType="none">
          <fgColor indexed="64"/>
          <bgColor auto="1"/>
        </patternFill>
      </fill>
    </dxf>
    <dxf>
      <fill>
        <patternFill patternType="solid">
          <fgColor indexed="64"/>
          <bgColor theme="6" tint="0.59999389629810485"/>
        </patternFill>
      </fill>
      <border diagonalUp="0" diagonalDown="0" outline="0">
        <left/>
        <right/>
        <top style="thin">
          <color indexed="64"/>
        </top>
        <bottom/>
      </border>
    </dxf>
    <dxf>
      <numFmt numFmtId="166" formatCode="&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6" formatCode="&quot;$&quot;#,##0"/>
      <fill>
        <patternFill patternType="solid">
          <fgColor indexed="64"/>
          <bgColor theme="6" tint="0.59999389629810485"/>
        </patternFill>
      </fill>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lef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border>
        <top style="thin">
          <color indexed="64"/>
        </top>
      </border>
    </dxf>
    <dxf>
      <fill>
        <patternFill>
          <fgColor indexed="64"/>
          <bgColor theme="6" tint="0.59999389629810485"/>
        </patternFill>
      </fill>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6" formatCode="&quot;$&quot;#,##0"/>
      <fill>
        <patternFill patternType="solid">
          <fgColor indexed="64"/>
          <bgColor theme="6" tint="0.59999389629810485"/>
        </patternFill>
      </fill>
    </dxf>
    <dxf>
      <font>
        <b val="0"/>
        <i val="0"/>
        <strike val="0"/>
        <condense val="0"/>
        <extend val="0"/>
        <outline val="0"/>
        <shadow val="0"/>
        <u val="none"/>
        <vertAlign val="baseline"/>
        <sz val="11"/>
        <color rgb="FF0000CC"/>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6" formatCode="&quot;$&quot;#,##0"/>
      <fill>
        <patternFill patternType="solid">
          <fgColor indexed="64"/>
          <bgColor theme="6" tint="0.59999389629810485"/>
        </patternFill>
      </fill>
    </dxf>
    <dxf>
      <font>
        <b val="0"/>
        <i val="0"/>
        <strike val="0"/>
        <condense val="0"/>
        <extend val="0"/>
        <outline val="0"/>
        <shadow val="0"/>
        <u val="none"/>
        <vertAlign val="baseline"/>
        <sz val="11"/>
        <color rgb="FF0000CC"/>
        <name val="Calibri"/>
        <family val="2"/>
        <scheme val="minor"/>
      </font>
      <numFmt numFmtId="166" formatCode="&quot;$&quot;#,##0"/>
      <fill>
        <patternFill patternType="none">
          <fgColor indexed="64"/>
          <bgColor auto="1"/>
        </patternFill>
      </fill>
    </dxf>
    <dxf>
      <fill>
        <patternFill patternType="solid">
          <fgColor indexed="64"/>
          <bgColor theme="6" tint="0.59999389629810485"/>
        </patternFill>
      </fill>
    </dxf>
    <dxf>
      <numFmt numFmtId="166" formatCode="&quot;$&quot;#,##0"/>
      <fill>
        <patternFill patternType="none">
          <fgColor indexed="64"/>
          <bgColor auto="1"/>
        </patternFill>
      </fill>
    </dxf>
    <dxf>
      <numFmt numFmtId="166" formatCode="&quot;$&quot;#,##0"/>
      <fill>
        <patternFill patternType="solid">
          <fgColor indexed="64"/>
          <bgColor theme="6" tint="0.59999389629810485"/>
        </patternFill>
      </fill>
    </dxf>
    <dxf>
      <font>
        <b val="0"/>
        <i val="0"/>
        <strike val="0"/>
        <condense val="0"/>
        <extend val="0"/>
        <outline val="0"/>
        <shadow val="0"/>
        <u val="none"/>
        <vertAlign val="baseline"/>
        <sz val="11"/>
        <color theme="1"/>
        <name val="Calibri"/>
        <family val="2"/>
        <scheme val="minor"/>
      </font>
      <numFmt numFmtId="166" formatCode="&quot;$&quot;#,##0"/>
      <fill>
        <patternFill patternType="none">
          <fgColor indexed="64"/>
          <bgColor auto="1"/>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border>
        <top style="thin">
          <color indexed="64"/>
        </top>
      </border>
    </dxf>
    <dxf>
      <fill>
        <patternFill patternType="solid">
          <fgColor indexed="64"/>
          <bgColor theme="6" tint="0.59999389629810485"/>
        </patternFill>
      </fill>
    </dxf>
    <dxf>
      <border outline="0">
        <left style="thin">
          <color indexed="64"/>
        </left>
        <right style="thin">
          <color indexed="64"/>
        </right>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 Colleges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Appendix!$H$58</c:f>
              <c:strCache>
                <c:ptCount val="1"/>
                <c:pt idx="0">
                  <c:v>Net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49-A34F-B88F-BFBBCBCA4693}"/>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49-A34F-B88F-BFBBCBCA46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Appendix!$D$59:$D$72</c:f>
              <c:numCache>
                <c:formatCode>"$"#,##0</c:formatCode>
                <c:ptCount val="14"/>
                <c:pt idx="0">
                  <c:v>185000</c:v>
                </c:pt>
                <c:pt idx="1">
                  <c:v>190000</c:v>
                </c:pt>
                <c:pt idx="2">
                  <c:v>195000</c:v>
                </c:pt>
                <c:pt idx="3">
                  <c:v>200000</c:v>
                </c:pt>
                <c:pt idx="4">
                  <c:v>205000</c:v>
                </c:pt>
                <c:pt idx="5">
                  <c:v>210000</c:v>
                </c:pt>
                <c:pt idx="6">
                  <c:v>215000</c:v>
                </c:pt>
                <c:pt idx="7">
                  <c:v>220000</c:v>
                </c:pt>
                <c:pt idx="8">
                  <c:v>225000</c:v>
                </c:pt>
                <c:pt idx="9">
                  <c:v>230000</c:v>
                </c:pt>
                <c:pt idx="10">
                  <c:v>235000</c:v>
                </c:pt>
                <c:pt idx="11">
                  <c:v>240000</c:v>
                </c:pt>
                <c:pt idx="12">
                  <c:v>245000</c:v>
                </c:pt>
                <c:pt idx="13">
                  <c:v>250000</c:v>
                </c:pt>
              </c:numCache>
            </c:numRef>
          </c:cat>
          <c:val>
            <c:numRef>
              <c:f>Appendix!$H$59:$H$72</c:f>
              <c:numCache>
                <c:formatCode>"$"#,##0;[Red]\-"$"#,##0</c:formatCode>
                <c:ptCount val="14"/>
                <c:pt idx="0">
                  <c:v>-97020.40727493912</c:v>
                </c:pt>
                <c:pt idx="1">
                  <c:v>-8018.8374845590442</c:v>
                </c:pt>
                <c:pt idx="2">
                  <c:v>60982.732305821031</c:v>
                </c:pt>
                <c:pt idx="3">
                  <c:v>109984.30209620018</c:v>
                </c:pt>
                <c:pt idx="4">
                  <c:v>138985.87188658025</c:v>
                </c:pt>
                <c:pt idx="5">
                  <c:v>147987.44167696033</c:v>
                </c:pt>
                <c:pt idx="6">
                  <c:v>136989.0114673404</c:v>
                </c:pt>
                <c:pt idx="7">
                  <c:v>105990.58125772048</c:v>
                </c:pt>
                <c:pt idx="8">
                  <c:v>54992.151048100088</c:v>
                </c:pt>
                <c:pt idx="9">
                  <c:v>-16006.279161519837</c:v>
                </c:pt>
                <c:pt idx="10">
                  <c:v>-107004.70937113976</c:v>
                </c:pt>
                <c:pt idx="11">
                  <c:v>-218003.13958075992</c:v>
                </c:pt>
                <c:pt idx="12">
                  <c:v>-349001.56979037996</c:v>
                </c:pt>
                <c:pt idx="13">
                  <c:v>-500000</c:v>
                </c:pt>
              </c:numCache>
            </c:numRef>
          </c:val>
          <c:smooth val="0"/>
          <c:extLst>
            <c:ext xmlns:c16="http://schemas.microsoft.com/office/drawing/2014/chart" uri="{C3380CC4-5D6E-409C-BE32-E72D297353CC}">
              <c16:uniqueId val="{00000000-5849-A34F-B88F-BFBBCBCA4693}"/>
            </c:ext>
          </c:extLst>
        </c:ser>
        <c:dLbls>
          <c:showLegendKey val="0"/>
          <c:showVal val="0"/>
          <c:showCatName val="0"/>
          <c:showSerName val="0"/>
          <c:showPercent val="0"/>
          <c:showBubbleSize val="0"/>
        </c:dLbls>
        <c:marker val="1"/>
        <c:smooth val="0"/>
        <c:axId val="532627919"/>
        <c:axId val="581661071"/>
      </c:lineChart>
      <c:catAx>
        <c:axId val="53262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Service fee pre client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661071"/>
        <c:crosses val="autoZero"/>
        <c:auto val="1"/>
        <c:lblAlgn val="ctr"/>
        <c:lblOffset val="100"/>
        <c:noMultiLvlLbl val="0"/>
      </c:catAx>
      <c:valAx>
        <c:axId val="58166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27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 Offices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Appendix!$H$75</c:f>
              <c:strCache>
                <c:ptCount val="1"/>
                <c:pt idx="0">
                  <c:v>Net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6A-DE48-9E78-FA70DAF5063F}"/>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6A-DE48-9E78-FA70DAF506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Appendix!$D$76:$D$89</c:f>
              <c:numCache>
                <c:formatCode>"$"#,##0</c:formatCode>
                <c:ptCount val="14"/>
                <c:pt idx="0">
                  <c:v>185000</c:v>
                </c:pt>
                <c:pt idx="1">
                  <c:v>190000</c:v>
                </c:pt>
                <c:pt idx="2">
                  <c:v>195000</c:v>
                </c:pt>
                <c:pt idx="3">
                  <c:v>200000</c:v>
                </c:pt>
                <c:pt idx="4">
                  <c:v>205000</c:v>
                </c:pt>
                <c:pt idx="5">
                  <c:v>210000</c:v>
                </c:pt>
                <c:pt idx="6">
                  <c:v>215000</c:v>
                </c:pt>
                <c:pt idx="7">
                  <c:v>220000</c:v>
                </c:pt>
                <c:pt idx="8">
                  <c:v>225000</c:v>
                </c:pt>
                <c:pt idx="9">
                  <c:v>230000</c:v>
                </c:pt>
                <c:pt idx="10">
                  <c:v>235000</c:v>
                </c:pt>
                <c:pt idx="11">
                  <c:v>240000</c:v>
                </c:pt>
                <c:pt idx="12">
                  <c:v>245000</c:v>
                </c:pt>
                <c:pt idx="13">
                  <c:v>250000</c:v>
                </c:pt>
              </c:numCache>
            </c:numRef>
          </c:cat>
          <c:val>
            <c:numRef>
              <c:f>Appendix!$H$76:$H$89</c:f>
              <c:numCache>
                <c:formatCode>"$"#,##0;[Red]\-"$"#,##0</c:formatCode>
                <c:ptCount val="14"/>
                <c:pt idx="0">
                  <c:v>1078935.6500000004</c:v>
                </c:pt>
                <c:pt idx="1">
                  <c:v>1240713.1000000006</c:v>
                </c:pt>
                <c:pt idx="2">
                  <c:v>1387490.5500000007</c:v>
                </c:pt>
                <c:pt idx="3">
                  <c:v>1519268</c:v>
                </c:pt>
                <c:pt idx="4">
                  <c:v>1636045.4500000002</c:v>
                </c:pt>
                <c:pt idx="5">
                  <c:v>1737822.9000000004</c:v>
                </c:pt>
                <c:pt idx="6">
                  <c:v>1824600.3500000006</c:v>
                </c:pt>
                <c:pt idx="7">
                  <c:v>1896377.8000000007</c:v>
                </c:pt>
                <c:pt idx="8">
                  <c:v>1953155.25</c:v>
                </c:pt>
                <c:pt idx="9">
                  <c:v>1994932.7000000002</c:v>
                </c:pt>
                <c:pt idx="10">
                  <c:v>2021710.1500000004</c:v>
                </c:pt>
                <c:pt idx="11">
                  <c:v>2033487.6000000006</c:v>
                </c:pt>
                <c:pt idx="12">
                  <c:v>2030265.0500000007</c:v>
                </c:pt>
                <c:pt idx="13">
                  <c:v>2012042.5</c:v>
                </c:pt>
              </c:numCache>
            </c:numRef>
          </c:val>
          <c:smooth val="0"/>
          <c:extLst>
            <c:ext xmlns:c16="http://schemas.microsoft.com/office/drawing/2014/chart" uri="{C3380CC4-5D6E-409C-BE32-E72D297353CC}">
              <c16:uniqueId val="{00000000-6F6A-DE48-9E78-FA70DAF5063F}"/>
            </c:ext>
          </c:extLst>
        </c:ser>
        <c:dLbls>
          <c:showLegendKey val="0"/>
          <c:showVal val="0"/>
          <c:showCatName val="0"/>
          <c:showSerName val="0"/>
          <c:showPercent val="0"/>
          <c:showBubbleSize val="0"/>
        </c:dLbls>
        <c:marker val="1"/>
        <c:smooth val="0"/>
        <c:axId val="532450783"/>
        <c:axId val="581662543"/>
      </c:lineChart>
      <c:catAx>
        <c:axId val="53245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Service fee</a:t>
                </a:r>
                <a:r>
                  <a:rPr lang="en-GB" baseline="0"/>
                  <a:t> per client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662543"/>
        <c:crosses val="autoZero"/>
        <c:auto val="1"/>
        <c:lblAlgn val="ctr"/>
        <c:lblOffset val="100"/>
        <c:noMultiLvlLbl val="0"/>
      </c:catAx>
      <c:valAx>
        <c:axId val="58166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0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a:t>
            </a:r>
            <a:r>
              <a:rPr lang="en-US" baseline="0"/>
              <a:t> Malls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Appendix!$H$92</c:f>
              <c:strCache>
                <c:ptCount val="1"/>
                <c:pt idx="0">
                  <c:v>Net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87D-CB42-B65F-6B0647522B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Appendix!$D$93:$D$105</c:f>
              <c:numCache>
                <c:formatCode>"$"#,##0</c:formatCode>
                <c:ptCount val="13"/>
                <c:pt idx="0">
                  <c:v>185000</c:v>
                </c:pt>
                <c:pt idx="1">
                  <c:v>190000</c:v>
                </c:pt>
                <c:pt idx="2">
                  <c:v>195000</c:v>
                </c:pt>
                <c:pt idx="3">
                  <c:v>200000</c:v>
                </c:pt>
                <c:pt idx="4">
                  <c:v>205000</c:v>
                </c:pt>
                <c:pt idx="5">
                  <c:v>210000</c:v>
                </c:pt>
                <c:pt idx="6">
                  <c:v>215000</c:v>
                </c:pt>
                <c:pt idx="7">
                  <c:v>220000</c:v>
                </c:pt>
                <c:pt idx="8">
                  <c:v>225000</c:v>
                </c:pt>
                <c:pt idx="9">
                  <c:v>230000</c:v>
                </c:pt>
                <c:pt idx="10">
                  <c:v>235000</c:v>
                </c:pt>
                <c:pt idx="11">
                  <c:v>240000</c:v>
                </c:pt>
                <c:pt idx="12">
                  <c:v>245000</c:v>
                </c:pt>
              </c:numCache>
            </c:numRef>
          </c:cat>
          <c:val>
            <c:numRef>
              <c:f>Appendix!$H$93:$H$105</c:f>
              <c:numCache>
                <c:formatCode>"$"#,##0;[Red]\-"$"#,##0</c:formatCode>
                <c:ptCount val="13"/>
                <c:pt idx="0">
                  <c:v>-423277.20000000019</c:v>
                </c:pt>
                <c:pt idx="1">
                  <c:v>-259586.13333333377</c:v>
                </c:pt>
                <c:pt idx="2">
                  <c:v>-113395.06666666735</c:v>
                </c:pt>
                <c:pt idx="3">
                  <c:v>15296</c:v>
                </c:pt>
                <c:pt idx="4">
                  <c:v>126487.06666666642</c:v>
                </c:pt>
                <c:pt idx="5">
                  <c:v>220178.13333333284</c:v>
                </c:pt>
                <c:pt idx="6">
                  <c:v>296369.20000000019</c:v>
                </c:pt>
                <c:pt idx="7">
                  <c:v>355060.2666666666</c:v>
                </c:pt>
                <c:pt idx="8">
                  <c:v>396251.33333333302</c:v>
                </c:pt>
                <c:pt idx="9">
                  <c:v>419942.39999999991</c:v>
                </c:pt>
                <c:pt idx="10">
                  <c:v>426133.46666666633</c:v>
                </c:pt>
                <c:pt idx="11">
                  <c:v>414824.53333333321</c:v>
                </c:pt>
                <c:pt idx="12">
                  <c:v>386015.60000000009</c:v>
                </c:pt>
              </c:numCache>
            </c:numRef>
          </c:val>
          <c:smooth val="0"/>
          <c:extLst>
            <c:ext xmlns:c16="http://schemas.microsoft.com/office/drawing/2014/chart" uri="{C3380CC4-5D6E-409C-BE32-E72D297353CC}">
              <c16:uniqueId val="{00000000-B87D-CB42-B65F-6B0647522BCF}"/>
            </c:ext>
          </c:extLst>
        </c:ser>
        <c:dLbls>
          <c:showLegendKey val="0"/>
          <c:showVal val="0"/>
          <c:showCatName val="0"/>
          <c:showSerName val="0"/>
          <c:showPercent val="0"/>
          <c:showBubbleSize val="0"/>
        </c:dLbls>
        <c:marker val="1"/>
        <c:smooth val="0"/>
        <c:axId val="754171631"/>
        <c:axId val="754241615"/>
      </c:lineChart>
      <c:catAx>
        <c:axId val="75417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Service fee per client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41615"/>
        <c:crosses val="autoZero"/>
        <c:auto val="1"/>
        <c:lblAlgn val="ctr"/>
        <c:lblOffset val="100"/>
        <c:noMultiLvlLbl val="0"/>
      </c:catAx>
      <c:valAx>
        <c:axId val="75424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7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Difference</a:t>
            </a:r>
            <a:r>
              <a:rPr lang="en-GB" baseline="0"/>
              <a:t> in Values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Appendix!$D$116</c:f>
              <c:strCache>
                <c:ptCount val="1"/>
                <c:pt idx="0">
                  <c:v>Net profit</c:v>
                </c:pt>
              </c:strCache>
            </c:strRef>
          </c:tx>
          <c:spPr>
            <a:solidFill>
              <a:schemeClr val="accent1"/>
            </a:solidFill>
            <a:ln>
              <a:noFill/>
            </a:ln>
            <a:effectLst/>
          </c:spPr>
          <c:invertIfNegative val="0"/>
          <c:cat>
            <c:strRef>
              <c:f>(Appendix!$A$117:$A$120,Appendix!$A$124:$A$128)</c:f>
              <c:strCache>
                <c:ptCount val="9"/>
                <c:pt idx="0">
                  <c:v>Colleges</c:v>
                </c:pt>
                <c:pt idx="1">
                  <c:v>Offices</c:v>
                </c:pt>
                <c:pt idx="2">
                  <c:v>Malls</c:v>
                </c:pt>
                <c:pt idx="3">
                  <c:v>Totals</c:v>
                </c:pt>
                <c:pt idx="4">
                  <c:v>Sector</c:v>
                </c:pt>
                <c:pt idx="5">
                  <c:v>Colleges</c:v>
                </c:pt>
                <c:pt idx="6">
                  <c:v>Offices</c:v>
                </c:pt>
                <c:pt idx="7">
                  <c:v>Malls</c:v>
                </c:pt>
                <c:pt idx="8">
                  <c:v>Totals</c:v>
                </c:pt>
              </c:strCache>
            </c:strRef>
          </c:cat>
          <c:val>
            <c:numRef>
              <c:f>(Appendix!$D$117:$D$120,Appendix!$D$124:$D$128)</c:f>
              <c:numCache>
                <c:formatCode>"$"#,##0</c:formatCode>
                <c:ptCount val="9"/>
                <c:pt idx="0">
                  <c:v>44492.166577373166</c:v>
                </c:pt>
                <c:pt idx="1">
                  <c:v>2075411.6644767402</c:v>
                </c:pt>
                <c:pt idx="2">
                  <c:v>443528.95696462924</c:v>
                </c:pt>
                <c:pt idx="3">
                  <c:v>2563432.7880187426</c:v>
                </c:pt>
                <c:pt idx="4" formatCode="General">
                  <c:v>0</c:v>
                </c:pt>
                <c:pt idx="5">
                  <c:v>156483.23534666235</c:v>
                </c:pt>
                <c:pt idx="6">
                  <c:v>2121281.9791505495</c:v>
                </c:pt>
                <c:pt idx="7">
                  <c:v>471999.27784934593</c:v>
                </c:pt>
                <c:pt idx="8">
                  <c:v>2749764.4923465578</c:v>
                </c:pt>
              </c:numCache>
            </c:numRef>
          </c:val>
          <c:extLst>
            <c:ext xmlns:c16="http://schemas.microsoft.com/office/drawing/2014/chart" uri="{C3380CC4-5D6E-409C-BE32-E72D297353CC}">
              <c16:uniqueId val="{00000000-D3CF-3D4B-8E94-55B11CA167BB}"/>
            </c:ext>
          </c:extLst>
        </c:ser>
        <c:ser>
          <c:idx val="1"/>
          <c:order val="1"/>
          <c:tx>
            <c:strRef>
              <c:f>Appendix!$E$116</c:f>
              <c:strCache>
                <c:ptCount val="1"/>
                <c:pt idx="0">
                  <c:v>Net profit (+20%)</c:v>
                </c:pt>
              </c:strCache>
            </c:strRef>
          </c:tx>
          <c:spPr>
            <a:solidFill>
              <a:schemeClr val="accent2"/>
            </a:solidFill>
            <a:ln>
              <a:noFill/>
            </a:ln>
            <a:effectLst/>
          </c:spPr>
          <c:invertIfNegative val="0"/>
          <c:cat>
            <c:strRef>
              <c:f>(Appendix!$A$117:$A$120,Appendix!$A$124:$A$128)</c:f>
              <c:strCache>
                <c:ptCount val="9"/>
                <c:pt idx="0">
                  <c:v>Colleges</c:v>
                </c:pt>
                <c:pt idx="1">
                  <c:v>Offices</c:v>
                </c:pt>
                <c:pt idx="2">
                  <c:v>Malls</c:v>
                </c:pt>
                <c:pt idx="3">
                  <c:v>Totals</c:v>
                </c:pt>
                <c:pt idx="4">
                  <c:v>Sector</c:v>
                </c:pt>
                <c:pt idx="5">
                  <c:v>Colleges</c:v>
                </c:pt>
                <c:pt idx="6">
                  <c:v>Offices</c:v>
                </c:pt>
                <c:pt idx="7">
                  <c:v>Malls</c:v>
                </c:pt>
                <c:pt idx="8">
                  <c:v>Totals</c:v>
                </c:pt>
              </c:strCache>
            </c:strRef>
          </c:cat>
          <c:val>
            <c:numRef>
              <c:f>(Appendix!$E$117:$E$120,Appendix!$E$124:$E$128)</c:f>
              <c:numCache>
                <c:formatCode>"$"#,##0;[Red]\-"$"#,##0</c:formatCode>
                <c:ptCount val="9"/>
                <c:pt idx="0">
                  <c:v>104991.29619708145</c:v>
                </c:pt>
                <c:pt idx="1">
                  <c:v>2558301.3515661294</c:v>
                </c:pt>
                <c:pt idx="2">
                  <c:v>632234.7483575549</c:v>
                </c:pt>
                <c:pt idx="3">
                  <c:v>3295527.3961207657</c:v>
                </c:pt>
                <c:pt idx="4" formatCode="General">
                  <c:v>0</c:v>
                </c:pt>
                <c:pt idx="5">
                  <c:v>257480.65616922546</c:v>
                </c:pt>
                <c:pt idx="6">
                  <c:v>2573227.1479696101</c:v>
                </c:pt>
                <c:pt idx="7">
                  <c:v>643528.56217570091</c:v>
                </c:pt>
                <c:pt idx="8">
                  <c:v>3474236.3663145364</c:v>
                </c:pt>
              </c:numCache>
            </c:numRef>
          </c:val>
          <c:extLst>
            <c:ext xmlns:c16="http://schemas.microsoft.com/office/drawing/2014/chart" uri="{C3380CC4-5D6E-409C-BE32-E72D297353CC}">
              <c16:uniqueId val="{00000001-D3CF-3D4B-8E94-55B11CA167BB}"/>
            </c:ext>
          </c:extLst>
        </c:ser>
        <c:dLbls>
          <c:showLegendKey val="0"/>
          <c:showVal val="0"/>
          <c:showCatName val="0"/>
          <c:showSerName val="0"/>
          <c:showPercent val="0"/>
          <c:showBubbleSize val="0"/>
        </c:dLbls>
        <c:gapWidth val="219"/>
        <c:axId val="528675007"/>
        <c:axId val="564800911"/>
      </c:barChart>
      <c:catAx>
        <c:axId val="52867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00911"/>
        <c:crosses val="autoZero"/>
        <c:auto val="1"/>
        <c:lblAlgn val="ctr"/>
        <c:lblOffset val="100"/>
        <c:noMultiLvlLbl val="0"/>
      </c:catAx>
      <c:valAx>
        <c:axId val="564800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75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 of total contribution of</a:t>
            </a:r>
            <a:r>
              <a:rPr lang="en-US" sz="1200" baseline="0"/>
              <a:t> Customer</a:t>
            </a:r>
            <a:r>
              <a:rPr lang="en-US" sz="1200"/>
              <a:t> Deciles, Colleges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Colleges!$I$7</c:f>
              <c:strCache>
                <c:ptCount val="1"/>
                <c:pt idx="0">
                  <c:v>% of total contribution</c:v>
                </c:pt>
              </c:strCache>
            </c:strRef>
          </c:tx>
          <c:spPr>
            <a:solidFill>
              <a:schemeClr val="accent1"/>
            </a:solidFill>
            <a:ln>
              <a:noFill/>
            </a:ln>
            <a:effectLst/>
          </c:spPr>
          <c:invertIfNegative val="0"/>
          <c:cat>
            <c:numRef>
              <c:f>Colleges!$G$8:$G$17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Colleges!$I$8:$I$17</c:f>
              <c:numCache>
                <c:formatCode>0%</c:formatCode>
                <c:ptCount val="10"/>
                <c:pt idx="0">
                  <c:v>0.48316417676816464</c:v>
                </c:pt>
                <c:pt idx="1">
                  <c:v>0.39022508758520702</c:v>
                </c:pt>
                <c:pt idx="2">
                  <c:v>0.28334470729036787</c:v>
                </c:pt>
                <c:pt idx="3">
                  <c:v>0.25158352423603059</c:v>
                </c:pt>
                <c:pt idx="4">
                  <c:v>0.22073579183680461</c:v>
                </c:pt>
                <c:pt idx="5">
                  <c:v>0.15802738852139436</c:v>
                </c:pt>
                <c:pt idx="6">
                  <c:v>-3.7293898871554772E-2</c:v>
                </c:pt>
                <c:pt idx="7">
                  <c:v>-0.14265661401274032</c:v>
                </c:pt>
                <c:pt idx="8">
                  <c:v>-0.25388467723835917</c:v>
                </c:pt>
                <c:pt idx="9">
                  <c:v>-0.35324548611531503</c:v>
                </c:pt>
              </c:numCache>
            </c:numRef>
          </c:val>
          <c:extLst>
            <c:ext xmlns:c16="http://schemas.microsoft.com/office/drawing/2014/chart" uri="{C3380CC4-5D6E-409C-BE32-E72D297353CC}">
              <c16:uniqueId val="{00000000-C242-EB46-B082-7A4B989DB693}"/>
            </c:ext>
          </c:extLst>
        </c:ser>
        <c:dLbls>
          <c:showLegendKey val="0"/>
          <c:showVal val="0"/>
          <c:showCatName val="0"/>
          <c:showSerName val="0"/>
          <c:showPercent val="0"/>
          <c:showBubbleSize val="0"/>
        </c:dLbls>
        <c:gapWidth val="83"/>
        <c:overlap val="-21"/>
        <c:axId val="1055695424"/>
        <c:axId val="597074880"/>
      </c:barChart>
      <c:catAx>
        <c:axId val="10556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Deciles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74880"/>
        <c:crosses val="autoZero"/>
        <c:auto val="1"/>
        <c:lblAlgn val="ctr"/>
        <c:lblOffset val="100"/>
        <c:noMultiLvlLbl val="0"/>
      </c:catAx>
      <c:valAx>
        <c:axId val="5970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a:t>
                </a:r>
                <a:r>
                  <a:rPr lang="en-GB" baseline="0"/>
                  <a:t> Total Contribution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9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 of total contribution of Customer Deciles, Offices</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Offices!$I$7</c:f>
              <c:strCache>
                <c:ptCount val="1"/>
                <c:pt idx="0">
                  <c:v>% of total contribution</c:v>
                </c:pt>
              </c:strCache>
            </c:strRef>
          </c:tx>
          <c:spPr>
            <a:solidFill>
              <a:schemeClr val="accent1"/>
            </a:solidFill>
            <a:ln>
              <a:noFill/>
            </a:ln>
            <a:effectLst/>
          </c:spPr>
          <c:invertIfNegative val="0"/>
          <c:cat>
            <c:numRef>
              <c:f>Offices!$G$8:$G$17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Offices!$I$8:$I$17</c:f>
              <c:numCache>
                <c:formatCode>0%</c:formatCode>
                <c:ptCount val="10"/>
                <c:pt idx="0">
                  <c:v>0.34172086122297785</c:v>
                </c:pt>
                <c:pt idx="1">
                  <c:v>0.26722406337346011</c:v>
                </c:pt>
                <c:pt idx="2">
                  <c:v>0.22455860242424483</c:v>
                </c:pt>
                <c:pt idx="3">
                  <c:v>0.18447130346244284</c:v>
                </c:pt>
                <c:pt idx="4">
                  <c:v>0.10357020464841715</c:v>
                </c:pt>
                <c:pt idx="5">
                  <c:v>5.8603909931717831E-2</c:v>
                </c:pt>
                <c:pt idx="6">
                  <c:v>2.2121382600031297E-2</c:v>
                </c:pt>
                <c:pt idx="7">
                  <c:v>-2.9190776063405154E-2</c:v>
                </c:pt>
                <c:pt idx="8">
                  <c:v>-5.4121592577112104E-2</c:v>
                </c:pt>
                <c:pt idx="9">
                  <c:v>-0.11895795902277459</c:v>
                </c:pt>
              </c:numCache>
            </c:numRef>
          </c:val>
          <c:extLst>
            <c:ext xmlns:c16="http://schemas.microsoft.com/office/drawing/2014/chart" uri="{C3380CC4-5D6E-409C-BE32-E72D297353CC}">
              <c16:uniqueId val="{00000000-F45D-7A4D-9821-9610353515A3}"/>
            </c:ext>
          </c:extLst>
        </c:ser>
        <c:dLbls>
          <c:showLegendKey val="0"/>
          <c:showVal val="0"/>
          <c:showCatName val="0"/>
          <c:showSerName val="0"/>
          <c:showPercent val="0"/>
          <c:showBubbleSize val="0"/>
        </c:dLbls>
        <c:gapWidth val="100"/>
        <c:overlap val="-24"/>
        <c:axId val="928780976"/>
        <c:axId val="1495493696"/>
      </c:barChart>
      <c:catAx>
        <c:axId val="92878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Deciles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93696"/>
        <c:crosses val="autoZero"/>
        <c:auto val="1"/>
        <c:lblAlgn val="ctr"/>
        <c:lblOffset val="100"/>
        <c:noMultiLvlLbl val="0"/>
      </c:catAx>
      <c:valAx>
        <c:axId val="149549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a:t>
                </a:r>
                <a:r>
                  <a:rPr lang="en-GB" baseline="0"/>
                  <a:t> T</a:t>
                </a:r>
                <a:r>
                  <a:rPr lang="en-GB"/>
                  <a:t>otal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8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 of total contribution of Customer Deciles, Malls</a:t>
            </a:r>
            <a:endParaRPr lang="en-AU"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Malls!$I$7</c:f>
              <c:strCache>
                <c:ptCount val="1"/>
                <c:pt idx="0">
                  <c:v>% of total contribution</c:v>
                </c:pt>
              </c:strCache>
            </c:strRef>
          </c:tx>
          <c:spPr>
            <a:solidFill>
              <a:schemeClr val="accent1"/>
            </a:solidFill>
            <a:ln>
              <a:noFill/>
            </a:ln>
            <a:effectLst/>
          </c:spPr>
          <c:invertIfNegative val="0"/>
          <c:cat>
            <c:numRef>
              <c:f>Malls!$G$8:$G$17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Malls!$I$8:$I$17</c:f>
              <c:numCache>
                <c:formatCode>0%</c:formatCode>
                <c:ptCount val="10"/>
                <c:pt idx="0">
                  <c:v>1.0077586474569955</c:v>
                </c:pt>
                <c:pt idx="1">
                  <c:v>0.83116694094268151</c:v>
                </c:pt>
                <c:pt idx="2">
                  <c:v>0.71667740483139786</c:v>
                </c:pt>
                <c:pt idx="3">
                  <c:v>0.5100466527976153</c:v>
                </c:pt>
                <c:pt idx="4">
                  <c:v>0.35061401602185926</c:v>
                </c:pt>
                <c:pt idx="5">
                  <c:v>0.16176721728870397</c:v>
                </c:pt>
                <c:pt idx="6">
                  <c:v>-0.17557481525181642</c:v>
                </c:pt>
                <c:pt idx="7">
                  <c:v>-0.45390416382040616</c:v>
                </c:pt>
                <c:pt idx="8">
                  <c:v>-0.86388599950319811</c:v>
                </c:pt>
                <c:pt idx="9">
                  <c:v>-1.0846659007638328</c:v>
                </c:pt>
              </c:numCache>
            </c:numRef>
          </c:val>
          <c:extLst>
            <c:ext xmlns:c16="http://schemas.microsoft.com/office/drawing/2014/chart" uri="{C3380CC4-5D6E-409C-BE32-E72D297353CC}">
              <c16:uniqueId val="{00000000-6E10-FE4B-AD75-26F21D80BA36}"/>
            </c:ext>
          </c:extLst>
        </c:ser>
        <c:dLbls>
          <c:showLegendKey val="0"/>
          <c:showVal val="0"/>
          <c:showCatName val="0"/>
          <c:showSerName val="0"/>
          <c:showPercent val="0"/>
          <c:showBubbleSize val="0"/>
        </c:dLbls>
        <c:gapWidth val="112"/>
        <c:overlap val="-27"/>
        <c:axId val="948949216"/>
        <c:axId val="948926576"/>
      </c:barChart>
      <c:catAx>
        <c:axId val="94894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Deciles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26576"/>
        <c:crosses val="autoZero"/>
        <c:auto val="1"/>
        <c:lblAlgn val="ctr"/>
        <c:lblOffset val="100"/>
        <c:noMultiLvlLbl val="0"/>
      </c:catAx>
      <c:valAx>
        <c:axId val="948926576"/>
        <c:scaling>
          <c:orientation val="minMax"/>
          <c:max val="1.25"/>
          <c:min val="-1.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Total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49216"/>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25400</xdr:rowOff>
    </xdr:from>
    <xdr:to>
      <xdr:col>7</xdr:col>
      <xdr:colOff>330200</xdr:colOff>
      <xdr:row>41</xdr:row>
      <xdr:rowOff>48260</xdr:rowOff>
    </xdr:to>
    <xdr:pic>
      <xdr:nvPicPr>
        <xdr:cNvPr id="2" name="Picture 1">
          <a:extLst>
            <a:ext uri="{FF2B5EF4-FFF2-40B4-BE49-F238E27FC236}">
              <a16:creationId xmlns:a16="http://schemas.microsoft.com/office/drawing/2014/main" id="{81665E6D-19B5-1BEF-B550-326477E0CFD3}"/>
            </a:ext>
          </a:extLst>
        </xdr:cNvPr>
        <xdr:cNvPicPr>
          <a:picLocks noChangeAspect="1"/>
        </xdr:cNvPicPr>
      </xdr:nvPicPr>
      <xdr:blipFill rotWithShape="1">
        <a:blip xmlns:r="http://schemas.openxmlformats.org/officeDocument/2006/relationships" r:embed="rId1"/>
        <a:srcRect t="2628" b="182"/>
        <a:stretch/>
      </xdr:blipFill>
      <xdr:spPr>
        <a:xfrm>
          <a:off x="266701" y="215900"/>
          <a:ext cx="5841999" cy="7642860"/>
        </a:xfrm>
        <a:prstGeom prst="rect">
          <a:avLst/>
        </a:prstGeom>
      </xdr:spPr>
    </xdr:pic>
    <xdr:clientData/>
  </xdr:twoCellAnchor>
  <xdr:twoCellAnchor editAs="oneCell">
    <xdr:from>
      <xdr:col>7</xdr:col>
      <xdr:colOff>546100</xdr:colOff>
      <xdr:row>0</xdr:row>
      <xdr:rowOff>38100</xdr:rowOff>
    </xdr:from>
    <xdr:to>
      <xdr:col>14</xdr:col>
      <xdr:colOff>609600</xdr:colOff>
      <xdr:row>30</xdr:row>
      <xdr:rowOff>165100</xdr:rowOff>
    </xdr:to>
    <xdr:pic>
      <xdr:nvPicPr>
        <xdr:cNvPr id="3" name="Picture 2">
          <a:extLst>
            <a:ext uri="{FF2B5EF4-FFF2-40B4-BE49-F238E27FC236}">
              <a16:creationId xmlns:a16="http://schemas.microsoft.com/office/drawing/2014/main" id="{75641D61-BDA0-F8EE-8ED4-825BB3582082}"/>
            </a:ext>
          </a:extLst>
        </xdr:cNvPr>
        <xdr:cNvPicPr>
          <a:picLocks noChangeAspect="1"/>
        </xdr:cNvPicPr>
      </xdr:nvPicPr>
      <xdr:blipFill>
        <a:blip xmlns:r="http://schemas.openxmlformats.org/officeDocument/2006/relationships" r:embed="rId2"/>
        <a:stretch>
          <a:fillRect/>
        </a:stretch>
      </xdr:blipFill>
      <xdr:spPr>
        <a:xfrm>
          <a:off x="6324600" y="38100"/>
          <a:ext cx="5842000" cy="584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25400</xdr:colOff>
      <xdr:row>57</xdr:row>
      <xdr:rowOff>50800</xdr:rowOff>
    </xdr:from>
    <xdr:to>
      <xdr:col>17</xdr:col>
      <xdr:colOff>152400</xdr:colOff>
      <xdr:row>71</xdr:row>
      <xdr:rowOff>38100</xdr:rowOff>
    </xdr:to>
    <xdr:graphicFrame macro="">
      <xdr:nvGraphicFramePr>
        <xdr:cNvPr id="5" name="Chart 4">
          <a:extLst>
            <a:ext uri="{FF2B5EF4-FFF2-40B4-BE49-F238E27FC236}">
              <a16:creationId xmlns:a16="http://schemas.microsoft.com/office/drawing/2014/main" id="{BA23EFB6-42B8-26B5-E2D6-830E7CDC1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xdr:colOff>
      <xdr:row>74</xdr:row>
      <xdr:rowOff>63500</xdr:rowOff>
    </xdr:from>
    <xdr:to>
      <xdr:col>17</xdr:col>
      <xdr:colOff>292100</xdr:colOff>
      <xdr:row>88</xdr:row>
      <xdr:rowOff>76200</xdr:rowOff>
    </xdr:to>
    <xdr:graphicFrame macro="">
      <xdr:nvGraphicFramePr>
        <xdr:cNvPr id="6" name="Chart 5">
          <a:extLst>
            <a:ext uri="{FF2B5EF4-FFF2-40B4-BE49-F238E27FC236}">
              <a16:creationId xmlns:a16="http://schemas.microsoft.com/office/drawing/2014/main" id="{BD9FA73A-E955-8C3E-2B2F-B87F1D69E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xdr:colOff>
      <xdr:row>91</xdr:row>
      <xdr:rowOff>50800</xdr:rowOff>
    </xdr:from>
    <xdr:to>
      <xdr:col>17</xdr:col>
      <xdr:colOff>279400</xdr:colOff>
      <xdr:row>105</xdr:row>
      <xdr:rowOff>101600</xdr:rowOff>
    </xdr:to>
    <xdr:graphicFrame macro="">
      <xdr:nvGraphicFramePr>
        <xdr:cNvPr id="7" name="Chart 6">
          <a:extLst>
            <a:ext uri="{FF2B5EF4-FFF2-40B4-BE49-F238E27FC236}">
              <a16:creationId xmlns:a16="http://schemas.microsoft.com/office/drawing/2014/main" id="{2A8C81FE-1B6F-D7F4-BD67-956C98B7B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31750</xdr:colOff>
      <xdr:row>114</xdr:row>
      <xdr:rowOff>12700</xdr:rowOff>
    </xdr:from>
    <xdr:to>
      <xdr:col>18</xdr:col>
      <xdr:colOff>444500</xdr:colOff>
      <xdr:row>122</xdr:row>
      <xdr:rowOff>0</xdr:rowOff>
    </xdr:to>
    <xdr:graphicFrame macro="">
      <xdr:nvGraphicFramePr>
        <xdr:cNvPr id="8" name="Chart 7">
          <a:extLst>
            <a:ext uri="{FF2B5EF4-FFF2-40B4-BE49-F238E27FC236}">
              <a16:creationId xmlns:a16="http://schemas.microsoft.com/office/drawing/2014/main" id="{AB8B9312-D2C2-6906-F194-DC2F7A620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26810</xdr:rowOff>
    </xdr:from>
    <xdr:to>
      <xdr:col>3</xdr:col>
      <xdr:colOff>895351</xdr:colOff>
      <xdr:row>54</xdr:row>
      <xdr:rowOff>63500</xdr:rowOff>
    </xdr:to>
    <xdr:graphicFrame macro="">
      <xdr:nvGraphicFramePr>
        <xdr:cNvPr id="10" name="Chart 9">
          <a:extLst>
            <a:ext uri="{FF2B5EF4-FFF2-40B4-BE49-F238E27FC236}">
              <a16:creationId xmlns:a16="http://schemas.microsoft.com/office/drawing/2014/main" id="{EA7E3BD6-371A-494C-89A4-9A2C02F37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1086204</xdr:colOff>
      <xdr:row>40</xdr:row>
      <xdr:rowOff>26105</xdr:rowOff>
    </xdr:from>
    <xdr:to>
      <xdr:col>8</xdr:col>
      <xdr:colOff>396875</xdr:colOff>
      <xdr:row>54</xdr:row>
      <xdr:rowOff>142875</xdr:rowOff>
    </xdr:to>
    <xdr:graphicFrame macro="">
      <xdr:nvGraphicFramePr>
        <xdr:cNvPr id="11" name="Chart 10">
          <a:extLst>
            <a:ext uri="{FF2B5EF4-FFF2-40B4-BE49-F238E27FC236}">
              <a16:creationId xmlns:a16="http://schemas.microsoft.com/office/drawing/2014/main" id="{600707B1-57A3-7242-A770-44F2E9CF4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17640</xdr:colOff>
      <xdr:row>40</xdr:row>
      <xdr:rowOff>31749</xdr:rowOff>
    </xdr:from>
    <xdr:to>
      <xdr:col>16</xdr:col>
      <xdr:colOff>571500</xdr:colOff>
      <xdr:row>54</xdr:row>
      <xdr:rowOff>142875</xdr:rowOff>
    </xdr:to>
    <xdr:graphicFrame macro="">
      <xdr:nvGraphicFramePr>
        <xdr:cNvPr id="12" name="Chart 11">
          <a:extLst>
            <a:ext uri="{FF2B5EF4-FFF2-40B4-BE49-F238E27FC236}">
              <a16:creationId xmlns:a16="http://schemas.microsoft.com/office/drawing/2014/main" id="{0519D322-D9FB-EA42-B725-971EDA0A6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8FEBFE-B616-A246-B95B-3009A9AB5AB6}" name="Table1" displayName="Table1" ref="A7:E28" totalsRowCount="1" headerRowDxfId="94" dataDxfId="92" totalsRowDxfId="90" headerRowBorderDxfId="93" tableBorderDxfId="91" totalsRowBorderDxfId="89">
  <autoFilter ref="A7:E27" xr:uid="{658FEBFE-B616-A246-B95B-3009A9AB5AB6}"/>
  <sortState xmlns:xlrd2="http://schemas.microsoft.com/office/spreadsheetml/2017/richdata2" ref="A8:E27">
    <sortCondition ref="B23:B27"/>
  </sortState>
  <tableColumns count="5">
    <tableColumn id="1" xr3:uid="{365D28EB-81CA-F948-ABA3-41ECFAA7D685}" name="ID" totalsRowLabel="Mean" dataDxfId="88" totalsRowDxfId="87"/>
    <tableColumn id="2" xr3:uid="{DCB8983B-4F8C-1B4E-9029-A57FD9E88D58}" name="Annual expenses_x000a_" totalsRowFunction="average" dataDxfId="86" totalsRowDxfId="85" dataCellStyle="Currency"/>
    <tableColumn id="3" xr3:uid="{55DB8F1A-704D-5144-A57D-D5E6466DD187}" name="Annual subscription fee" dataDxfId="84" totalsRowDxfId="83"/>
    <tableColumn id="4" xr3:uid="{25F58512-0425-6B4D-AD0D-A968C562F636}" name="Contribution margin" totalsRowFunction="average" dataDxfId="82" totalsRowDxfId="81">
      <calculatedColumnFormula>C8-B8</calculatedColumnFormula>
    </tableColumn>
    <tableColumn id="5" xr3:uid="{7EEC62A6-DC8B-6E4F-BC0F-9545D02581C3}" name="CLV" totalsRowFunction="average" dataDxfId="80" totalsRowDxfId="79">
      <calculatedColumnFormula>D8*($C$4/(1+$C$3-$C$4))</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D3743B-D203-6742-99B4-54A12A6ADFE4}" name="Table6" displayName="Table6" ref="A7:E48" totalsRowCount="1" headerRowDxfId="78" dataDxfId="77" totalsRowDxfId="76" totalsRowBorderDxfId="75">
  <autoFilter ref="A7:E47" xr:uid="{E6D3743B-D203-6742-99B4-54A12A6ADFE4}"/>
  <tableColumns count="5">
    <tableColumn id="1" xr3:uid="{A95F921D-79AB-464D-AC59-19ECD2405E77}" name="ID" totalsRowLabel="Mean" dataDxfId="74" totalsRowDxfId="73"/>
    <tableColumn id="2" xr3:uid="{B3DF6218-F9E2-BC48-BAA0-96B7B070B610}" name="Annual expenses_x000a_" totalsRowFunction="average" dataDxfId="72" totalsRowDxfId="71" dataCellStyle="Currency"/>
    <tableColumn id="3" xr3:uid="{79202BF2-C54A-204D-86DF-8882AFD0265E}" name="Annual subscription fee" dataDxfId="70" totalsRowDxfId="69"/>
    <tableColumn id="4" xr3:uid="{159940A1-693E-2446-B149-B5DEB6D3B4CD}" name="Contribution margin" totalsRowFunction="average" dataDxfId="68" totalsRowDxfId="67">
      <calculatedColumnFormula>C8-B8</calculatedColumnFormula>
    </tableColumn>
    <tableColumn id="5" xr3:uid="{C43EBFA4-3364-914D-8D41-9A05732AF7CC}" name="CLV" totalsRowFunction="average" dataDxfId="66" totalsRowDxfId="65">
      <calculatedColumnFormula>D8*($C$4/(1+$C$3-$C$4))</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1C475F-D34E-2648-86B5-FD367A4DA140}" name="Table3" displayName="Table3" ref="A7:E37" totalsRowShown="0" headerRowDxfId="64" dataDxfId="62" headerRowBorderDxfId="63" tableBorderDxfId="61" totalsRowBorderDxfId="60">
  <autoFilter ref="A7:E37" xr:uid="{511C475F-D34E-2648-86B5-FD367A4DA140}"/>
  <sortState xmlns:xlrd2="http://schemas.microsoft.com/office/spreadsheetml/2017/richdata2" ref="A8:E37">
    <sortCondition ref="B29:B37"/>
  </sortState>
  <tableColumns count="5">
    <tableColumn id="1" xr3:uid="{39349708-1134-2141-AF22-8F22D8BB9A38}" name="ID" dataDxfId="59"/>
    <tableColumn id="2" xr3:uid="{B779D8D0-408D-944F-B446-5486B0DFD2B7}" name="Annual expenses_x000a_" dataDxfId="58" dataCellStyle="Currency"/>
    <tableColumn id="3" xr3:uid="{0B642618-78D2-DB47-A136-6564375435E0}" name="Annual subscription fee" dataDxfId="57"/>
    <tableColumn id="4" xr3:uid="{D4BF7582-B812-3C44-A9D1-159378CA6CA7}" name="Contribution margin" dataDxfId="56">
      <calculatedColumnFormula>C8-B8</calculatedColumnFormula>
    </tableColumn>
    <tableColumn id="5" xr3:uid="{B5EC3672-E57E-9F4D-8D35-5D7535338C2B}" name="CLV" dataDxfId="55">
      <calculatedColumnFormula>D8*($C$4/(1+$C$3-$C$4))</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DD1C16-D0DE-8F48-B93B-E331108BA995}" name="Table7" displayName="Table7" ref="A31:G36" totalsRowShown="0" headerRowDxfId="54" dataDxfId="53">
  <autoFilter ref="A31:G36" xr:uid="{0FDD1C16-D0DE-8F48-B93B-E331108BA99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6AB8FF4-DC64-A941-8C1B-606FAF3EA294}" name="PLV - Contributing Clients" dataDxfId="52"/>
    <tableColumn id="3" xr3:uid="{BF3DE4CF-2F71-D04F-97A3-4571F3F3ED19}" name="New PLV" dataDxfId="51"/>
    <tableColumn id="6" xr3:uid="{6CE3630F-A8F6-B248-B73F-ECA7BA48EA2E}" name="Old PLV"/>
    <tableColumn id="4" xr3:uid="{F4C464E1-9B42-0548-9A32-C3F4C7160186}" name="New PLV2" dataDxfId="50"/>
    <tableColumn id="7" xr3:uid="{89CB4EA4-31CF-9A45-82CD-BCB1BB24C59E}" name="Old PLV3"/>
    <tableColumn id="5" xr3:uid="{7E3C8107-9A7B-7D4B-819E-06FAFB4ACA79}" name="New PLV3" dataDxfId="49"/>
    <tableColumn id="8" xr3:uid="{276262F9-B085-A344-AB52-E94D066246AF}" name="Old PLV4" dataDxfId="4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D1CAC9B-F31F-D048-A333-58D7BE49DDD6}" name="Table10" displayName="Table10" ref="A15:D18" totalsRowShown="0" headerRowDxfId="47" dataDxfId="46">
  <autoFilter ref="A15:D18" xr:uid="{5D1CAC9B-F31F-D048-A333-58D7BE49DDD6}">
    <filterColumn colId="0" hiddenButton="1"/>
    <filterColumn colId="1" hiddenButton="1"/>
    <filterColumn colId="2" hiddenButton="1"/>
    <filterColumn colId="3" hiddenButton="1"/>
  </autoFilter>
  <tableColumns count="4">
    <tableColumn id="1" xr3:uid="{C68EC43B-6A6C-0B41-8186-B77EB2CF46F5}" name="Sector" dataDxfId="45"/>
    <tableColumn id="2" xr3:uid="{928B7191-DAC3-8D43-86A9-CAFE34FD097E}" name="Clients" dataDxfId="44"/>
    <tableColumn id="3" xr3:uid="{76D0B77C-48D9-EC40-9644-B7B4DB651853}" name="Deciles" dataDxfId="43"/>
    <tableColumn id="4" xr3:uid="{FD19A650-44BD-844C-84A4-B4D9CD41FDB6}" name="Clients per decile" dataDxfId="42">
      <calculatedColumnFormula>B16/C16</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EB000C-3352-8F46-B90B-4CCD8EE9477C}" name="Table412" displayName="Table412" ref="A75:H89" totalsRowShown="0" headerRowDxfId="41" dataDxfId="39" headerRowBorderDxfId="40" tableBorderDxfId="38" totalsRowBorderDxfId="37">
  <autoFilter ref="A75:H89" xr:uid="{66EB000C-3352-8F46-B90B-4CCD8EE9477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C898D66-2784-AA4E-84F0-F1E1B446BD67}" name="Sector" dataDxfId="36"/>
    <tableColumn id="2" xr3:uid="{154941F4-B7DC-2E4B-B52F-DC1555F255E8}" name="No. of clients" dataDxfId="35">
      <calculatedColumnFormula>100-(D76*3)/10000</calculatedColumnFormula>
    </tableColumn>
    <tableColumn id="3" xr3:uid="{F28B8BC5-1661-7C41-8B14-73E42AAB6387}" name="Avg. annual expenses per client" dataDxfId="34">
      <calculatedColumnFormula>SUBTOTAL(101,Table6[Annual expenses
])</calculatedColumnFormula>
    </tableColumn>
    <tableColumn id="4" xr3:uid="{6A5A65C8-6613-D842-8DE3-ACDB989AFD4B}" name="Service fee per client" dataDxfId="33"/>
    <tableColumn id="5" xr3:uid="{4F171614-B730-6844-AB46-786747E2DBE9}" name="Fixed costs" dataDxfId="32"/>
    <tableColumn id="6" xr3:uid="{F854D87D-0591-E142-831E-4C5DC2E07375}" name="Revenue" dataDxfId="31">
      <calculatedColumnFormula>D76*B76</calculatedColumnFormula>
    </tableColumn>
    <tableColumn id="7" xr3:uid="{AF300FF9-5078-524F-95F6-61ECF0B0F5CF}" name="Costs" dataDxfId="30">
      <calculatedColumnFormula>E76+(C76*B76)</calculatedColumnFormula>
    </tableColumn>
    <tableColumn id="8" xr3:uid="{F38511DA-91CC-174C-AA55-CC03332F8DDD}" name="Net Profit" dataDxfId="29">
      <calculatedColumnFormula>F76-G76</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284A2C-7695-DD40-B996-505C5A46EDFB}" name="Table513" displayName="Table513" ref="A92:H105" totalsRowShown="0" headerRowDxfId="28" headerRowBorderDxfId="27" tableBorderDxfId="26" totalsRowBorderDxfId="25">
  <autoFilter ref="A92:H105" xr:uid="{B9284A2C-7695-DD40-B996-505C5A46EDF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A651B14-781A-E941-A3CD-980174C51C22}" name="Sector"/>
    <tableColumn id="2" xr3:uid="{1D834D1E-9611-A94D-8B58-DF269C207867}" name="No. of clients" dataDxfId="24">
      <calculatedColumnFormula>100-(D93*3.5)/10000</calculatedColumnFormula>
    </tableColumn>
    <tableColumn id="3" xr3:uid="{87A7CDEC-25DC-494D-83FD-9C301F55DA0D}" name="Avg. annual expenses per client" dataDxfId="23">
      <calculatedColumnFormula>Analysis!$C$6</calculatedColumnFormula>
    </tableColumn>
    <tableColumn id="4" xr3:uid="{0346D61F-33DC-AB45-8F24-13C448D7FA33}" name="Service fee per client" dataDxfId="22"/>
    <tableColumn id="5" xr3:uid="{F8E231DD-E930-AF47-AE1E-84E076EC740B}" name="Fixed costs" dataDxfId="21"/>
    <tableColumn id="6" xr3:uid="{F2527372-68AF-864F-8898-3FE411D93756}" name="Revenue" dataDxfId="20">
      <calculatedColumnFormula>D93*B93</calculatedColumnFormula>
    </tableColumn>
    <tableColumn id="7" xr3:uid="{7996D21E-962E-494E-B832-4D25A71A3305}" name="Costs" dataDxfId="19">
      <calculatedColumnFormula>E93+(C93*B93)</calculatedColumnFormula>
    </tableColumn>
    <tableColumn id="8" xr3:uid="{F0B031B2-5CA5-E647-BF37-9EC9D93106D3}" name="Net Profit" dataDxfId="18">
      <calculatedColumnFormula>F93-G93</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E48E57C-625B-7C47-A90E-27C9F81E9921}" name="Table214" displayName="Table214" ref="A58:H72" totalsRowShown="0" headerRowDxfId="17" dataDxfId="16">
  <autoFilter ref="A58:H72" xr:uid="{EE48E57C-625B-7C47-A90E-27C9F81E992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1FA8EA2-07F0-AF4B-B75A-250E37C22706}" name="Sector" dataDxfId="15"/>
    <tableColumn id="2" xr3:uid="{30C81C21-4267-CB48-8824-D0598F80C542}" name="No. of clients" dataDxfId="14">
      <calculatedColumnFormula>100-TRUNC(D59*4/10000,0)</calculatedColumnFormula>
    </tableColumn>
    <tableColumn id="3" xr3:uid="{CBAEF862-2688-EE4A-BB9B-050532D22280}" name="Avg. annual expenses per client" dataDxfId="13">
      <calculatedColumnFormula>SUBTOTAL(101,Table1[Annual expenses
])</calculatedColumnFormula>
    </tableColumn>
    <tableColumn id="4" xr3:uid="{663F5697-F383-524E-B88A-C9ADEE9BA173}" name="Service fee per client" dataDxfId="12"/>
    <tableColumn id="5" xr3:uid="{AA05BD6F-18B9-164C-B057-6191A53F642D}" name="Fixed costs" dataDxfId="11"/>
    <tableColumn id="6" xr3:uid="{5BE26777-CD21-5246-9D0A-ABE0538956BE}" name="Revenue" dataDxfId="10">
      <calculatedColumnFormula>D59*B59</calculatedColumnFormula>
    </tableColumn>
    <tableColumn id="7" xr3:uid="{D4CAB528-7D4A-1841-866A-2AA70D3EF4F0}" name="Costs" dataDxfId="9">
      <calculatedColumnFormula>E59+(C59*B59)</calculatedColumnFormula>
    </tableColumn>
    <tableColumn id="8" xr3:uid="{193F0BAC-252B-8F45-8798-85314A6516C3}" name="Net Profit" dataDxfId="8">
      <calculatedColumnFormula>F59-G59</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146AD90-A10B-1448-AD17-0782C19AB37A}" name="Table14" displayName="Table14" ref="A22:G27" totalsRowShown="0" dataDxfId="7">
  <autoFilter ref="A22:G27" xr:uid="{9146AD90-A10B-1448-AD17-0782C19AB37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0FFF847-E7A3-A841-A733-05C18A68DB05}" name="Constributing Clients" dataDxfId="6"/>
    <tableColumn id="2" xr3:uid="{D769A0A1-98A0-EC43-B42E-8A481F39FE77}" name="New values" dataDxfId="5" dataCellStyle="Currency"/>
    <tableColumn id="5" xr3:uid="{79B5DB8D-0982-264A-8E05-ACA48BA205E1}" name="Original values" dataDxfId="4" dataCellStyle="Currency"/>
    <tableColumn id="3" xr3:uid="{EB8E7EFE-2D4A-B94D-9DFD-D81C49413B3F}" name="New values2" dataDxfId="3" dataCellStyle="Currency"/>
    <tableColumn id="6" xr3:uid="{2285533D-65D2-4F4E-977D-0BE647ED0350}" name="Original values3" dataDxfId="2" dataCellStyle="Currency"/>
    <tableColumn id="4" xr3:uid="{B1510BA8-E5F8-8649-8BDE-68032ABF3CC2}" name="New values3" dataDxfId="1" dataCellStyle="Currency"/>
    <tableColumn id="7" xr3:uid="{F5529610-4D8D-2E48-872A-96A803EC241C}" name="Original values4" dataDxfId="0" dataCellStyle="Currency"/>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doi.org/doi:10.2478/gfkmir-2014-0076" TargetMode="External"/><Relationship Id="rId7" Type="http://schemas.openxmlformats.org/officeDocument/2006/relationships/table" Target="../tables/table5.xml"/><Relationship Id="rId2" Type="http://schemas.openxmlformats.org/officeDocument/2006/relationships/hyperlink" Target="https://doi.org/10.1287/mksc.1070.0319" TargetMode="External"/><Relationship Id="rId1" Type="http://schemas.openxmlformats.org/officeDocument/2006/relationships/hyperlink" Target="https://doi.org/https:/doi.org/10.1002/dir.10032"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drawing" Target="../drawings/drawing2.xml"/><Relationship Id="rId10" Type="http://schemas.openxmlformats.org/officeDocument/2006/relationships/table" Target="../tables/table8.xml"/><Relationship Id="rId4" Type="http://schemas.openxmlformats.org/officeDocument/2006/relationships/hyperlink" Target="https://www.treasury.govt.nz/information-and-services/state-sector-leadership/investment-management/better-business-cases-bbc/bbc-methods-and-tools/approaches-sensitivity-analysis" TargetMode="Externa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D8D5-FC03-5640-9A88-2D3F023185F2}">
  <dimension ref="A1"/>
  <sheetViews>
    <sheetView showGridLines="0" workbookViewId="0">
      <selection activeCell="L35" sqref="L35"/>
    </sheetView>
  </sheetViews>
  <sheetFormatPr baseColWidth="10"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9"/>
  <sheetViews>
    <sheetView zoomScaleNormal="100" workbookViewId="0">
      <selection activeCell="E29" sqref="E29"/>
    </sheetView>
  </sheetViews>
  <sheetFormatPr baseColWidth="10" defaultColWidth="11.5" defaultRowHeight="15" x14ac:dyDescent="0.2"/>
  <cols>
    <col min="1" max="1" width="11" customWidth="1"/>
    <col min="2" max="2" width="16.83203125" style="6" bestFit="1" customWidth="1"/>
    <col min="3" max="3" width="22.83203125" style="6" customWidth="1"/>
    <col min="4" max="4" width="19.5" style="6" customWidth="1"/>
    <col min="5" max="5" width="12.1640625" style="6" bestFit="1" customWidth="1"/>
    <col min="6" max="6" width="11" bestFit="1" customWidth="1"/>
    <col min="7" max="7" width="12.83203125" customWidth="1"/>
    <col min="8" max="8" width="13.5" customWidth="1"/>
    <col min="9" max="9" width="13.33203125" customWidth="1"/>
    <col min="10" max="10" width="17" customWidth="1"/>
    <col min="11" max="11" width="9.1640625" customWidth="1"/>
    <col min="12" max="12" width="10" bestFit="1" customWidth="1"/>
    <col min="13" max="15" width="9.1640625" customWidth="1"/>
    <col min="16" max="256" width="8.83203125" customWidth="1"/>
  </cols>
  <sheetData>
    <row r="1" spans="1:16" x14ac:dyDescent="0.2">
      <c r="A1" s="147" t="s">
        <v>32</v>
      </c>
      <c r="B1" s="147"/>
      <c r="C1" s="147"/>
    </row>
    <row r="2" spans="1:16" x14ac:dyDescent="0.2">
      <c r="A2" s="90" t="s">
        <v>54</v>
      </c>
      <c r="B2" s="90"/>
      <c r="C2" s="90"/>
    </row>
    <row r="3" spans="1:16" x14ac:dyDescent="0.2">
      <c r="A3" s="148" t="s">
        <v>4</v>
      </c>
      <c r="B3" s="148"/>
      <c r="C3" s="3">
        <v>0.1</v>
      </c>
      <c r="D3" s="36"/>
      <c r="E3"/>
    </row>
    <row r="4" spans="1:16" x14ac:dyDescent="0.2">
      <c r="A4" s="149" t="s">
        <v>5</v>
      </c>
      <c r="B4" s="149"/>
      <c r="C4" s="3">
        <v>0.95</v>
      </c>
      <c r="D4" s="36"/>
      <c r="E4"/>
    </row>
    <row r="5" spans="1:16" ht="17.25" customHeight="1" x14ac:dyDescent="0.25">
      <c r="A5" s="4"/>
      <c r="B5" s="5"/>
      <c r="C5" s="5"/>
      <c r="D5" s="5"/>
      <c r="G5" s="25" t="s">
        <v>57</v>
      </c>
      <c r="H5" s="7"/>
    </row>
    <row r="6" spans="1:16" ht="17.25" customHeight="1" x14ac:dyDescent="0.2">
      <c r="A6" s="87" t="s">
        <v>55</v>
      </c>
      <c r="B6" s="5"/>
      <c r="C6" s="5"/>
      <c r="D6" s="5"/>
      <c r="E6" s="37"/>
      <c r="H6" s="8" t="s">
        <v>20</v>
      </c>
    </row>
    <row r="7" spans="1:16" ht="30.75" customHeight="1" x14ac:dyDescent="0.2">
      <c r="A7" s="37" t="s">
        <v>7</v>
      </c>
      <c r="B7" s="37" t="s">
        <v>8</v>
      </c>
      <c r="C7" s="37" t="s">
        <v>39</v>
      </c>
      <c r="D7" s="37" t="s">
        <v>9</v>
      </c>
      <c r="E7" s="37" t="s">
        <v>10</v>
      </c>
      <c r="G7" s="9" t="s">
        <v>11</v>
      </c>
      <c r="H7" s="10" t="s">
        <v>12</v>
      </c>
      <c r="I7" s="11" t="s">
        <v>13</v>
      </c>
      <c r="J7" s="150"/>
      <c r="K7" s="150"/>
      <c r="L7" s="150"/>
      <c r="M7" s="150"/>
      <c r="N7" s="150"/>
      <c r="O7" s="150"/>
      <c r="P7" s="150"/>
    </row>
    <row r="8" spans="1:16" ht="14.25" customHeight="1" x14ac:dyDescent="0.2">
      <c r="A8" s="75">
        <v>15</v>
      </c>
      <c r="B8" s="81">
        <v>41752.62958771782</v>
      </c>
      <c r="C8" s="44">
        <v>200000</v>
      </c>
      <c r="D8" s="55">
        <f t="shared" ref="D8:D27" si="0">C8-B8</f>
        <v>158247.37041228218</v>
      </c>
      <c r="E8" s="55">
        <f>D8*($C$4/(1+$C$3-$C$4))</f>
        <v>1002233.3459444529</v>
      </c>
      <c r="F8" s="12"/>
      <c r="G8" s="13">
        <v>1</v>
      </c>
      <c r="H8" s="14">
        <f ca="1">SUM(OFFSET(Table1[[#Headers],[Contribution margin]],1,0,2,1))</f>
        <v>294722.5631638139</v>
      </c>
      <c r="I8" s="15">
        <f ca="1">H8/$H$18</f>
        <v>0.48316417676816464</v>
      </c>
      <c r="J8" s="150"/>
      <c r="K8" s="150"/>
      <c r="L8" s="150"/>
      <c r="M8" s="150"/>
      <c r="N8" s="150"/>
      <c r="O8" s="150"/>
      <c r="P8" s="150"/>
    </row>
    <row r="9" spans="1:16" ht="14.25" customHeight="1" x14ac:dyDescent="0.2">
      <c r="A9" s="75">
        <v>16</v>
      </c>
      <c r="B9" s="81">
        <v>63524.807248468278</v>
      </c>
      <c r="C9" s="44">
        <v>200000</v>
      </c>
      <c r="D9" s="55">
        <f t="shared" si="0"/>
        <v>136475.19275153172</v>
      </c>
      <c r="E9" s="55">
        <f t="shared" ref="E9:E27" si="1">D9*($C$4/(1+$C$3-$C$4))</f>
        <v>864342.8874263668</v>
      </c>
      <c r="F9" s="12"/>
      <c r="G9" s="13">
        <v>2</v>
      </c>
      <c r="H9" s="14">
        <f ca="1">SUM(OFFSET(Table1[[#Headers],[Contribution margin]],1+2*G8,0,2,1))</f>
        <v>238031.177711091</v>
      </c>
      <c r="I9" s="15">
        <f t="shared" ref="I9:I17" ca="1" si="2">H9/$H$18</f>
        <v>0.39022508758520702</v>
      </c>
      <c r="J9" s="150"/>
      <c r="K9" s="150"/>
      <c r="L9" s="150"/>
      <c r="M9" s="150"/>
      <c r="N9" s="150"/>
      <c r="O9" s="150"/>
      <c r="P9" s="150"/>
    </row>
    <row r="10" spans="1:16" ht="14.25" customHeight="1" x14ac:dyDescent="0.2">
      <c r="A10" s="75">
        <v>20</v>
      </c>
      <c r="B10" s="81">
        <v>70281.056852691108</v>
      </c>
      <c r="C10" s="44">
        <v>200000</v>
      </c>
      <c r="D10" s="55">
        <f t="shared" si="0"/>
        <v>129718.94314730889</v>
      </c>
      <c r="E10" s="55">
        <f t="shared" si="1"/>
        <v>821553.30659962224</v>
      </c>
      <c r="F10" s="12"/>
      <c r="G10" s="13">
        <v>3</v>
      </c>
      <c r="H10" s="14">
        <f ca="1">SUM(OFFSET(Table1[[#Headers],[Contribution margin]],1+2*G9,0,2,1))</f>
        <v>172835.8235291671</v>
      </c>
      <c r="I10" s="15">
        <f t="shared" ca="1" si="2"/>
        <v>0.28334470729036787</v>
      </c>
      <c r="J10" s="17"/>
      <c r="K10" s="17"/>
      <c r="L10" s="17"/>
      <c r="M10" s="17"/>
      <c r="N10" s="17"/>
      <c r="O10" s="17"/>
      <c r="P10" s="17"/>
    </row>
    <row r="11" spans="1:16" ht="14.25" customHeight="1" x14ac:dyDescent="0.2">
      <c r="A11" s="75">
        <v>14</v>
      </c>
      <c r="B11" s="81">
        <v>91687.765436217887</v>
      </c>
      <c r="C11" s="44">
        <v>200000</v>
      </c>
      <c r="D11" s="55">
        <f t="shared" si="0"/>
        <v>108312.23456378211</v>
      </c>
      <c r="E11" s="55">
        <f t="shared" si="1"/>
        <v>685977.48557061946</v>
      </c>
      <c r="F11" s="12"/>
      <c r="G11" s="13">
        <v>4</v>
      </c>
      <c r="H11" s="14">
        <f ca="1">SUM(OFFSET(Table1[[#Headers],[Contribution margin]],1+2*G10,0,2,1))</f>
        <v>153462.00045001751</v>
      </c>
      <c r="I11" s="15">
        <f t="shared" ca="1" si="2"/>
        <v>0.25158352423603059</v>
      </c>
      <c r="J11" s="17"/>
      <c r="K11" s="17"/>
      <c r="L11" s="17"/>
      <c r="M11" s="17"/>
      <c r="N11" s="17"/>
      <c r="O11" s="17"/>
      <c r="P11" s="17"/>
    </row>
    <row r="12" spans="1:16" ht="14.25" customHeight="1" x14ac:dyDescent="0.2">
      <c r="A12" s="75">
        <v>1</v>
      </c>
      <c r="B12" s="81">
        <v>109277.43844324141</v>
      </c>
      <c r="C12" s="44">
        <v>200000</v>
      </c>
      <c r="D12" s="55">
        <f t="shared" si="0"/>
        <v>90722.561556758592</v>
      </c>
      <c r="E12" s="55">
        <f t="shared" si="1"/>
        <v>574576.22319280391</v>
      </c>
      <c r="F12" s="12"/>
      <c r="G12" s="13">
        <v>5</v>
      </c>
      <c r="H12" s="14">
        <f ca="1">SUM(OFFSET(Table1[[#Headers],[Contribution margin]],1+2*G11,0,2,1))</f>
        <v>134645.36793122534</v>
      </c>
      <c r="I12" s="15">
        <f t="shared" ca="1" si="2"/>
        <v>0.22073579183680461</v>
      </c>
      <c r="J12" s="17"/>
      <c r="K12" s="17"/>
      <c r="L12" s="17"/>
      <c r="M12" s="17"/>
      <c r="N12" s="17"/>
      <c r="O12" s="17"/>
      <c r="P12" s="17"/>
    </row>
    <row r="13" spans="1:16" ht="14.25" customHeight="1" x14ac:dyDescent="0.2">
      <c r="A13" s="75">
        <v>10</v>
      </c>
      <c r="B13" s="81">
        <v>117886.73802759149</v>
      </c>
      <c r="C13" s="44">
        <v>200000</v>
      </c>
      <c r="D13" s="55">
        <f t="shared" si="0"/>
        <v>82113.261972408509</v>
      </c>
      <c r="E13" s="55">
        <f t="shared" si="1"/>
        <v>520050.65915858676</v>
      </c>
      <c r="F13" s="12"/>
      <c r="G13" s="13">
        <v>6</v>
      </c>
      <c r="H13" s="14">
        <f ca="1">SUM(OFFSET(Table1[[#Headers],[Contribution margin]],1+2*G12,0,2,1))</f>
        <v>96394.226299307775</v>
      </c>
      <c r="I13" s="15">
        <f t="shared" ca="1" si="2"/>
        <v>0.15802738852139436</v>
      </c>
      <c r="J13" s="17"/>
      <c r="K13" s="17"/>
      <c r="L13" s="17"/>
      <c r="M13" s="17"/>
      <c r="N13" s="17"/>
      <c r="O13" s="17"/>
      <c r="P13" s="17"/>
    </row>
    <row r="14" spans="1:16" ht="14.25" customHeight="1" x14ac:dyDescent="0.2">
      <c r="A14" s="75">
        <v>4</v>
      </c>
      <c r="B14" s="81">
        <v>118926.42121158133</v>
      </c>
      <c r="C14" s="44">
        <v>200000</v>
      </c>
      <c r="D14" s="55">
        <f t="shared" si="0"/>
        <v>81073.578788418672</v>
      </c>
      <c r="E14" s="55">
        <f t="shared" si="1"/>
        <v>513465.99899331777</v>
      </c>
      <c r="F14" s="12"/>
      <c r="G14" s="13">
        <v>7</v>
      </c>
      <c r="H14" s="128">
        <f ca="1">SUM(OFFSET(Table1[[#Headers],[Contribution margin]],1+2*G13,0,2,1))</f>
        <v>-22748.692875611596</v>
      </c>
      <c r="I14" s="129">
        <f t="shared" ca="1" si="2"/>
        <v>-3.7293898871554772E-2</v>
      </c>
      <c r="J14" s="17"/>
      <c r="K14" s="17"/>
      <c r="L14" s="17"/>
      <c r="M14" s="17"/>
      <c r="N14" s="17"/>
      <c r="O14" s="17"/>
      <c r="P14" s="17"/>
    </row>
    <row r="15" spans="1:16" ht="14.25" customHeight="1" x14ac:dyDescent="0.2">
      <c r="A15" s="75">
        <v>12</v>
      </c>
      <c r="B15" s="81">
        <v>127611.57833840116</v>
      </c>
      <c r="C15" s="44">
        <v>200000</v>
      </c>
      <c r="D15" s="55">
        <f t="shared" si="0"/>
        <v>72388.421661598841</v>
      </c>
      <c r="E15" s="55">
        <f t="shared" si="1"/>
        <v>458460.00385679223</v>
      </c>
      <c r="F15" s="12"/>
      <c r="G15" s="13">
        <v>8</v>
      </c>
      <c r="H15" s="128">
        <f ca="1">SUM(OFFSET(Table1[[#Headers],[Contribution margin]],1+2*G14,0,2,1))</f>
        <v>-87018.29513796838</v>
      </c>
      <c r="I15" s="129">
        <f t="shared" ca="1" si="2"/>
        <v>-0.14265661401274032</v>
      </c>
      <c r="J15" s="17"/>
      <c r="K15" s="17"/>
      <c r="L15" s="17"/>
      <c r="M15" s="17"/>
      <c r="N15" s="17"/>
      <c r="O15" s="17"/>
      <c r="P15" s="17"/>
    </row>
    <row r="16" spans="1:16" ht="14.25" customHeight="1" x14ac:dyDescent="0.2">
      <c r="A16" s="75">
        <v>11</v>
      </c>
      <c r="B16" s="81">
        <v>132090.16899229027</v>
      </c>
      <c r="C16" s="44">
        <v>200000</v>
      </c>
      <c r="D16" s="55">
        <f t="shared" si="0"/>
        <v>67909.831007709727</v>
      </c>
      <c r="E16" s="55">
        <f t="shared" si="1"/>
        <v>430095.59638216119</v>
      </c>
      <c r="F16" s="12"/>
      <c r="G16" s="13">
        <v>9</v>
      </c>
      <c r="H16" s="128">
        <f ca="1">SUM(OFFSET(Table1[[#Headers],[Contribution margin]],1+2*G15,0,2,1))</f>
        <v>-154865.66765815951</v>
      </c>
      <c r="I16" s="129">
        <f t="shared" ca="1" si="2"/>
        <v>-0.25388467723835917</v>
      </c>
      <c r="J16" s="17"/>
      <c r="K16" s="17"/>
      <c r="L16" s="17"/>
      <c r="M16" s="17"/>
      <c r="N16" s="17"/>
      <c r="O16" s="17"/>
      <c r="P16" s="17"/>
    </row>
    <row r="17" spans="1:16" ht="14.25" customHeight="1" x14ac:dyDescent="0.2">
      <c r="A17" s="75">
        <v>18</v>
      </c>
      <c r="B17" s="81">
        <v>133264.46307648439</v>
      </c>
      <c r="C17" s="44">
        <v>200000</v>
      </c>
      <c r="D17" s="55">
        <f t="shared" si="0"/>
        <v>66735.53692351561</v>
      </c>
      <c r="E17" s="55">
        <f t="shared" si="1"/>
        <v>422658.40051559848</v>
      </c>
      <c r="F17" s="12"/>
      <c r="G17" s="13">
        <v>10</v>
      </c>
      <c r="H17" s="128">
        <f ca="1">SUM(OFFSET(Table1[[#Headers],[Contribution margin]],1+2*G16,0,2,1))</f>
        <v>-215474.20131668332</v>
      </c>
      <c r="I17" s="129">
        <f t="shared" ca="1" si="2"/>
        <v>-0.35324548611531503</v>
      </c>
      <c r="J17" s="17"/>
      <c r="K17" s="17"/>
      <c r="L17" s="17"/>
      <c r="M17" s="17"/>
      <c r="N17" s="17"/>
      <c r="O17" s="17"/>
      <c r="P17" s="17"/>
    </row>
    <row r="18" spans="1:16" ht="14.25" customHeight="1" x14ac:dyDescent="0.2">
      <c r="A18" s="75">
        <v>13</v>
      </c>
      <c r="B18" s="81">
        <v>144242.06412688363</v>
      </c>
      <c r="C18" s="44">
        <v>200000</v>
      </c>
      <c r="D18" s="55">
        <f t="shared" si="0"/>
        <v>55757.935873116367</v>
      </c>
      <c r="E18" s="55">
        <f t="shared" si="1"/>
        <v>353133.59386307001</v>
      </c>
      <c r="F18" s="12"/>
      <c r="G18" s="18" t="s">
        <v>3</v>
      </c>
      <c r="H18" s="38">
        <f ca="1">SUM(H8:H17)</f>
        <v>609984.30209619994</v>
      </c>
      <c r="I18" s="39">
        <f ca="1">SUM(I8:I17)</f>
        <v>0.99999999999999967</v>
      </c>
      <c r="J18" s="17"/>
      <c r="K18" s="17"/>
      <c r="L18" s="20"/>
      <c r="M18" s="17"/>
      <c r="N18" s="17"/>
      <c r="O18" s="17"/>
      <c r="P18" s="17"/>
    </row>
    <row r="19" spans="1:16" ht="14.25" customHeight="1" x14ac:dyDescent="0.2">
      <c r="A19" s="75">
        <v>7</v>
      </c>
      <c r="B19" s="81">
        <v>159363.70957380859</v>
      </c>
      <c r="C19" s="44">
        <v>200000</v>
      </c>
      <c r="D19" s="55">
        <f t="shared" si="0"/>
        <v>40636.290426191408</v>
      </c>
      <c r="E19" s="55">
        <f t="shared" si="1"/>
        <v>257363.17269921201</v>
      </c>
      <c r="F19" s="12"/>
      <c r="J19" s="17"/>
      <c r="K19" s="17"/>
      <c r="L19" s="17"/>
      <c r="M19" s="17"/>
      <c r="N19" s="17"/>
      <c r="O19" s="17"/>
      <c r="P19" s="17"/>
    </row>
    <row r="20" spans="1:16" ht="14.25" customHeight="1" x14ac:dyDescent="0.2">
      <c r="A20" s="75">
        <v>5</v>
      </c>
      <c r="B20" s="81">
        <v>192286.07627330348</v>
      </c>
      <c r="C20" s="44">
        <v>200000</v>
      </c>
      <c r="D20" s="55">
        <f t="shared" si="0"/>
        <v>7713.923726696521</v>
      </c>
      <c r="E20" s="55">
        <f t="shared" si="1"/>
        <v>48854.850269077921</v>
      </c>
      <c r="F20" s="12"/>
      <c r="G20" s="25" t="s">
        <v>58</v>
      </c>
      <c r="J20" s="17"/>
      <c r="K20" s="17"/>
      <c r="L20" s="17"/>
      <c r="M20" s="17"/>
      <c r="N20" s="17"/>
      <c r="O20" s="17"/>
      <c r="P20" s="17"/>
    </row>
    <row r="21" spans="1:16" ht="14.25" customHeight="1" x14ac:dyDescent="0.2">
      <c r="A21" s="75">
        <v>17</v>
      </c>
      <c r="B21" s="81">
        <v>230462.61660230812</v>
      </c>
      <c r="C21" s="44">
        <v>200000</v>
      </c>
      <c r="D21" s="55">
        <f t="shared" si="0"/>
        <v>-30462.616602308117</v>
      </c>
      <c r="E21" s="55">
        <f t="shared" si="1"/>
        <v>-192929.90514795124</v>
      </c>
      <c r="F21" s="12"/>
      <c r="G21" s="151" t="s">
        <v>14</v>
      </c>
      <c r="H21" s="152"/>
      <c r="I21" s="153"/>
      <c r="J21" s="17"/>
      <c r="K21" s="17"/>
      <c r="L21" s="17"/>
      <c r="M21" s="17"/>
      <c r="N21" s="17"/>
      <c r="O21" s="17"/>
      <c r="P21" s="17"/>
    </row>
    <row r="22" spans="1:16" ht="14.25" customHeight="1" x14ac:dyDescent="0.2">
      <c r="A22" s="75">
        <v>6</v>
      </c>
      <c r="B22" s="81">
        <v>240234.22767815646</v>
      </c>
      <c r="C22" s="44">
        <v>200000</v>
      </c>
      <c r="D22" s="55">
        <f t="shared" si="0"/>
        <v>-40234.227678156458</v>
      </c>
      <c r="E22" s="55">
        <f t="shared" si="1"/>
        <v>-254816.77529499069</v>
      </c>
      <c r="F22" s="12"/>
      <c r="G22" s="154" t="s">
        <v>15</v>
      </c>
      <c r="H22" s="155"/>
      <c r="I22" s="21">
        <f>Table1[[#Totals],[Contribution margin]]</f>
        <v>30499.215104809999</v>
      </c>
      <c r="J22" s="17"/>
      <c r="K22" s="17"/>
      <c r="L22" s="17"/>
      <c r="M22" s="17"/>
      <c r="N22" s="17"/>
      <c r="O22" s="17"/>
    </row>
    <row r="23" spans="1:16" ht="14.25" customHeight="1" x14ac:dyDescent="0.2">
      <c r="A23" s="75">
        <v>2</v>
      </c>
      <c r="B23" s="81">
        <v>246784.06745981192</v>
      </c>
      <c r="C23" s="44">
        <v>200000</v>
      </c>
      <c r="D23" s="55">
        <f t="shared" si="0"/>
        <v>-46784.067459811922</v>
      </c>
      <c r="E23" s="55">
        <f t="shared" si="1"/>
        <v>-296299.09391214192</v>
      </c>
      <c r="F23" s="12"/>
      <c r="G23" s="154" t="s">
        <v>16</v>
      </c>
      <c r="H23" s="155"/>
      <c r="I23" s="21">
        <f>Table1[[#Totals],[CLV]]</f>
        <v>193161.69566379642</v>
      </c>
      <c r="J23" s="17"/>
      <c r="K23" s="17"/>
      <c r="L23" s="17"/>
      <c r="M23" s="17"/>
      <c r="N23" s="17"/>
      <c r="O23" s="17"/>
    </row>
    <row r="24" spans="1:16" ht="14.25" customHeight="1" x14ac:dyDescent="0.2">
      <c r="A24" s="75">
        <v>3</v>
      </c>
      <c r="B24" s="81">
        <v>276760.64903236693</v>
      </c>
      <c r="C24" s="44">
        <v>200000</v>
      </c>
      <c r="D24" s="55">
        <f t="shared" si="0"/>
        <v>-76760.649032366928</v>
      </c>
      <c r="E24" s="55">
        <f t="shared" si="1"/>
        <v>-486150.7772049901</v>
      </c>
      <c r="F24" s="12"/>
      <c r="G24" s="154" t="s">
        <v>17</v>
      </c>
      <c r="H24" s="155"/>
      <c r="I24" s="22">
        <v>0.15</v>
      </c>
      <c r="J24" s="17"/>
      <c r="K24" s="17"/>
      <c r="L24" s="17"/>
      <c r="M24" s="17"/>
      <c r="N24" s="17"/>
      <c r="O24" s="17"/>
    </row>
    <row r="25" spans="1:16" ht="14.25" customHeight="1" x14ac:dyDescent="0.2">
      <c r="A25" s="75">
        <v>9</v>
      </c>
      <c r="B25" s="81">
        <v>278105.01862579258</v>
      </c>
      <c r="C25" s="44">
        <v>200000</v>
      </c>
      <c r="D25" s="55">
        <f t="shared" si="0"/>
        <v>-78105.018625792582</v>
      </c>
      <c r="E25" s="55">
        <f t="shared" si="1"/>
        <v>-494665.11796335259</v>
      </c>
      <c r="F25" s="12"/>
      <c r="G25" s="154" t="s">
        <v>18</v>
      </c>
      <c r="H25" s="155"/>
      <c r="I25" s="23">
        <v>100000</v>
      </c>
      <c r="J25" s="17"/>
      <c r="K25" s="17"/>
      <c r="L25" s="17"/>
      <c r="M25" s="17"/>
      <c r="N25" s="17"/>
      <c r="O25" s="17"/>
    </row>
    <row r="26" spans="1:16" ht="14.25" customHeight="1" x14ac:dyDescent="0.2">
      <c r="A26" s="75">
        <v>19</v>
      </c>
      <c r="B26" s="81">
        <v>280694.99805671512</v>
      </c>
      <c r="C26" s="44">
        <v>200000</v>
      </c>
      <c r="D26" s="55">
        <f t="shared" si="0"/>
        <v>-80694.998056715121</v>
      </c>
      <c r="E26" s="55">
        <f t="shared" si="1"/>
        <v>-511068.32102586201</v>
      </c>
      <c r="F26" s="12"/>
      <c r="G26" s="145" t="s">
        <v>19</v>
      </c>
      <c r="H26" s="146"/>
      <c r="I26" s="24">
        <f>I24*(I22+I23)-I25</f>
        <v>-66450.863384709039</v>
      </c>
      <c r="J26" s="17"/>
      <c r="K26" s="17"/>
      <c r="L26" s="17"/>
      <c r="M26" s="17"/>
      <c r="N26" s="17"/>
      <c r="O26" s="17"/>
    </row>
    <row r="27" spans="1:16" ht="14.25" customHeight="1" x14ac:dyDescent="0.2">
      <c r="A27" s="75">
        <v>8</v>
      </c>
      <c r="B27" s="81">
        <v>334779.2032599682</v>
      </c>
      <c r="C27" s="44">
        <v>200000</v>
      </c>
      <c r="D27" s="55">
        <f t="shared" si="0"/>
        <v>-134779.2032599682</v>
      </c>
      <c r="E27" s="55">
        <f t="shared" si="1"/>
        <v>-853601.62064646452</v>
      </c>
      <c r="F27" s="12"/>
      <c r="J27" s="17"/>
      <c r="K27" s="17"/>
      <c r="L27" s="17"/>
      <c r="M27" s="17"/>
      <c r="N27" s="17"/>
      <c r="O27" s="17"/>
    </row>
    <row r="28" spans="1:16" x14ac:dyDescent="0.2">
      <c r="A28" s="125" t="s">
        <v>40</v>
      </c>
      <c r="B28" s="114">
        <f>SUBTOTAL(101,Table1[Annual expenses
])</f>
        <v>169500.78489518998</v>
      </c>
      <c r="C28" s="115"/>
      <c r="D28" s="114">
        <f>SUBTOTAL(101,Table1[Contribution margin])</f>
        <v>30499.215104809999</v>
      </c>
      <c r="E28" s="137">
        <f>SUBTOTAL(101,Table1[CLV])</f>
        <v>193161.69566379642</v>
      </c>
    </row>
    <row r="29" spans="1:16" ht="14.25" customHeight="1" x14ac:dyDescent="0.2">
      <c r="A29" s="126" t="s">
        <v>56</v>
      </c>
      <c r="B29" s="127"/>
      <c r="C29" s="127"/>
      <c r="D29" s="138">
        <f>SUM(Table1[Contribution margin])</f>
        <v>609984.30209619994</v>
      </c>
      <c r="E29" s="139">
        <f>SUM(Table1[CLV])</f>
        <v>3863233.9132759282</v>
      </c>
      <c r="H29" s="17"/>
      <c r="I29" s="17"/>
      <c r="J29" s="17"/>
      <c r="K29" s="17"/>
      <c r="L29" s="17"/>
      <c r="M29" s="17"/>
      <c r="N29" s="17"/>
    </row>
    <row r="30" spans="1:16" ht="14.25" customHeight="1" x14ac:dyDescent="0.2">
      <c r="D30"/>
      <c r="E30"/>
      <c r="H30" s="17"/>
      <c r="I30" s="17"/>
      <c r="J30" s="17"/>
      <c r="K30" s="17"/>
      <c r="L30" s="17"/>
      <c r="M30" s="17"/>
      <c r="N30" s="17"/>
    </row>
    <row r="31" spans="1:16" ht="14.25" customHeight="1" x14ac:dyDescent="0.2">
      <c r="J31" s="17"/>
      <c r="K31" s="17"/>
      <c r="L31" s="17"/>
      <c r="M31" s="17"/>
      <c r="N31" s="17"/>
      <c r="O31" s="17"/>
      <c r="P31" s="17"/>
    </row>
    <row r="32" spans="1:16" ht="14.25" customHeight="1" x14ac:dyDescent="0.2">
      <c r="D32" s="40"/>
      <c r="J32" s="17"/>
      <c r="K32" s="17"/>
      <c r="L32" s="17"/>
      <c r="M32" s="17"/>
      <c r="N32" s="17"/>
      <c r="O32" s="17"/>
      <c r="P32" s="17"/>
    </row>
    <row r="33" spans="10:16" ht="14.25" customHeight="1" x14ac:dyDescent="0.2">
      <c r="J33" s="17"/>
      <c r="K33" s="17"/>
      <c r="L33" s="17"/>
      <c r="M33" s="17"/>
      <c r="N33" s="17"/>
      <c r="O33" s="17"/>
      <c r="P33" s="17"/>
    </row>
    <row r="34" spans="10:16" ht="14.25" customHeight="1" x14ac:dyDescent="0.2">
      <c r="J34" s="17"/>
      <c r="K34" s="17"/>
      <c r="L34" s="17"/>
      <c r="M34" s="17"/>
      <c r="N34" s="17"/>
      <c r="O34" s="17"/>
      <c r="P34" s="17"/>
    </row>
    <row r="35" spans="10:16" ht="14.25" customHeight="1" x14ac:dyDescent="0.2">
      <c r="J35" s="17"/>
      <c r="K35" s="17"/>
      <c r="L35" s="17"/>
      <c r="M35" s="17"/>
      <c r="N35" s="17"/>
      <c r="O35" s="17"/>
      <c r="P35" s="17"/>
    </row>
    <row r="36" spans="10:16" ht="14.25" customHeight="1" x14ac:dyDescent="0.2">
      <c r="J36" s="17"/>
      <c r="K36" s="17"/>
      <c r="L36" s="17"/>
      <c r="M36" s="17"/>
      <c r="N36" s="17"/>
      <c r="O36" s="17"/>
      <c r="P36" s="17"/>
    </row>
    <row r="37" spans="10:16" ht="14.25" customHeight="1" x14ac:dyDescent="0.2">
      <c r="J37" s="17"/>
      <c r="K37" s="17"/>
      <c r="L37" s="17"/>
      <c r="M37" s="17"/>
      <c r="N37" s="17"/>
      <c r="O37" s="17"/>
      <c r="P37" s="17"/>
    </row>
    <row r="38" spans="10:16" ht="14.25" customHeight="1" x14ac:dyDescent="0.2">
      <c r="J38" s="17"/>
      <c r="K38" s="17"/>
      <c r="L38" s="17"/>
      <c r="M38" s="17"/>
      <c r="N38" s="17"/>
      <c r="O38" s="17"/>
      <c r="P38" s="17"/>
    </row>
    <row r="39" spans="10:16" ht="14.25" customHeight="1" x14ac:dyDescent="0.2">
      <c r="J39" s="17"/>
      <c r="K39" s="17"/>
      <c r="L39" s="17"/>
      <c r="M39" s="17"/>
      <c r="N39" s="17"/>
      <c r="O39" s="17"/>
      <c r="P39" s="17"/>
    </row>
    <row r="40" spans="10:16" ht="14.25" customHeight="1" x14ac:dyDescent="0.2">
      <c r="J40" s="17"/>
      <c r="K40" s="17"/>
      <c r="L40" s="17"/>
      <c r="M40" s="17"/>
      <c r="N40" s="17"/>
      <c r="O40" s="17"/>
      <c r="P40" s="17"/>
    </row>
    <row r="41" spans="10:16" ht="14.25" customHeight="1" x14ac:dyDescent="0.2">
      <c r="J41" s="17"/>
      <c r="K41" s="17"/>
      <c r="L41" s="17"/>
      <c r="M41" s="17"/>
      <c r="N41" s="17"/>
      <c r="O41" s="17"/>
      <c r="P41" s="17"/>
    </row>
    <row r="42" spans="10:16" ht="14.25" customHeight="1" x14ac:dyDescent="0.2">
      <c r="J42" s="17"/>
      <c r="K42" s="17"/>
      <c r="L42" s="17"/>
      <c r="M42" s="17"/>
      <c r="N42" s="17"/>
      <c r="O42" s="17"/>
      <c r="P42" s="17"/>
    </row>
    <row r="43" spans="10:16" ht="14.25" customHeight="1" x14ac:dyDescent="0.2">
      <c r="J43" s="17"/>
      <c r="K43" s="17"/>
      <c r="L43" s="17"/>
      <c r="M43" s="17"/>
      <c r="N43" s="17"/>
      <c r="O43" s="17"/>
      <c r="P43" s="17"/>
    </row>
    <row r="44" spans="10:16" ht="14.25" customHeight="1" x14ac:dyDescent="0.2">
      <c r="J44" s="17"/>
      <c r="K44" s="17"/>
      <c r="L44" s="17"/>
      <c r="M44" s="17"/>
      <c r="N44" s="17"/>
      <c r="O44" s="17"/>
      <c r="P44" s="17"/>
    </row>
    <row r="45" spans="10:16" ht="14.25" customHeight="1" x14ac:dyDescent="0.2">
      <c r="J45" s="17"/>
      <c r="K45" s="17"/>
      <c r="L45" s="17"/>
      <c r="M45" s="17"/>
      <c r="N45" s="17"/>
      <c r="O45" s="17"/>
      <c r="P45" s="17"/>
    </row>
    <row r="46" spans="10:16" ht="14.25" customHeight="1" x14ac:dyDescent="0.2">
      <c r="J46" s="17"/>
      <c r="K46" s="17"/>
      <c r="L46" s="17"/>
      <c r="M46" s="17"/>
      <c r="N46" s="17"/>
      <c r="O46" s="17"/>
      <c r="P46" s="17"/>
    </row>
    <row r="47" spans="10:16" ht="14.25" customHeight="1" x14ac:dyDescent="0.2">
      <c r="J47" s="17"/>
      <c r="K47" s="17"/>
      <c r="L47" s="17"/>
      <c r="M47" s="17"/>
      <c r="N47" s="17"/>
      <c r="O47" s="17"/>
      <c r="P47" s="17"/>
    </row>
    <row r="48" spans="10:16" ht="14.25" customHeight="1" x14ac:dyDescent="0.2">
      <c r="J48" s="17"/>
      <c r="K48" s="17"/>
      <c r="L48" s="17"/>
      <c r="M48" s="17"/>
      <c r="N48" s="17"/>
      <c r="O48" s="17"/>
      <c r="P48" s="17"/>
    </row>
    <row r="49" spans="10:16" ht="14.25" customHeight="1" x14ac:dyDescent="0.2">
      <c r="J49" s="17"/>
      <c r="K49" s="17"/>
      <c r="L49" s="17"/>
      <c r="M49" s="17"/>
      <c r="N49" s="17"/>
      <c r="O49" s="17"/>
      <c r="P49" s="17"/>
    </row>
    <row r="50" spans="10:16" ht="14.25" customHeight="1" x14ac:dyDescent="0.2">
      <c r="J50" s="17"/>
      <c r="K50" s="17"/>
      <c r="L50" s="17"/>
      <c r="M50" s="17"/>
      <c r="N50" s="17"/>
      <c r="O50" s="17"/>
      <c r="P50" s="17"/>
    </row>
    <row r="51" spans="10:16" ht="14.25" customHeight="1" x14ac:dyDescent="0.2">
      <c r="J51" s="17"/>
      <c r="K51" s="17"/>
      <c r="L51" s="17"/>
      <c r="M51" s="17"/>
      <c r="N51" s="17"/>
      <c r="O51" s="17"/>
      <c r="P51" s="17"/>
    </row>
    <row r="52" spans="10:16" ht="14.25" customHeight="1" x14ac:dyDescent="0.2">
      <c r="J52" s="17"/>
      <c r="K52" s="17"/>
      <c r="L52" s="17"/>
      <c r="M52" s="17"/>
      <c r="N52" s="17"/>
      <c r="O52" s="17"/>
      <c r="P52" s="17"/>
    </row>
    <row r="53" spans="10:16" ht="14.25" customHeight="1" x14ac:dyDescent="0.2">
      <c r="J53" s="17"/>
      <c r="K53" s="17"/>
      <c r="L53" s="17"/>
      <c r="M53" s="17"/>
      <c r="N53" s="17"/>
      <c r="O53" s="17"/>
      <c r="P53" s="17"/>
    </row>
    <row r="54" spans="10:16" ht="14.25" customHeight="1" x14ac:dyDescent="0.2">
      <c r="J54" s="17"/>
      <c r="K54" s="17"/>
      <c r="L54" s="17"/>
      <c r="M54" s="17"/>
      <c r="N54" s="17"/>
      <c r="O54" s="17"/>
      <c r="P54" s="17"/>
    </row>
    <row r="55" spans="10:16" ht="14.25" customHeight="1" x14ac:dyDescent="0.2">
      <c r="J55" s="17"/>
      <c r="K55" s="17"/>
      <c r="L55" s="17"/>
      <c r="M55" s="17"/>
      <c r="N55" s="17"/>
      <c r="O55" s="17"/>
      <c r="P55" s="17"/>
    </row>
    <row r="56" spans="10:16" ht="14.25" customHeight="1" x14ac:dyDescent="0.2">
      <c r="J56" s="17"/>
      <c r="K56" s="17"/>
      <c r="L56" s="17"/>
      <c r="M56" s="17"/>
      <c r="N56" s="17"/>
      <c r="O56" s="17"/>
      <c r="P56" s="17"/>
    </row>
    <row r="57" spans="10:16" ht="14.25" customHeight="1" x14ac:dyDescent="0.2">
      <c r="J57" s="17"/>
      <c r="K57" s="17"/>
      <c r="L57" s="17"/>
      <c r="M57" s="17"/>
      <c r="N57" s="17"/>
      <c r="O57" s="17"/>
      <c r="P57" s="17"/>
    </row>
    <row r="58" spans="10:16" x14ac:dyDescent="0.2">
      <c r="J58" s="17"/>
      <c r="P58" s="17"/>
    </row>
    <row r="59" spans="10:16" x14ac:dyDescent="0.2">
      <c r="P59" s="17"/>
    </row>
  </sheetData>
  <sortState xmlns:xlrd2="http://schemas.microsoft.com/office/spreadsheetml/2017/richdata2" ref="A8:E27">
    <sortCondition ref="A8:A27"/>
  </sortState>
  <mergeCells count="10">
    <mergeCell ref="G26:H26"/>
    <mergeCell ref="A1:C1"/>
    <mergeCell ref="A3:B3"/>
    <mergeCell ref="A4:B4"/>
    <mergeCell ref="J7:P9"/>
    <mergeCell ref="G21:I21"/>
    <mergeCell ref="G22:H22"/>
    <mergeCell ref="G23:H23"/>
    <mergeCell ref="G24:H24"/>
    <mergeCell ref="G25:H25"/>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9"/>
  <sheetViews>
    <sheetView topLeftCell="A6" zoomScaleNormal="100" workbookViewId="0">
      <selection activeCell="I23" sqref="I23"/>
    </sheetView>
  </sheetViews>
  <sheetFormatPr baseColWidth="10" defaultColWidth="11.5" defaultRowHeight="15" x14ac:dyDescent="0.2"/>
  <cols>
    <col min="1" max="1" width="11" customWidth="1"/>
    <col min="2" max="2" width="16.83203125" style="6" bestFit="1" customWidth="1"/>
    <col min="3" max="3" width="22.83203125" style="6" customWidth="1"/>
    <col min="4" max="4" width="19.5" style="6" customWidth="1"/>
    <col min="5" max="5" width="12.1640625" style="6" bestFit="1" customWidth="1"/>
    <col min="6" max="6" width="11" bestFit="1" customWidth="1"/>
    <col min="7" max="7" width="10.5" customWidth="1"/>
    <col min="8" max="8" width="13.5" customWidth="1"/>
    <col min="9" max="9" width="12.5" customWidth="1"/>
    <col min="10" max="10" width="17" customWidth="1"/>
    <col min="11" max="11" width="9.1640625" customWidth="1"/>
    <col min="12" max="12" width="10" bestFit="1" customWidth="1"/>
    <col min="13" max="15" width="9.1640625" customWidth="1"/>
    <col min="16" max="256" width="8.83203125" customWidth="1"/>
  </cols>
  <sheetData>
    <row r="1" spans="1:16" x14ac:dyDescent="0.2">
      <c r="A1" s="158" t="s">
        <v>31</v>
      </c>
      <c r="B1" s="158"/>
      <c r="C1" s="158"/>
    </row>
    <row r="2" spans="1:16" x14ac:dyDescent="0.2">
      <c r="A2" s="91" t="s">
        <v>54</v>
      </c>
      <c r="B2" s="91"/>
      <c r="C2" s="91"/>
    </row>
    <row r="3" spans="1:16" x14ac:dyDescent="0.2">
      <c r="A3" s="148" t="s">
        <v>4</v>
      </c>
      <c r="B3" s="148"/>
      <c r="C3" s="3">
        <v>0.1</v>
      </c>
      <c r="D3" s="36"/>
      <c r="E3"/>
    </row>
    <row r="4" spans="1:16" x14ac:dyDescent="0.2">
      <c r="A4" s="149" t="s">
        <v>5</v>
      </c>
      <c r="B4" s="149"/>
      <c r="C4" s="3">
        <v>0.95</v>
      </c>
      <c r="D4" s="36"/>
      <c r="E4"/>
    </row>
    <row r="5" spans="1:16" ht="17.25" customHeight="1" x14ac:dyDescent="0.25">
      <c r="A5" s="4"/>
      <c r="B5" s="5"/>
      <c r="C5" s="5"/>
      <c r="D5" s="5"/>
      <c r="G5" s="25" t="s">
        <v>57</v>
      </c>
      <c r="H5" s="7"/>
    </row>
    <row r="6" spans="1:16" ht="17.25" customHeight="1" x14ac:dyDescent="0.2">
      <c r="A6" s="87" t="s">
        <v>55</v>
      </c>
      <c r="B6" s="5"/>
      <c r="C6" s="5"/>
      <c r="D6" s="5"/>
      <c r="E6" s="37"/>
      <c r="H6" s="8" t="s">
        <v>6</v>
      </c>
    </row>
    <row r="7" spans="1:16" ht="30.75" customHeight="1" x14ac:dyDescent="0.2">
      <c r="A7" s="37" t="s">
        <v>7</v>
      </c>
      <c r="B7" s="37" t="s">
        <v>8</v>
      </c>
      <c r="C7" s="37" t="s">
        <v>39</v>
      </c>
      <c r="D7" s="37" t="s">
        <v>9</v>
      </c>
      <c r="E7" s="37" t="s">
        <v>10</v>
      </c>
      <c r="G7" s="9" t="s">
        <v>11</v>
      </c>
      <c r="H7" s="10" t="s">
        <v>12</v>
      </c>
      <c r="I7" s="11" t="s">
        <v>13</v>
      </c>
      <c r="J7" s="150"/>
      <c r="K7" s="150"/>
      <c r="L7" s="150"/>
      <c r="M7" s="150"/>
      <c r="N7" s="150"/>
      <c r="O7" s="150"/>
      <c r="P7" s="150"/>
    </row>
    <row r="8" spans="1:16" ht="14.25" customHeight="1" x14ac:dyDescent="0.2">
      <c r="A8" s="75">
        <v>37</v>
      </c>
      <c r="B8" s="76">
        <v>9141</v>
      </c>
      <c r="C8" s="44">
        <v>200000</v>
      </c>
      <c r="D8" s="55">
        <f t="shared" ref="D8:D47" si="0">C8-B8</f>
        <v>190859</v>
      </c>
      <c r="E8" s="55">
        <f>D8*($C$4/(1+$C$3-$C$4))</f>
        <v>1208773.6666666656</v>
      </c>
      <c r="F8" s="12"/>
      <c r="G8" s="13">
        <v>1</v>
      </c>
      <c r="H8" s="14">
        <f ca="1">SUM(OFFSET(D7,1,0,4,1))</f>
        <v>690026</v>
      </c>
      <c r="I8" s="15">
        <f ca="1">H8/$H$18</f>
        <v>0.34172086122297785</v>
      </c>
      <c r="J8" s="150"/>
      <c r="K8" s="150"/>
      <c r="L8" s="150"/>
      <c r="M8" s="150"/>
      <c r="N8" s="150"/>
      <c r="O8" s="150"/>
      <c r="P8" s="150"/>
    </row>
    <row r="9" spans="1:16" ht="14.25" customHeight="1" x14ac:dyDescent="0.2">
      <c r="A9" s="75">
        <v>40</v>
      </c>
      <c r="B9" s="76">
        <v>25618</v>
      </c>
      <c r="C9" s="44">
        <v>200000</v>
      </c>
      <c r="D9" s="55">
        <f t="shared" si="0"/>
        <v>174382</v>
      </c>
      <c r="E9" s="55">
        <f t="shared" ref="E9:E47" si="1">D9*($C$4/(1+$C$3-$C$4))</f>
        <v>1104419.3333333323</v>
      </c>
      <c r="F9" s="12"/>
      <c r="G9" s="13">
        <v>2</v>
      </c>
      <c r="H9" s="16">
        <f ca="1">SUM(OFFSET($D$7,1+4*G8,0,4,1))</f>
        <v>539597</v>
      </c>
      <c r="I9" s="15">
        <f ca="1">H9/$H$18</f>
        <v>0.26722406337346011</v>
      </c>
      <c r="J9" s="150"/>
      <c r="K9" s="150"/>
      <c r="L9" s="150"/>
      <c r="M9" s="150"/>
      <c r="N9" s="150"/>
      <c r="O9" s="150"/>
      <c r="P9" s="150"/>
    </row>
    <row r="10" spans="1:16" ht="14.25" customHeight="1" x14ac:dyDescent="0.2">
      <c r="A10" s="75">
        <v>4</v>
      </c>
      <c r="B10" s="76">
        <v>33774</v>
      </c>
      <c r="C10" s="44">
        <v>200000</v>
      </c>
      <c r="D10" s="55">
        <f t="shared" si="0"/>
        <v>166226</v>
      </c>
      <c r="E10" s="55">
        <f t="shared" si="1"/>
        <v>1052764.6666666658</v>
      </c>
      <c r="F10" s="12"/>
      <c r="G10" s="13">
        <v>3</v>
      </c>
      <c r="H10" s="16">
        <f t="shared" ref="H10:H17" ca="1" si="2">SUM(OFFSET($D$7,1+4*G9,0,4,1))</f>
        <v>453444</v>
      </c>
      <c r="I10" s="15">
        <f ca="1">H10/$H$18</f>
        <v>0.22455860242424483</v>
      </c>
      <c r="J10" s="17"/>
      <c r="K10" s="17"/>
      <c r="L10" s="17"/>
      <c r="M10" s="17"/>
      <c r="N10" s="17"/>
      <c r="O10" s="17"/>
      <c r="P10" s="17"/>
    </row>
    <row r="11" spans="1:16" ht="14.25" customHeight="1" x14ac:dyDescent="0.2">
      <c r="A11" s="75">
        <v>11</v>
      </c>
      <c r="B11" s="76">
        <v>41441</v>
      </c>
      <c r="C11" s="44">
        <v>200000</v>
      </c>
      <c r="D11" s="55">
        <f t="shared" si="0"/>
        <v>158559</v>
      </c>
      <c r="E11" s="55">
        <f t="shared" si="1"/>
        <v>1004206.9999999991</v>
      </c>
      <c r="F11" s="12"/>
      <c r="G11" s="13">
        <v>4</v>
      </c>
      <c r="H11" s="16">
        <f t="shared" ca="1" si="2"/>
        <v>372497</v>
      </c>
      <c r="I11" s="15">
        <f t="shared" ref="I11:I17" ca="1" si="3">H11/$H$18</f>
        <v>0.18447130346244284</v>
      </c>
      <c r="J11" s="17"/>
      <c r="K11" s="17"/>
      <c r="L11" s="17"/>
      <c r="M11" s="17"/>
      <c r="N11" s="17"/>
      <c r="O11" s="17"/>
      <c r="P11" s="17"/>
    </row>
    <row r="12" spans="1:16" ht="14.25" customHeight="1" x14ac:dyDescent="0.2">
      <c r="A12" s="75">
        <v>6</v>
      </c>
      <c r="B12" s="76">
        <v>47081</v>
      </c>
      <c r="C12" s="44">
        <v>200000</v>
      </c>
      <c r="D12" s="55">
        <f t="shared" si="0"/>
        <v>152919</v>
      </c>
      <c r="E12" s="55">
        <f t="shared" si="1"/>
        <v>968486.99999999919</v>
      </c>
      <c r="F12" s="12"/>
      <c r="G12" s="13">
        <v>5</v>
      </c>
      <c r="H12" s="16">
        <f t="shared" ca="1" si="2"/>
        <v>209136</v>
      </c>
      <c r="I12" s="15">
        <f ca="1">H12/$H$18</f>
        <v>0.10357020464841715</v>
      </c>
      <c r="J12" s="17"/>
      <c r="K12" s="17"/>
      <c r="L12" s="17"/>
      <c r="M12" s="17"/>
      <c r="N12" s="17"/>
      <c r="O12" s="17"/>
      <c r="P12" s="17"/>
    </row>
    <row r="13" spans="1:16" ht="14.25" customHeight="1" x14ac:dyDescent="0.2">
      <c r="A13" s="75">
        <v>3</v>
      </c>
      <c r="B13" s="76">
        <v>58066</v>
      </c>
      <c r="C13" s="44">
        <v>200000</v>
      </c>
      <c r="D13" s="55">
        <f t="shared" si="0"/>
        <v>141934</v>
      </c>
      <c r="E13" s="55">
        <f t="shared" si="1"/>
        <v>898915.33333333256</v>
      </c>
      <c r="F13" s="12"/>
      <c r="G13" s="13">
        <v>6</v>
      </c>
      <c r="H13" s="16">
        <f ca="1">SUM(OFFSET($D$7,1+4*G12,0,4,1))</f>
        <v>118337</v>
      </c>
      <c r="I13" s="15">
        <f t="shared" ca="1" si="3"/>
        <v>5.8603909931717831E-2</v>
      </c>
      <c r="J13" s="17"/>
      <c r="K13" s="17"/>
      <c r="L13" s="17"/>
      <c r="M13" s="17"/>
      <c r="N13" s="17"/>
      <c r="O13" s="17"/>
      <c r="P13" s="17"/>
    </row>
    <row r="14" spans="1:16" ht="14.25" customHeight="1" x14ac:dyDescent="0.2">
      <c r="A14" s="75">
        <v>31</v>
      </c>
      <c r="B14" s="76">
        <v>72286</v>
      </c>
      <c r="C14" s="44">
        <v>200000</v>
      </c>
      <c r="D14" s="55">
        <f t="shared" si="0"/>
        <v>127714</v>
      </c>
      <c r="E14" s="55">
        <f t="shared" si="1"/>
        <v>808855.33333333256</v>
      </c>
      <c r="F14" s="12"/>
      <c r="G14" s="13">
        <v>7</v>
      </c>
      <c r="H14" s="16">
        <f ca="1">SUM(OFFSET($D$7,1+4*G13,0,4,1))</f>
        <v>44669</v>
      </c>
      <c r="I14" s="15">
        <f t="shared" ca="1" si="3"/>
        <v>2.2121382600031297E-2</v>
      </c>
      <c r="J14" s="17"/>
      <c r="K14" s="17"/>
      <c r="L14" s="17"/>
      <c r="M14" s="17"/>
      <c r="N14" s="17"/>
      <c r="O14" s="17"/>
      <c r="P14" s="17"/>
    </row>
    <row r="15" spans="1:16" ht="14.25" customHeight="1" x14ac:dyDescent="0.2">
      <c r="A15" s="75">
        <v>29</v>
      </c>
      <c r="B15" s="76">
        <v>82970</v>
      </c>
      <c r="C15" s="44">
        <v>200000</v>
      </c>
      <c r="D15" s="55">
        <f t="shared" si="0"/>
        <v>117030</v>
      </c>
      <c r="E15" s="55">
        <f t="shared" si="1"/>
        <v>741189.9999999993</v>
      </c>
      <c r="F15" s="12"/>
      <c r="G15" s="13">
        <v>8</v>
      </c>
      <c r="H15" s="130">
        <f ca="1">SUM(OFFSET($D$7,1+4*G14,0,4,1))</f>
        <v>-58944</v>
      </c>
      <c r="I15" s="129">
        <f t="shared" ca="1" si="3"/>
        <v>-2.9190776063405154E-2</v>
      </c>
      <c r="J15" s="17"/>
      <c r="K15" s="17"/>
      <c r="L15" s="17"/>
      <c r="M15" s="17"/>
      <c r="N15" s="17"/>
      <c r="O15" s="17"/>
      <c r="P15" s="17"/>
    </row>
    <row r="16" spans="1:16" ht="14.25" customHeight="1" x14ac:dyDescent="0.2">
      <c r="A16" s="75">
        <v>34</v>
      </c>
      <c r="B16" s="76">
        <v>83559</v>
      </c>
      <c r="C16" s="44">
        <v>200000</v>
      </c>
      <c r="D16" s="55">
        <f t="shared" si="0"/>
        <v>116441</v>
      </c>
      <c r="E16" s="55">
        <f t="shared" si="1"/>
        <v>737459.66666666605</v>
      </c>
      <c r="F16" s="12"/>
      <c r="G16" s="13">
        <v>9</v>
      </c>
      <c r="H16" s="130">
        <f t="shared" ca="1" si="2"/>
        <v>-109286</v>
      </c>
      <c r="I16" s="129">
        <f t="shared" ca="1" si="3"/>
        <v>-5.4121592577112104E-2</v>
      </c>
      <c r="J16" s="17"/>
      <c r="K16" s="17"/>
      <c r="L16" s="17"/>
      <c r="M16" s="17"/>
      <c r="N16" s="17"/>
      <c r="O16" s="17"/>
      <c r="P16" s="17"/>
    </row>
    <row r="17" spans="1:16" ht="14.25" customHeight="1" x14ac:dyDescent="0.2">
      <c r="A17" s="75">
        <v>23</v>
      </c>
      <c r="B17" s="76">
        <v>85016</v>
      </c>
      <c r="C17" s="44">
        <v>200000</v>
      </c>
      <c r="D17" s="55">
        <f t="shared" si="0"/>
        <v>114984</v>
      </c>
      <c r="E17" s="55">
        <f t="shared" si="1"/>
        <v>728231.9999999993</v>
      </c>
      <c r="F17" s="12"/>
      <c r="G17" s="13">
        <v>10</v>
      </c>
      <c r="H17" s="130">
        <f t="shared" ca="1" si="2"/>
        <v>-240208</v>
      </c>
      <c r="I17" s="129">
        <f t="shared" ca="1" si="3"/>
        <v>-0.11895795902277459</v>
      </c>
      <c r="J17" s="17"/>
      <c r="K17" s="17"/>
      <c r="L17" s="17"/>
      <c r="M17" s="17"/>
      <c r="N17" s="17"/>
      <c r="O17" s="17"/>
      <c r="P17" s="17"/>
    </row>
    <row r="18" spans="1:16" ht="14.25" customHeight="1" x14ac:dyDescent="0.2">
      <c r="A18" s="75">
        <v>17</v>
      </c>
      <c r="B18" s="76">
        <v>85316</v>
      </c>
      <c r="C18" s="44">
        <v>200000</v>
      </c>
      <c r="D18" s="55">
        <f t="shared" si="0"/>
        <v>114684</v>
      </c>
      <c r="E18" s="55">
        <f t="shared" si="1"/>
        <v>726331.9999999993</v>
      </c>
      <c r="F18" s="12"/>
      <c r="G18" s="18" t="s">
        <v>3</v>
      </c>
      <c r="H18" s="38">
        <f ca="1">SUM(H8:H17)</f>
        <v>2019268</v>
      </c>
      <c r="I18" s="39">
        <f ca="1">SUM(I8:I17)</f>
        <v>1.0000000000000002</v>
      </c>
      <c r="J18" s="17"/>
      <c r="K18" s="17"/>
      <c r="L18" s="20"/>
      <c r="M18" s="17"/>
      <c r="N18" s="17"/>
      <c r="O18" s="17"/>
      <c r="P18" s="17"/>
    </row>
    <row r="19" spans="1:16" ht="14.25" customHeight="1" x14ac:dyDescent="0.2">
      <c r="A19" s="75">
        <v>24</v>
      </c>
      <c r="B19" s="76">
        <v>92665</v>
      </c>
      <c r="C19" s="44">
        <v>200000</v>
      </c>
      <c r="D19" s="55">
        <f t="shared" si="0"/>
        <v>107335</v>
      </c>
      <c r="E19" s="55">
        <f t="shared" si="1"/>
        <v>679788.33333333267</v>
      </c>
      <c r="F19" s="12"/>
      <c r="J19" s="17"/>
      <c r="K19" s="17"/>
      <c r="L19" s="17"/>
      <c r="M19" s="17"/>
      <c r="N19" s="17"/>
      <c r="O19" s="17"/>
      <c r="P19" s="17"/>
    </row>
    <row r="20" spans="1:16" ht="14.25" customHeight="1" x14ac:dyDescent="0.2">
      <c r="A20" s="75">
        <v>32</v>
      </c>
      <c r="B20" s="76">
        <v>96835</v>
      </c>
      <c r="C20" s="44">
        <v>200000</v>
      </c>
      <c r="D20" s="55">
        <f t="shared" si="0"/>
        <v>103165</v>
      </c>
      <c r="E20" s="55">
        <f t="shared" si="1"/>
        <v>653378.33333333279</v>
      </c>
      <c r="F20" s="12"/>
      <c r="G20" s="25" t="s">
        <v>58</v>
      </c>
      <c r="J20" s="17"/>
      <c r="K20" s="17"/>
      <c r="L20" s="17"/>
      <c r="M20" s="17"/>
      <c r="N20" s="17"/>
      <c r="O20" s="17"/>
      <c r="P20" s="17"/>
    </row>
    <row r="21" spans="1:16" ht="14.25" customHeight="1" x14ac:dyDescent="0.2">
      <c r="A21" s="75">
        <v>2</v>
      </c>
      <c r="B21" s="76">
        <v>103385</v>
      </c>
      <c r="C21" s="44">
        <v>200000</v>
      </c>
      <c r="D21" s="55">
        <f t="shared" si="0"/>
        <v>96615</v>
      </c>
      <c r="E21" s="55">
        <f t="shared" si="1"/>
        <v>611894.99999999942</v>
      </c>
      <c r="F21" s="12"/>
      <c r="G21" s="151" t="s">
        <v>14</v>
      </c>
      <c r="H21" s="152"/>
      <c r="I21" s="153"/>
      <c r="J21" s="17"/>
      <c r="K21" s="17"/>
      <c r="L21" s="17"/>
      <c r="M21" s="17"/>
      <c r="N21" s="17"/>
      <c r="O21" s="17"/>
      <c r="P21" s="17"/>
    </row>
    <row r="22" spans="1:16" ht="14.25" customHeight="1" x14ac:dyDescent="0.2">
      <c r="A22" s="75">
        <v>21</v>
      </c>
      <c r="B22" s="76">
        <v>110537</v>
      </c>
      <c r="C22" s="44">
        <v>200000</v>
      </c>
      <c r="D22" s="55">
        <f t="shared" si="0"/>
        <v>89463</v>
      </c>
      <c r="E22" s="55">
        <f t="shared" si="1"/>
        <v>566598.99999999953</v>
      </c>
      <c r="F22" s="12"/>
      <c r="G22" s="154" t="s">
        <v>15</v>
      </c>
      <c r="H22" s="155"/>
      <c r="I22" s="21">
        <f>D48</f>
        <v>50481.7</v>
      </c>
      <c r="J22" s="17"/>
      <c r="K22" s="17"/>
      <c r="L22" s="17"/>
      <c r="M22" s="17"/>
      <c r="N22" s="17"/>
      <c r="O22" s="17"/>
    </row>
    <row r="23" spans="1:16" ht="14.25" customHeight="1" x14ac:dyDescent="0.2">
      <c r="A23" s="75">
        <v>25</v>
      </c>
      <c r="B23" s="76">
        <v>116746</v>
      </c>
      <c r="C23" s="44">
        <v>200000</v>
      </c>
      <c r="D23" s="55">
        <f t="shared" si="0"/>
        <v>83254</v>
      </c>
      <c r="E23" s="55">
        <f t="shared" si="1"/>
        <v>527275.33333333291</v>
      </c>
      <c r="F23" s="12"/>
      <c r="G23" s="154" t="s">
        <v>16</v>
      </c>
      <c r="H23" s="155"/>
      <c r="I23" s="21">
        <f>Table6[[#Totals],[CLV]]</f>
        <v>319717.43333333312</v>
      </c>
      <c r="J23" s="17"/>
      <c r="K23" s="17"/>
      <c r="L23" s="17"/>
      <c r="M23" s="17"/>
      <c r="N23" s="17"/>
      <c r="O23" s="17"/>
    </row>
    <row r="24" spans="1:16" ht="14.25" customHeight="1" x14ac:dyDescent="0.2">
      <c r="A24" s="75">
        <v>13</v>
      </c>
      <c r="B24" s="76">
        <v>135389</v>
      </c>
      <c r="C24" s="44">
        <v>200000</v>
      </c>
      <c r="D24" s="55">
        <f t="shared" si="0"/>
        <v>64611</v>
      </c>
      <c r="E24" s="55">
        <f t="shared" si="1"/>
        <v>409202.99999999965</v>
      </c>
      <c r="F24" s="12"/>
      <c r="G24" s="154" t="s">
        <v>17</v>
      </c>
      <c r="H24" s="155"/>
      <c r="I24" s="22">
        <v>0.15</v>
      </c>
      <c r="J24" s="17"/>
      <c r="K24" s="17"/>
      <c r="L24" s="17"/>
      <c r="M24" s="17"/>
      <c r="N24" s="17"/>
      <c r="O24" s="17"/>
    </row>
    <row r="25" spans="1:16" ht="14.25" customHeight="1" x14ac:dyDescent="0.2">
      <c r="A25" s="75">
        <v>20</v>
      </c>
      <c r="B25" s="76">
        <v>147248</v>
      </c>
      <c r="C25" s="44">
        <v>200000</v>
      </c>
      <c r="D25" s="55">
        <f t="shared" si="0"/>
        <v>52752</v>
      </c>
      <c r="E25" s="55">
        <f t="shared" si="1"/>
        <v>334095.99999999971</v>
      </c>
      <c r="F25" s="12"/>
      <c r="G25" s="154" t="s">
        <v>18</v>
      </c>
      <c r="H25" s="155"/>
      <c r="I25" s="23">
        <v>100000</v>
      </c>
      <c r="J25" s="17"/>
      <c r="K25" s="17"/>
      <c r="L25" s="17"/>
      <c r="M25" s="17"/>
      <c r="N25" s="17"/>
      <c r="O25" s="17"/>
    </row>
    <row r="26" spans="1:16" ht="14.25" customHeight="1" x14ac:dyDescent="0.2">
      <c r="A26" s="75">
        <v>39</v>
      </c>
      <c r="B26" s="76">
        <v>152556</v>
      </c>
      <c r="C26" s="44">
        <v>200000</v>
      </c>
      <c r="D26" s="55">
        <f t="shared" si="0"/>
        <v>47444</v>
      </c>
      <c r="E26" s="55">
        <f t="shared" si="1"/>
        <v>300478.6666666664</v>
      </c>
      <c r="F26" s="12"/>
      <c r="G26" s="156" t="s">
        <v>19</v>
      </c>
      <c r="H26" s="157"/>
      <c r="I26" s="24">
        <f>I24*(I22+I23)-I25</f>
        <v>-44470.130000000034</v>
      </c>
      <c r="J26" s="17"/>
      <c r="K26" s="17"/>
      <c r="L26" s="17"/>
      <c r="M26" s="17"/>
      <c r="N26" s="17"/>
      <c r="O26" s="17"/>
    </row>
    <row r="27" spans="1:16" ht="14.25" customHeight="1" x14ac:dyDescent="0.2">
      <c r="A27" s="75">
        <v>38</v>
      </c>
      <c r="B27" s="76">
        <v>155671</v>
      </c>
      <c r="C27" s="44">
        <v>200000</v>
      </c>
      <c r="D27" s="55">
        <f t="shared" si="0"/>
        <v>44329</v>
      </c>
      <c r="E27" s="55">
        <f t="shared" si="1"/>
        <v>280750.33333333308</v>
      </c>
      <c r="F27" s="12"/>
      <c r="J27" s="17"/>
      <c r="K27" s="17"/>
      <c r="L27" s="17"/>
      <c r="M27" s="17"/>
      <c r="N27" s="17"/>
      <c r="O27" s="17"/>
      <c r="P27" s="17"/>
    </row>
    <row r="28" spans="1:16" x14ac:dyDescent="0.2">
      <c r="A28" s="75">
        <v>5</v>
      </c>
      <c r="B28" s="76">
        <v>162673</v>
      </c>
      <c r="C28" s="44">
        <v>200000</v>
      </c>
      <c r="D28" s="55">
        <f t="shared" si="0"/>
        <v>37327</v>
      </c>
      <c r="E28" s="55">
        <f t="shared" si="1"/>
        <v>236404.33333333311</v>
      </c>
    </row>
    <row r="29" spans="1:16" ht="14.25" customHeight="1" x14ac:dyDescent="0.2">
      <c r="A29" s="75">
        <v>7</v>
      </c>
      <c r="B29" s="76">
        <v>166450</v>
      </c>
      <c r="C29" s="44">
        <v>200000</v>
      </c>
      <c r="D29" s="55">
        <f t="shared" si="0"/>
        <v>33550</v>
      </c>
      <c r="E29" s="55">
        <f t="shared" si="1"/>
        <v>212483.33333333314</v>
      </c>
      <c r="J29" s="17"/>
      <c r="K29" s="17"/>
      <c r="L29" s="17"/>
      <c r="M29" s="17"/>
      <c r="N29" s="17"/>
      <c r="O29" s="17"/>
      <c r="P29" s="17"/>
    </row>
    <row r="30" spans="1:16" ht="14.25" customHeight="1" x14ac:dyDescent="0.2">
      <c r="A30" s="75">
        <v>26</v>
      </c>
      <c r="B30" s="76">
        <v>173750</v>
      </c>
      <c r="C30" s="44">
        <v>200000</v>
      </c>
      <c r="D30" s="55">
        <f t="shared" si="0"/>
        <v>26250</v>
      </c>
      <c r="E30" s="55">
        <f t="shared" si="1"/>
        <v>166249.99999999985</v>
      </c>
      <c r="J30" s="17"/>
      <c r="K30" s="17"/>
      <c r="L30" s="17"/>
      <c r="M30" s="17"/>
      <c r="N30" s="17"/>
      <c r="O30" s="17"/>
      <c r="P30" s="17"/>
    </row>
    <row r="31" spans="1:16" ht="14.25" customHeight="1" x14ac:dyDescent="0.2">
      <c r="A31" s="75">
        <v>1</v>
      </c>
      <c r="B31" s="76">
        <v>178790</v>
      </c>
      <c r="C31" s="44">
        <v>200000</v>
      </c>
      <c r="D31" s="55">
        <f t="shared" si="0"/>
        <v>21210</v>
      </c>
      <c r="E31" s="55">
        <f t="shared" si="1"/>
        <v>134329.99999999988</v>
      </c>
      <c r="J31" s="17"/>
      <c r="K31" s="17"/>
      <c r="L31" s="17"/>
      <c r="M31" s="17"/>
      <c r="N31" s="17"/>
      <c r="O31" s="17"/>
      <c r="P31" s="17"/>
    </row>
    <row r="32" spans="1:16" ht="14.25" customHeight="1" x14ac:dyDescent="0.2">
      <c r="A32" s="75">
        <v>22</v>
      </c>
      <c r="B32" s="76">
        <v>180452</v>
      </c>
      <c r="C32" s="44">
        <v>200000</v>
      </c>
      <c r="D32" s="55">
        <f t="shared" si="0"/>
        <v>19548</v>
      </c>
      <c r="E32" s="55">
        <f t="shared" si="1"/>
        <v>123803.99999999988</v>
      </c>
      <c r="J32" s="17"/>
      <c r="K32" s="17"/>
      <c r="L32" s="17"/>
      <c r="M32" s="17"/>
      <c r="N32" s="17"/>
      <c r="O32" s="17"/>
      <c r="P32" s="17"/>
    </row>
    <row r="33" spans="1:16" ht="14.25" customHeight="1" x14ac:dyDescent="0.2">
      <c r="A33" s="75">
        <v>12</v>
      </c>
      <c r="B33" s="76">
        <v>184282</v>
      </c>
      <c r="C33" s="44">
        <v>200000</v>
      </c>
      <c r="D33" s="55">
        <f t="shared" si="0"/>
        <v>15718</v>
      </c>
      <c r="E33" s="55">
        <f t="shared" si="1"/>
        <v>99547.333333333241</v>
      </c>
      <c r="J33" s="17"/>
      <c r="K33" s="17"/>
      <c r="L33" s="17"/>
      <c r="M33" s="17"/>
      <c r="N33" s="17"/>
      <c r="O33" s="17"/>
      <c r="P33" s="17"/>
    </row>
    <row r="34" spans="1:16" ht="14.25" customHeight="1" x14ac:dyDescent="0.2">
      <c r="A34" s="75">
        <v>30</v>
      </c>
      <c r="B34" s="76">
        <v>191714</v>
      </c>
      <c r="C34" s="44">
        <v>200000</v>
      </c>
      <c r="D34" s="55">
        <f t="shared" si="0"/>
        <v>8286</v>
      </c>
      <c r="E34" s="55">
        <f t="shared" si="1"/>
        <v>52477.999999999956</v>
      </c>
      <c r="J34" s="17"/>
      <c r="K34" s="17"/>
      <c r="L34" s="17"/>
      <c r="M34" s="17"/>
      <c r="N34" s="17"/>
      <c r="O34" s="17"/>
      <c r="P34" s="17"/>
    </row>
    <row r="35" spans="1:16" ht="14.25" customHeight="1" x14ac:dyDescent="0.2">
      <c r="A35" s="75">
        <v>14</v>
      </c>
      <c r="B35" s="76">
        <v>198883</v>
      </c>
      <c r="C35" s="44">
        <v>200000</v>
      </c>
      <c r="D35" s="55">
        <f t="shared" si="0"/>
        <v>1117</v>
      </c>
      <c r="E35" s="55">
        <f t="shared" si="1"/>
        <v>7074.3333333333267</v>
      </c>
      <c r="J35" s="17"/>
      <c r="K35" s="17"/>
      <c r="L35" s="17"/>
      <c r="M35" s="17"/>
      <c r="N35" s="17"/>
      <c r="O35" s="17"/>
      <c r="P35" s="17"/>
    </row>
    <row r="36" spans="1:16" ht="14.25" customHeight="1" x14ac:dyDescent="0.2">
      <c r="A36" s="75">
        <v>10</v>
      </c>
      <c r="B36" s="76">
        <v>205476</v>
      </c>
      <c r="C36" s="44">
        <v>200000</v>
      </c>
      <c r="D36" s="55">
        <f t="shared" si="0"/>
        <v>-5476</v>
      </c>
      <c r="E36" s="55">
        <f t="shared" si="1"/>
        <v>-34681.333333333299</v>
      </c>
      <c r="J36" s="17"/>
      <c r="K36" s="17"/>
      <c r="L36" s="17"/>
      <c r="M36" s="17"/>
      <c r="N36" s="17"/>
      <c r="O36" s="17"/>
      <c r="P36" s="17"/>
    </row>
    <row r="37" spans="1:16" ht="14.25" customHeight="1" x14ac:dyDescent="0.2">
      <c r="A37" s="75">
        <v>27</v>
      </c>
      <c r="B37" s="76">
        <v>213929</v>
      </c>
      <c r="C37" s="44">
        <v>200000</v>
      </c>
      <c r="D37" s="55">
        <f t="shared" si="0"/>
        <v>-13929</v>
      </c>
      <c r="E37" s="55">
        <f t="shared" si="1"/>
        <v>-88216.999999999927</v>
      </c>
      <c r="J37" s="17"/>
      <c r="K37" s="17"/>
      <c r="L37" s="17"/>
      <c r="M37" s="17"/>
      <c r="N37" s="17"/>
      <c r="O37" s="17"/>
      <c r="P37" s="17"/>
    </row>
    <row r="38" spans="1:16" ht="14.25" customHeight="1" x14ac:dyDescent="0.2">
      <c r="A38" s="75">
        <v>36</v>
      </c>
      <c r="B38" s="76">
        <v>219292</v>
      </c>
      <c r="C38" s="44">
        <v>200000</v>
      </c>
      <c r="D38" s="55">
        <f t="shared" si="0"/>
        <v>-19292</v>
      </c>
      <c r="E38" s="55">
        <f t="shared" si="1"/>
        <v>-122182.66666666656</v>
      </c>
      <c r="J38" s="17"/>
      <c r="K38" s="17"/>
      <c r="L38" s="17"/>
      <c r="M38" s="17"/>
      <c r="N38" s="17"/>
      <c r="O38" s="17"/>
      <c r="P38" s="17"/>
    </row>
    <row r="39" spans="1:16" ht="14.25" customHeight="1" x14ac:dyDescent="0.2">
      <c r="A39" s="75">
        <v>18</v>
      </c>
      <c r="B39" s="76">
        <v>220247</v>
      </c>
      <c r="C39" s="44">
        <v>200000</v>
      </c>
      <c r="D39" s="55">
        <f t="shared" si="0"/>
        <v>-20247</v>
      </c>
      <c r="E39" s="55">
        <f t="shared" si="1"/>
        <v>-128230.99999999988</v>
      </c>
      <c r="J39" s="17"/>
      <c r="K39" s="17"/>
      <c r="L39" s="17"/>
      <c r="M39" s="17"/>
      <c r="N39" s="17"/>
      <c r="O39" s="17"/>
      <c r="P39" s="17"/>
    </row>
    <row r="40" spans="1:16" ht="14.25" customHeight="1" x14ac:dyDescent="0.2">
      <c r="A40" s="75">
        <v>28</v>
      </c>
      <c r="B40" s="76">
        <v>225233</v>
      </c>
      <c r="C40" s="44">
        <v>200000</v>
      </c>
      <c r="D40" s="55">
        <f t="shared" si="0"/>
        <v>-25233</v>
      </c>
      <c r="E40" s="55">
        <f t="shared" si="1"/>
        <v>-159808.99999999985</v>
      </c>
      <c r="J40" s="17"/>
      <c r="K40" s="17"/>
      <c r="L40" s="17"/>
      <c r="M40" s="17"/>
      <c r="N40" s="17"/>
      <c r="O40" s="17"/>
      <c r="P40" s="17"/>
    </row>
    <row r="41" spans="1:16" ht="14.25" customHeight="1" x14ac:dyDescent="0.2">
      <c r="A41" s="75">
        <v>16</v>
      </c>
      <c r="B41" s="76">
        <v>225518</v>
      </c>
      <c r="C41" s="44">
        <v>200000</v>
      </c>
      <c r="D41" s="55">
        <f t="shared" si="0"/>
        <v>-25518</v>
      </c>
      <c r="E41" s="55">
        <f t="shared" si="1"/>
        <v>-161613.99999999985</v>
      </c>
      <c r="J41" s="17"/>
      <c r="K41" s="17"/>
      <c r="L41" s="17"/>
      <c r="M41" s="17"/>
      <c r="N41" s="17"/>
      <c r="O41" s="17"/>
      <c r="P41" s="17"/>
    </row>
    <row r="42" spans="1:16" ht="14.25" customHeight="1" x14ac:dyDescent="0.2">
      <c r="A42" s="75">
        <v>35</v>
      </c>
      <c r="B42" s="76">
        <v>225948</v>
      </c>
      <c r="C42" s="44">
        <v>200000</v>
      </c>
      <c r="D42" s="55">
        <f t="shared" si="0"/>
        <v>-25948</v>
      </c>
      <c r="E42" s="55">
        <f t="shared" si="1"/>
        <v>-164337.3333333332</v>
      </c>
      <c r="J42" s="17"/>
      <c r="K42" s="17"/>
      <c r="L42" s="17"/>
      <c r="M42" s="17"/>
      <c r="N42" s="17"/>
      <c r="O42" s="17"/>
      <c r="P42" s="17"/>
    </row>
    <row r="43" spans="1:16" ht="14.25" customHeight="1" x14ac:dyDescent="0.2">
      <c r="A43" s="75">
        <v>19</v>
      </c>
      <c r="B43" s="76">
        <v>232587</v>
      </c>
      <c r="C43" s="44">
        <v>200000</v>
      </c>
      <c r="D43" s="55">
        <f t="shared" si="0"/>
        <v>-32587</v>
      </c>
      <c r="E43" s="55">
        <f t="shared" si="1"/>
        <v>-206384.33333333314</v>
      </c>
      <c r="J43" s="17"/>
      <c r="K43" s="17"/>
      <c r="L43" s="17"/>
      <c r="M43" s="17"/>
      <c r="N43" s="17"/>
      <c r="O43" s="17"/>
      <c r="P43" s="17"/>
    </row>
    <row r="44" spans="1:16" ht="14.25" customHeight="1" x14ac:dyDescent="0.2">
      <c r="A44" s="75">
        <v>33</v>
      </c>
      <c r="B44" s="76">
        <v>246229</v>
      </c>
      <c r="C44" s="44">
        <v>200000</v>
      </c>
      <c r="D44" s="55">
        <f t="shared" si="0"/>
        <v>-46229</v>
      </c>
      <c r="E44" s="55">
        <f t="shared" si="1"/>
        <v>-292783.6666666664</v>
      </c>
      <c r="J44" s="17"/>
      <c r="K44" s="17"/>
      <c r="L44" s="17"/>
      <c r="M44" s="17"/>
      <c r="N44" s="17"/>
      <c r="O44" s="17"/>
      <c r="P44" s="17"/>
    </row>
    <row r="45" spans="1:16" ht="14.25" customHeight="1" x14ac:dyDescent="0.2">
      <c r="A45" s="75">
        <v>8</v>
      </c>
      <c r="B45" s="76">
        <v>251624</v>
      </c>
      <c r="C45" s="44">
        <v>200000</v>
      </c>
      <c r="D45" s="55">
        <f t="shared" si="0"/>
        <v>-51624</v>
      </c>
      <c r="E45" s="55">
        <f t="shared" si="1"/>
        <v>-326951.99999999971</v>
      </c>
      <c r="J45" s="17"/>
      <c r="K45" s="17"/>
      <c r="L45" s="17"/>
      <c r="M45" s="17"/>
      <c r="N45" s="17"/>
      <c r="O45" s="17"/>
      <c r="P45" s="17"/>
    </row>
    <row r="46" spans="1:16" ht="14.25" customHeight="1" x14ac:dyDescent="0.2">
      <c r="A46" s="75">
        <v>15</v>
      </c>
      <c r="B46" s="76">
        <v>268649</v>
      </c>
      <c r="C46" s="44">
        <v>200000</v>
      </c>
      <c r="D46" s="55">
        <f t="shared" si="0"/>
        <v>-68649</v>
      </c>
      <c r="E46" s="55">
        <f t="shared" si="1"/>
        <v>-434776.99999999959</v>
      </c>
      <c r="J46" s="17"/>
      <c r="K46" s="17"/>
      <c r="L46" s="17"/>
      <c r="M46" s="17"/>
      <c r="N46" s="17"/>
      <c r="O46" s="17"/>
      <c r="P46" s="17"/>
    </row>
    <row r="47" spans="1:16" ht="14.25" customHeight="1" x14ac:dyDescent="0.2">
      <c r="A47" s="75">
        <v>9</v>
      </c>
      <c r="B47" s="76">
        <v>273706</v>
      </c>
      <c r="C47" s="44">
        <v>200000</v>
      </c>
      <c r="D47" s="55">
        <f t="shared" si="0"/>
        <v>-73706</v>
      </c>
      <c r="E47" s="55">
        <f t="shared" si="1"/>
        <v>-466804.66666666628</v>
      </c>
      <c r="F47" s="44"/>
      <c r="J47" s="17"/>
      <c r="K47" s="17"/>
      <c r="L47" s="17"/>
      <c r="M47" s="17"/>
      <c r="N47" s="17"/>
      <c r="O47" s="17"/>
      <c r="P47" s="17"/>
    </row>
    <row r="48" spans="1:16" ht="14.25" customHeight="1" x14ac:dyDescent="0.2">
      <c r="A48" s="113" t="s">
        <v>40</v>
      </c>
      <c r="B48" s="114">
        <f>SUBTOTAL(101,Table6[Annual expenses
])</f>
        <v>149518.29999999999</v>
      </c>
      <c r="C48" s="115"/>
      <c r="D48" s="116">
        <f>SUBTOTAL(101,Table6[Contribution margin])</f>
        <v>50481.7</v>
      </c>
      <c r="E48" s="117">
        <f>SUBTOTAL(101,Table6[CLV])</f>
        <v>319717.43333333312</v>
      </c>
      <c r="J48" s="17"/>
      <c r="K48" s="17"/>
      <c r="L48" s="17"/>
      <c r="M48" s="17"/>
      <c r="N48" s="17"/>
      <c r="O48" s="17"/>
      <c r="P48" s="17"/>
    </row>
    <row r="49" spans="1:16" ht="14.25" customHeight="1" x14ac:dyDescent="0.2">
      <c r="A49" s="43" t="s">
        <v>3</v>
      </c>
      <c r="B49" s="118"/>
      <c r="C49" s="119"/>
      <c r="D49" s="118">
        <f>SUM(Table6[Contribution margin])</f>
        <v>2019268</v>
      </c>
      <c r="E49" s="120">
        <f>SUM(Table6[CLV])</f>
        <v>12788697.333333325</v>
      </c>
      <c r="J49" s="17"/>
      <c r="K49" s="17"/>
      <c r="L49" s="17"/>
      <c r="M49" s="17"/>
      <c r="N49" s="17"/>
      <c r="O49" s="17"/>
      <c r="P49" s="17"/>
    </row>
    <row r="50" spans="1:16" ht="14.25" customHeight="1" x14ac:dyDescent="0.2">
      <c r="D50"/>
      <c r="E50"/>
      <c r="H50" s="17"/>
      <c r="I50" s="17"/>
      <c r="J50" s="17"/>
      <c r="K50" s="17"/>
      <c r="L50" s="17"/>
      <c r="M50" s="17"/>
      <c r="N50" s="17"/>
    </row>
    <row r="51" spans="1:16" ht="14.25" customHeight="1" x14ac:dyDescent="0.2">
      <c r="A51" s="25"/>
      <c r="D51"/>
      <c r="E51"/>
      <c r="H51" s="17"/>
      <c r="I51" s="17"/>
      <c r="J51" s="17"/>
      <c r="K51" s="17"/>
      <c r="L51" s="17"/>
      <c r="M51" s="17"/>
      <c r="N51" s="17"/>
    </row>
    <row r="52" spans="1:16" ht="14.25" customHeight="1" x14ac:dyDescent="0.2">
      <c r="J52" s="17"/>
      <c r="K52" s="17"/>
      <c r="L52" s="17"/>
      <c r="M52" s="17"/>
      <c r="N52" s="17"/>
      <c r="O52" s="17"/>
      <c r="P52" s="17"/>
    </row>
    <row r="53" spans="1:16" ht="14.25" customHeight="1" x14ac:dyDescent="0.2">
      <c r="J53" s="17"/>
      <c r="K53" s="17"/>
      <c r="L53" s="17"/>
      <c r="M53" s="17"/>
      <c r="N53" s="17"/>
      <c r="O53" s="17"/>
      <c r="P53" s="17"/>
    </row>
    <row r="54" spans="1:16" ht="14.25" customHeight="1" x14ac:dyDescent="0.2">
      <c r="J54" s="17"/>
      <c r="K54" s="17"/>
      <c r="L54" s="17"/>
      <c r="M54" s="17"/>
      <c r="N54" s="17"/>
      <c r="O54" s="17"/>
      <c r="P54" s="17"/>
    </row>
    <row r="55" spans="1:16" ht="14.25" customHeight="1" x14ac:dyDescent="0.2">
      <c r="J55" s="17"/>
      <c r="K55" s="17"/>
      <c r="L55" s="17"/>
      <c r="M55" s="17"/>
      <c r="N55" s="17"/>
      <c r="O55" s="17"/>
      <c r="P55" s="17"/>
    </row>
    <row r="56" spans="1:16" ht="14.25" customHeight="1" x14ac:dyDescent="0.2">
      <c r="J56" s="17"/>
      <c r="K56" s="17"/>
      <c r="L56" s="17"/>
      <c r="M56" s="17"/>
      <c r="N56" s="17"/>
      <c r="O56" s="17"/>
      <c r="P56" s="17"/>
    </row>
    <row r="57" spans="1:16" ht="14.25" customHeight="1" x14ac:dyDescent="0.2">
      <c r="J57" s="17"/>
      <c r="K57" s="17"/>
      <c r="L57" s="17"/>
      <c r="M57" s="17"/>
      <c r="N57" s="17"/>
      <c r="O57" s="17"/>
      <c r="P57" s="17"/>
    </row>
    <row r="58" spans="1:16" x14ac:dyDescent="0.2">
      <c r="J58" s="17"/>
      <c r="P58" s="17"/>
    </row>
    <row r="59" spans="1:16" x14ac:dyDescent="0.2">
      <c r="P59" s="17"/>
    </row>
  </sheetData>
  <sortState xmlns:xlrd2="http://schemas.microsoft.com/office/spreadsheetml/2017/richdata2" ref="A8:E49">
    <sortCondition ref="B12:B49"/>
  </sortState>
  <mergeCells count="10">
    <mergeCell ref="G26:H26"/>
    <mergeCell ref="A1:C1"/>
    <mergeCell ref="A3:B3"/>
    <mergeCell ref="A4:B4"/>
    <mergeCell ref="J7:P9"/>
    <mergeCell ref="G21:I21"/>
    <mergeCell ref="G22:H22"/>
    <mergeCell ref="G23:H23"/>
    <mergeCell ref="G24:H24"/>
    <mergeCell ref="G25:H25"/>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0"/>
  <sheetViews>
    <sheetView zoomScaleNormal="100" workbookViewId="0">
      <selection activeCell="J11" sqref="J11"/>
    </sheetView>
  </sheetViews>
  <sheetFormatPr baseColWidth="10" defaultColWidth="11.5" defaultRowHeight="15" x14ac:dyDescent="0.2"/>
  <cols>
    <col min="1" max="1" width="11" customWidth="1"/>
    <col min="2" max="2" width="16.83203125" style="6" bestFit="1" customWidth="1"/>
    <col min="3" max="3" width="22.83203125" style="6" customWidth="1"/>
    <col min="4" max="4" width="21.6640625" style="6" customWidth="1"/>
    <col min="5" max="5" width="12.1640625" style="6" bestFit="1" customWidth="1"/>
    <col min="6" max="6" width="11" bestFit="1" customWidth="1"/>
    <col min="7" max="7" width="10.5" customWidth="1"/>
    <col min="8" max="8" width="14" customWidth="1"/>
    <col min="9" max="9" width="12.5" customWidth="1"/>
    <col min="10" max="10" width="17" customWidth="1"/>
    <col min="11" max="11" width="9.1640625" customWidth="1"/>
    <col min="12" max="12" width="10" bestFit="1" customWidth="1"/>
    <col min="13" max="15" width="9.1640625" customWidth="1"/>
    <col min="16" max="256" width="8.83203125" customWidth="1"/>
  </cols>
  <sheetData>
    <row r="1" spans="1:16" x14ac:dyDescent="0.2">
      <c r="A1" s="158" t="s">
        <v>33</v>
      </c>
      <c r="B1" s="158"/>
      <c r="C1" s="158"/>
    </row>
    <row r="2" spans="1:16" x14ac:dyDescent="0.2">
      <c r="A2" s="91" t="s">
        <v>54</v>
      </c>
      <c r="B2" s="91"/>
      <c r="C2" s="91"/>
    </row>
    <row r="3" spans="1:16" x14ac:dyDescent="0.2">
      <c r="A3" s="148" t="s">
        <v>4</v>
      </c>
      <c r="B3" s="148"/>
      <c r="C3" s="3">
        <v>0.1</v>
      </c>
      <c r="D3" s="34"/>
      <c r="E3" s="31"/>
    </row>
    <row r="4" spans="1:16" x14ac:dyDescent="0.2">
      <c r="A4" s="149" t="s">
        <v>5</v>
      </c>
      <c r="B4" s="149"/>
      <c r="C4" s="3">
        <v>0.95</v>
      </c>
      <c r="D4" s="34"/>
      <c r="E4" s="31"/>
    </row>
    <row r="5" spans="1:16" ht="17.25" customHeight="1" x14ac:dyDescent="0.25">
      <c r="A5" s="4"/>
      <c r="B5" s="5"/>
      <c r="C5" s="5"/>
      <c r="D5" s="32"/>
      <c r="E5" s="33"/>
      <c r="G5" s="25" t="s">
        <v>57</v>
      </c>
      <c r="H5" s="7"/>
    </row>
    <row r="6" spans="1:16" ht="17.25" customHeight="1" x14ac:dyDescent="0.2">
      <c r="A6" s="87" t="s">
        <v>55</v>
      </c>
      <c r="B6" s="5"/>
      <c r="C6" s="5"/>
      <c r="D6" s="32"/>
      <c r="E6" s="35"/>
      <c r="H6" s="8" t="s">
        <v>21</v>
      </c>
    </row>
    <row r="7" spans="1:16" ht="30.75" customHeight="1" x14ac:dyDescent="0.2">
      <c r="A7" s="37" t="s">
        <v>7</v>
      </c>
      <c r="B7" s="37" t="s">
        <v>8</v>
      </c>
      <c r="C7" s="37" t="s">
        <v>39</v>
      </c>
      <c r="D7" s="37" t="s">
        <v>9</v>
      </c>
      <c r="E7" s="37" t="s">
        <v>10</v>
      </c>
      <c r="G7" s="9" t="s">
        <v>11</v>
      </c>
      <c r="H7" s="10" t="s">
        <v>12</v>
      </c>
      <c r="I7" s="11" t="s">
        <v>13</v>
      </c>
      <c r="J7" s="150"/>
      <c r="K7" s="150"/>
      <c r="L7" s="150"/>
      <c r="M7" s="150"/>
      <c r="N7" s="150"/>
      <c r="O7" s="150"/>
      <c r="P7" s="150"/>
    </row>
    <row r="8" spans="1:16" ht="14.25" customHeight="1" x14ac:dyDescent="0.2">
      <c r="A8" s="75">
        <v>1</v>
      </c>
      <c r="B8" s="76">
        <v>6052</v>
      </c>
      <c r="C8" s="44">
        <v>200000</v>
      </c>
      <c r="D8" s="55">
        <f t="shared" ref="D8:D37" si="0">C8-B8</f>
        <v>193948</v>
      </c>
      <c r="E8" s="55">
        <f>D8*($C$4/(1+$C$3-$C$4))</f>
        <v>1228337.3333333323</v>
      </c>
      <c r="F8" s="12"/>
      <c r="G8" s="13">
        <v>1</v>
      </c>
      <c r="H8" s="14">
        <f ca="1">SUM(OFFSET(D7,1,0,3,1))</f>
        <v>519294</v>
      </c>
      <c r="I8" s="15">
        <f ca="1">H8/$H$18</f>
        <v>1.0077586474569955</v>
      </c>
      <c r="J8" s="150"/>
      <c r="K8" s="150"/>
      <c r="L8" s="150"/>
      <c r="M8" s="150"/>
      <c r="N8" s="150"/>
      <c r="O8" s="150"/>
      <c r="P8" s="150"/>
    </row>
    <row r="9" spans="1:16" ht="14.25" customHeight="1" x14ac:dyDescent="0.2">
      <c r="A9" s="75">
        <v>30</v>
      </c>
      <c r="B9" s="76">
        <v>35631</v>
      </c>
      <c r="C9" s="44">
        <v>200000</v>
      </c>
      <c r="D9" s="55">
        <f t="shared" si="0"/>
        <v>164369</v>
      </c>
      <c r="E9" s="55">
        <f t="shared" ref="E9:E37" si="1">D9*($C$4/(1+$C$3-$C$4))</f>
        <v>1041003.6666666657</v>
      </c>
      <c r="F9" s="12"/>
      <c r="G9" s="13">
        <v>2</v>
      </c>
      <c r="H9" s="14">
        <f ca="1">SUM(OFFSET($D$7,1+3*G8,0,3,1))</f>
        <v>428297</v>
      </c>
      <c r="I9" s="15">
        <f t="shared" ref="I9:I17" ca="1" si="2">H9/$H$18</f>
        <v>0.83116694094268151</v>
      </c>
      <c r="J9" s="150"/>
      <c r="K9" s="150"/>
      <c r="L9" s="150"/>
      <c r="M9" s="150"/>
      <c r="N9" s="150"/>
      <c r="O9" s="150"/>
      <c r="P9" s="150"/>
    </row>
    <row r="10" spans="1:16" ht="14.25" customHeight="1" x14ac:dyDescent="0.2">
      <c r="A10" s="75">
        <v>26</v>
      </c>
      <c r="B10" s="76">
        <v>39023</v>
      </c>
      <c r="C10" s="44">
        <v>200000</v>
      </c>
      <c r="D10" s="55">
        <f t="shared" si="0"/>
        <v>160977</v>
      </c>
      <c r="E10" s="55">
        <f t="shared" si="1"/>
        <v>1019520.9999999991</v>
      </c>
      <c r="F10" s="12"/>
      <c r="G10" s="13">
        <v>3</v>
      </c>
      <c r="H10" s="14">
        <f t="shared" ref="H10:H17" ca="1" si="3">SUM(OFFSET($D$7,1+3*G9,0,3,1))</f>
        <v>369301</v>
      </c>
      <c r="I10" s="15">
        <f t="shared" ca="1" si="2"/>
        <v>0.71667740483139786</v>
      </c>
      <c r="J10" s="17"/>
      <c r="K10" s="17"/>
      <c r="L10" s="17"/>
      <c r="M10" s="17"/>
      <c r="N10" s="17"/>
      <c r="O10" s="17"/>
      <c r="P10" s="17"/>
    </row>
    <row r="11" spans="1:16" ht="14.25" customHeight="1" x14ac:dyDescent="0.2">
      <c r="A11" s="75">
        <v>4</v>
      </c>
      <c r="B11" s="76">
        <v>40097</v>
      </c>
      <c r="C11" s="44">
        <v>200000</v>
      </c>
      <c r="D11" s="55">
        <f t="shared" si="0"/>
        <v>159903</v>
      </c>
      <c r="E11" s="55">
        <f t="shared" si="1"/>
        <v>1012718.9999999991</v>
      </c>
      <c r="F11" s="12"/>
      <c r="G11" s="13">
        <v>4</v>
      </c>
      <c r="H11" s="14">
        <f t="shared" ca="1" si="3"/>
        <v>262825</v>
      </c>
      <c r="I11" s="15">
        <f t="shared" ca="1" si="2"/>
        <v>0.5100466527976153</v>
      </c>
      <c r="J11" s="17"/>
      <c r="K11" s="17"/>
      <c r="L11" s="17"/>
      <c r="M11" s="17"/>
      <c r="N11" s="17"/>
      <c r="O11" s="17"/>
      <c r="P11" s="17"/>
    </row>
    <row r="12" spans="1:16" ht="14.25" customHeight="1" x14ac:dyDescent="0.2">
      <c r="A12" s="75">
        <v>14</v>
      </c>
      <c r="B12" s="76">
        <v>61873</v>
      </c>
      <c r="C12" s="44">
        <v>200000</v>
      </c>
      <c r="D12" s="55">
        <f t="shared" si="0"/>
        <v>138127</v>
      </c>
      <c r="E12" s="55">
        <f t="shared" si="1"/>
        <v>874804.33333333256</v>
      </c>
      <c r="F12" s="12"/>
      <c r="G12" s="13">
        <v>5</v>
      </c>
      <c r="H12" s="14">
        <f t="shared" ca="1" si="3"/>
        <v>180670</v>
      </c>
      <c r="I12" s="15">
        <f t="shared" ca="1" si="2"/>
        <v>0.35061401602185926</v>
      </c>
      <c r="J12" s="17"/>
      <c r="K12" s="17"/>
      <c r="L12" s="17"/>
      <c r="M12" s="17"/>
      <c r="N12" s="17"/>
      <c r="O12" s="17"/>
      <c r="P12" s="17"/>
    </row>
    <row r="13" spans="1:16" ht="14.25" customHeight="1" x14ac:dyDescent="0.2">
      <c r="A13" s="75">
        <v>22</v>
      </c>
      <c r="B13" s="76">
        <v>69733</v>
      </c>
      <c r="C13" s="44">
        <v>200000</v>
      </c>
      <c r="D13" s="55">
        <f t="shared" si="0"/>
        <v>130267</v>
      </c>
      <c r="E13" s="55">
        <f t="shared" si="1"/>
        <v>825024.33333333256</v>
      </c>
      <c r="F13" s="12"/>
      <c r="G13" s="13">
        <v>6</v>
      </c>
      <c r="H13" s="14">
        <f t="shared" ca="1" si="3"/>
        <v>83358</v>
      </c>
      <c r="I13" s="15">
        <f t="shared" ca="1" si="2"/>
        <v>0.16176721728870397</v>
      </c>
      <c r="J13" s="17"/>
      <c r="K13" s="17"/>
      <c r="L13" s="17"/>
      <c r="M13" s="17"/>
      <c r="N13" s="17"/>
      <c r="O13" s="17"/>
      <c r="P13" s="17"/>
    </row>
    <row r="14" spans="1:16" ht="14.25" customHeight="1" x14ac:dyDescent="0.2">
      <c r="A14" s="75">
        <v>24</v>
      </c>
      <c r="B14" s="76">
        <v>72579</v>
      </c>
      <c r="C14" s="44">
        <v>200000</v>
      </c>
      <c r="D14" s="55">
        <f t="shared" si="0"/>
        <v>127421</v>
      </c>
      <c r="E14" s="55">
        <f t="shared" si="1"/>
        <v>806999.66666666593</v>
      </c>
      <c r="F14" s="12"/>
      <c r="G14" s="13">
        <v>7</v>
      </c>
      <c r="H14" s="128">
        <f t="shared" ca="1" si="3"/>
        <v>-90473</v>
      </c>
      <c r="I14" s="129">
        <f t="shared" ca="1" si="2"/>
        <v>-0.17557481525181642</v>
      </c>
      <c r="J14" s="17"/>
      <c r="K14" s="17"/>
      <c r="L14" s="17"/>
      <c r="M14" s="17"/>
      <c r="N14" s="17"/>
      <c r="O14" s="17"/>
      <c r="P14" s="17"/>
    </row>
    <row r="15" spans="1:16" ht="14.25" customHeight="1" x14ac:dyDescent="0.2">
      <c r="A15" s="75">
        <v>12</v>
      </c>
      <c r="B15" s="76">
        <v>75317</v>
      </c>
      <c r="C15" s="44">
        <v>200000</v>
      </c>
      <c r="D15" s="55">
        <f t="shared" si="0"/>
        <v>124683</v>
      </c>
      <c r="E15" s="55">
        <f t="shared" si="1"/>
        <v>789658.9999999993</v>
      </c>
      <c r="F15" s="12"/>
      <c r="G15" s="13">
        <v>8</v>
      </c>
      <c r="H15" s="128">
        <f t="shared" ca="1" si="3"/>
        <v>-233895</v>
      </c>
      <c r="I15" s="129">
        <f t="shared" ca="1" si="2"/>
        <v>-0.45390416382040616</v>
      </c>
      <c r="J15" s="17"/>
      <c r="K15" s="17"/>
      <c r="L15" s="17"/>
      <c r="M15" s="17"/>
      <c r="N15" s="17"/>
      <c r="O15" s="17"/>
      <c r="P15" s="17"/>
    </row>
    <row r="16" spans="1:16" ht="14.25" customHeight="1" x14ac:dyDescent="0.2">
      <c r="A16" s="75">
        <v>13</v>
      </c>
      <c r="B16" s="76">
        <v>82803</v>
      </c>
      <c r="C16" s="44">
        <v>200000</v>
      </c>
      <c r="D16" s="55">
        <f t="shared" si="0"/>
        <v>117197</v>
      </c>
      <c r="E16" s="55">
        <f t="shared" si="1"/>
        <v>742247.66666666605</v>
      </c>
      <c r="F16" s="12"/>
      <c r="G16" s="13">
        <v>9</v>
      </c>
      <c r="H16" s="128">
        <f t="shared" ca="1" si="3"/>
        <v>-445157</v>
      </c>
      <c r="I16" s="129">
        <f t="shared" ca="1" si="2"/>
        <v>-0.86388599950319811</v>
      </c>
      <c r="J16" s="17"/>
      <c r="K16" s="17"/>
      <c r="L16" s="17"/>
      <c r="M16" s="17"/>
      <c r="N16" s="17"/>
      <c r="O16" s="17"/>
      <c r="P16" s="17"/>
    </row>
    <row r="17" spans="1:16" ht="14.25" customHeight="1" x14ac:dyDescent="0.2">
      <c r="A17" s="75">
        <v>7</v>
      </c>
      <c r="B17" s="76">
        <v>90578</v>
      </c>
      <c r="C17" s="44">
        <v>200000</v>
      </c>
      <c r="D17" s="55">
        <f t="shared" si="0"/>
        <v>109422</v>
      </c>
      <c r="E17" s="55">
        <f t="shared" si="1"/>
        <v>693005.99999999942</v>
      </c>
      <c r="F17" s="12"/>
      <c r="G17" s="13">
        <v>10</v>
      </c>
      <c r="H17" s="128">
        <f t="shared" ca="1" si="3"/>
        <v>-558924</v>
      </c>
      <c r="I17" s="129">
        <f t="shared" ca="1" si="2"/>
        <v>-1.0846659007638328</v>
      </c>
      <c r="J17" s="17"/>
      <c r="K17" s="17"/>
      <c r="L17" s="17"/>
      <c r="M17" s="17"/>
      <c r="N17" s="17"/>
      <c r="O17" s="17"/>
      <c r="P17" s="17"/>
    </row>
    <row r="18" spans="1:16" ht="14.25" customHeight="1" x14ac:dyDescent="0.2">
      <c r="A18" s="75">
        <v>8</v>
      </c>
      <c r="B18" s="76">
        <v>119215</v>
      </c>
      <c r="C18" s="44">
        <v>200000</v>
      </c>
      <c r="D18" s="55">
        <f t="shared" si="0"/>
        <v>80785</v>
      </c>
      <c r="E18" s="55">
        <f t="shared" si="1"/>
        <v>511638.33333333291</v>
      </c>
      <c r="F18" s="12"/>
      <c r="G18" s="18" t="s">
        <v>3</v>
      </c>
      <c r="H18" s="19">
        <f ca="1">SUM(H8:H17)</f>
        <v>515296</v>
      </c>
      <c r="I18" s="42">
        <f ca="1">SUM(I8:I17)</f>
        <v>1.0000000000000002</v>
      </c>
      <c r="J18" s="17"/>
      <c r="K18" s="17"/>
      <c r="L18" s="20"/>
      <c r="M18" s="17"/>
      <c r="N18" s="17"/>
      <c r="O18" s="17"/>
      <c r="P18" s="17"/>
    </row>
    <row r="19" spans="1:16" ht="14.25" customHeight="1" x14ac:dyDescent="0.2">
      <c r="A19" s="75">
        <v>6</v>
      </c>
      <c r="B19" s="76">
        <v>127382</v>
      </c>
      <c r="C19" s="44">
        <v>200000</v>
      </c>
      <c r="D19" s="55">
        <f t="shared" si="0"/>
        <v>72618</v>
      </c>
      <c r="E19" s="55">
        <f t="shared" si="1"/>
        <v>459913.99999999959</v>
      </c>
      <c r="F19" s="12"/>
      <c r="J19" s="17"/>
      <c r="K19" s="17"/>
      <c r="L19" s="17"/>
      <c r="M19" s="17"/>
      <c r="N19" s="17"/>
      <c r="O19" s="17"/>
      <c r="P19" s="17"/>
    </row>
    <row r="20" spans="1:16" ht="14.25" customHeight="1" x14ac:dyDescent="0.2">
      <c r="A20" s="75">
        <v>10</v>
      </c>
      <c r="B20" s="76">
        <v>128680</v>
      </c>
      <c r="C20" s="44">
        <v>200000</v>
      </c>
      <c r="D20" s="55">
        <f t="shared" si="0"/>
        <v>71320</v>
      </c>
      <c r="E20" s="55">
        <f t="shared" si="1"/>
        <v>451693.33333333291</v>
      </c>
      <c r="F20" s="12"/>
      <c r="G20" s="25" t="s">
        <v>58</v>
      </c>
      <c r="J20" s="17"/>
      <c r="K20" s="17"/>
      <c r="L20" s="17"/>
      <c r="M20" s="17"/>
      <c r="N20" s="17"/>
      <c r="O20" s="17"/>
      <c r="P20" s="17"/>
    </row>
    <row r="21" spans="1:16" ht="14.25" customHeight="1" x14ac:dyDescent="0.2">
      <c r="A21" s="75">
        <v>16</v>
      </c>
      <c r="B21" s="76">
        <v>143599</v>
      </c>
      <c r="C21" s="44">
        <v>200000</v>
      </c>
      <c r="D21" s="55">
        <f t="shared" si="0"/>
        <v>56401</v>
      </c>
      <c r="E21" s="55">
        <f t="shared" si="1"/>
        <v>357206.33333333302</v>
      </c>
      <c r="F21" s="12"/>
      <c r="G21" s="151" t="s">
        <v>14</v>
      </c>
      <c r="H21" s="152"/>
      <c r="I21" s="153"/>
      <c r="J21" s="17"/>
      <c r="K21" s="17"/>
      <c r="L21" s="17"/>
      <c r="M21" s="17"/>
      <c r="N21" s="17"/>
      <c r="O21" s="17"/>
      <c r="P21" s="17"/>
    </row>
    <row r="22" spans="1:16" ht="14.25" customHeight="1" x14ac:dyDescent="0.2">
      <c r="A22" s="75">
        <v>5</v>
      </c>
      <c r="B22" s="76">
        <v>147051</v>
      </c>
      <c r="C22" s="44">
        <v>200000</v>
      </c>
      <c r="D22" s="55">
        <f t="shared" si="0"/>
        <v>52949</v>
      </c>
      <c r="E22" s="55">
        <f t="shared" si="1"/>
        <v>335343.6666666664</v>
      </c>
      <c r="F22" s="12"/>
      <c r="G22" s="154" t="s">
        <v>15</v>
      </c>
      <c r="H22" s="155"/>
      <c r="I22" s="21">
        <f>D38</f>
        <v>17176.533333333333</v>
      </c>
      <c r="J22" s="17"/>
      <c r="K22" s="17"/>
      <c r="L22" s="17"/>
      <c r="M22" s="17"/>
      <c r="N22" s="17"/>
      <c r="O22" s="17"/>
    </row>
    <row r="23" spans="1:16" ht="14.25" customHeight="1" x14ac:dyDescent="0.2">
      <c r="A23" s="75">
        <v>20</v>
      </c>
      <c r="B23" s="76">
        <v>156128</v>
      </c>
      <c r="C23" s="44">
        <v>200000</v>
      </c>
      <c r="D23" s="55">
        <f t="shared" si="0"/>
        <v>43872</v>
      </c>
      <c r="E23" s="55">
        <f t="shared" si="1"/>
        <v>277855.99999999977</v>
      </c>
      <c r="F23" s="12"/>
      <c r="G23" s="154" t="s">
        <v>16</v>
      </c>
      <c r="H23" s="155"/>
      <c r="I23" s="21">
        <f>E38</f>
        <v>108784.7111111111</v>
      </c>
      <c r="J23" s="17"/>
      <c r="K23" s="17"/>
      <c r="L23" s="17"/>
      <c r="M23" s="17"/>
      <c r="N23" s="17"/>
      <c r="O23" s="17"/>
    </row>
    <row r="24" spans="1:16" ht="14.25" customHeight="1" x14ac:dyDescent="0.2">
      <c r="A24" s="75">
        <v>27</v>
      </c>
      <c r="B24" s="76">
        <v>170393</v>
      </c>
      <c r="C24" s="44">
        <v>200000</v>
      </c>
      <c r="D24" s="55">
        <f t="shared" si="0"/>
        <v>29607</v>
      </c>
      <c r="E24" s="55">
        <f t="shared" si="1"/>
        <v>187510.99999999983</v>
      </c>
      <c r="F24" s="12"/>
      <c r="G24" s="154" t="s">
        <v>17</v>
      </c>
      <c r="H24" s="155"/>
      <c r="I24" s="22">
        <v>0.15</v>
      </c>
      <c r="J24" s="17"/>
      <c r="K24" s="17"/>
      <c r="L24" s="17"/>
      <c r="M24" s="17"/>
      <c r="N24" s="17"/>
      <c r="O24" s="17"/>
    </row>
    <row r="25" spans="1:16" ht="14.25" customHeight="1" x14ac:dyDescent="0.2">
      <c r="A25" s="75">
        <v>11</v>
      </c>
      <c r="B25" s="76">
        <v>190121</v>
      </c>
      <c r="C25" s="44">
        <v>200000</v>
      </c>
      <c r="D25" s="55">
        <f t="shared" si="0"/>
        <v>9879</v>
      </c>
      <c r="E25" s="55">
        <f t="shared" si="1"/>
        <v>62566.999999999942</v>
      </c>
      <c r="F25" s="12"/>
      <c r="G25" s="154" t="s">
        <v>18</v>
      </c>
      <c r="H25" s="155"/>
      <c r="I25" s="23">
        <v>100000</v>
      </c>
      <c r="J25" s="17"/>
      <c r="K25" s="17"/>
      <c r="L25" s="17"/>
      <c r="M25" s="17"/>
      <c r="N25" s="17"/>
      <c r="O25" s="17"/>
    </row>
    <row r="26" spans="1:16" ht="14.25" customHeight="1" x14ac:dyDescent="0.2">
      <c r="A26" s="75">
        <v>23</v>
      </c>
      <c r="B26" s="76">
        <v>198694</v>
      </c>
      <c r="C26" s="44">
        <v>200000</v>
      </c>
      <c r="D26" s="55">
        <f t="shared" si="0"/>
        <v>1306</v>
      </c>
      <c r="E26" s="55">
        <f t="shared" si="1"/>
        <v>8271.3333333333267</v>
      </c>
      <c r="F26" s="12"/>
      <c r="G26" s="145" t="s">
        <v>19</v>
      </c>
      <c r="H26" s="146"/>
      <c r="I26" s="24">
        <f>I24*(I22+I23)-I25</f>
        <v>-81105.813333333339</v>
      </c>
      <c r="J26" s="17"/>
      <c r="K26" s="17"/>
      <c r="L26" s="17"/>
      <c r="M26" s="17"/>
      <c r="N26" s="17"/>
      <c r="O26" s="17"/>
    </row>
    <row r="27" spans="1:16" ht="14.25" customHeight="1" x14ac:dyDescent="0.2">
      <c r="A27" s="75">
        <v>3</v>
      </c>
      <c r="B27" s="76">
        <v>235360</v>
      </c>
      <c r="C27" s="44">
        <v>200000</v>
      </c>
      <c r="D27" s="55">
        <f t="shared" si="0"/>
        <v>-35360</v>
      </c>
      <c r="E27" s="55">
        <f t="shared" si="1"/>
        <v>-223946.66666666645</v>
      </c>
      <c r="F27" s="12"/>
      <c r="J27" s="17"/>
      <c r="K27" s="17"/>
      <c r="L27" s="17"/>
      <c r="M27" s="17"/>
      <c r="N27" s="17"/>
      <c r="O27" s="17"/>
      <c r="P27" s="17"/>
    </row>
    <row r="28" spans="1:16" ht="14.25" customHeight="1" x14ac:dyDescent="0.2">
      <c r="A28" s="77">
        <v>28</v>
      </c>
      <c r="B28" s="78">
        <v>256419</v>
      </c>
      <c r="C28" s="44">
        <v>200000</v>
      </c>
      <c r="D28" s="55">
        <f t="shared" si="0"/>
        <v>-56419</v>
      </c>
      <c r="E28" s="55">
        <f t="shared" si="1"/>
        <v>-357320.33333333302</v>
      </c>
      <c r="J28" s="17"/>
      <c r="K28" s="17"/>
      <c r="L28" s="17"/>
      <c r="M28" s="17"/>
      <c r="N28" s="17"/>
      <c r="O28" s="17"/>
      <c r="P28" s="17"/>
    </row>
    <row r="29" spans="1:16" ht="14.25" customHeight="1" x14ac:dyDescent="0.2">
      <c r="A29" s="77">
        <v>9</v>
      </c>
      <c r="B29" s="79">
        <v>266226</v>
      </c>
      <c r="C29" s="44">
        <v>200000</v>
      </c>
      <c r="D29" s="55">
        <f t="shared" si="0"/>
        <v>-66226</v>
      </c>
      <c r="E29" s="55">
        <f t="shared" si="1"/>
        <v>-419431.33333333296</v>
      </c>
      <c r="J29" s="17"/>
      <c r="K29" s="17"/>
      <c r="L29" s="17"/>
      <c r="M29" s="17"/>
      <c r="N29" s="17"/>
      <c r="O29" s="17"/>
      <c r="P29" s="17"/>
    </row>
    <row r="30" spans="1:16" ht="14.25" customHeight="1" x14ac:dyDescent="0.2">
      <c r="A30" s="80">
        <v>2</v>
      </c>
      <c r="B30" s="79">
        <v>279681</v>
      </c>
      <c r="C30" s="44">
        <v>200000</v>
      </c>
      <c r="D30" s="55">
        <f t="shared" si="0"/>
        <v>-79681</v>
      </c>
      <c r="E30" s="55">
        <f t="shared" si="1"/>
        <v>-504646.33333333291</v>
      </c>
      <c r="J30" s="17"/>
      <c r="K30" s="17"/>
      <c r="L30" s="17"/>
      <c r="M30" s="17"/>
      <c r="N30" s="17"/>
      <c r="O30" s="17"/>
      <c r="P30" s="17"/>
    </row>
    <row r="31" spans="1:16" ht="14.25" customHeight="1" x14ac:dyDescent="0.2">
      <c r="A31" s="77">
        <v>17</v>
      </c>
      <c r="B31" s="79">
        <v>287988</v>
      </c>
      <c r="C31" s="44">
        <v>200000</v>
      </c>
      <c r="D31" s="55">
        <f t="shared" si="0"/>
        <v>-87988</v>
      </c>
      <c r="E31" s="55">
        <f t="shared" si="1"/>
        <v>-557257.33333333279</v>
      </c>
      <c r="J31" s="17"/>
      <c r="K31" s="17"/>
      <c r="L31" s="17"/>
      <c r="M31" s="17"/>
      <c r="N31" s="17"/>
      <c r="O31" s="17"/>
      <c r="P31" s="17"/>
    </row>
    <row r="32" spans="1:16" ht="14.25" customHeight="1" x14ac:dyDescent="0.2">
      <c r="A32" s="77">
        <v>19</v>
      </c>
      <c r="B32" s="79">
        <v>331713</v>
      </c>
      <c r="C32" s="44">
        <v>200000</v>
      </c>
      <c r="D32" s="55">
        <f t="shared" si="0"/>
        <v>-131713</v>
      </c>
      <c r="E32" s="55">
        <f t="shared" si="1"/>
        <v>-834182.33333333256</v>
      </c>
      <c r="J32" s="17"/>
      <c r="K32" s="17"/>
      <c r="L32" s="17"/>
      <c r="M32" s="17"/>
      <c r="N32" s="17"/>
      <c r="O32" s="17"/>
      <c r="P32" s="17"/>
    </row>
    <row r="33" spans="1:16" ht="14.25" customHeight="1" x14ac:dyDescent="0.2">
      <c r="A33" s="77">
        <v>18</v>
      </c>
      <c r="B33" s="79">
        <v>345195</v>
      </c>
      <c r="C33" s="44">
        <v>200000</v>
      </c>
      <c r="D33" s="55">
        <f t="shared" si="0"/>
        <v>-145195</v>
      </c>
      <c r="E33" s="55">
        <f t="shared" si="1"/>
        <v>-919568.33333333256</v>
      </c>
      <c r="J33" s="17"/>
      <c r="K33" s="17"/>
      <c r="L33" s="17"/>
      <c r="M33" s="17"/>
      <c r="N33" s="17"/>
      <c r="O33" s="17"/>
      <c r="P33" s="17"/>
    </row>
    <row r="34" spans="1:16" ht="14.25" customHeight="1" x14ac:dyDescent="0.2">
      <c r="A34" s="77">
        <v>15</v>
      </c>
      <c r="B34" s="79">
        <v>368249</v>
      </c>
      <c r="C34" s="44">
        <v>200000</v>
      </c>
      <c r="D34" s="55">
        <f t="shared" si="0"/>
        <v>-168249</v>
      </c>
      <c r="E34" s="55">
        <f t="shared" si="1"/>
        <v>-1065576.9999999991</v>
      </c>
      <c r="J34" s="17"/>
      <c r="K34" s="17"/>
      <c r="L34" s="17"/>
      <c r="M34" s="17"/>
      <c r="N34" s="17"/>
      <c r="O34" s="17"/>
      <c r="P34" s="17"/>
    </row>
    <row r="35" spans="1:16" ht="14.25" customHeight="1" x14ac:dyDescent="0.2">
      <c r="A35" s="77">
        <v>25</v>
      </c>
      <c r="B35" s="79">
        <v>376050</v>
      </c>
      <c r="C35" s="44">
        <v>200000</v>
      </c>
      <c r="D35" s="55">
        <f t="shared" si="0"/>
        <v>-176050</v>
      </c>
      <c r="E35" s="55">
        <f t="shared" si="1"/>
        <v>-1114983.3333333323</v>
      </c>
      <c r="J35" s="17"/>
      <c r="K35" s="17"/>
      <c r="L35" s="17"/>
      <c r="M35" s="17"/>
      <c r="N35" s="17"/>
      <c r="O35" s="17"/>
      <c r="P35" s="17"/>
    </row>
    <row r="36" spans="1:16" ht="14.25" customHeight="1" x14ac:dyDescent="0.2">
      <c r="A36" s="77">
        <v>21</v>
      </c>
      <c r="B36" s="79">
        <v>385768</v>
      </c>
      <c r="C36" s="44">
        <v>200000</v>
      </c>
      <c r="D36" s="55">
        <f t="shared" si="0"/>
        <v>-185768</v>
      </c>
      <c r="E36" s="55">
        <f t="shared" si="1"/>
        <v>-1176530.6666666656</v>
      </c>
      <c r="J36" s="17"/>
      <c r="K36" s="17"/>
      <c r="L36" s="17"/>
      <c r="M36" s="17"/>
      <c r="N36" s="17"/>
      <c r="O36" s="17"/>
      <c r="P36" s="17"/>
    </row>
    <row r="37" spans="1:16" ht="14.25" customHeight="1" x14ac:dyDescent="0.2">
      <c r="A37" s="77">
        <v>29</v>
      </c>
      <c r="B37" s="79">
        <v>397106</v>
      </c>
      <c r="C37" s="44">
        <v>200000</v>
      </c>
      <c r="D37" s="55">
        <f t="shared" si="0"/>
        <v>-197106</v>
      </c>
      <c r="E37" s="55">
        <f t="shared" si="1"/>
        <v>-1248337.9999999988</v>
      </c>
      <c r="J37" s="17"/>
      <c r="K37" s="17"/>
      <c r="L37" s="17"/>
      <c r="M37" s="17"/>
      <c r="N37" s="17"/>
      <c r="O37" s="17"/>
      <c r="P37" s="17"/>
    </row>
    <row r="38" spans="1:16" ht="14.25" customHeight="1" x14ac:dyDescent="0.2">
      <c r="A38" s="121" t="s">
        <v>40</v>
      </c>
      <c r="B38" s="122">
        <f>AVERAGE(B8:B37)</f>
        <v>182823.46666666667</v>
      </c>
      <c r="C38" s="122">
        <f>AVERAGE(C8:C37)</f>
        <v>200000</v>
      </c>
      <c r="D38" s="122">
        <f>AVERAGE(D8:D37)</f>
        <v>17176.533333333333</v>
      </c>
      <c r="E38" s="123">
        <f>AVERAGE(E8:E37)</f>
        <v>108784.7111111111</v>
      </c>
      <c r="J38" s="17"/>
      <c r="K38" s="17"/>
      <c r="L38" s="17"/>
      <c r="M38" s="17"/>
      <c r="N38" s="17"/>
      <c r="O38" s="17"/>
      <c r="P38" s="17"/>
    </row>
    <row r="39" spans="1:16" ht="14.25" customHeight="1" x14ac:dyDescent="0.2">
      <c r="A39" s="43" t="s">
        <v>3</v>
      </c>
      <c r="B39" s="119"/>
      <c r="C39" s="119"/>
      <c r="D39" s="119">
        <f>SUM(Table3[Contribution margin])</f>
        <v>515296</v>
      </c>
      <c r="E39" s="124">
        <f>SUM(Table3[CLV])</f>
        <v>3263541.333333333</v>
      </c>
      <c r="J39" s="17"/>
      <c r="K39" s="17"/>
      <c r="L39" s="17"/>
      <c r="M39" s="17"/>
      <c r="N39" s="17"/>
      <c r="O39" s="17"/>
      <c r="P39" s="17"/>
    </row>
    <row r="40" spans="1:16" ht="14.25" customHeight="1" x14ac:dyDescent="0.2">
      <c r="E40" s="77"/>
      <c r="J40" s="17"/>
      <c r="K40" s="17"/>
      <c r="L40" s="17"/>
      <c r="M40" s="17"/>
      <c r="N40" s="17"/>
      <c r="O40" s="17"/>
      <c r="P40" s="17"/>
    </row>
    <row r="41" spans="1:16" ht="14.25" customHeight="1" x14ac:dyDescent="0.2">
      <c r="J41" s="17"/>
      <c r="K41" s="17"/>
      <c r="L41" s="17"/>
      <c r="M41" s="17"/>
      <c r="N41" s="17"/>
      <c r="O41" s="17"/>
      <c r="P41" s="17"/>
    </row>
    <row r="42" spans="1:16" ht="14.25" customHeight="1" x14ac:dyDescent="0.2">
      <c r="J42" s="17"/>
      <c r="K42" s="17"/>
      <c r="L42" s="17"/>
      <c r="M42" s="17"/>
      <c r="N42" s="17"/>
      <c r="O42" s="17"/>
      <c r="P42" s="17"/>
    </row>
    <row r="43" spans="1:16" ht="14.25" customHeight="1" x14ac:dyDescent="0.2">
      <c r="J43" s="17"/>
      <c r="K43" s="17"/>
      <c r="L43" s="17"/>
      <c r="M43" s="17"/>
      <c r="N43" s="17"/>
      <c r="O43" s="17"/>
      <c r="P43" s="17"/>
    </row>
    <row r="44" spans="1:16" ht="14.25" customHeight="1" x14ac:dyDescent="0.2">
      <c r="J44" s="17"/>
      <c r="K44" s="17"/>
      <c r="L44" s="17"/>
      <c r="M44" s="17"/>
      <c r="N44" s="17"/>
      <c r="O44" s="17"/>
      <c r="P44" s="17"/>
    </row>
    <row r="45" spans="1:16" ht="14.25" customHeight="1" x14ac:dyDescent="0.2">
      <c r="J45" s="17"/>
      <c r="K45" s="17"/>
      <c r="L45" s="17"/>
      <c r="M45" s="17"/>
      <c r="N45" s="17"/>
      <c r="O45" s="17"/>
      <c r="P45" s="17"/>
    </row>
    <row r="46" spans="1:16" ht="14.25" customHeight="1" x14ac:dyDescent="0.2">
      <c r="J46" s="17"/>
      <c r="K46" s="17"/>
      <c r="L46" s="17"/>
      <c r="M46" s="17"/>
      <c r="N46" s="17"/>
      <c r="O46" s="17"/>
      <c r="P46" s="17"/>
    </row>
    <row r="47" spans="1:16" ht="14.25" customHeight="1" x14ac:dyDescent="0.2">
      <c r="J47" s="17"/>
      <c r="K47" s="17"/>
      <c r="L47" s="17"/>
      <c r="M47" s="17"/>
      <c r="N47" s="17"/>
      <c r="O47" s="17"/>
      <c r="P47" s="17"/>
    </row>
    <row r="48" spans="1:16" ht="14.25" customHeight="1" x14ac:dyDescent="0.2">
      <c r="J48" s="17"/>
      <c r="K48" s="17"/>
      <c r="L48" s="17"/>
      <c r="M48" s="17"/>
      <c r="N48" s="17"/>
      <c r="O48" s="17"/>
      <c r="P48" s="17"/>
    </row>
    <row r="49" spans="10:16" ht="14.25" customHeight="1" x14ac:dyDescent="0.2">
      <c r="J49" s="17"/>
      <c r="K49" s="17"/>
      <c r="L49" s="17"/>
      <c r="M49" s="17"/>
      <c r="N49" s="17"/>
      <c r="O49" s="17"/>
      <c r="P49" s="17"/>
    </row>
    <row r="50" spans="10:16" ht="14.25" customHeight="1" x14ac:dyDescent="0.2">
      <c r="J50" s="17"/>
      <c r="K50" s="17"/>
      <c r="L50" s="17"/>
      <c r="M50" s="17"/>
      <c r="N50" s="17"/>
      <c r="O50" s="17"/>
      <c r="P50" s="17"/>
    </row>
    <row r="51" spans="10:16" ht="14.25" customHeight="1" x14ac:dyDescent="0.2">
      <c r="J51" s="17"/>
      <c r="K51" s="17"/>
      <c r="L51" s="17"/>
      <c r="M51" s="17"/>
      <c r="N51" s="17"/>
      <c r="O51" s="17"/>
      <c r="P51" s="17"/>
    </row>
    <row r="52" spans="10:16" ht="14.25" customHeight="1" x14ac:dyDescent="0.2">
      <c r="J52" s="17"/>
      <c r="K52" s="17"/>
      <c r="L52" s="17"/>
      <c r="M52" s="17"/>
      <c r="N52" s="17"/>
      <c r="O52" s="17"/>
      <c r="P52" s="17"/>
    </row>
    <row r="53" spans="10:16" ht="14.25" customHeight="1" x14ac:dyDescent="0.2">
      <c r="J53" s="17"/>
      <c r="K53" s="17"/>
      <c r="L53" s="17"/>
      <c r="M53" s="17"/>
      <c r="N53" s="17"/>
      <c r="O53" s="17"/>
      <c r="P53" s="17"/>
    </row>
    <row r="54" spans="10:16" ht="14.25" customHeight="1" x14ac:dyDescent="0.2">
      <c r="J54" s="17"/>
      <c r="K54" s="17"/>
      <c r="L54" s="17"/>
      <c r="M54" s="17"/>
      <c r="N54" s="17"/>
      <c r="O54" s="17"/>
      <c r="P54" s="17"/>
    </row>
    <row r="55" spans="10:16" ht="14.25" customHeight="1" x14ac:dyDescent="0.2">
      <c r="J55" s="17"/>
      <c r="K55" s="17"/>
      <c r="L55" s="17"/>
      <c r="M55" s="17"/>
      <c r="N55" s="17"/>
      <c r="O55" s="17"/>
      <c r="P55" s="17"/>
    </row>
    <row r="56" spans="10:16" ht="14.25" customHeight="1" x14ac:dyDescent="0.2">
      <c r="J56" s="17"/>
      <c r="K56" s="17"/>
      <c r="L56" s="17"/>
      <c r="M56" s="17"/>
      <c r="N56" s="17"/>
      <c r="O56" s="17"/>
      <c r="P56" s="17"/>
    </row>
    <row r="57" spans="10:16" ht="14.25" customHeight="1" x14ac:dyDescent="0.2">
      <c r="J57" s="17"/>
      <c r="K57" s="17"/>
      <c r="L57" s="17"/>
      <c r="M57" s="17"/>
      <c r="N57" s="17"/>
      <c r="O57" s="17"/>
      <c r="P57" s="17"/>
    </row>
    <row r="58" spans="10:16" ht="14.25" customHeight="1" x14ac:dyDescent="0.2">
      <c r="J58" s="17"/>
      <c r="K58" s="17"/>
      <c r="L58" s="17"/>
      <c r="M58" s="17"/>
      <c r="N58" s="17"/>
      <c r="O58" s="17"/>
      <c r="P58" s="17"/>
    </row>
    <row r="59" spans="10:16" x14ac:dyDescent="0.2">
      <c r="J59" s="17"/>
      <c r="P59" s="17"/>
    </row>
    <row r="60" spans="10:16" x14ac:dyDescent="0.2">
      <c r="P60" s="17"/>
    </row>
  </sheetData>
  <sortState xmlns:xlrd2="http://schemas.microsoft.com/office/spreadsheetml/2017/richdata2" ref="A9:E37">
    <sortCondition ref="A37"/>
  </sortState>
  <mergeCells count="10">
    <mergeCell ref="G26:H26"/>
    <mergeCell ref="A1:C1"/>
    <mergeCell ref="A3:B3"/>
    <mergeCell ref="A4:B4"/>
    <mergeCell ref="J7:P9"/>
    <mergeCell ref="G21:I21"/>
    <mergeCell ref="G22:H22"/>
    <mergeCell ref="G23:H23"/>
    <mergeCell ref="G24:H24"/>
    <mergeCell ref="G25:H2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8"/>
  <sheetViews>
    <sheetView zoomScaleNormal="100" workbookViewId="0">
      <selection activeCell="B58" sqref="B58"/>
    </sheetView>
  </sheetViews>
  <sheetFormatPr baseColWidth="10" defaultColWidth="11.5" defaultRowHeight="15" x14ac:dyDescent="0.2"/>
  <cols>
    <col min="1" max="1" width="11.83203125" bestFit="1" customWidth="1"/>
    <col min="2" max="2" width="13.5" bestFit="1" customWidth="1"/>
    <col min="3" max="3" width="18.5" customWidth="1"/>
    <col min="4" max="4" width="20.6640625" customWidth="1"/>
    <col min="5" max="5" width="10.6640625" bestFit="1" customWidth="1"/>
    <col min="6" max="6" width="19.5" customWidth="1"/>
    <col min="7" max="7" width="15.1640625" bestFit="1" customWidth="1"/>
    <col min="8" max="8" width="18.5" customWidth="1"/>
    <col min="9" max="9" width="16" style="110" bestFit="1" customWidth="1"/>
    <col min="10" max="10" width="14" customWidth="1"/>
    <col min="11" max="13" width="8.83203125" customWidth="1"/>
    <col min="14" max="14" width="13.83203125" customWidth="1"/>
    <col min="15" max="15" width="13.83203125" bestFit="1" customWidth="1"/>
    <col min="16" max="16" width="10.1640625" bestFit="1" customWidth="1"/>
    <col min="17" max="17" width="9.33203125" customWidth="1"/>
    <col min="18" max="18" width="16.33203125" bestFit="1" customWidth="1"/>
    <col min="19" max="19" width="11.5" customWidth="1"/>
    <col min="20" max="20" width="7.5" customWidth="1"/>
    <col min="21" max="256" width="8.83203125" customWidth="1"/>
  </cols>
  <sheetData>
    <row r="1" spans="1:10" x14ac:dyDescent="0.2">
      <c r="A1" t="s">
        <v>63</v>
      </c>
    </row>
    <row r="2" spans="1:10" x14ac:dyDescent="0.2">
      <c r="A2" s="25" t="s">
        <v>22</v>
      </c>
    </row>
    <row r="3" spans="1:10" ht="64" customHeight="1" x14ac:dyDescent="0.2">
      <c r="A3" s="26" t="s">
        <v>23</v>
      </c>
      <c r="B3" s="26" t="s">
        <v>24</v>
      </c>
      <c r="C3" s="27" t="s">
        <v>25</v>
      </c>
      <c r="D3" s="27" t="s">
        <v>26</v>
      </c>
      <c r="E3" s="26" t="s">
        <v>27</v>
      </c>
      <c r="F3" s="26" t="s">
        <v>28</v>
      </c>
      <c r="G3" s="26" t="s">
        <v>29</v>
      </c>
      <c r="H3" s="26" t="s">
        <v>30</v>
      </c>
    </row>
    <row r="4" spans="1:10" x14ac:dyDescent="0.2">
      <c r="A4" s="28" t="s">
        <v>32</v>
      </c>
      <c r="B4" s="49">
        <f>100-TRUNC(D4*4/10000,0)</f>
        <v>20</v>
      </c>
      <c r="C4" s="41">
        <f>SUBTOTAL(101,Table1[Annual expenses
])</f>
        <v>169500.78489518998</v>
      </c>
      <c r="D4" s="41">
        <v>200000</v>
      </c>
      <c r="E4" s="23">
        <v>500000</v>
      </c>
      <c r="F4" s="29">
        <f>D4*B4</f>
        <v>4000000</v>
      </c>
      <c r="G4" s="29">
        <f>E4+(C4*B4)</f>
        <v>3890015.6979037998</v>
      </c>
      <c r="H4" s="29">
        <f>F4-G4</f>
        <v>109984.30209620018</v>
      </c>
    </row>
    <row r="5" spans="1:10" x14ac:dyDescent="0.2">
      <c r="A5" s="28" t="s">
        <v>31</v>
      </c>
      <c r="B5" s="49">
        <f>100-TRUNC(D5*3/10000,0)</f>
        <v>40</v>
      </c>
      <c r="C5" s="23">
        <f>Table6[[#Totals],[Annual expenses
]]</f>
        <v>149518.29999999999</v>
      </c>
      <c r="D5" s="41">
        <v>200000</v>
      </c>
      <c r="E5" s="23">
        <v>500000</v>
      </c>
      <c r="F5" s="29">
        <f>D5*B5</f>
        <v>8000000</v>
      </c>
      <c r="G5" s="29">
        <f>E5+(C5*B5)</f>
        <v>6480732</v>
      </c>
      <c r="H5" s="29">
        <f>F5-G5</f>
        <v>1519268</v>
      </c>
    </row>
    <row r="6" spans="1:10" x14ac:dyDescent="0.2">
      <c r="A6" s="28" t="s">
        <v>33</v>
      </c>
      <c r="B6" s="49">
        <f>100-TRUNC(D6*3.5/10000,0)</f>
        <v>30</v>
      </c>
      <c r="C6" s="23">
        <f>Malls!B38</f>
        <v>182823.46666666667</v>
      </c>
      <c r="D6" s="41">
        <v>200000</v>
      </c>
      <c r="E6" s="23">
        <v>500000</v>
      </c>
      <c r="F6" s="29">
        <f t="shared" ref="F6" si="0">D6*B6</f>
        <v>6000000</v>
      </c>
      <c r="G6" s="29">
        <f>E6+(C6*B6)</f>
        <v>5984704</v>
      </c>
      <c r="H6" s="29">
        <f>F6-G6</f>
        <v>15296</v>
      </c>
    </row>
    <row r="7" spans="1:10" x14ac:dyDescent="0.2">
      <c r="A7" t="s">
        <v>41</v>
      </c>
      <c r="D7" s="44">
        <f>SUM(D4:D6)</f>
        <v>600000</v>
      </c>
      <c r="F7" s="30">
        <f>SUM(F4:F6)</f>
        <v>18000000</v>
      </c>
      <c r="G7" s="30">
        <f>SUM(G4:G6)</f>
        <v>16355451.697903801</v>
      </c>
      <c r="H7" s="30">
        <f>SUM(H4:H6)</f>
        <v>1644548.3020962002</v>
      </c>
    </row>
    <row r="9" spans="1:10" x14ac:dyDescent="0.2">
      <c r="A9" t="s">
        <v>64</v>
      </c>
    </row>
    <row r="10" spans="1:10" x14ac:dyDescent="0.2">
      <c r="A10" s="25" t="s">
        <v>34</v>
      </c>
    </row>
    <row r="11" spans="1:10" ht="36" customHeight="1" x14ac:dyDescent="0.2">
      <c r="A11" s="26" t="s">
        <v>23</v>
      </c>
      <c r="B11" s="26" t="s">
        <v>24</v>
      </c>
      <c r="C11" s="27" t="s">
        <v>25</v>
      </c>
      <c r="D11" s="27" t="s">
        <v>26</v>
      </c>
      <c r="E11" s="26" t="s">
        <v>27</v>
      </c>
      <c r="F11" s="26" t="s">
        <v>28</v>
      </c>
      <c r="G11" s="26" t="s">
        <v>29</v>
      </c>
      <c r="H11" s="26" t="s">
        <v>30</v>
      </c>
      <c r="I11" s="132" t="s">
        <v>89</v>
      </c>
    </row>
    <row r="12" spans="1:10" x14ac:dyDescent="0.2">
      <c r="A12" s="28" t="s">
        <v>32</v>
      </c>
      <c r="B12" s="49">
        <f>100-TRUNC(D12*4/10000,0)</f>
        <v>9</v>
      </c>
      <c r="C12" s="41">
        <f>SUBTOTAL(101,Table1[Annual expenses
])</f>
        <v>169500.78489518998</v>
      </c>
      <c r="D12" s="41">
        <v>229999.91451489812</v>
      </c>
      <c r="E12" s="23">
        <v>500000</v>
      </c>
      <c r="F12" s="29">
        <f>D12*B12</f>
        <v>2069999.230634083</v>
      </c>
      <c r="G12" s="29">
        <f>E12+(C12*B12)</f>
        <v>2025507.0640567099</v>
      </c>
      <c r="H12" s="29">
        <f>F12-G12</f>
        <v>44492.166577373166</v>
      </c>
      <c r="I12" s="70">
        <f>(H12-H4)/H4</f>
        <v>-0.59546802835138124</v>
      </c>
      <c r="J12" s="56"/>
    </row>
    <row r="13" spans="1:10" x14ac:dyDescent="0.2">
      <c r="A13" s="28" t="s">
        <v>31</v>
      </c>
      <c r="B13" s="49">
        <f>100-TRUNC(D13*3/10000,0)</f>
        <v>32</v>
      </c>
      <c r="C13" s="23">
        <f>C5</f>
        <v>149518.29999999999</v>
      </c>
      <c r="D13" s="41">
        <v>229999.91451489812</v>
      </c>
      <c r="E13" s="23">
        <v>500000</v>
      </c>
      <c r="F13" s="29">
        <f>D13*B13</f>
        <v>7359997.2644767398</v>
      </c>
      <c r="G13" s="29">
        <f>E13+(C13*B13)</f>
        <v>5284585.5999999996</v>
      </c>
      <c r="H13" s="29">
        <f t="shared" ref="H13:H14" si="1">F13-G13</f>
        <v>2075411.6644767402</v>
      </c>
      <c r="I13" s="70">
        <f t="shared" ref="I13:I15" si="2">(H13-H5)/H5</f>
        <v>0.36606027671006047</v>
      </c>
      <c r="J13" s="56"/>
    </row>
    <row r="14" spans="1:10" x14ac:dyDescent="0.2">
      <c r="A14" s="28" t="s">
        <v>33</v>
      </c>
      <c r="B14" s="49">
        <f>100-TRUNC(D14*3.5/10000,0)</f>
        <v>20</v>
      </c>
      <c r="C14" s="23">
        <f>Malls!B38</f>
        <v>182823.46666666667</v>
      </c>
      <c r="D14" s="41">
        <v>229999.91451489812</v>
      </c>
      <c r="E14" s="23">
        <v>500000</v>
      </c>
      <c r="F14" s="29">
        <f t="shared" ref="F14" si="3">D14*B14</f>
        <v>4599998.2902979627</v>
      </c>
      <c r="G14" s="29">
        <f>E14+(C14*B14)</f>
        <v>4156469.3333333335</v>
      </c>
      <c r="H14" s="29">
        <f t="shared" si="1"/>
        <v>443528.95696462924</v>
      </c>
      <c r="I14" s="70">
        <f>(H14-H6)/H6</f>
        <v>27.996401475198041</v>
      </c>
      <c r="J14" s="56"/>
    </row>
    <row r="15" spans="1:10" x14ac:dyDescent="0.2">
      <c r="A15" t="s">
        <v>41</v>
      </c>
      <c r="D15" s="44">
        <f>SUM(D12:D14)</f>
        <v>689999.74354469439</v>
      </c>
      <c r="F15" s="30">
        <f>SUM(F12:F14)</f>
        <v>14029994.785408786</v>
      </c>
      <c r="G15" s="30">
        <f t="shared" ref="G15" si="4">SUM(G12:G14)</f>
        <v>11466561.997390043</v>
      </c>
      <c r="H15" s="30">
        <f>SUM(H12:H14)</f>
        <v>2563432.7880187426</v>
      </c>
      <c r="I15" s="70">
        <f t="shared" si="2"/>
        <v>0.55874581777336629</v>
      </c>
    </row>
    <row r="17" spans="1:9" x14ac:dyDescent="0.2">
      <c r="A17" t="s">
        <v>65</v>
      </c>
    </row>
    <row r="18" spans="1:9" x14ac:dyDescent="0.2">
      <c r="A18" s="25" t="s">
        <v>35</v>
      </c>
    </row>
    <row r="19" spans="1:9" ht="32" x14ac:dyDescent="0.2">
      <c r="A19" s="26" t="s">
        <v>23</v>
      </c>
      <c r="B19" s="26" t="s">
        <v>24</v>
      </c>
      <c r="C19" s="27" t="s">
        <v>25</v>
      </c>
      <c r="D19" s="27" t="s">
        <v>26</v>
      </c>
      <c r="E19" s="26" t="s">
        <v>27</v>
      </c>
      <c r="F19" s="26" t="s">
        <v>28</v>
      </c>
      <c r="G19" s="26" t="s">
        <v>29</v>
      </c>
      <c r="H19" s="26" t="s">
        <v>30</v>
      </c>
      <c r="I19" s="132" t="s">
        <v>89</v>
      </c>
    </row>
    <row r="20" spans="1:9" x14ac:dyDescent="0.2">
      <c r="A20" s="28" t="s">
        <v>32</v>
      </c>
      <c r="B20" s="49">
        <f>100-TRUNC(D20*4/10000,0)</f>
        <v>13</v>
      </c>
      <c r="C20" s="41">
        <f>SUBTOTAL(101,Table1[Annual expenses
])</f>
        <v>169500.78489518998</v>
      </c>
      <c r="D20" s="41">
        <v>219999.49530647168</v>
      </c>
      <c r="E20" s="23">
        <v>500000</v>
      </c>
      <c r="F20" s="29">
        <f>D20*B20</f>
        <v>2859993.4389841319</v>
      </c>
      <c r="G20" s="29">
        <f>E20+(C20*B20)</f>
        <v>2703510.2036374696</v>
      </c>
      <c r="H20" s="29">
        <f>F20-G20</f>
        <v>156483.23534666235</v>
      </c>
      <c r="I20" s="70">
        <f>(H20-H4)/H4</f>
        <v>0.42277790888549588</v>
      </c>
    </row>
    <row r="21" spans="1:9" x14ac:dyDescent="0.2">
      <c r="A21" s="28" t="s">
        <v>31</v>
      </c>
      <c r="B21" s="49">
        <f>100-TRUNC(D21*3/10000,0)</f>
        <v>29</v>
      </c>
      <c r="C21" s="23">
        <f>C5</f>
        <v>149518.29999999999</v>
      </c>
      <c r="D21" s="41">
        <v>239907.33376381203</v>
      </c>
      <c r="E21" s="23">
        <v>500000</v>
      </c>
      <c r="F21" s="29">
        <f>D21*B21</f>
        <v>6957312.6791505488</v>
      </c>
      <c r="G21" s="29">
        <f>E21+(C21*B21)</f>
        <v>4836030.6999999993</v>
      </c>
      <c r="H21" s="29">
        <f>F21-G21</f>
        <v>2121281.9791505495</v>
      </c>
      <c r="I21" s="70">
        <f t="shared" ref="I21:I23" si="5">(H21-H5)/H5</f>
        <v>0.39625265532516285</v>
      </c>
    </row>
    <row r="22" spans="1:9" x14ac:dyDescent="0.2">
      <c r="A22" s="28" t="s">
        <v>33</v>
      </c>
      <c r="B22" s="49">
        <f>100-TRUNC(D22*3.5/10000,0)</f>
        <v>17</v>
      </c>
      <c r="C22" s="23">
        <f>Malls!B38</f>
        <v>182823.46666666667</v>
      </c>
      <c r="D22" s="41">
        <v>239999.89477545174</v>
      </c>
      <c r="E22" s="23">
        <v>500000</v>
      </c>
      <c r="F22" s="29">
        <f t="shared" ref="F22" si="6">D22*B22</f>
        <v>4079998.2111826795</v>
      </c>
      <c r="G22" s="29">
        <f>E22+(C22*B22)</f>
        <v>3607998.9333333336</v>
      </c>
      <c r="H22" s="29">
        <f>F22-G22</f>
        <v>471999.27784934593</v>
      </c>
      <c r="I22" s="70">
        <f t="shared" si="5"/>
        <v>29.857693374041968</v>
      </c>
    </row>
    <row r="23" spans="1:9" x14ac:dyDescent="0.2">
      <c r="A23" t="s">
        <v>41</v>
      </c>
      <c r="D23" s="44">
        <f>SUM(D20:D22)</f>
        <v>699906.72384573543</v>
      </c>
      <c r="F23" s="30">
        <f>SUM(F20:F22)</f>
        <v>13897304.329317361</v>
      </c>
      <c r="G23" s="30">
        <f>SUM(G20:G22)</f>
        <v>11147539.836970802</v>
      </c>
      <c r="H23" s="30">
        <f>SUM(H20:H22)</f>
        <v>2749764.4923465578</v>
      </c>
      <c r="I23" s="70">
        <f t="shared" si="5"/>
        <v>0.67204848215258228</v>
      </c>
    </row>
    <row r="25" spans="1:9" x14ac:dyDescent="0.2">
      <c r="A25" s="25"/>
      <c r="D25" s="44"/>
    </row>
    <row r="26" spans="1:9" x14ac:dyDescent="0.2">
      <c r="D26" s="44"/>
    </row>
    <row r="28" spans="1:9" x14ac:dyDescent="0.2">
      <c r="A28" s="25"/>
    </row>
    <row r="29" spans="1:9" x14ac:dyDescent="0.2">
      <c r="A29" s="25" t="s">
        <v>36</v>
      </c>
    </row>
    <row r="30" spans="1:9" x14ac:dyDescent="0.2">
      <c r="A30" s="25" t="s">
        <v>66</v>
      </c>
    </row>
    <row r="31" spans="1:9" x14ac:dyDescent="0.2">
      <c r="A31" s="25" t="s">
        <v>37</v>
      </c>
    </row>
    <row r="32" spans="1:9" ht="32" x14ac:dyDescent="0.2">
      <c r="A32" s="26" t="s">
        <v>23</v>
      </c>
      <c r="B32" s="26" t="s">
        <v>24</v>
      </c>
      <c r="C32" s="27" t="s">
        <v>25</v>
      </c>
      <c r="D32" s="27" t="s">
        <v>26</v>
      </c>
      <c r="E32" s="26" t="s">
        <v>27</v>
      </c>
      <c r="F32" s="26" t="s">
        <v>28</v>
      </c>
      <c r="G32" s="26" t="s">
        <v>29</v>
      </c>
      <c r="H32" s="26" t="s">
        <v>30</v>
      </c>
    </row>
    <row r="33" spans="1:8" x14ac:dyDescent="0.2">
      <c r="A33" s="28" t="s">
        <v>32</v>
      </c>
      <c r="B33" s="58">
        <f>TRUNC(1.2*B12,0)</f>
        <v>10</v>
      </c>
      <c r="C33" s="41">
        <f>SUBTOTAL(101,Table1[Annual expenses
])</f>
        <v>169500.78489518998</v>
      </c>
      <c r="D33" s="41">
        <v>229999.91451489812</v>
      </c>
      <c r="E33" s="23">
        <v>500000</v>
      </c>
      <c r="F33" s="29">
        <f>D33*B33</f>
        <v>2299999.1451489814</v>
      </c>
      <c r="G33" s="29">
        <f>E33+(C33*B33)</f>
        <v>2195007.8489518999</v>
      </c>
      <c r="H33" s="29">
        <f>F33-G33</f>
        <v>104991.29619708145</v>
      </c>
    </row>
    <row r="34" spans="1:8" x14ac:dyDescent="0.2">
      <c r="A34" s="28" t="s">
        <v>31</v>
      </c>
      <c r="B34" s="49">
        <f>TRUNC(1.2*B13,0)</f>
        <v>38</v>
      </c>
      <c r="C34" s="23">
        <f>C5</f>
        <v>149518.29999999999</v>
      </c>
      <c r="D34" s="41">
        <v>229999.91451489812</v>
      </c>
      <c r="E34" s="23">
        <v>500000</v>
      </c>
      <c r="F34" s="29">
        <f>D34*B34</f>
        <v>8739996.7515661288</v>
      </c>
      <c r="G34" s="29">
        <f>E34+(C34*B34)</f>
        <v>6181695.3999999994</v>
      </c>
      <c r="H34" s="29">
        <f>F34-G34</f>
        <v>2558301.3515661294</v>
      </c>
    </row>
    <row r="35" spans="1:8" x14ac:dyDescent="0.2">
      <c r="A35" s="28" t="s">
        <v>33</v>
      </c>
      <c r="B35" s="49">
        <f>TRUNC(1.2*B14,0)</f>
        <v>24</v>
      </c>
      <c r="C35" s="23">
        <f>Malls!B38</f>
        <v>182823.46666666667</v>
      </c>
      <c r="D35" s="41">
        <v>229999.91451489812</v>
      </c>
      <c r="E35" s="23">
        <v>500000</v>
      </c>
      <c r="F35" s="29">
        <f>D35*B35</f>
        <v>5519997.9483575551</v>
      </c>
      <c r="G35" s="29">
        <f>E35+(C35*B35)</f>
        <v>4887763.2</v>
      </c>
      <c r="H35" s="29">
        <f>F35-G35</f>
        <v>632234.7483575549</v>
      </c>
    </row>
    <row r="36" spans="1:8" x14ac:dyDescent="0.2">
      <c r="D36" s="44">
        <f>SUM(D33:D35)</f>
        <v>689999.74354469439</v>
      </c>
      <c r="F36" s="30">
        <f>SUM(F33:F35)</f>
        <v>16559993.845072664</v>
      </c>
      <c r="G36" s="30">
        <f>SUM(G33:G35)</f>
        <v>13264466.4489519</v>
      </c>
      <c r="H36" s="30">
        <f>SUM(H33:H35)</f>
        <v>3295527.3961207657</v>
      </c>
    </row>
    <row r="37" spans="1:8" x14ac:dyDescent="0.2">
      <c r="A37" s="25"/>
    </row>
    <row r="38" spans="1:8" x14ac:dyDescent="0.2">
      <c r="A38" s="25" t="s">
        <v>67</v>
      </c>
    </row>
    <row r="39" spans="1:8" x14ac:dyDescent="0.2">
      <c r="A39" s="25" t="s">
        <v>38</v>
      </c>
    </row>
    <row r="40" spans="1:8" ht="32" x14ac:dyDescent="0.2">
      <c r="A40" s="26" t="s">
        <v>23</v>
      </c>
      <c r="B40" s="26" t="s">
        <v>24</v>
      </c>
      <c r="C40" s="27" t="s">
        <v>25</v>
      </c>
      <c r="D40" s="27" t="s">
        <v>26</v>
      </c>
      <c r="E40" s="26" t="s">
        <v>27</v>
      </c>
      <c r="F40" s="26" t="s">
        <v>28</v>
      </c>
      <c r="G40" s="26" t="s">
        <v>29</v>
      </c>
      <c r="H40" s="26" t="s">
        <v>30</v>
      </c>
    </row>
    <row r="41" spans="1:8" x14ac:dyDescent="0.2">
      <c r="A41" s="28" t="s">
        <v>32</v>
      </c>
      <c r="B41" s="49">
        <f>TRUNC(B20*1.2,0)</f>
        <v>15</v>
      </c>
      <c r="C41" s="41">
        <f>SUBTOTAL(101,Table1[Annual expenses
])</f>
        <v>169500.78489518998</v>
      </c>
      <c r="D41" s="41">
        <v>219999.49530647168</v>
      </c>
      <c r="E41" s="23">
        <v>500000</v>
      </c>
      <c r="F41" s="29">
        <f>D41*B41</f>
        <v>3299992.4295970751</v>
      </c>
      <c r="G41" s="29">
        <f>E41+(C41*B41)</f>
        <v>3042511.7734278496</v>
      </c>
      <c r="H41" s="29">
        <f>F41-G41</f>
        <v>257480.65616922546</v>
      </c>
    </row>
    <row r="42" spans="1:8" x14ac:dyDescent="0.2">
      <c r="A42" s="28" t="s">
        <v>31</v>
      </c>
      <c r="B42" s="49">
        <f>TRUNC(B21*1.2,0)</f>
        <v>34</v>
      </c>
      <c r="C42" s="23">
        <f>C5</f>
        <v>149518.29999999999</v>
      </c>
      <c r="D42" s="41">
        <v>239907.33376381203</v>
      </c>
      <c r="E42" s="23">
        <v>500000</v>
      </c>
      <c r="F42" s="29">
        <f>D42*B42</f>
        <v>8156849.3479696093</v>
      </c>
      <c r="G42" s="29">
        <f>E42+(C42*B42)</f>
        <v>5583622.1999999993</v>
      </c>
      <c r="H42" s="29">
        <f>F42-G42</f>
        <v>2573227.1479696101</v>
      </c>
    </row>
    <row r="43" spans="1:8" x14ac:dyDescent="0.2">
      <c r="A43" s="28" t="s">
        <v>33</v>
      </c>
      <c r="B43" s="49">
        <f>TRUNC(B22*1.2,0)</f>
        <v>20</v>
      </c>
      <c r="C43" s="23">
        <f>Malls!B38</f>
        <v>182823.46666666667</v>
      </c>
      <c r="D43" s="41">
        <v>239999.89477545174</v>
      </c>
      <c r="E43" s="23">
        <v>500000</v>
      </c>
      <c r="F43" s="29">
        <f t="shared" ref="F43" si="7">D43*B43</f>
        <v>4799997.8955090344</v>
      </c>
      <c r="G43" s="29">
        <f>E43+(C43*B43)</f>
        <v>4156469.3333333335</v>
      </c>
      <c r="H43" s="29">
        <f>F43-G43</f>
        <v>643528.56217570091</v>
      </c>
    </row>
    <row r="44" spans="1:8" x14ac:dyDescent="0.2">
      <c r="D44" s="44">
        <f>SUM(D41:D43)</f>
        <v>699906.72384573543</v>
      </c>
      <c r="F44" s="30">
        <f>SUM(F41:F43)</f>
        <v>16256839.673075719</v>
      </c>
      <c r="G44" s="30">
        <f>SUM(G41:G43)</f>
        <v>12782603.306761183</v>
      </c>
      <c r="H44" s="30">
        <f>SUM(H41:H43)</f>
        <v>3474236.3663145364</v>
      </c>
    </row>
    <row r="45" spans="1:8" x14ac:dyDescent="0.2">
      <c r="D45" s="44"/>
      <c r="F45" s="84"/>
      <c r="G45" s="84"/>
      <c r="H45" s="84"/>
    </row>
    <row r="46" spans="1:8" x14ac:dyDescent="0.2">
      <c r="D46" s="44"/>
      <c r="F46" s="84"/>
      <c r="G46" s="84"/>
      <c r="H46" s="84"/>
    </row>
    <row r="47" spans="1:8" x14ac:dyDescent="0.2">
      <c r="D47" s="44"/>
      <c r="F47" s="84"/>
      <c r="G47" s="84"/>
      <c r="H47" s="84"/>
    </row>
    <row r="48" spans="1:8" x14ac:dyDescent="0.2">
      <c r="D48" s="44"/>
      <c r="F48" s="84"/>
      <c r="G48" s="84"/>
      <c r="H48" s="84"/>
    </row>
    <row r="49" spans="1:19" x14ac:dyDescent="0.2">
      <c r="D49" s="44"/>
      <c r="F49" s="84"/>
      <c r="G49" s="84"/>
      <c r="H49" s="84"/>
    </row>
    <row r="50" spans="1:19" x14ac:dyDescent="0.2">
      <c r="D50" s="44"/>
      <c r="F50" s="84"/>
      <c r="G50" s="84"/>
      <c r="H50" s="84"/>
    </row>
    <row r="51" spans="1:19" x14ac:dyDescent="0.2">
      <c r="D51" s="44"/>
      <c r="F51" s="84"/>
      <c r="G51" s="84"/>
      <c r="H51" s="84"/>
    </row>
    <row r="52" spans="1:19" x14ac:dyDescent="0.2">
      <c r="D52" s="44"/>
      <c r="F52" s="84"/>
      <c r="G52" s="84"/>
      <c r="H52" s="84"/>
    </row>
    <row r="53" spans="1:19" x14ac:dyDescent="0.2">
      <c r="D53" s="44"/>
      <c r="F53" s="84"/>
      <c r="G53" s="84"/>
      <c r="H53" s="84"/>
    </row>
    <row r="54" spans="1:19" x14ac:dyDescent="0.2">
      <c r="D54" s="44"/>
      <c r="F54" s="84"/>
      <c r="G54" s="84"/>
      <c r="H54" s="84"/>
    </row>
    <row r="55" spans="1:19" x14ac:dyDescent="0.2">
      <c r="D55" s="44"/>
      <c r="F55" s="84"/>
      <c r="G55" s="84"/>
      <c r="H55" s="84"/>
      <c r="K55" s="25"/>
      <c r="L55" s="25"/>
      <c r="M55" s="25"/>
      <c r="N55" s="51"/>
      <c r="O55" s="85"/>
      <c r="P55" s="25"/>
      <c r="Q55" s="86"/>
      <c r="R55" s="85"/>
      <c r="S55" s="86"/>
    </row>
    <row r="56" spans="1:19" x14ac:dyDescent="0.2">
      <c r="D56" s="44"/>
      <c r="F56" s="84"/>
      <c r="G56" s="84"/>
      <c r="H56" s="84"/>
      <c r="K56" s="25"/>
      <c r="L56" s="25"/>
      <c r="M56" s="25"/>
      <c r="N56" s="51"/>
      <c r="O56" s="85"/>
      <c r="P56" s="25"/>
      <c r="Q56" s="86"/>
      <c r="R56" s="85"/>
      <c r="S56" s="86"/>
    </row>
    <row r="57" spans="1:19" x14ac:dyDescent="0.2">
      <c r="D57" s="44"/>
      <c r="F57" s="84"/>
      <c r="G57" s="84"/>
      <c r="H57" s="84"/>
      <c r="K57" s="25"/>
      <c r="L57" s="25"/>
      <c r="M57" s="25"/>
      <c r="N57" s="51"/>
      <c r="O57" s="85"/>
      <c r="P57" s="25"/>
      <c r="Q57" s="86"/>
      <c r="R57" s="85"/>
      <c r="S57" s="86"/>
    </row>
    <row r="61" spans="1:19" ht="32" x14ac:dyDescent="0.2">
      <c r="A61" s="26" t="s">
        <v>23</v>
      </c>
      <c r="B61" s="26" t="s">
        <v>24</v>
      </c>
      <c r="C61" s="27" t="s">
        <v>25</v>
      </c>
      <c r="D61" s="27" t="s">
        <v>26</v>
      </c>
      <c r="E61" s="26" t="s">
        <v>27</v>
      </c>
      <c r="F61" s="26" t="s">
        <v>28</v>
      </c>
      <c r="G61" s="26" t="s">
        <v>29</v>
      </c>
      <c r="H61" s="26" t="s">
        <v>30</v>
      </c>
    </row>
    <row r="62" spans="1:19" x14ac:dyDescent="0.2">
      <c r="A62" s="28" t="s">
        <v>32</v>
      </c>
      <c r="B62" s="58">
        <f>TRUNC(1.2*B12,0)</f>
        <v>10</v>
      </c>
      <c r="C62" s="41">
        <f>C4</f>
        <v>169500.78489518998</v>
      </c>
      <c r="D62" s="41">
        <v>229999.91451489812</v>
      </c>
      <c r="E62" s="23">
        <v>500000</v>
      </c>
      <c r="F62" s="29">
        <f>D62*B62</f>
        <v>2299999.1451489814</v>
      </c>
      <c r="G62" s="29">
        <f>E62+(C62*B62)</f>
        <v>2195007.8489518999</v>
      </c>
      <c r="H62" s="29">
        <f>F62-G62</f>
        <v>104991.29619708145</v>
      </c>
    </row>
    <row r="63" spans="1:19" x14ac:dyDescent="0.2">
      <c r="A63" s="28" t="s">
        <v>31</v>
      </c>
      <c r="B63" s="58">
        <f>TRUNC(1.2*B13,0)</f>
        <v>38</v>
      </c>
      <c r="C63" s="41">
        <f t="shared" ref="C63:C64" si="8">C5</f>
        <v>149518.29999999999</v>
      </c>
      <c r="D63" s="41">
        <v>229999.91451489812</v>
      </c>
      <c r="E63" s="23">
        <v>500000</v>
      </c>
      <c r="F63" s="29">
        <f>D63*B63</f>
        <v>8739996.7515661288</v>
      </c>
      <c r="G63" s="29">
        <f>E63+(C63*B63)</f>
        <v>6181695.3999999994</v>
      </c>
      <c r="H63" s="29">
        <f>F63-G63</f>
        <v>2558301.3515661294</v>
      </c>
    </row>
    <row r="64" spans="1:19" x14ac:dyDescent="0.2">
      <c r="A64" s="28" t="s">
        <v>33</v>
      </c>
      <c r="B64" s="58">
        <f>TRUNC(1.2*B14,0)</f>
        <v>24</v>
      </c>
      <c r="C64" s="41">
        <f t="shared" si="8"/>
        <v>182823.46666666667</v>
      </c>
      <c r="D64" s="41">
        <v>229999.91451489812</v>
      </c>
      <c r="E64" s="23">
        <v>500000</v>
      </c>
      <c r="F64" s="29">
        <f>D64*B64</f>
        <v>5519997.9483575551</v>
      </c>
      <c r="G64" s="29">
        <f>E64+(C64*B64)</f>
        <v>4887763.2</v>
      </c>
      <c r="H64" s="29">
        <f>F64-G64</f>
        <v>632234.7483575549</v>
      </c>
    </row>
    <row r="65" spans="1:8" x14ac:dyDescent="0.2">
      <c r="D65" s="44">
        <f>SUM(D62:D64)</f>
        <v>689999.74354469439</v>
      </c>
      <c r="F65" s="30">
        <f>SUM(F62:F64)</f>
        <v>16559993.845072664</v>
      </c>
      <c r="G65" s="30">
        <f>SUM(G62:G64)</f>
        <v>13264466.4489519</v>
      </c>
      <c r="H65" s="30">
        <f>SUM(H62:H64)</f>
        <v>3295527.3961207657</v>
      </c>
    </row>
    <row r="67" spans="1:8" ht="16" x14ac:dyDescent="0.2">
      <c r="A67" s="40"/>
    </row>
    <row r="68" spans="1:8" ht="16" x14ac:dyDescent="0.2">
      <c r="A68" s="40"/>
    </row>
    <row r="69" spans="1:8" ht="32" x14ac:dyDescent="0.2">
      <c r="A69" s="26" t="s">
        <v>23</v>
      </c>
      <c r="B69" s="26" t="s">
        <v>24</v>
      </c>
      <c r="C69" s="27" t="s">
        <v>25</v>
      </c>
      <c r="D69" s="27" t="s">
        <v>26</v>
      </c>
      <c r="E69" s="26" t="s">
        <v>27</v>
      </c>
      <c r="F69" s="26" t="s">
        <v>28</v>
      </c>
      <c r="G69" s="26" t="s">
        <v>29</v>
      </c>
      <c r="H69" s="26" t="s">
        <v>30</v>
      </c>
    </row>
    <row r="70" spans="1:8" x14ac:dyDescent="0.2">
      <c r="A70" s="28" t="s">
        <v>32</v>
      </c>
      <c r="B70" s="58">
        <f>TRUNC(1.2*B37,0)</f>
        <v>0</v>
      </c>
      <c r="C70" s="41">
        <f>SUBTOTAL(101,Table1[Annual expenses
])</f>
        <v>169500.78489518998</v>
      </c>
      <c r="D70" s="41">
        <v>229999.91450000001</v>
      </c>
      <c r="E70" s="23">
        <v>500000</v>
      </c>
      <c r="F70" s="29">
        <f>D70*B70</f>
        <v>0</v>
      </c>
      <c r="G70" s="29">
        <f>E70+(C70*B70)</f>
        <v>500000</v>
      </c>
      <c r="H70" s="29">
        <f>F70-G70</f>
        <v>-500000</v>
      </c>
    </row>
    <row r="71" spans="1:8" x14ac:dyDescent="0.2">
      <c r="A71" s="28" t="s">
        <v>31</v>
      </c>
      <c r="B71" s="49">
        <f>TRUNC(1.2*B38,0)</f>
        <v>0</v>
      </c>
      <c r="C71" s="23">
        <f>Offices!B93</f>
        <v>0</v>
      </c>
      <c r="D71" s="41">
        <v>229999.91450000001</v>
      </c>
      <c r="E71" s="23">
        <v>500000</v>
      </c>
      <c r="F71" s="29">
        <f>D71*B71</f>
        <v>0</v>
      </c>
      <c r="G71" s="29">
        <f>E71+(C71*B71)</f>
        <v>500000</v>
      </c>
      <c r="H71" s="29">
        <f t="shared" ref="H71:H72" si="9">F71-G71</f>
        <v>-500000</v>
      </c>
    </row>
    <row r="72" spans="1:8" x14ac:dyDescent="0.2">
      <c r="A72" s="28" t="s">
        <v>33</v>
      </c>
      <c r="B72" s="49">
        <f>TRUNC(1.2*B39,0)</f>
        <v>0</v>
      </c>
      <c r="C72" s="23">
        <f>Malls!B83</f>
        <v>0</v>
      </c>
      <c r="D72" s="41">
        <v>229999.91450000001</v>
      </c>
      <c r="E72" s="23">
        <v>500000</v>
      </c>
      <c r="F72" s="29">
        <f t="shared" ref="F72" si="10">D72*B72</f>
        <v>0</v>
      </c>
      <c r="G72" s="29">
        <f>E72+(C72*B72)</f>
        <v>500000</v>
      </c>
      <c r="H72" s="29">
        <f t="shared" si="9"/>
        <v>-500000</v>
      </c>
    </row>
    <row r="73" spans="1:8" x14ac:dyDescent="0.2">
      <c r="A73" t="s">
        <v>41</v>
      </c>
      <c r="D73" s="44">
        <f>SUM(D70:D72)</f>
        <v>689999.7435000001</v>
      </c>
      <c r="F73" s="30">
        <f>SUM(F70:F72)</f>
        <v>0</v>
      </c>
      <c r="G73" s="30">
        <f t="shared" ref="G73:H73" si="11">SUM(G70:G72)</f>
        <v>1500000</v>
      </c>
      <c r="H73" s="30">
        <f t="shared" si="11"/>
        <v>-1500000</v>
      </c>
    </row>
    <row r="76" spans="1:8" ht="32" x14ac:dyDescent="0.2">
      <c r="A76" s="26" t="s">
        <v>23</v>
      </c>
      <c r="B76" s="26" t="s">
        <v>24</v>
      </c>
      <c r="C76" s="27" t="s">
        <v>25</v>
      </c>
      <c r="D76" s="27" t="s">
        <v>26</v>
      </c>
      <c r="E76" s="26" t="s">
        <v>27</v>
      </c>
      <c r="F76" s="26" t="s">
        <v>28</v>
      </c>
      <c r="G76" s="26" t="s">
        <v>29</v>
      </c>
      <c r="H76" s="26" t="s">
        <v>30</v>
      </c>
    </row>
    <row r="77" spans="1:8" x14ac:dyDescent="0.2">
      <c r="A77" s="28" t="s">
        <v>32</v>
      </c>
      <c r="B77" s="49">
        <f>100-TRUNC(D77*4/10000,0)</f>
        <v>13</v>
      </c>
      <c r="C77" s="41">
        <f>SUBTOTAL(101,Table1[Annual expenses
])</f>
        <v>169500.78489518998</v>
      </c>
      <c r="D77" s="41">
        <v>219999.49530647168</v>
      </c>
      <c r="E77" s="23">
        <v>500000</v>
      </c>
      <c r="F77" s="29">
        <f>D77*B77</f>
        <v>2859993.4389841319</v>
      </c>
      <c r="G77" s="29">
        <f>E77+(C77*B77)</f>
        <v>2703510.2036374696</v>
      </c>
      <c r="H77" s="29">
        <f>F77-G77</f>
        <v>156483.23534666235</v>
      </c>
    </row>
    <row r="78" spans="1:8" x14ac:dyDescent="0.2">
      <c r="A78" s="28" t="s">
        <v>31</v>
      </c>
      <c r="B78" s="49">
        <f>100-TRUNC(D78*3/10000,0)</f>
        <v>29</v>
      </c>
      <c r="C78" s="23">
        <f>C5</f>
        <v>149518.29999999999</v>
      </c>
      <c r="D78" s="41">
        <v>239907.33376381203</v>
      </c>
      <c r="E78" s="23">
        <v>500000</v>
      </c>
      <c r="F78" s="29">
        <f>D78*B78</f>
        <v>6957312.6791505488</v>
      </c>
      <c r="G78" s="29">
        <f>E78+(C78*B78)</f>
        <v>4836030.6999999993</v>
      </c>
      <c r="H78" s="29">
        <f>F78-G78</f>
        <v>2121281.9791505495</v>
      </c>
    </row>
    <row r="79" spans="1:8" x14ac:dyDescent="0.2">
      <c r="A79" s="28" t="s">
        <v>33</v>
      </c>
      <c r="B79" s="49">
        <f>100-TRUNC(D79*3.5/10000,0)</f>
        <v>17</v>
      </c>
      <c r="C79" s="23">
        <f>C6</f>
        <v>182823.46666666667</v>
      </c>
      <c r="D79" s="41">
        <v>239999.89477545174</v>
      </c>
      <c r="E79" s="23">
        <v>500000</v>
      </c>
      <c r="F79" s="29">
        <f t="shared" ref="F79" si="12">D79*B79</f>
        <v>4079998.2111826795</v>
      </c>
      <c r="G79" s="29">
        <f>E79+(C79*B79)</f>
        <v>3607998.9333333336</v>
      </c>
      <c r="H79" s="29">
        <f>F79-G79</f>
        <v>471999.27784934593</v>
      </c>
    </row>
    <row r="80" spans="1:8" x14ac:dyDescent="0.2">
      <c r="A80" t="s">
        <v>41</v>
      </c>
      <c r="D80" s="44">
        <f>SUM(D77:D79)</f>
        <v>699906.72384573543</v>
      </c>
      <c r="F80" s="30">
        <f>SUM(F77:F79)</f>
        <v>13897304.329317361</v>
      </c>
      <c r="G80" s="30">
        <f>SUM(G77:G79)</f>
        <v>11147539.836970802</v>
      </c>
      <c r="H80" s="30">
        <f>SUM(H77:H79)</f>
        <v>2749764.4923465578</v>
      </c>
    </row>
    <row r="84" spans="1:8" ht="32" x14ac:dyDescent="0.2">
      <c r="A84" s="26" t="s">
        <v>23</v>
      </c>
      <c r="B84" s="26" t="s">
        <v>24</v>
      </c>
      <c r="C84" s="27" t="s">
        <v>25</v>
      </c>
      <c r="D84" s="27" t="s">
        <v>26</v>
      </c>
      <c r="E84" s="26" t="s">
        <v>27</v>
      </c>
      <c r="F84" s="26" t="s">
        <v>28</v>
      </c>
      <c r="G84" s="26" t="s">
        <v>29</v>
      </c>
      <c r="H84" s="26" t="s">
        <v>30</v>
      </c>
    </row>
    <row r="85" spans="1:8" x14ac:dyDescent="0.2">
      <c r="A85" s="28" t="s">
        <v>32</v>
      </c>
      <c r="B85" s="49">
        <f>100-(D85*4)/10000</f>
        <v>16.099842099651042</v>
      </c>
      <c r="C85" s="41">
        <f>SUBTOTAL(101,Table1[Annual expenses
])</f>
        <v>169500.78489518998</v>
      </c>
      <c r="D85" s="41">
        <v>209750.39475087239</v>
      </c>
      <c r="E85" s="23">
        <v>500000</v>
      </c>
      <c r="F85" s="29">
        <f>D85*B85</f>
        <v>3376948.2358285203</v>
      </c>
      <c r="G85" s="29">
        <f>E85+(C85*B85)</f>
        <v>3228935.8725794749</v>
      </c>
      <c r="H85" s="29">
        <f>F85-G85</f>
        <v>148012.36324904533</v>
      </c>
    </row>
    <row r="86" spans="1:8" x14ac:dyDescent="0.2">
      <c r="A86" s="28" t="s">
        <v>31</v>
      </c>
      <c r="B86" s="49">
        <f>100-(D86*3)/10000</f>
        <v>27.572248610191608</v>
      </c>
      <c r="C86" s="23">
        <f>C5</f>
        <v>149518.29999999999</v>
      </c>
      <c r="D86" s="41">
        <v>241425.83796602799</v>
      </c>
      <c r="E86" s="23">
        <v>500000</v>
      </c>
      <c r="F86" s="29">
        <f>D86*B86</f>
        <v>6656653.2253231592</v>
      </c>
      <c r="G86" s="29">
        <f>E86+(C86*B86)</f>
        <v>4622555.7393732108</v>
      </c>
      <c r="H86" s="29">
        <f>F86-G86</f>
        <v>2034097.4859499484</v>
      </c>
    </row>
    <row r="87" spans="1:8" x14ac:dyDescent="0.2">
      <c r="A87" s="28" t="s">
        <v>33</v>
      </c>
      <c r="B87" s="49">
        <f>100-(D87*3.5)/10000</f>
        <v>18.005921775483628</v>
      </c>
      <c r="C87" s="23">
        <f>C6</f>
        <v>182823.46666666667</v>
      </c>
      <c r="D87" s="41">
        <v>234268.79492718962</v>
      </c>
      <c r="E87" s="23">
        <v>500000</v>
      </c>
      <c r="F87" s="29">
        <f t="shared" ref="F87" si="13">D87*B87</f>
        <v>4218225.5958957924</v>
      </c>
      <c r="G87" s="29">
        <f>E87+(C87*B87)</f>
        <v>3791905.0395227387</v>
      </c>
      <c r="H87" s="29">
        <f>F87-G87</f>
        <v>426320.5563730537</v>
      </c>
    </row>
    <row r="88" spans="1:8" x14ac:dyDescent="0.2">
      <c r="A88" t="s">
        <v>41</v>
      </c>
      <c r="D88" s="44">
        <f>SUM(D85:D87)</f>
        <v>685445.02764409001</v>
      </c>
      <c r="F88" s="30">
        <f>SUM(F85:F87)</f>
        <v>14251827.057047471</v>
      </c>
      <c r="G88" s="30">
        <f>SUM(G85:G87)</f>
        <v>11643396.651475424</v>
      </c>
      <c r="H88" s="30">
        <f>SUM(H85:H87)</f>
        <v>2608430.4055720475</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T64"/>
  <sheetViews>
    <sheetView tabSelected="1" zoomScaleNormal="100" workbookViewId="0">
      <selection activeCell="C24" sqref="C24:T41"/>
    </sheetView>
  </sheetViews>
  <sheetFormatPr baseColWidth="10" defaultColWidth="9.1640625" defaultRowHeight="15" x14ac:dyDescent="0.2"/>
  <cols>
    <col min="1" max="16384" width="9.1640625" style="1"/>
  </cols>
  <sheetData>
    <row r="2" spans="3:20" ht="16" x14ac:dyDescent="0.2">
      <c r="C2" s="2" t="s">
        <v>0</v>
      </c>
    </row>
    <row r="3" spans="3:20" ht="18" customHeight="1" x14ac:dyDescent="0.2">
      <c r="C3" s="159" t="s">
        <v>112</v>
      </c>
      <c r="D3" s="159"/>
      <c r="E3" s="159"/>
      <c r="F3" s="159"/>
      <c r="G3" s="159"/>
      <c r="H3" s="159"/>
      <c r="I3" s="159"/>
      <c r="J3" s="159"/>
      <c r="K3" s="159"/>
      <c r="L3" s="159"/>
      <c r="M3" s="159"/>
      <c r="N3" s="159"/>
      <c r="O3" s="159"/>
      <c r="P3" s="159"/>
      <c r="Q3" s="159"/>
      <c r="R3" s="159"/>
      <c r="S3" s="159"/>
      <c r="T3" s="159"/>
    </row>
    <row r="4" spans="3:20" ht="18" customHeight="1" x14ac:dyDescent="0.2">
      <c r="C4" s="159"/>
      <c r="D4" s="159"/>
      <c r="E4" s="159"/>
      <c r="F4" s="159"/>
      <c r="G4" s="159"/>
      <c r="H4" s="159"/>
      <c r="I4" s="159"/>
      <c r="J4" s="159"/>
      <c r="K4" s="159"/>
      <c r="L4" s="159"/>
      <c r="M4" s="159"/>
      <c r="N4" s="159"/>
      <c r="O4" s="159"/>
      <c r="P4" s="159"/>
      <c r="Q4" s="159"/>
      <c r="R4" s="159"/>
      <c r="S4" s="159"/>
      <c r="T4" s="159"/>
    </row>
    <row r="5" spans="3:20" ht="18" customHeight="1" x14ac:dyDescent="0.2">
      <c r="C5" s="159"/>
      <c r="D5" s="159"/>
      <c r="E5" s="159"/>
      <c r="F5" s="159"/>
      <c r="G5" s="159"/>
      <c r="H5" s="159"/>
      <c r="I5" s="159"/>
      <c r="J5" s="159"/>
      <c r="K5" s="159"/>
      <c r="L5" s="159"/>
      <c r="M5" s="159"/>
      <c r="N5" s="159"/>
      <c r="O5" s="159"/>
      <c r="P5" s="159"/>
      <c r="Q5" s="159"/>
      <c r="R5" s="159"/>
      <c r="S5" s="159"/>
      <c r="T5" s="159"/>
    </row>
    <row r="6" spans="3:20" ht="18" customHeight="1" x14ac:dyDescent="0.2">
      <c r="C6" s="159"/>
      <c r="D6" s="159"/>
      <c r="E6" s="159"/>
      <c r="F6" s="159"/>
      <c r="G6" s="159"/>
      <c r="H6" s="159"/>
      <c r="I6" s="159"/>
      <c r="J6" s="159"/>
      <c r="K6" s="159"/>
      <c r="L6" s="159"/>
      <c r="M6" s="159"/>
      <c r="N6" s="159"/>
      <c r="O6" s="159"/>
      <c r="P6" s="159"/>
      <c r="Q6" s="159"/>
      <c r="R6" s="159"/>
      <c r="S6" s="159"/>
      <c r="T6" s="159"/>
    </row>
    <row r="7" spans="3:20" ht="18" customHeight="1" x14ac:dyDescent="0.2">
      <c r="C7" s="159"/>
      <c r="D7" s="159"/>
      <c r="E7" s="159"/>
      <c r="F7" s="159"/>
      <c r="G7" s="159"/>
      <c r="H7" s="159"/>
      <c r="I7" s="159"/>
      <c r="J7" s="159"/>
      <c r="K7" s="159"/>
      <c r="L7" s="159"/>
      <c r="M7" s="159"/>
      <c r="N7" s="159"/>
      <c r="O7" s="159"/>
      <c r="P7" s="159"/>
      <c r="Q7" s="159"/>
      <c r="R7" s="159"/>
      <c r="S7" s="159"/>
      <c r="T7" s="159"/>
    </row>
    <row r="8" spans="3:20" ht="18" customHeight="1" x14ac:dyDescent="0.2">
      <c r="C8" s="159"/>
      <c r="D8" s="159"/>
      <c r="E8" s="159"/>
      <c r="F8" s="159"/>
      <c r="G8" s="159"/>
      <c r="H8" s="159"/>
      <c r="I8" s="159"/>
      <c r="J8" s="159"/>
      <c r="K8" s="159"/>
      <c r="L8" s="159"/>
      <c r="M8" s="159"/>
      <c r="N8" s="159"/>
      <c r="O8" s="159"/>
      <c r="P8" s="159"/>
      <c r="Q8" s="159"/>
      <c r="R8" s="159"/>
      <c r="S8" s="159"/>
      <c r="T8" s="159"/>
    </row>
    <row r="9" spans="3:20" ht="18" customHeight="1" x14ac:dyDescent="0.2">
      <c r="C9" s="159"/>
      <c r="D9" s="159"/>
      <c r="E9" s="159"/>
      <c r="F9" s="159"/>
      <c r="G9" s="159"/>
      <c r="H9" s="159"/>
      <c r="I9" s="159"/>
      <c r="J9" s="159"/>
      <c r="K9" s="159"/>
      <c r="L9" s="159"/>
      <c r="M9" s="159"/>
      <c r="N9" s="159"/>
      <c r="O9" s="159"/>
      <c r="P9" s="159"/>
      <c r="Q9" s="159"/>
      <c r="R9" s="159"/>
      <c r="S9" s="159"/>
      <c r="T9" s="159"/>
    </row>
    <row r="10" spans="3:20" ht="18" customHeight="1" x14ac:dyDescent="0.2">
      <c r="C10" s="159"/>
      <c r="D10" s="159"/>
      <c r="E10" s="159"/>
      <c r="F10" s="159"/>
      <c r="G10" s="159"/>
      <c r="H10" s="159"/>
      <c r="I10" s="159"/>
      <c r="J10" s="159"/>
      <c r="K10" s="159"/>
      <c r="L10" s="159"/>
      <c r="M10" s="159"/>
      <c r="N10" s="159"/>
      <c r="O10" s="159"/>
      <c r="P10" s="159"/>
      <c r="Q10" s="159"/>
      <c r="R10" s="159"/>
      <c r="S10" s="159"/>
      <c r="T10" s="159"/>
    </row>
    <row r="11" spans="3:20" ht="18" customHeight="1" x14ac:dyDescent="0.2">
      <c r="C11" s="159"/>
      <c r="D11" s="159"/>
      <c r="E11" s="159"/>
      <c r="F11" s="159"/>
      <c r="G11" s="159"/>
      <c r="H11" s="159"/>
      <c r="I11" s="159"/>
      <c r="J11" s="159"/>
      <c r="K11" s="159"/>
      <c r="L11" s="159"/>
      <c r="M11" s="159"/>
      <c r="N11" s="159"/>
      <c r="O11" s="159"/>
      <c r="P11" s="159"/>
      <c r="Q11" s="159"/>
      <c r="R11" s="159"/>
      <c r="S11" s="159"/>
      <c r="T11" s="159"/>
    </row>
    <row r="12" spans="3:20" ht="18" customHeight="1" x14ac:dyDescent="0.2">
      <c r="C12" s="159"/>
      <c r="D12" s="159"/>
      <c r="E12" s="159"/>
      <c r="F12" s="159"/>
      <c r="G12" s="159"/>
      <c r="H12" s="159"/>
      <c r="I12" s="159"/>
      <c r="J12" s="159"/>
      <c r="K12" s="159"/>
      <c r="L12" s="159"/>
      <c r="M12" s="159"/>
      <c r="N12" s="159"/>
      <c r="O12" s="159"/>
      <c r="P12" s="159"/>
      <c r="Q12" s="159"/>
      <c r="R12" s="159"/>
      <c r="S12" s="159"/>
      <c r="T12" s="159"/>
    </row>
    <row r="13" spans="3:20" ht="18" customHeight="1" x14ac:dyDescent="0.2">
      <c r="C13" s="159"/>
      <c r="D13" s="159"/>
      <c r="E13" s="159"/>
      <c r="F13" s="159"/>
      <c r="G13" s="159"/>
      <c r="H13" s="159"/>
      <c r="I13" s="159"/>
      <c r="J13" s="159"/>
      <c r="K13" s="159"/>
      <c r="L13" s="159"/>
      <c r="M13" s="159"/>
      <c r="N13" s="159"/>
      <c r="O13" s="159"/>
      <c r="P13" s="159"/>
      <c r="Q13" s="159"/>
      <c r="R13" s="159"/>
      <c r="S13" s="159"/>
      <c r="T13" s="159"/>
    </row>
    <row r="14" spans="3:20" ht="18" customHeight="1" x14ac:dyDescent="0.2">
      <c r="C14" s="159"/>
      <c r="D14" s="159"/>
      <c r="E14" s="159"/>
      <c r="F14" s="159"/>
      <c r="G14" s="159"/>
      <c r="H14" s="159"/>
      <c r="I14" s="159"/>
      <c r="J14" s="159"/>
      <c r="K14" s="159"/>
      <c r="L14" s="159"/>
      <c r="M14" s="159"/>
      <c r="N14" s="159"/>
      <c r="O14" s="159"/>
      <c r="P14" s="159"/>
      <c r="Q14" s="159"/>
      <c r="R14" s="159"/>
      <c r="S14" s="159"/>
      <c r="T14" s="159"/>
    </row>
    <row r="15" spans="3:20" ht="18" customHeight="1" x14ac:dyDescent="0.2">
      <c r="C15" s="159"/>
      <c r="D15" s="159"/>
      <c r="E15" s="159"/>
      <c r="F15" s="159"/>
      <c r="G15" s="159"/>
      <c r="H15" s="159"/>
      <c r="I15" s="159"/>
      <c r="J15" s="159"/>
      <c r="K15" s="159"/>
      <c r="L15" s="159"/>
      <c r="M15" s="159"/>
      <c r="N15" s="159"/>
      <c r="O15" s="159"/>
      <c r="P15" s="159"/>
      <c r="Q15" s="159"/>
      <c r="R15" s="159"/>
      <c r="S15" s="159"/>
      <c r="T15" s="159"/>
    </row>
    <row r="16" spans="3:20" ht="18" customHeight="1" x14ac:dyDescent="0.2">
      <c r="C16" s="159"/>
      <c r="D16" s="159"/>
      <c r="E16" s="159"/>
      <c r="F16" s="159"/>
      <c r="G16" s="159"/>
      <c r="H16" s="159"/>
      <c r="I16" s="159"/>
      <c r="J16" s="159"/>
      <c r="K16" s="159"/>
      <c r="L16" s="159"/>
      <c r="M16" s="159"/>
      <c r="N16" s="159"/>
      <c r="O16" s="159"/>
      <c r="P16" s="159"/>
      <c r="Q16" s="159"/>
      <c r="R16" s="159"/>
      <c r="S16" s="159"/>
      <c r="T16" s="159"/>
    </row>
    <row r="17" spans="3:20" ht="18" customHeight="1" x14ac:dyDescent="0.2">
      <c r="C17" s="159"/>
      <c r="D17" s="159"/>
      <c r="E17" s="159"/>
      <c r="F17" s="159"/>
      <c r="G17" s="159"/>
      <c r="H17" s="159"/>
      <c r="I17" s="159"/>
      <c r="J17" s="159"/>
      <c r="K17" s="159"/>
      <c r="L17" s="159"/>
      <c r="M17" s="159"/>
      <c r="N17" s="159"/>
      <c r="O17" s="159"/>
      <c r="P17" s="159"/>
      <c r="Q17" s="159"/>
      <c r="R17" s="159"/>
      <c r="S17" s="159"/>
      <c r="T17" s="159"/>
    </row>
    <row r="18" spans="3:20" ht="18" customHeight="1" x14ac:dyDescent="0.2">
      <c r="C18" s="159"/>
      <c r="D18" s="159"/>
      <c r="E18" s="159"/>
      <c r="F18" s="159"/>
      <c r="G18" s="159"/>
      <c r="H18" s="159"/>
      <c r="I18" s="159"/>
      <c r="J18" s="159"/>
      <c r="K18" s="159"/>
      <c r="L18" s="159"/>
      <c r="M18" s="159"/>
      <c r="N18" s="159"/>
      <c r="O18" s="159"/>
      <c r="P18" s="159"/>
      <c r="Q18" s="159"/>
      <c r="R18" s="159"/>
      <c r="S18" s="159"/>
      <c r="T18" s="159"/>
    </row>
    <row r="19" spans="3:20" ht="18" customHeight="1" x14ac:dyDescent="0.2">
      <c r="C19" s="159"/>
      <c r="D19" s="159"/>
      <c r="E19" s="159"/>
      <c r="F19" s="159"/>
      <c r="G19" s="159"/>
      <c r="H19" s="159"/>
      <c r="I19" s="159"/>
      <c r="J19" s="159"/>
      <c r="K19" s="159"/>
      <c r="L19" s="159"/>
      <c r="M19" s="159"/>
      <c r="N19" s="159"/>
      <c r="O19" s="159"/>
      <c r="P19" s="159"/>
      <c r="Q19" s="159"/>
      <c r="R19" s="159"/>
      <c r="S19" s="159"/>
      <c r="T19" s="159"/>
    </row>
    <row r="20" spans="3:20" ht="18" customHeight="1" x14ac:dyDescent="0.2">
      <c r="C20" s="159"/>
      <c r="D20" s="159"/>
      <c r="E20" s="159"/>
      <c r="F20" s="159"/>
      <c r="G20" s="159"/>
      <c r="H20" s="159"/>
      <c r="I20" s="159"/>
      <c r="J20" s="159"/>
      <c r="K20" s="159"/>
      <c r="L20" s="159"/>
      <c r="M20" s="159"/>
      <c r="N20" s="159"/>
      <c r="O20" s="159"/>
      <c r="P20" s="159"/>
      <c r="Q20" s="159"/>
      <c r="R20" s="159"/>
      <c r="S20" s="159"/>
      <c r="T20" s="159"/>
    </row>
    <row r="21" spans="3:20" ht="15.75" customHeight="1" x14ac:dyDescent="0.2"/>
    <row r="22" spans="3:20" ht="15" customHeight="1" x14ac:dyDescent="0.2"/>
    <row r="23" spans="3:20" ht="15" customHeight="1" x14ac:dyDescent="0.2">
      <c r="C23" s="2" t="s">
        <v>1</v>
      </c>
    </row>
    <row r="24" spans="3:20" ht="15.75" customHeight="1" x14ac:dyDescent="0.2">
      <c r="C24" s="159" t="s">
        <v>113</v>
      </c>
      <c r="D24" s="159"/>
      <c r="E24" s="159"/>
      <c r="F24" s="159"/>
      <c r="G24" s="159"/>
      <c r="H24" s="159"/>
      <c r="I24" s="159"/>
      <c r="J24" s="159"/>
      <c r="K24" s="159"/>
      <c r="L24" s="159"/>
      <c r="M24" s="159"/>
      <c r="N24" s="159"/>
      <c r="O24" s="159"/>
      <c r="P24" s="159"/>
      <c r="Q24" s="159"/>
      <c r="R24" s="159"/>
      <c r="S24" s="159"/>
      <c r="T24" s="159"/>
    </row>
    <row r="25" spans="3:20" ht="15.75" customHeight="1" x14ac:dyDescent="0.2">
      <c r="C25" s="159"/>
      <c r="D25" s="159"/>
      <c r="E25" s="159"/>
      <c r="F25" s="159"/>
      <c r="G25" s="159"/>
      <c r="H25" s="159"/>
      <c r="I25" s="159"/>
      <c r="J25" s="159"/>
      <c r="K25" s="159"/>
      <c r="L25" s="159"/>
      <c r="M25" s="159"/>
      <c r="N25" s="159"/>
      <c r="O25" s="159"/>
      <c r="P25" s="159"/>
      <c r="Q25" s="159"/>
      <c r="R25" s="159"/>
      <c r="S25" s="159"/>
      <c r="T25" s="159"/>
    </row>
    <row r="26" spans="3:20" ht="15.75" customHeight="1" x14ac:dyDescent="0.2">
      <c r="C26" s="159"/>
      <c r="D26" s="159"/>
      <c r="E26" s="159"/>
      <c r="F26" s="159"/>
      <c r="G26" s="159"/>
      <c r="H26" s="159"/>
      <c r="I26" s="159"/>
      <c r="J26" s="159"/>
      <c r="K26" s="159"/>
      <c r="L26" s="159"/>
      <c r="M26" s="159"/>
      <c r="N26" s="159"/>
      <c r="O26" s="159"/>
      <c r="P26" s="159"/>
      <c r="Q26" s="159"/>
      <c r="R26" s="159"/>
      <c r="S26" s="159"/>
      <c r="T26" s="159"/>
    </row>
    <row r="27" spans="3:20" ht="15.75" customHeight="1" x14ac:dyDescent="0.2">
      <c r="C27" s="159"/>
      <c r="D27" s="159"/>
      <c r="E27" s="159"/>
      <c r="F27" s="159"/>
      <c r="G27" s="159"/>
      <c r="H27" s="159"/>
      <c r="I27" s="159"/>
      <c r="J27" s="159"/>
      <c r="K27" s="159"/>
      <c r="L27" s="159"/>
      <c r="M27" s="159"/>
      <c r="N27" s="159"/>
      <c r="O27" s="159"/>
      <c r="P27" s="159"/>
      <c r="Q27" s="159"/>
      <c r="R27" s="159"/>
      <c r="S27" s="159"/>
      <c r="T27" s="159"/>
    </row>
    <row r="28" spans="3:20" ht="15.75" customHeight="1" x14ac:dyDescent="0.2">
      <c r="C28" s="159"/>
      <c r="D28" s="159"/>
      <c r="E28" s="159"/>
      <c r="F28" s="159"/>
      <c r="G28" s="159"/>
      <c r="H28" s="159"/>
      <c r="I28" s="159"/>
      <c r="J28" s="159"/>
      <c r="K28" s="159"/>
      <c r="L28" s="159"/>
      <c r="M28" s="159"/>
      <c r="N28" s="159"/>
      <c r="O28" s="159"/>
      <c r="P28" s="159"/>
      <c r="Q28" s="159"/>
      <c r="R28" s="159"/>
      <c r="S28" s="159"/>
      <c r="T28" s="159"/>
    </row>
    <row r="29" spans="3:20" ht="15.75" customHeight="1" x14ac:dyDescent="0.2">
      <c r="C29" s="159"/>
      <c r="D29" s="159"/>
      <c r="E29" s="159"/>
      <c r="F29" s="159"/>
      <c r="G29" s="159"/>
      <c r="H29" s="159"/>
      <c r="I29" s="159"/>
      <c r="J29" s="159"/>
      <c r="K29" s="159"/>
      <c r="L29" s="159"/>
      <c r="M29" s="159"/>
      <c r="N29" s="159"/>
      <c r="O29" s="159"/>
      <c r="P29" s="159"/>
      <c r="Q29" s="159"/>
      <c r="R29" s="159"/>
      <c r="S29" s="159"/>
      <c r="T29" s="159"/>
    </row>
    <row r="30" spans="3:20" ht="15.75" customHeight="1" x14ac:dyDescent="0.2">
      <c r="C30" s="159"/>
      <c r="D30" s="159"/>
      <c r="E30" s="159"/>
      <c r="F30" s="159"/>
      <c r="G30" s="159"/>
      <c r="H30" s="159"/>
      <c r="I30" s="159"/>
      <c r="J30" s="159"/>
      <c r="K30" s="159"/>
      <c r="L30" s="159"/>
      <c r="M30" s="159"/>
      <c r="N30" s="159"/>
      <c r="O30" s="159"/>
      <c r="P30" s="159"/>
      <c r="Q30" s="159"/>
      <c r="R30" s="159"/>
      <c r="S30" s="159"/>
      <c r="T30" s="159"/>
    </row>
    <row r="31" spans="3:20" ht="15.75" customHeight="1" x14ac:dyDescent="0.2">
      <c r="C31" s="159"/>
      <c r="D31" s="159"/>
      <c r="E31" s="159"/>
      <c r="F31" s="159"/>
      <c r="G31" s="159"/>
      <c r="H31" s="159"/>
      <c r="I31" s="159"/>
      <c r="J31" s="159"/>
      <c r="K31" s="159"/>
      <c r="L31" s="159"/>
      <c r="M31" s="159"/>
      <c r="N31" s="159"/>
      <c r="O31" s="159"/>
      <c r="P31" s="159"/>
      <c r="Q31" s="159"/>
      <c r="R31" s="159"/>
      <c r="S31" s="159"/>
      <c r="T31" s="159"/>
    </row>
    <row r="32" spans="3:20" ht="15.75" customHeight="1" x14ac:dyDescent="0.2">
      <c r="C32" s="159"/>
      <c r="D32" s="159"/>
      <c r="E32" s="159"/>
      <c r="F32" s="159"/>
      <c r="G32" s="159"/>
      <c r="H32" s="159"/>
      <c r="I32" s="159"/>
      <c r="J32" s="159"/>
      <c r="K32" s="159"/>
      <c r="L32" s="159"/>
      <c r="M32" s="159"/>
      <c r="N32" s="159"/>
      <c r="O32" s="159"/>
      <c r="P32" s="159"/>
      <c r="Q32" s="159"/>
      <c r="R32" s="159"/>
      <c r="S32" s="159"/>
      <c r="T32" s="159"/>
    </row>
    <row r="33" spans="3:20" ht="15.75" customHeight="1" x14ac:dyDescent="0.2">
      <c r="C33" s="159"/>
      <c r="D33" s="159"/>
      <c r="E33" s="159"/>
      <c r="F33" s="159"/>
      <c r="G33" s="159"/>
      <c r="H33" s="159"/>
      <c r="I33" s="159"/>
      <c r="J33" s="159"/>
      <c r="K33" s="159"/>
      <c r="L33" s="159"/>
      <c r="M33" s="159"/>
      <c r="N33" s="159"/>
      <c r="O33" s="159"/>
      <c r="P33" s="159"/>
      <c r="Q33" s="159"/>
      <c r="R33" s="159"/>
      <c r="S33" s="159"/>
      <c r="T33" s="159"/>
    </row>
    <row r="34" spans="3:20" ht="15" customHeight="1" x14ac:dyDescent="0.2">
      <c r="C34" s="159"/>
      <c r="D34" s="159"/>
      <c r="E34" s="159"/>
      <c r="F34" s="159"/>
      <c r="G34" s="159"/>
      <c r="H34" s="159"/>
      <c r="I34" s="159"/>
      <c r="J34" s="159"/>
      <c r="K34" s="159"/>
      <c r="L34" s="159"/>
      <c r="M34" s="159"/>
      <c r="N34" s="159"/>
      <c r="O34" s="159"/>
      <c r="P34" s="159"/>
      <c r="Q34" s="159"/>
      <c r="R34" s="159"/>
      <c r="S34" s="159"/>
      <c r="T34" s="159"/>
    </row>
    <row r="35" spans="3:20" ht="15.75" customHeight="1" x14ac:dyDescent="0.2">
      <c r="C35" s="159"/>
      <c r="D35" s="159"/>
      <c r="E35" s="159"/>
      <c r="F35" s="159"/>
      <c r="G35" s="159"/>
      <c r="H35" s="159"/>
      <c r="I35" s="159"/>
      <c r="J35" s="159"/>
      <c r="K35" s="159"/>
      <c r="L35" s="159"/>
      <c r="M35" s="159"/>
      <c r="N35" s="159"/>
      <c r="O35" s="159"/>
      <c r="P35" s="159"/>
      <c r="Q35" s="159"/>
      <c r="R35" s="159"/>
      <c r="S35" s="159"/>
      <c r="T35" s="159"/>
    </row>
    <row r="36" spans="3:20" ht="15.75" customHeight="1" x14ac:dyDescent="0.2">
      <c r="C36" s="159"/>
      <c r="D36" s="159"/>
      <c r="E36" s="159"/>
      <c r="F36" s="159"/>
      <c r="G36" s="159"/>
      <c r="H36" s="159"/>
      <c r="I36" s="159"/>
      <c r="J36" s="159"/>
      <c r="K36" s="159"/>
      <c r="L36" s="159"/>
      <c r="M36" s="159"/>
      <c r="N36" s="159"/>
      <c r="O36" s="159"/>
      <c r="P36" s="159"/>
      <c r="Q36" s="159"/>
      <c r="R36" s="159"/>
      <c r="S36" s="159"/>
      <c r="T36" s="159"/>
    </row>
    <row r="37" spans="3:20" ht="15.75" customHeight="1" x14ac:dyDescent="0.2">
      <c r="C37" s="159"/>
      <c r="D37" s="159"/>
      <c r="E37" s="159"/>
      <c r="F37" s="159"/>
      <c r="G37" s="159"/>
      <c r="H37" s="159"/>
      <c r="I37" s="159"/>
      <c r="J37" s="159"/>
      <c r="K37" s="159"/>
      <c r="L37" s="159"/>
      <c r="M37" s="159"/>
      <c r="N37" s="159"/>
      <c r="O37" s="159"/>
      <c r="P37" s="159"/>
      <c r="Q37" s="159"/>
      <c r="R37" s="159"/>
      <c r="S37" s="159"/>
      <c r="T37" s="159"/>
    </row>
    <row r="38" spans="3:20" ht="15.75" customHeight="1" x14ac:dyDescent="0.2">
      <c r="C38" s="159"/>
      <c r="D38" s="159"/>
      <c r="E38" s="159"/>
      <c r="F38" s="159"/>
      <c r="G38" s="159"/>
      <c r="H38" s="159"/>
      <c r="I38" s="159"/>
      <c r="J38" s="159"/>
      <c r="K38" s="159"/>
      <c r="L38" s="159"/>
      <c r="M38" s="159"/>
      <c r="N38" s="159"/>
      <c r="O38" s="159"/>
      <c r="P38" s="159"/>
      <c r="Q38" s="159"/>
      <c r="R38" s="159"/>
      <c r="S38" s="159"/>
      <c r="T38" s="159"/>
    </row>
    <row r="39" spans="3:20" ht="15.75" customHeight="1" x14ac:dyDescent="0.2">
      <c r="C39" s="159"/>
      <c r="D39" s="159"/>
      <c r="E39" s="159"/>
      <c r="F39" s="159"/>
      <c r="G39" s="159"/>
      <c r="H39" s="159"/>
      <c r="I39" s="159"/>
      <c r="J39" s="159"/>
      <c r="K39" s="159"/>
      <c r="L39" s="159"/>
      <c r="M39" s="159"/>
      <c r="N39" s="159"/>
      <c r="O39" s="159"/>
      <c r="P39" s="159"/>
      <c r="Q39" s="159"/>
      <c r="R39" s="159"/>
      <c r="S39" s="159"/>
      <c r="T39" s="159"/>
    </row>
    <row r="40" spans="3:20" ht="15.75" customHeight="1" x14ac:dyDescent="0.2">
      <c r="C40" s="159"/>
      <c r="D40" s="159"/>
      <c r="E40" s="159"/>
      <c r="F40" s="159"/>
      <c r="G40" s="159"/>
      <c r="H40" s="159"/>
      <c r="I40" s="159"/>
      <c r="J40" s="159"/>
      <c r="K40" s="159"/>
      <c r="L40" s="159"/>
      <c r="M40" s="159"/>
      <c r="N40" s="159"/>
      <c r="O40" s="159"/>
      <c r="P40" s="159"/>
      <c r="Q40" s="159"/>
      <c r="R40" s="159"/>
      <c r="S40" s="159"/>
      <c r="T40" s="159"/>
    </row>
    <row r="41" spans="3:20" ht="15.75" customHeight="1" x14ac:dyDescent="0.2">
      <c r="C41" s="159"/>
      <c r="D41" s="159"/>
      <c r="E41" s="159"/>
      <c r="F41" s="159"/>
      <c r="G41" s="159"/>
      <c r="H41" s="159"/>
      <c r="I41" s="159"/>
      <c r="J41" s="159"/>
      <c r="K41" s="159"/>
      <c r="L41" s="159"/>
      <c r="M41" s="159"/>
      <c r="N41" s="159"/>
      <c r="O41" s="159"/>
      <c r="P41" s="159"/>
      <c r="Q41" s="159"/>
      <c r="R41" s="159"/>
      <c r="S41" s="159"/>
      <c r="T41" s="159"/>
    </row>
    <row r="42" spans="3:20" ht="15.75" customHeight="1" x14ac:dyDescent="0.2"/>
    <row r="43" spans="3:20" ht="15.75" customHeight="1" x14ac:dyDescent="0.2"/>
    <row r="46" spans="3:20" ht="16" x14ac:dyDescent="0.2">
      <c r="C46" s="2" t="s">
        <v>2</v>
      </c>
    </row>
    <row r="47" spans="3:20" x14ac:dyDescent="0.2">
      <c r="C47" s="159" t="s">
        <v>118</v>
      </c>
      <c r="D47" s="159"/>
      <c r="E47" s="159"/>
      <c r="F47" s="159"/>
      <c r="G47" s="159"/>
      <c r="H47" s="159"/>
      <c r="I47" s="159"/>
      <c r="J47" s="159"/>
      <c r="K47" s="159"/>
      <c r="L47" s="159"/>
      <c r="M47" s="159"/>
      <c r="N47" s="159"/>
      <c r="O47" s="159"/>
      <c r="P47" s="159"/>
      <c r="Q47" s="159"/>
      <c r="R47" s="159"/>
      <c r="S47" s="159"/>
      <c r="T47" s="159"/>
    </row>
    <row r="48" spans="3:20" x14ac:dyDescent="0.2">
      <c r="C48" s="159"/>
      <c r="D48" s="159"/>
      <c r="E48" s="159"/>
      <c r="F48" s="159"/>
      <c r="G48" s="159"/>
      <c r="H48" s="159"/>
      <c r="I48" s="159"/>
      <c r="J48" s="159"/>
      <c r="K48" s="159"/>
      <c r="L48" s="159"/>
      <c r="M48" s="159"/>
      <c r="N48" s="159"/>
      <c r="O48" s="159"/>
      <c r="P48" s="159"/>
      <c r="Q48" s="159"/>
      <c r="R48" s="159"/>
      <c r="S48" s="159"/>
      <c r="T48" s="159"/>
    </row>
    <row r="49" spans="3:20" x14ac:dyDescent="0.2">
      <c r="C49" s="159"/>
      <c r="D49" s="159"/>
      <c r="E49" s="159"/>
      <c r="F49" s="159"/>
      <c r="G49" s="159"/>
      <c r="H49" s="159"/>
      <c r="I49" s="159"/>
      <c r="J49" s="159"/>
      <c r="K49" s="159"/>
      <c r="L49" s="159"/>
      <c r="M49" s="159"/>
      <c r="N49" s="159"/>
      <c r="O49" s="159"/>
      <c r="P49" s="159"/>
      <c r="Q49" s="159"/>
      <c r="R49" s="159"/>
      <c r="S49" s="159"/>
      <c r="T49" s="159"/>
    </row>
    <row r="50" spans="3:20" x14ac:dyDescent="0.2">
      <c r="C50" s="159"/>
      <c r="D50" s="159"/>
      <c r="E50" s="159"/>
      <c r="F50" s="159"/>
      <c r="G50" s="159"/>
      <c r="H50" s="159"/>
      <c r="I50" s="159"/>
      <c r="J50" s="159"/>
      <c r="K50" s="159"/>
      <c r="L50" s="159"/>
      <c r="M50" s="159"/>
      <c r="N50" s="159"/>
      <c r="O50" s="159"/>
      <c r="P50" s="159"/>
      <c r="Q50" s="159"/>
      <c r="R50" s="159"/>
      <c r="S50" s="159"/>
      <c r="T50" s="159"/>
    </row>
    <row r="51" spans="3:20" x14ac:dyDescent="0.2">
      <c r="C51" s="159"/>
      <c r="D51" s="159"/>
      <c r="E51" s="159"/>
      <c r="F51" s="159"/>
      <c r="G51" s="159"/>
      <c r="H51" s="159"/>
      <c r="I51" s="159"/>
      <c r="J51" s="159"/>
      <c r="K51" s="159"/>
      <c r="L51" s="159"/>
      <c r="M51" s="159"/>
      <c r="N51" s="159"/>
      <c r="O51" s="159"/>
      <c r="P51" s="159"/>
      <c r="Q51" s="159"/>
      <c r="R51" s="159"/>
      <c r="S51" s="159"/>
      <c r="T51" s="159"/>
    </row>
    <row r="52" spans="3:20" x14ac:dyDescent="0.2">
      <c r="C52" s="159"/>
      <c r="D52" s="159"/>
      <c r="E52" s="159"/>
      <c r="F52" s="159"/>
      <c r="G52" s="159"/>
      <c r="H52" s="159"/>
      <c r="I52" s="159"/>
      <c r="J52" s="159"/>
      <c r="K52" s="159"/>
      <c r="L52" s="159"/>
      <c r="M52" s="159"/>
      <c r="N52" s="159"/>
      <c r="O52" s="159"/>
      <c r="P52" s="159"/>
      <c r="Q52" s="159"/>
      <c r="R52" s="159"/>
      <c r="S52" s="159"/>
      <c r="T52" s="159"/>
    </row>
    <row r="53" spans="3:20" x14ac:dyDescent="0.2">
      <c r="C53" s="159"/>
      <c r="D53" s="159"/>
      <c r="E53" s="159"/>
      <c r="F53" s="159"/>
      <c r="G53" s="159"/>
      <c r="H53" s="159"/>
      <c r="I53" s="159"/>
      <c r="J53" s="159"/>
      <c r="K53" s="159"/>
      <c r="L53" s="159"/>
      <c r="M53" s="159"/>
      <c r="N53" s="159"/>
      <c r="O53" s="159"/>
      <c r="P53" s="159"/>
      <c r="Q53" s="159"/>
      <c r="R53" s="159"/>
      <c r="S53" s="159"/>
      <c r="T53" s="159"/>
    </row>
    <row r="54" spans="3:20" x14ac:dyDescent="0.2">
      <c r="C54" s="159"/>
      <c r="D54" s="159"/>
      <c r="E54" s="159"/>
      <c r="F54" s="159"/>
      <c r="G54" s="159"/>
      <c r="H54" s="159"/>
      <c r="I54" s="159"/>
      <c r="J54" s="159"/>
      <c r="K54" s="159"/>
      <c r="L54" s="159"/>
      <c r="M54" s="159"/>
      <c r="N54" s="159"/>
      <c r="O54" s="159"/>
      <c r="P54" s="159"/>
      <c r="Q54" s="159"/>
      <c r="R54" s="159"/>
      <c r="S54" s="159"/>
      <c r="T54" s="159"/>
    </row>
    <row r="55" spans="3:20" x14ac:dyDescent="0.2">
      <c r="C55" s="159"/>
      <c r="D55" s="159"/>
      <c r="E55" s="159"/>
      <c r="F55" s="159"/>
      <c r="G55" s="159"/>
      <c r="H55" s="159"/>
      <c r="I55" s="159"/>
      <c r="J55" s="159"/>
      <c r="K55" s="159"/>
      <c r="L55" s="159"/>
      <c r="M55" s="159"/>
      <c r="N55" s="159"/>
      <c r="O55" s="159"/>
      <c r="P55" s="159"/>
      <c r="Q55" s="159"/>
      <c r="R55" s="159"/>
      <c r="S55" s="159"/>
      <c r="T55" s="159"/>
    </row>
    <row r="56" spans="3:20" x14ac:dyDescent="0.2">
      <c r="C56" s="159"/>
      <c r="D56" s="159"/>
      <c r="E56" s="159"/>
      <c r="F56" s="159"/>
      <c r="G56" s="159"/>
      <c r="H56" s="159"/>
      <c r="I56" s="159"/>
      <c r="J56" s="159"/>
      <c r="K56" s="159"/>
      <c r="L56" s="159"/>
      <c r="M56" s="159"/>
      <c r="N56" s="159"/>
      <c r="O56" s="159"/>
      <c r="P56" s="159"/>
      <c r="Q56" s="159"/>
      <c r="R56" s="159"/>
      <c r="S56" s="159"/>
      <c r="T56" s="159"/>
    </row>
    <row r="57" spans="3:20" x14ac:dyDescent="0.2">
      <c r="C57" s="159"/>
      <c r="D57" s="159"/>
      <c r="E57" s="159"/>
      <c r="F57" s="159"/>
      <c r="G57" s="159"/>
      <c r="H57" s="159"/>
      <c r="I57" s="159"/>
      <c r="J57" s="159"/>
      <c r="K57" s="159"/>
      <c r="L57" s="159"/>
      <c r="M57" s="159"/>
      <c r="N57" s="159"/>
      <c r="O57" s="159"/>
      <c r="P57" s="159"/>
      <c r="Q57" s="159"/>
      <c r="R57" s="159"/>
      <c r="S57" s="159"/>
      <c r="T57" s="159"/>
    </row>
    <row r="58" spans="3:20" x14ac:dyDescent="0.2">
      <c r="C58" s="159"/>
      <c r="D58" s="159"/>
      <c r="E58" s="159"/>
      <c r="F58" s="159"/>
      <c r="G58" s="159"/>
      <c r="H58" s="159"/>
      <c r="I58" s="159"/>
      <c r="J58" s="159"/>
      <c r="K58" s="159"/>
      <c r="L58" s="159"/>
      <c r="M58" s="159"/>
      <c r="N58" s="159"/>
      <c r="O58" s="159"/>
      <c r="P58" s="159"/>
      <c r="Q58" s="159"/>
      <c r="R58" s="159"/>
      <c r="S58" s="159"/>
      <c r="T58" s="159"/>
    </row>
    <row r="59" spans="3:20" x14ac:dyDescent="0.2">
      <c r="C59" s="159"/>
      <c r="D59" s="159"/>
      <c r="E59" s="159"/>
      <c r="F59" s="159"/>
      <c r="G59" s="159"/>
      <c r="H59" s="159"/>
      <c r="I59" s="159"/>
      <c r="J59" s="159"/>
      <c r="K59" s="159"/>
      <c r="L59" s="159"/>
      <c r="M59" s="159"/>
      <c r="N59" s="159"/>
      <c r="O59" s="159"/>
      <c r="P59" s="159"/>
      <c r="Q59" s="159"/>
      <c r="R59" s="159"/>
      <c r="S59" s="159"/>
      <c r="T59" s="159"/>
    </row>
    <row r="60" spans="3:20" x14ac:dyDescent="0.2">
      <c r="C60" s="159"/>
      <c r="D60" s="159"/>
      <c r="E60" s="159"/>
      <c r="F60" s="159"/>
      <c r="G60" s="159"/>
      <c r="H60" s="159"/>
      <c r="I60" s="159"/>
      <c r="J60" s="159"/>
      <c r="K60" s="159"/>
      <c r="L60" s="159"/>
      <c r="M60" s="159"/>
      <c r="N60" s="159"/>
      <c r="O60" s="159"/>
      <c r="P60" s="159"/>
      <c r="Q60" s="159"/>
      <c r="R60" s="159"/>
      <c r="S60" s="159"/>
      <c r="T60" s="159"/>
    </row>
    <row r="61" spans="3:20" x14ac:dyDescent="0.2">
      <c r="C61" s="159"/>
      <c r="D61" s="159"/>
      <c r="E61" s="159"/>
      <c r="F61" s="159"/>
      <c r="G61" s="159"/>
      <c r="H61" s="159"/>
      <c r="I61" s="159"/>
      <c r="J61" s="159"/>
      <c r="K61" s="159"/>
      <c r="L61" s="159"/>
      <c r="M61" s="159"/>
      <c r="N61" s="159"/>
      <c r="O61" s="159"/>
      <c r="P61" s="159"/>
      <c r="Q61" s="159"/>
      <c r="R61" s="159"/>
      <c r="S61" s="159"/>
      <c r="T61" s="159"/>
    </row>
    <row r="62" spans="3:20" x14ac:dyDescent="0.2">
      <c r="C62" s="159"/>
      <c r="D62" s="159"/>
      <c r="E62" s="159"/>
      <c r="F62" s="159"/>
      <c r="G62" s="159"/>
      <c r="H62" s="159"/>
      <c r="I62" s="159"/>
      <c r="J62" s="159"/>
      <c r="K62" s="159"/>
      <c r="L62" s="159"/>
      <c r="M62" s="159"/>
      <c r="N62" s="159"/>
      <c r="O62" s="159"/>
      <c r="P62" s="159"/>
      <c r="Q62" s="159"/>
      <c r="R62" s="159"/>
      <c r="S62" s="159"/>
      <c r="T62" s="159"/>
    </row>
    <row r="63" spans="3:20" x14ac:dyDescent="0.2">
      <c r="C63" s="159"/>
      <c r="D63" s="159"/>
      <c r="E63" s="159"/>
      <c r="F63" s="159"/>
      <c r="G63" s="159"/>
      <c r="H63" s="159"/>
      <c r="I63" s="159"/>
      <c r="J63" s="159"/>
      <c r="K63" s="159"/>
      <c r="L63" s="159"/>
      <c r="M63" s="159"/>
      <c r="N63" s="159"/>
      <c r="O63" s="159"/>
      <c r="P63" s="159"/>
      <c r="Q63" s="159"/>
      <c r="R63" s="159"/>
      <c r="S63" s="159"/>
      <c r="T63" s="159"/>
    </row>
    <row r="64" spans="3:20" x14ac:dyDescent="0.2">
      <c r="C64" s="159"/>
      <c r="D64" s="159"/>
      <c r="E64" s="159"/>
      <c r="F64" s="159"/>
      <c r="G64" s="159"/>
      <c r="H64" s="159"/>
      <c r="I64" s="159"/>
      <c r="J64" s="159"/>
      <c r="K64" s="159"/>
      <c r="L64" s="159"/>
      <c r="M64" s="159"/>
      <c r="N64" s="159"/>
      <c r="O64" s="159"/>
      <c r="P64" s="159"/>
      <c r="Q64" s="159"/>
      <c r="R64" s="159"/>
      <c r="S64" s="159"/>
      <c r="T64" s="159"/>
    </row>
  </sheetData>
  <sheetProtection selectLockedCells="1"/>
  <mergeCells count="3">
    <mergeCell ref="C47:T64"/>
    <mergeCell ref="C3:T20"/>
    <mergeCell ref="C24:T41"/>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P128"/>
  <sheetViews>
    <sheetView showGridLines="0" topLeftCell="A2" zoomScaleNormal="100" workbookViewId="0">
      <selection activeCell="H4" sqref="H4"/>
    </sheetView>
  </sheetViews>
  <sheetFormatPr baseColWidth="10" defaultColWidth="11.5" defaultRowHeight="15" x14ac:dyDescent="0.2"/>
  <cols>
    <col min="1" max="1" width="20.33203125" customWidth="1"/>
    <col min="2" max="2" width="12.83203125" customWidth="1"/>
    <col min="3" max="3" width="14.5" customWidth="1"/>
    <col min="4" max="4" width="14.6640625" bestFit="1" customWidth="1"/>
    <col min="5" max="5" width="14" bestFit="1" customWidth="1"/>
    <col min="6" max="6" width="16.33203125" bestFit="1" customWidth="1"/>
    <col min="7" max="8" width="13.33203125" bestFit="1" customWidth="1"/>
    <col min="9" max="256" width="8.83203125" customWidth="1"/>
  </cols>
  <sheetData>
    <row r="3" spans="1:16" x14ac:dyDescent="0.2">
      <c r="A3" s="133" t="s">
        <v>62</v>
      </c>
      <c r="B3" s="168" t="s">
        <v>90</v>
      </c>
      <c r="C3" s="168"/>
      <c r="D3" s="168"/>
      <c r="E3" s="169"/>
      <c r="H3" s="133" t="s">
        <v>95</v>
      </c>
      <c r="I3" s="45"/>
      <c r="J3" s="45"/>
      <c r="K3" s="45"/>
      <c r="L3" s="45"/>
      <c r="M3" s="45"/>
      <c r="N3" s="45"/>
      <c r="O3" s="45"/>
      <c r="P3" s="47"/>
    </row>
    <row r="4" spans="1:16" x14ac:dyDescent="0.2">
      <c r="A4" s="133" t="s">
        <v>54</v>
      </c>
      <c r="B4" s="170" t="s">
        <v>91</v>
      </c>
      <c r="C4" s="170"/>
      <c r="D4" s="170"/>
      <c r="E4" s="171"/>
      <c r="H4" s="140" t="s">
        <v>96</v>
      </c>
      <c r="I4" s="136"/>
      <c r="J4" s="136"/>
      <c r="K4" s="136"/>
      <c r="L4" s="136"/>
      <c r="M4" s="136"/>
      <c r="N4" s="136"/>
      <c r="O4" s="136"/>
      <c r="P4" s="47"/>
    </row>
    <row r="5" spans="1:16" x14ac:dyDescent="0.2">
      <c r="A5" s="94" t="s">
        <v>55</v>
      </c>
      <c r="B5" s="164" t="s">
        <v>92</v>
      </c>
      <c r="C5" s="164"/>
      <c r="D5" s="164"/>
      <c r="E5" s="165"/>
      <c r="H5" s="141" t="s">
        <v>99</v>
      </c>
      <c r="I5" s="77"/>
      <c r="J5" s="77"/>
      <c r="K5" s="77"/>
      <c r="L5" s="77"/>
      <c r="M5" s="77"/>
      <c r="N5" s="77"/>
      <c r="O5" s="77"/>
      <c r="P5" s="48"/>
    </row>
    <row r="6" spans="1:16" x14ac:dyDescent="0.2">
      <c r="A6" s="94" t="s">
        <v>57</v>
      </c>
      <c r="B6" s="164" t="s">
        <v>93</v>
      </c>
      <c r="C6" s="164"/>
      <c r="D6" s="164"/>
      <c r="E6" s="165"/>
      <c r="H6" s="141" t="s">
        <v>97</v>
      </c>
      <c r="I6" s="77"/>
      <c r="J6" s="77"/>
      <c r="K6" s="77"/>
      <c r="L6" s="77"/>
      <c r="M6" s="77"/>
      <c r="N6" s="77"/>
      <c r="O6" s="77"/>
      <c r="P6" s="48"/>
    </row>
    <row r="7" spans="1:16" x14ac:dyDescent="0.2">
      <c r="A7" s="94" t="s">
        <v>58</v>
      </c>
      <c r="B7" s="164" t="s">
        <v>94</v>
      </c>
      <c r="C7" s="164"/>
      <c r="D7" s="164"/>
      <c r="E7" s="165"/>
      <c r="H7" s="141" t="s">
        <v>98</v>
      </c>
      <c r="I7" s="77"/>
      <c r="J7" s="77"/>
      <c r="K7" s="77"/>
      <c r="L7" s="77"/>
      <c r="M7" s="77"/>
      <c r="N7" s="77"/>
      <c r="O7" s="77"/>
      <c r="P7" s="48"/>
    </row>
    <row r="8" spans="1:16" x14ac:dyDescent="0.2">
      <c r="A8" s="94" t="s">
        <v>63</v>
      </c>
      <c r="B8" s="164" t="s">
        <v>103</v>
      </c>
      <c r="C8" s="164"/>
      <c r="D8" s="164"/>
      <c r="E8" s="165"/>
      <c r="H8" s="141" t="s">
        <v>100</v>
      </c>
      <c r="I8" s="77"/>
      <c r="J8" s="77"/>
      <c r="K8" s="77"/>
      <c r="L8" s="77"/>
      <c r="M8" s="77"/>
      <c r="N8" s="77"/>
      <c r="O8" s="77"/>
      <c r="P8" s="48"/>
    </row>
    <row r="9" spans="1:16" x14ac:dyDescent="0.2">
      <c r="A9" s="94" t="s">
        <v>64</v>
      </c>
      <c r="B9" s="164" t="s">
        <v>104</v>
      </c>
      <c r="C9" s="164"/>
      <c r="D9" s="164"/>
      <c r="E9" s="165"/>
      <c r="H9" s="141" t="s">
        <v>101</v>
      </c>
      <c r="I9" s="77"/>
      <c r="J9" s="77"/>
      <c r="K9" s="77"/>
      <c r="L9" s="77"/>
      <c r="M9" s="77"/>
      <c r="N9" s="77"/>
      <c r="O9" s="77"/>
      <c r="P9" s="48"/>
    </row>
    <row r="10" spans="1:16" x14ac:dyDescent="0.2">
      <c r="A10" s="94" t="s">
        <v>65</v>
      </c>
      <c r="B10" s="164" t="s">
        <v>105</v>
      </c>
      <c r="C10" s="164"/>
      <c r="D10" s="164"/>
      <c r="E10" s="165"/>
      <c r="H10" s="142" t="s">
        <v>102</v>
      </c>
      <c r="I10" s="135"/>
      <c r="J10" s="135"/>
      <c r="K10" s="135"/>
      <c r="L10" s="135"/>
      <c r="M10" s="135"/>
      <c r="N10" s="135"/>
      <c r="O10" s="135"/>
      <c r="P10" s="74"/>
    </row>
    <row r="11" spans="1:16" x14ac:dyDescent="0.2">
      <c r="A11" s="94" t="s">
        <v>66</v>
      </c>
      <c r="B11" s="164" t="s">
        <v>106</v>
      </c>
      <c r="C11" s="164"/>
      <c r="D11" s="164"/>
      <c r="E11" s="165"/>
    </row>
    <row r="12" spans="1:16" ht="16" x14ac:dyDescent="0.2">
      <c r="A12" s="134" t="s">
        <v>67</v>
      </c>
      <c r="B12" s="166" t="s">
        <v>107</v>
      </c>
      <c r="C12" s="166"/>
      <c r="D12" s="166"/>
      <c r="E12" s="167"/>
      <c r="H12" s="143" t="s">
        <v>111</v>
      </c>
    </row>
    <row r="13" spans="1:16" ht="16" x14ac:dyDescent="0.2">
      <c r="H13" s="144" t="s">
        <v>115</v>
      </c>
    </row>
    <row r="14" spans="1:16" ht="16" x14ac:dyDescent="0.2">
      <c r="A14" t="s">
        <v>54</v>
      </c>
      <c r="H14" s="144" t="s">
        <v>116</v>
      </c>
    </row>
    <row r="15" spans="1:16" ht="16" x14ac:dyDescent="0.2">
      <c r="A15" t="s">
        <v>23</v>
      </c>
      <c r="B15" s="88" t="s">
        <v>59</v>
      </c>
      <c r="C15" s="88" t="s">
        <v>60</v>
      </c>
      <c r="D15" s="88" t="s">
        <v>61</v>
      </c>
      <c r="H15" s="144" t="s">
        <v>117</v>
      </c>
    </row>
    <row r="16" spans="1:16" ht="16" x14ac:dyDescent="0.2">
      <c r="A16" t="s">
        <v>32</v>
      </c>
      <c r="B16" s="89">
        <v>20</v>
      </c>
      <c r="C16" s="89">
        <v>10</v>
      </c>
      <c r="D16" s="89">
        <f>B16/C16</f>
        <v>2</v>
      </c>
      <c r="H16" s="144" t="s">
        <v>114</v>
      </c>
    </row>
    <row r="17" spans="1:10" x14ac:dyDescent="0.2">
      <c r="A17" t="s">
        <v>31</v>
      </c>
      <c r="B17" s="89">
        <v>40</v>
      </c>
      <c r="C17" s="89">
        <v>10</v>
      </c>
      <c r="D17" s="89">
        <f>B17/C17</f>
        <v>4</v>
      </c>
    </row>
    <row r="18" spans="1:10" x14ac:dyDescent="0.2">
      <c r="A18" t="s">
        <v>33</v>
      </c>
      <c r="B18" s="89">
        <v>30</v>
      </c>
      <c r="C18" s="89">
        <v>10</v>
      </c>
      <c r="D18" s="89">
        <f>B18/C18</f>
        <v>3</v>
      </c>
    </row>
    <row r="20" spans="1:10" x14ac:dyDescent="0.2">
      <c r="A20" s="57"/>
      <c r="B20" s="57"/>
      <c r="C20" s="57"/>
      <c r="D20" s="57"/>
      <c r="E20" s="57"/>
      <c r="F20" s="57"/>
      <c r="G20" s="57"/>
      <c r="H20" s="57"/>
      <c r="I20" s="57"/>
      <c r="J20" s="57"/>
    </row>
    <row r="21" spans="1:10" x14ac:dyDescent="0.2">
      <c r="A21" t="s">
        <v>55</v>
      </c>
      <c r="B21" s="160" t="s">
        <v>32</v>
      </c>
      <c r="C21" s="161"/>
      <c r="D21" s="160" t="s">
        <v>31</v>
      </c>
      <c r="E21" s="161"/>
      <c r="F21" s="160" t="s">
        <v>33</v>
      </c>
      <c r="G21" s="161"/>
    </row>
    <row r="22" spans="1:10" x14ac:dyDescent="0.2">
      <c r="A22" t="s">
        <v>52</v>
      </c>
      <c r="B22" s="46" t="s">
        <v>74</v>
      </c>
      <c r="C22" s="48" t="s">
        <v>75</v>
      </c>
      <c r="D22" s="46" t="s">
        <v>76</v>
      </c>
      <c r="E22" s="48" t="s">
        <v>77</v>
      </c>
      <c r="F22" s="46" t="s">
        <v>78</v>
      </c>
      <c r="G22" s="48" t="s">
        <v>79</v>
      </c>
    </row>
    <row r="23" spans="1:10" x14ac:dyDescent="0.2">
      <c r="A23" t="s">
        <v>69</v>
      </c>
      <c r="B23" s="100">
        <v>13</v>
      </c>
      <c r="C23" s="101">
        <v>20</v>
      </c>
      <c r="D23" s="100">
        <v>29</v>
      </c>
      <c r="E23" s="101">
        <v>40</v>
      </c>
      <c r="F23" s="100">
        <v>17</v>
      </c>
      <c r="G23" s="101">
        <v>30</v>
      </c>
    </row>
    <row r="24" spans="1:10" x14ac:dyDescent="0.2">
      <c r="A24" t="s">
        <v>72</v>
      </c>
      <c r="B24" s="99">
        <f>AVERAGE(Colleges!D8:D20)</f>
        <v>84446.544831639942</v>
      </c>
      <c r="C24" s="109">
        <f>SUBTOTAL(101,Table1[Contribution margin])</f>
        <v>30499.215104809999</v>
      </c>
      <c r="D24" s="99">
        <f>AVERAGE(Offices!D8:D36)</f>
        <v>83525.172413793101</v>
      </c>
      <c r="E24" s="105">
        <v>50481.7</v>
      </c>
      <c r="F24" s="99">
        <f>AVERAGE(Malls!D8:D24)</f>
        <v>107874.4705882353</v>
      </c>
      <c r="G24" s="107">
        <v>17176.533333333333</v>
      </c>
    </row>
    <row r="25" spans="1:10" x14ac:dyDescent="0.2">
      <c r="A25" t="s">
        <v>73</v>
      </c>
      <c r="B25" s="99">
        <f>SUM(Colleges!D8:D20)</f>
        <v>1097805.0828113193</v>
      </c>
      <c r="C25" s="102">
        <f>SUM(Table1[Contribution margin])</f>
        <v>609984.30209619994</v>
      </c>
      <c r="D25" s="99">
        <f>SUM(Offices!D8:D36)</f>
        <v>2422230</v>
      </c>
      <c r="E25" s="105">
        <v>86703.78571428571</v>
      </c>
      <c r="F25" s="99">
        <f>SUM(Malls!D8:D24)</f>
        <v>1833866</v>
      </c>
      <c r="G25" s="107">
        <v>515296</v>
      </c>
    </row>
    <row r="26" spans="1:10" x14ac:dyDescent="0.2">
      <c r="A26" t="s">
        <v>70</v>
      </c>
      <c r="B26" s="99">
        <f>AVERAGE(Colleges!E8:E20)</f>
        <v>534828.11726705241</v>
      </c>
      <c r="C26" s="109">
        <f>SUBTOTAL(101,Table1[CLV])</f>
        <v>193161.69566379642</v>
      </c>
      <c r="D26" s="99">
        <f>AVERAGE(Offices!E8:E36)</f>
        <v>528992.75862068939</v>
      </c>
      <c r="E26" s="105">
        <v>319717.43333333312</v>
      </c>
      <c r="F26" s="99">
        <f>AVERAGE(Malls!E8:E24)</f>
        <v>683204.98039215617</v>
      </c>
      <c r="G26" s="107">
        <v>108784.7111111111</v>
      </c>
    </row>
    <row r="27" spans="1:10" x14ac:dyDescent="0.2">
      <c r="A27" t="s">
        <v>71</v>
      </c>
      <c r="B27" s="103">
        <f>SUM(Colleges!E8:E20)</f>
        <v>6952765.5244716816</v>
      </c>
      <c r="C27" s="104">
        <f>SUM(Table1[CLV])</f>
        <v>3863233.9132759282</v>
      </c>
      <c r="D27" s="103">
        <f>SUM(Offices!E8:E36)</f>
        <v>15340789.999999991</v>
      </c>
      <c r="E27" s="106">
        <v>12788697</v>
      </c>
      <c r="F27" s="103">
        <f>SUM(Malls!E8:E24)</f>
        <v>11614484.666666655</v>
      </c>
      <c r="G27" s="108">
        <v>3263541.333333333</v>
      </c>
    </row>
    <row r="28" spans="1:10" x14ac:dyDescent="0.2">
      <c r="B28" s="95"/>
      <c r="C28" s="97"/>
      <c r="D28" s="95"/>
      <c r="E28" s="96"/>
      <c r="F28" s="95"/>
      <c r="G28" s="98"/>
    </row>
    <row r="30" spans="1:10" x14ac:dyDescent="0.2">
      <c r="A30" t="s">
        <v>57</v>
      </c>
      <c r="B30" s="160" t="s">
        <v>32</v>
      </c>
      <c r="C30" s="161"/>
      <c r="D30" s="160" t="s">
        <v>31</v>
      </c>
      <c r="E30" s="161"/>
      <c r="F30" s="160" t="s">
        <v>33</v>
      </c>
      <c r="G30" s="161"/>
    </row>
    <row r="31" spans="1:10" ht="16" x14ac:dyDescent="0.2">
      <c r="A31" s="82" t="s">
        <v>53</v>
      </c>
      <c r="B31" t="s">
        <v>80</v>
      </c>
      <c r="C31" t="s">
        <v>81</v>
      </c>
      <c r="D31" t="s">
        <v>82</v>
      </c>
      <c r="E31" t="s">
        <v>83</v>
      </c>
      <c r="F31" t="s">
        <v>84</v>
      </c>
      <c r="G31" t="s">
        <v>85</v>
      </c>
    </row>
    <row r="32" spans="1:10" x14ac:dyDescent="0.2">
      <c r="A32" s="77" t="s">
        <v>68</v>
      </c>
      <c r="B32" s="12">
        <f>B24</f>
        <v>84446.544831639942</v>
      </c>
      <c r="C32" s="12">
        <v>30499.215104809999</v>
      </c>
      <c r="D32" s="17">
        <f>D24</f>
        <v>83525.172413793101</v>
      </c>
      <c r="E32" s="17">
        <v>50481.7</v>
      </c>
      <c r="F32" s="17">
        <f>F24</f>
        <v>107874.4705882353</v>
      </c>
      <c r="G32" s="12">
        <v>17176.533333333333</v>
      </c>
    </row>
    <row r="33" spans="1:10" x14ac:dyDescent="0.2">
      <c r="A33" s="77" t="s">
        <v>16</v>
      </c>
      <c r="B33" s="12">
        <f>B26</f>
        <v>534828.11726705241</v>
      </c>
      <c r="C33" s="12">
        <v>193161.69566379642</v>
      </c>
      <c r="D33" s="17">
        <f>D26</f>
        <v>528992.75862068939</v>
      </c>
      <c r="E33" s="17">
        <v>319717.43333333312</v>
      </c>
      <c r="F33" s="17">
        <f>F26</f>
        <v>683204.98039215617</v>
      </c>
      <c r="G33" s="12">
        <v>108784.7111111111</v>
      </c>
    </row>
    <row r="34" spans="1:10" x14ac:dyDescent="0.2">
      <c r="A34" s="77" t="s">
        <v>17</v>
      </c>
      <c r="B34" s="36">
        <v>0.15</v>
      </c>
      <c r="C34" s="36">
        <v>0.15</v>
      </c>
      <c r="D34" s="36">
        <v>0.15</v>
      </c>
      <c r="E34" s="36">
        <v>0.15</v>
      </c>
      <c r="F34" s="36">
        <v>0.15</v>
      </c>
      <c r="G34" s="36">
        <v>0.15</v>
      </c>
    </row>
    <row r="35" spans="1:10" x14ac:dyDescent="0.2">
      <c r="A35" s="77" t="s">
        <v>18</v>
      </c>
      <c r="B35" s="50">
        <v>100000</v>
      </c>
      <c r="C35" s="50">
        <v>100000</v>
      </c>
      <c r="D35" s="50">
        <v>100000</v>
      </c>
      <c r="E35" s="50">
        <v>100000</v>
      </c>
      <c r="F35" s="50">
        <v>100000</v>
      </c>
      <c r="G35" s="50">
        <v>100000</v>
      </c>
    </row>
    <row r="36" spans="1:10" x14ac:dyDescent="0.2">
      <c r="A36" s="80" t="s">
        <v>19</v>
      </c>
      <c r="B36" s="83">
        <f>B34*(B32+B33)-B35</f>
        <v>-7108.80068519614</v>
      </c>
      <c r="C36" s="83">
        <v>-66450.863384709039</v>
      </c>
      <c r="D36" s="83">
        <f>D34*(D32+D33)-D35</f>
        <v>-8122.3103448276233</v>
      </c>
      <c r="E36" s="83">
        <v>-44470.13</v>
      </c>
      <c r="F36" s="131">
        <f>F34*(F32+F33)-F35</f>
        <v>18661.917647058712</v>
      </c>
      <c r="G36" s="83">
        <v>-81105.813333333295</v>
      </c>
    </row>
    <row r="39" spans="1:10" s="25" customFormat="1" x14ac:dyDescent="0.2">
      <c r="A39" s="25" t="s">
        <v>86</v>
      </c>
      <c r="E39" s="25" t="s">
        <v>87</v>
      </c>
      <c r="J39" s="25" t="s">
        <v>88</v>
      </c>
    </row>
    <row r="57" spans="1:10" x14ac:dyDescent="0.2">
      <c r="A57" s="25" t="s">
        <v>58</v>
      </c>
      <c r="J57" s="25" t="s">
        <v>108</v>
      </c>
    </row>
    <row r="58" spans="1:10" ht="48" x14ac:dyDescent="0.2">
      <c r="A58" t="s">
        <v>23</v>
      </c>
      <c r="B58" t="s">
        <v>24</v>
      </c>
      <c r="C58" s="54" t="s">
        <v>25</v>
      </c>
      <c r="D58" s="54" t="s">
        <v>26</v>
      </c>
      <c r="E58" t="s">
        <v>27</v>
      </c>
      <c r="F58" t="s">
        <v>28</v>
      </c>
      <c r="G58" t="s">
        <v>29</v>
      </c>
      <c r="H58" t="s">
        <v>30</v>
      </c>
    </row>
    <row r="59" spans="1:10" x14ac:dyDescent="0.2">
      <c r="A59" t="s">
        <v>32</v>
      </c>
      <c r="B59">
        <f>100-TRUNC(D59*4/10000,0)</f>
        <v>26</v>
      </c>
      <c r="C59" s="44">
        <f>SUBTOTAL(101,Table1[Annual expenses
])</f>
        <v>169500.78489518998</v>
      </c>
      <c r="D59" s="44">
        <v>185000</v>
      </c>
      <c r="E59" s="50">
        <v>500000</v>
      </c>
      <c r="F59" s="50">
        <f t="shared" ref="F59:F72" si="0">D59*B59</f>
        <v>4810000</v>
      </c>
      <c r="G59" s="50">
        <f t="shared" ref="G59:G72" si="1">E59+(C59*B59)</f>
        <v>4907020.4072749391</v>
      </c>
      <c r="H59" s="52">
        <f>F59-G59</f>
        <v>-97020.40727493912</v>
      </c>
    </row>
    <row r="60" spans="1:10" x14ac:dyDescent="0.2">
      <c r="A60" t="s">
        <v>32</v>
      </c>
      <c r="B60">
        <f t="shared" ref="B60:B72" si="2">100-TRUNC(D60*4/10000,0)</f>
        <v>24</v>
      </c>
      <c r="C60" s="44">
        <f>SUBTOTAL(101,Table1[Annual expenses
])</f>
        <v>169500.78489518998</v>
      </c>
      <c r="D60" s="44">
        <v>190000</v>
      </c>
      <c r="E60" s="50">
        <v>500000</v>
      </c>
      <c r="F60" s="50">
        <f t="shared" si="0"/>
        <v>4560000</v>
      </c>
      <c r="G60" s="50">
        <f t="shared" si="1"/>
        <v>4568018.837484559</v>
      </c>
      <c r="H60" s="52">
        <f t="shared" ref="H60:H72" si="3">F60-G60</f>
        <v>-8018.8374845590442</v>
      </c>
    </row>
    <row r="61" spans="1:10" x14ac:dyDescent="0.2">
      <c r="A61" t="s">
        <v>32</v>
      </c>
      <c r="B61">
        <f t="shared" si="2"/>
        <v>22</v>
      </c>
      <c r="C61" s="44">
        <f>SUBTOTAL(101,Table1[Annual expenses
])</f>
        <v>169500.78489518998</v>
      </c>
      <c r="D61" s="44">
        <v>195000</v>
      </c>
      <c r="E61" s="50">
        <v>500000</v>
      </c>
      <c r="F61" s="50">
        <f t="shared" si="0"/>
        <v>4290000</v>
      </c>
      <c r="G61" s="50">
        <f t="shared" si="1"/>
        <v>4229017.267694179</v>
      </c>
      <c r="H61" s="52">
        <f t="shared" si="3"/>
        <v>60982.732305821031</v>
      </c>
    </row>
    <row r="62" spans="1:10" x14ac:dyDescent="0.2">
      <c r="A62" t="s">
        <v>32</v>
      </c>
      <c r="B62">
        <f t="shared" si="2"/>
        <v>20</v>
      </c>
      <c r="C62" s="44">
        <f>SUBTOTAL(101,Table1[Annual expenses
])</f>
        <v>169500.78489518998</v>
      </c>
      <c r="D62" s="44">
        <v>200000</v>
      </c>
      <c r="E62" s="50">
        <v>500000</v>
      </c>
      <c r="F62" s="50">
        <f t="shared" si="0"/>
        <v>4000000</v>
      </c>
      <c r="G62" s="50">
        <f t="shared" si="1"/>
        <v>3890015.6979037998</v>
      </c>
      <c r="H62" s="52">
        <f t="shared" si="3"/>
        <v>109984.30209620018</v>
      </c>
    </row>
    <row r="63" spans="1:10" x14ac:dyDescent="0.2">
      <c r="A63" t="s">
        <v>32</v>
      </c>
      <c r="B63">
        <f t="shared" si="2"/>
        <v>18</v>
      </c>
      <c r="C63" s="44">
        <f>SUBTOTAL(101,Table1[Annual expenses
])</f>
        <v>169500.78489518998</v>
      </c>
      <c r="D63" s="44">
        <v>205000</v>
      </c>
      <c r="E63" s="50">
        <v>500000</v>
      </c>
      <c r="F63" s="50">
        <f t="shared" si="0"/>
        <v>3690000</v>
      </c>
      <c r="G63" s="50">
        <f t="shared" si="1"/>
        <v>3551014.1281134197</v>
      </c>
      <c r="H63" s="52">
        <f t="shared" si="3"/>
        <v>138985.87188658025</v>
      </c>
    </row>
    <row r="64" spans="1:10" x14ac:dyDescent="0.2">
      <c r="A64" t="s">
        <v>32</v>
      </c>
      <c r="B64">
        <f t="shared" si="2"/>
        <v>16</v>
      </c>
      <c r="C64" s="44">
        <f>SUBTOTAL(101,Table1[Annual expenses
])</f>
        <v>169500.78489518998</v>
      </c>
      <c r="D64" s="44">
        <v>210000</v>
      </c>
      <c r="E64" s="50">
        <v>500000</v>
      </c>
      <c r="F64" s="50">
        <f t="shared" si="0"/>
        <v>3360000</v>
      </c>
      <c r="G64" s="50">
        <f t="shared" si="1"/>
        <v>3212012.5583230397</v>
      </c>
      <c r="H64" s="53">
        <f t="shared" si="3"/>
        <v>147987.44167696033</v>
      </c>
    </row>
    <row r="65" spans="1:10" x14ac:dyDescent="0.2">
      <c r="A65" t="s">
        <v>32</v>
      </c>
      <c r="B65">
        <f t="shared" si="2"/>
        <v>14</v>
      </c>
      <c r="C65" s="44">
        <f>SUBTOTAL(101,Table1[Annual expenses
])</f>
        <v>169500.78489518998</v>
      </c>
      <c r="D65" s="44">
        <v>215000</v>
      </c>
      <c r="E65" s="50">
        <v>500000</v>
      </c>
      <c r="F65" s="50">
        <f t="shared" si="0"/>
        <v>3010000</v>
      </c>
      <c r="G65" s="50">
        <f t="shared" si="1"/>
        <v>2873010.9885326596</v>
      </c>
      <c r="H65" s="53">
        <f t="shared" si="3"/>
        <v>136989.0114673404</v>
      </c>
    </row>
    <row r="66" spans="1:10" x14ac:dyDescent="0.2">
      <c r="A66" t="s">
        <v>32</v>
      </c>
      <c r="B66">
        <f t="shared" si="2"/>
        <v>12</v>
      </c>
      <c r="C66" s="44">
        <f>SUBTOTAL(101,Table1[Annual expenses
])</f>
        <v>169500.78489518998</v>
      </c>
      <c r="D66" s="44">
        <v>220000</v>
      </c>
      <c r="E66" s="50">
        <v>500000</v>
      </c>
      <c r="F66" s="50">
        <f t="shared" si="0"/>
        <v>2640000</v>
      </c>
      <c r="G66" s="50">
        <f t="shared" si="1"/>
        <v>2534009.4187422795</v>
      </c>
      <c r="H66" s="52">
        <f t="shared" si="3"/>
        <v>105990.58125772048</v>
      </c>
    </row>
    <row r="67" spans="1:10" x14ac:dyDescent="0.2">
      <c r="A67" t="s">
        <v>32</v>
      </c>
      <c r="B67">
        <f t="shared" si="2"/>
        <v>10</v>
      </c>
      <c r="C67" s="44">
        <f>SUBTOTAL(101,Table1[Annual expenses
])</f>
        <v>169500.78489518998</v>
      </c>
      <c r="D67" s="44">
        <v>225000</v>
      </c>
      <c r="E67" s="50">
        <v>500000</v>
      </c>
      <c r="F67" s="50">
        <f t="shared" si="0"/>
        <v>2250000</v>
      </c>
      <c r="G67" s="50">
        <f t="shared" si="1"/>
        <v>2195007.8489518999</v>
      </c>
      <c r="H67" s="52">
        <f t="shared" si="3"/>
        <v>54992.151048100088</v>
      </c>
    </row>
    <row r="68" spans="1:10" x14ac:dyDescent="0.2">
      <c r="A68" t="s">
        <v>32</v>
      </c>
      <c r="B68">
        <f t="shared" si="2"/>
        <v>8</v>
      </c>
      <c r="C68" s="44">
        <f>SUBTOTAL(101,Table1[Annual expenses
])</f>
        <v>169500.78489518998</v>
      </c>
      <c r="D68" s="44">
        <v>230000</v>
      </c>
      <c r="E68" s="50">
        <v>500000</v>
      </c>
      <c r="F68" s="50">
        <f t="shared" si="0"/>
        <v>1840000</v>
      </c>
      <c r="G68" s="50">
        <f t="shared" si="1"/>
        <v>1856006.2791615198</v>
      </c>
      <c r="H68" s="52">
        <f t="shared" si="3"/>
        <v>-16006.279161519837</v>
      </c>
    </row>
    <row r="69" spans="1:10" x14ac:dyDescent="0.2">
      <c r="A69" t="s">
        <v>32</v>
      </c>
      <c r="B69">
        <f t="shared" si="2"/>
        <v>6</v>
      </c>
      <c r="C69" s="44">
        <f>SUBTOTAL(101,Table1[Annual expenses
])</f>
        <v>169500.78489518998</v>
      </c>
      <c r="D69" s="44">
        <v>235000</v>
      </c>
      <c r="E69" s="50">
        <v>500000</v>
      </c>
      <c r="F69" s="50">
        <f t="shared" si="0"/>
        <v>1410000</v>
      </c>
      <c r="G69" s="50">
        <f t="shared" si="1"/>
        <v>1517004.7093711398</v>
      </c>
      <c r="H69" s="52">
        <f t="shared" si="3"/>
        <v>-107004.70937113976</v>
      </c>
    </row>
    <row r="70" spans="1:10" x14ac:dyDescent="0.2">
      <c r="A70" t="s">
        <v>32</v>
      </c>
      <c r="B70">
        <f t="shared" si="2"/>
        <v>4</v>
      </c>
      <c r="C70" s="44">
        <f>SUBTOTAL(101,Table1[Annual expenses
])</f>
        <v>169500.78489518998</v>
      </c>
      <c r="D70" s="44">
        <v>240000</v>
      </c>
      <c r="E70" s="50">
        <v>500000</v>
      </c>
      <c r="F70" s="50">
        <f t="shared" si="0"/>
        <v>960000</v>
      </c>
      <c r="G70" s="50">
        <f t="shared" si="1"/>
        <v>1178003.1395807599</v>
      </c>
      <c r="H70" s="52">
        <f t="shared" si="3"/>
        <v>-218003.13958075992</v>
      </c>
    </row>
    <row r="71" spans="1:10" x14ac:dyDescent="0.2">
      <c r="A71" t="s">
        <v>32</v>
      </c>
      <c r="B71">
        <f t="shared" si="2"/>
        <v>2</v>
      </c>
      <c r="C71" s="44">
        <f>SUBTOTAL(101,Table1[Annual expenses
])</f>
        <v>169500.78489518998</v>
      </c>
      <c r="D71" s="44">
        <v>245000</v>
      </c>
      <c r="E71" s="50">
        <v>500000</v>
      </c>
      <c r="F71" s="50">
        <f t="shared" si="0"/>
        <v>490000</v>
      </c>
      <c r="G71" s="50">
        <f t="shared" si="1"/>
        <v>839001.56979037996</v>
      </c>
      <c r="H71" s="52">
        <f t="shared" si="3"/>
        <v>-349001.56979037996</v>
      </c>
    </row>
    <row r="72" spans="1:10" x14ac:dyDescent="0.2">
      <c r="A72" t="s">
        <v>32</v>
      </c>
      <c r="B72">
        <f t="shared" si="2"/>
        <v>0</v>
      </c>
      <c r="C72" s="44">
        <f>SUBTOTAL(101,Table1[Annual expenses
])</f>
        <v>169500.78489518998</v>
      </c>
      <c r="D72" s="44">
        <v>250000</v>
      </c>
      <c r="E72" s="50">
        <v>500000</v>
      </c>
      <c r="F72" s="50">
        <f t="shared" si="0"/>
        <v>0</v>
      </c>
      <c r="G72" s="50">
        <f t="shared" si="1"/>
        <v>500000</v>
      </c>
      <c r="H72" s="52">
        <f t="shared" si="3"/>
        <v>-500000</v>
      </c>
    </row>
    <row r="73" spans="1:10" x14ac:dyDescent="0.2">
      <c r="C73" s="51"/>
      <c r="D73" s="51"/>
      <c r="E73" s="50"/>
      <c r="F73" s="50"/>
      <c r="G73" s="50"/>
      <c r="H73" s="52"/>
    </row>
    <row r="74" spans="1:10" x14ac:dyDescent="0.2">
      <c r="A74" s="25" t="s">
        <v>63</v>
      </c>
      <c r="J74" s="25" t="s">
        <v>109</v>
      </c>
    </row>
    <row r="75" spans="1:10" ht="48" x14ac:dyDescent="0.2">
      <c r="A75" s="48" t="s">
        <v>23</v>
      </c>
      <c r="B75" s="64" t="s">
        <v>24</v>
      </c>
      <c r="C75" s="111" t="s">
        <v>25</v>
      </c>
      <c r="D75" s="111" t="s">
        <v>26</v>
      </c>
      <c r="E75" s="64" t="s">
        <v>27</v>
      </c>
      <c r="F75" s="64" t="s">
        <v>28</v>
      </c>
      <c r="G75" s="64" t="s">
        <v>29</v>
      </c>
      <c r="H75" s="46" t="s">
        <v>30</v>
      </c>
    </row>
    <row r="76" spans="1:10" x14ac:dyDescent="0.2">
      <c r="A76" t="s">
        <v>31</v>
      </c>
      <c r="B76" s="112">
        <f t="shared" ref="B76:B89" si="4">100-(D76*3)/10000</f>
        <v>44.5</v>
      </c>
      <c r="C76" s="44">
        <f>SUBTOTAL(101,Table6[Annual expenses
])</f>
        <v>149518.29999999999</v>
      </c>
      <c r="D76" s="44">
        <v>185000</v>
      </c>
      <c r="E76" s="50">
        <v>500000</v>
      </c>
      <c r="F76" s="50">
        <f t="shared" ref="F76:F89" si="5">D76*B76</f>
        <v>8232500</v>
      </c>
      <c r="G76" s="50">
        <f t="shared" ref="G76:G89" si="6">E76+(C76*B76)</f>
        <v>7153564.3499999996</v>
      </c>
      <c r="H76" s="52">
        <f>F76-G76</f>
        <v>1078935.6500000004</v>
      </c>
    </row>
    <row r="77" spans="1:10" x14ac:dyDescent="0.2">
      <c r="A77" t="s">
        <v>31</v>
      </c>
      <c r="B77" s="112">
        <f t="shared" si="4"/>
        <v>43</v>
      </c>
      <c r="C77" s="44">
        <f>SUBTOTAL(101,Table6[Annual expenses
])</f>
        <v>149518.29999999999</v>
      </c>
      <c r="D77" s="44">
        <v>190000</v>
      </c>
      <c r="E77" s="50">
        <v>500000</v>
      </c>
      <c r="F77" s="50">
        <f t="shared" si="5"/>
        <v>8170000</v>
      </c>
      <c r="G77" s="50">
        <f t="shared" si="6"/>
        <v>6929286.8999999994</v>
      </c>
      <c r="H77" s="52">
        <f t="shared" ref="H77:H89" si="7">F77-G77</f>
        <v>1240713.1000000006</v>
      </c>
    </row>
    <row r="78" spans="1:10" x14ac:dyDescent="0.2">
      <c r="A78" t="s">
        <v>31</v>
      </c>
      <c r="B78" s="112">
        <f t="shared" si="4"/>
        <v>41.5</v>
      </c>
      <c r="C78" s="44">
        <f>SUBTOTAL(101,Table6[Annual expenses
])</f>
        <v>149518.29999999999</v>
      </c>
      <c r="D78" s="44">
        <v>195000</v>
      </c>
      <c r="E78" s="50">
        <v>500000</v>
      </c>
      <c r="F78" s="50">
        <f t="shared" si="5"/>
        <v>8092500</v>
      </c>
      <c r="G78" s="50">
        <f t="shared" si="6"/>
        <v>6705009.4499999993</v>
      </c>
      <c r="H78" s="52">
        <f t="shared" si="7"/>
        <v>1387490.5500000007</v>
      </c>
    </row>
    <row r="79" spans="1:10" x14ac:dyDescent="0.2">
      <c r="A79" t="s">
        <v>31</v>
      </c>
      <c r="B79" s="112">
        <f t="shared" si="4"/>
        <v>40</v>
      </c>
      <c r="C79" s="44">
        <f>SUBTOTAL(101,Table6[Annual expenses
])</f>
        <v>149518.29999999999</v>
      </c>
      <c r="D79" s="44">
        <v>200000</v>
      </c>
      <c r="E79" s="50">
        <v>500000</v>
      </c>
      <c r="F79" s="50">
        <f t="shared" si="5"/>
        <v>8000000</v>
      </c>
      <c r="G79" s="50">
        <f t="shared" si="6"/>
        <v>6480732</v>
      </c>
      <c r="H79" s="52">
        <f t="shared" si="7"/>
        <v>1519268</v>
      </c>
    </row>
    <row r="80" spans="1:10" x14ac:dyDescent="0.2">
      <c r="A80" t="s">
        <v>31</v>
      </c>
      <c r="B80" s="112">
        <f t="shared" si="4"/>
        <v>38.5</v>
      </c>
      <c r="C80" s="44">
        <f>SUBTOTAL(101,Table6[Annual expenses
])</f>
        <v>149518.29999999999</v>
      </c>
      <c r="D80" s="44">
        <v>205000</v>
      </c>
      <c r="E80" s="50">
        <v>500000</v>
      </c>
      <c r="F80" s="50">
        <f t="shared" si="5"/>
        <v>7892500</v>
      </c>
      <c r="G80" s="50">
        <f t="shared" si="6"/>
        <v>6256454.5499999998</v>
      </c>
      <c r="H80" s="52">
        <f t="shared" si="7"/>
        <v>1636045.4500000002</v>
      </c>
    </row>
    <row r="81" spans="1:10" x14ac:dyDescent="0.2">
      <c r="A81" t="s">
        <v>31</v>
      </c>
      <c r="B81" s="112">
        <f t="shared" si="4"/>
        <v>37</v>
      </c>
      <c r="C81" s="44">
        <f>SUBTOTAL(101,Table6[Annual expenses
])</f>
        <v>149518.29999999999</v>
      </c>
      <c r="D81" s="44">
        <v>210000</v>
      </c>
      <c r="E81" s="50">
        <v>500000</v>
      </c>
      <c r="F81" s="50">
        <f t="shared" si="5"/>
        <v>7770000</v>
      </c>
      <c r="G81" s="50">
        <f t="shared" si="6"/>
        <v>6032177.0999999996</v>
      </c>
      <c r="H81" s="52">
        <f t="shared" si="7"/>
        <v>1737822.9000000004</v>
      </c>
    </row>
    <row r="82" spans="1:10" x14ac:dyDescent="0.2">
      <c r="A82" t="s">
        <v>31</v>
      </c>
      <c r="B82" s="112">
        <f t="shared" si="4"/>
        <v>35.5</v>
      </c>
      <c r="C82" s="44">
        <f>SUBTOTAL(101,Table6[Annual expenses
])</f>
        <v>149518.29999999999</v>
      </c>
      <c r="D82" s="44">
        <v>215000</v>
      </c>
      <c r="E82" s="50">
        <v>500000</v>
      </c>
      <c r="F82" s="50">
        <f t="shared" si="5"/>
        <v>7632500</v>
      </c>
      <c r="G82" s="50">
        <f t="shared" si="6"/>
        <v>5807899.6499999994</v>
      </c>
      <c r="H82" s="52">
        <f t="shared" si="7"/>
        <v>1824600.3500000006</v>
      </c>
    </row>
    <row r="83" spans="1:10" x14ac:dyDescent="0.2">
      <c r="A83" t="s">
        <v>31</v>
      </c>
      <c r="B83" s="112">
        <f t="shared" si="4"/>
        <v>34</v>
      </c>
      <c r="C83" s="44">
        <f>SUBTOTAL(101,Table6[Annual expenses
])</f>
        <v>149518.29999999999</v>
      </c>
      <c r="D83" s="44">
        <v>220000</v>
      </c>
      <c r="E83" s="50">
        <v>500000</v>
      </c>
      <c r="F83" s="50">
        <f t="shared" si="5"/>
        <v>7480000</v>
      </c>
      <c r="G83" s="50">
        <f t="shared" si="6"/>
        <v>5583622.1999999993</v>
      </c>
      <c r="H83" s="52">
        <f t="shared" si="7"/>
        <v>1896377.8000000007</v>
      </c>
    </row>
    <row r="84" spans="1:10" x14ac:dyDescent="0.2">
      <c r="A84" t="s">
        <v>31</v>
      </c>
      <c r="B84" s="112">
        <f t="shared" si="4"/>
        <v>32.5</v>
      </c>
      <c r="C84" s="44">
        <f>SUBTOTAL(101,Table6[Annual expenses
])</f>
        <v>149518.29999999999</v>
      </c>
      <c r="D84" s="44">
        <v>225000</v>
      </c>
      <c r="E84" s="50">
        <v>500000</v>
      </c>
      <c r="F84" s="50">
        <f t="shared" si="5"/>
        <v>7312500</v>
      </c>
      <c r="G84" s="50">
        <f t="shared" si="6"/>
        <v>5359344.75</v>
      </c>
      <c r="H84" s="52">
        <f t="shared" si="7"/>
        <v>1953155.25</v>
      </c>
    </row>
    <row r="85" spans="1:10" x14ac:dyDescent="0.2">
      <c r="A85" t="s">
        <v>31</v>
      </c>
      <c r="B85" s="112">
        <f t="shared" si="4"/>
        <v>31</v>
      </c>
      <c r="C85" s="44">
        <f>SUBTOTAL(101,Table6[Annual expenses
])</f>
        <v>149518.29999999999</v>
      </c>
      <c r="D85" s="44">
        <v>230000</v>
      </c>
      <c r="E85" s="50">
        <v>500000</v>
      </c>
      <c r="F85" s="50">
        <f t="shared" si="5"/>
        <v>7130000</v>
      </c>
      <c r="G85" s="50">
        <f t="shared" si="6"/>
        <v>5135067.3</v>
      </c>
      <c r="H85" s="52">
        <f t="shared" si="7"/>
        <v>1994932.7000000002</v>
      </c>
    </row>
    <row r="86" spans="1:10" x14ac:dyDescent="0.2">
      <c r="A86" t="s">
        <v>31</v>
      </c>
      <c r="B86" s="112">
        <f t="shared" si="4"/>
        <v>29.5</v>
      </c>
      <c r="C86" s="44">
        <f>SUBTOTAL(101,Table6[Annual expenses
])</f>
        <v>149518.29999999999</v>
      </c>
      <c r="D86" s="44">
        <v>235000</v>
      </c>
      <c r="E86" s="50">
        <v>500000</v>
      </c>
      <c r="F86" s="50">
        <f t="shared" si="5"/>
        <v>6932500</v>
      </c>
      <c r="G86" s="50">
        <f t="shared" si="6"/>
        <v>4910789.8499999996</v>
      </c>
      <c r="H86" s="53">
        <f t="shared" si="7"/>
        <v>2021710.1500000004</v>
      </c>
    </row>
    <row r="87" spans="1:10" x14ac:dyDescent="0.2">
      <c r="A87" t="s">
        <v>31</v>
      </c>
      <c r="B87" s="112">
        <f t="shared" si="4"/>
        <v>28</v>
      </c>
      <c r="C87" s="44">
        <f>SUBTOTAL(101,Table6[Annual expenses
])</f>
        <v>149518.29999999999</v>
      </c>
      <c r="D87" s="44">
        <v>240000</v>
      </c>
      <c r="E87" s="50">
        <v>500000</v>
      </c>
      <c r="F87" s="50">
        <f t="shared" si="5"/>
        <v>6720000</v>
      </c>
      <c r="G87" s="50">
        <f t="shared" si="6"/>
        <v>4686512.3999999994</v>
      </c>
      <c r="H87" s="53">
        <f t="shared" si="7"/>
        <v>2033487.6000000006</v>
      </c>
    </row>
    <row r="88" spans="1:10" x14ac:dyDescent="0.2">
      <c r="A88" t="s">
        <v>31</v>
      </c>
      <c r="B88" s="112">
        <f t="shared" si="4"/>
        <v>26.5</v>
      </c>
      <c r="C88" s="44">
        <f>SUBTOTAL(101,Table6[Annual expenses
])</f>
        <v>149518.29999999999</v>
      </c>
      <c r="D88" s="44">
        <v>245000</v>
      </c>
      <c r="E88" s="50">
        <v>500000</v>
      </c>
      <c r="F88" s="50">
        <f t="shared" si="5"/>
        <v>6492500</v>
      </c>
      <c r="G88" s="50">
        <f t="shared" si="6"/>
        <v>4462234.9499999993</v>
      </c>
      <c r="H88" s="52">
        <f t="shared" si="7"/>
        <v>2030265.0500000007</v>
      </c>
    </row>
    <row r="89" spans="1:10" x14ac:dyDescent="0.2">
      <c r="A89" t="s">
        <v>31</v>
      </c>
      <c r="B89" s="112">
        <f t="shared" si="4"/>
        <v>25</v>
      </c>
      <c r="C89" s="44">
        <f>SUBTOTAL(101,Table6[Annual expenses
])</f>
        <v>149518.29999999999</v>
      </c>
      <c r="D89" s="44">
        <v>250000</v>
      </c>
      <c r="E89" s="50">
        <v>500000</v>
      </c>
      <c r="F89" s="50">
        <f t="shared" si="5"/>
        <v>6250000</v>
      </c>
      <c r="G89" s="50">
        <f t="shared" si="6"/>
        <v>4237957.5</v>
      </c>
      <c r="H89" s="52">
        <f t="shared" si="7"/>
        <v>2012042.5</v>
      </c>
    </row>
    <row r="91" spans="1:10" x14ac:dyDescent="0.2">
      <c r="A91" s="25" t="s">
        <v>64</v>
      </c>
      <c r="J91" s="25" t="s">
        <v>110</v>
      </c>
    </row>
    <row r="92" spans="1:10" ht="48" x14ac:dyDescent="0.2">
      <c r="A92" s="92" t="s">
        <v>23</v>
      </c>
      <c r="B92" s="65" t="s">
        <v>24</v>
      </c>
      <c r="C92" s="93" t="s">
        <v>25</v>
      </c>
      <c r="D92" s="93" t="s">
        <v>26</v>
      </c>
      <c r="E92" s="65" t="s">
        <v>27</v>
      </c>
      <c r="F92" s="65" t="s">
        <v>28</v>
      </c>
      <c r="G92" s="65" t="s">
        <v>29</v>
      </c>
      <c r="H92" s="94" t="s">
        <v>30</v>
      </c>
    </row>
    <row r="93" spans="1:10" x14ac:dyDescent="0.2">
      <c r="A93" t="s">
        <v>33</v>
      </c>
      <c r="B93" s="112">
        <f t="shared" ref="B93:B105" si="8">100-(D93*3.5)/10000</f>
        <v>35.25</v>
      </c>
      <c r="C93" s="50">
        <f>Analysis!$C$6</f>
        <v>182823.46666666667</v>
      </c>
      <c r="D93" s="44">
        <v>185000</v>
      </c>
      <c r="E93" s="50">
        <v>500000</v>
      </c>
      <c r="F93" s="50">
        <f t="shared" ref="F93:F105" si="9">D93*B93</f>
        <v>6521250</v>
      </c>
      <c r="G93" s="50">
        <f t="shared" ref="G93:G105" si="10">E93+(C93*B93)</f>
        <v>6944527.2000000002</v>
      </c>
      <c r="H93" s="52">
        <f t="shared" ref="H93:H105" si="11">F93-G93</f>
        <v>-423277.20000000019</v>
      </c>
    </row>
    <row r="94" spans="1:10" x14ac:dyDescent="0.2">
      <c r="A94" t="s">
        <v>33</v>
      </c>
      <c r="B94" s="112">
        <f t="shared" si="8"/>
        <v>33.5</v>
      </c>
      <c r="C94" s="50">
        <f>Analysis!$C$6</f>
        <v>182823.46666666667</v>
      </c>
      <c r="D94" s="44">
        <v>190000</v>
      </c>
      <c r="E94" s="50">
        <v>500000</v>
      </c>
      <c r="F94" s="50">
        <f t="shared" si="9"/>
        <v>6365000</v>
      </c>
      <c r="G94" s="50">
        <f t="shared" si="10"/>
        <v>6624586.1333333338</v>
      </c>
      <c r="H94" s="52">
        <f t="shared" si="11"/>
        <v>-259586.13333333377</v>
      </c>
    </row>
    <row r="95" spans="1:10" x14ac:dyDescent="0.2">
      <c r="A95" t="s">
        <v>33</v>
      </c>
      <c r="B95" s="112">
        <f t="shared" si="8"/>
        <v>31.75</v>
      </c>
      <c r="C95" s="50">
        <f>Analysis!$C$6</f>
        <v>182823.46666666667</v>
      </c>
      <c r="D95" s="44">
        <v>195000</v>
      </c>
      <c r="E95" s="50">
        <v>500000</v>
      </c>
      <c r="F95" s="50">
        <f t="shared" si="9"/>
        <v>6191250</v>
      </c>
      <c r="G95" s="50">
        <f t="shared" si="10"/>
        <v>6304645.0666666673</v>
      </c>
      <c r="H95" s="52">
        <f t="shared" si="11"/>
        <v>-113395.06666666735</v>
      </c>
    </row>
    <row r="96" spans="1:10" x14ac:dyDescent="0.2">
      <c r="A96" t="s">
        <v>33</v>
      </c>
      <c r="B96" s="112">
        <f t="shared" si="8"/>
        <v>30</v>
      </c>
      <c r="C96" s="50">
        <f>Analysis!$C$6</f>
        <v>182823.46666666667</v>
      </c>
      <c r="D96" s="44">
        <v>200000</v>
      </c>
      <c r="E96" s="50">
        <v>500000</v>
      </c>
      <c r="F96" s="50">
        <f t="shared" si="9"/>
        <v>6000000</v>
      </c>
      <c r="G96" s="50">
        <f t="shared" si="10"/>
        <v>5984704</v>
      </c>
      <c r="H96" s="52">
        <f t="shared" si="11"/>
        <v>15296</v>
      </c>
    </row>
    <row r="97" spans="1:8" x14ac:dyDescent="0.2">
      <c r="A97" t="s">
        <v>33</v>
      </c>
      <c r="B97" s="112">
        <f t="shared" si="8"/>
        <v>28.25</v>
      </c>
      <c r="C97" s="50">
        <f>Analysis!$C$6</f>
        <v>182823.46666666667</v>
      </c>
      <c r="D97" s="44">
        <v>205000</v>
      </c>
      <c r="E97" s="50">
        <v>500000</v>
      </c>
      <c r="F97" s="50">
        <f t="shared" si="9"/>
        <v>5791250</v>
      </c>
      <c r="G97" s="50">
        <f t="shared" si="10"/>
        <v>5664762.9333333336</v>
      </c>
      <c r="H97" s="52">
        <f t="shared" si="11"/>
        <v>126487.06666666642</v>
      </c>
    </row>
    <row r="98" spans="1:8" x14ac:dyDescent="0.2">
      <c r="A98" t="s">
        <v>33</v>
      </c>
      <c r="B98" s="112">
        <f t="shared" si="8"/>
        <v>26.5</v>
      </c>
      <c r="C98" s="50">
        <f>Analysis!$C$6</f>
        <v>182823.46666666667</v>
      </c>
      <c r="D98" s="44">
        <v>210000</v>
      </c>
      <c r="E98" s="50">
        <v>500000</v>
      </c>
      <c r="F98" s="50">
        <f t="shared" si="9"/>
        <v>5565000</v>
      </c>
      <c r="G98" s="50">
        <f t="shared" si="10"/>
        <v>5344821.8666666672</v>
      </c>
      <c r="H98" s="52">
        <f t="shared" si="11"/>
        <v>220178.13333333284</v>
      </c>
    </row>
    <row r="99" spans="1:8" x14ac:dyDescent="0.2">
      <c r="A99" t="s">
        <v>33</v>
      </c>
      <c r="B99" s="112">
        <f t="shared" si="8"/>
        <v>24.75</v>
      </c>
      <c r="C99" s="50">
        <f>Analysis!$C$6</f>
        <v>182823.46666666667</v>
      </c>
      <c r="D99" s="44">
        <v>215000</v>
      </c>
      <c r="E99" s="50">
        <v>500000</v>
      </c>
      <c r="F99" s="50">
        <f t="shared" si="9"/>
        <v>5321250</v>
      </c>
      <c r="G99" s="50">
        <f t="shared" si="10"/>
        <v>5024880.8</v>
      </c>
      <c r="H99" s="52">
        <f t="shared" si="11"/>
        <v>296369.20000000019</v>
      </c>
    </row>
    <row r="100" spans="1:8" x14ac:dyDescent="0.2">
      <c r="A100" t="s">
        <v>33</v>
      </c>
      <c r="B100" s="112">
        <f t="shared" si="8"/>
        <v>23</v>
      </c>
      <c r="C100" s="50">
        <f>Analysis!$C$6</f>
        <v>182823.46666666667</v>
      </c>
      <c r="D100" s="44">
        <v>220000</v>
      </c>
      <c r="E100" s="50">
        <v>500000</v>
      </c>
      <c r="F100" s="50">
        <f t="shared" si="9"/>
        <v>5060000</v>
      </c>
      <c r="G100" s="50">
        <f t="shared" si="10"/>
        <v>4704939.7333333334</v>
      </c>
      <c r="H100" s="52">
        <f t="shared" si="11"/>
        <v>355060.2666666666</v>
      </c>
    </row>
    <row r="101" spans="1:8" x14ac:dyDescent="0.2">
      <c r="A101" t="s">
        <v>33</v>
      </c>
      <c r="B101" s="112">
        <f t="shared" si="8"/>
        <v>21.25</v>
      </c>
      <c r="C101" s="50">
        <f>Analysis!$C$6</f>
        <v>182823.46666666667</v>
      </c>
      <c r="D101" s="44">
        <v>225000</v>
      </c>
      <c r="E101" s="50">
        <v>500000</v>
      </c>
      <c r="F101" s="50">
        <f t="shared" si="9"/>
        <v>4781250</v>
      </c>
      <c r="G101" s="50">
        <f t="shared" si="10"/>
        <v>4384998.666666667</v>
      </c>
      <c r="H101" s="52">
        <f t="shared" si="11"/>
        <v>396251.33333333302</v>
      </c>
    </row>
    <row r="102" spans="1:8" x14ac:dyDescent="0.2">
      <c r="A102" t="s">
        <v>33</v>
      </c>
      <c r="B102" s="112">
        <f t="shared" si="8"/>
        <v>19.5</v>
      </c>
      <c r="C102" s="50">
        <f>Analysis!$C$6</f>
        <v>182823.46666666667</v>
      </c>
      <c r="D102" s="44">
        <v>230000</v>
      </c>
      <c r="E102" s="50">
        <v>500000</v>
      </c>
      <c r="F102" s="50">
        <f t="shared" si="9"/>
        <v>4485000</v>
      </c>
      <c r="G102" s="50">
        <f t="shared" si="10"/>
        <v>4065057.6</v>
      </c>
      <c r="H102" s="52">
        <f t="shared" si="11"/>
        <v>419942.39999999991</v>
      </c>
    </row>
    <row r="103" spans="1:8" x14ac:dyDescent="0.2">
      <c r="A103" t="s">
        <v>33</v>
      </c>
      <c r="B103" s="112">
        <f t="shared" si="8"/>
        <v>17.75</v>
      </c>
      <c r="C103" s="50">
        <f>Analysis!$C$6</f>
        <v>182823.46666666667</v>
      </c>
      <c r="D103" s="44">
        <v>235000</v>
      </c>
      <c r="E103" s="50">
        <v>500000</v>
      </c>
      <c r="F103" s="50">
        <f t="shared" si="9"/>
        <v>4171250</v>
      </c>
      <c r="G103" s="50">
        <f t="shared" si="10"/>
        <v>3745116.5333333337</v>
      </c>
      <c r="H103" s="53">
        <f t="shared" si="11"/>
        <v>426133.46666666633</v>
      </c>
    </row>
    <row r="104" spans="1:8" x14ac:dyDescent="0.2">
      <c r="A104" t="s">
        <v>33</v>
      </c>
      <c r="B104" s="112">
        <f t="shared" si="8"/>
        <v>16</v>
      </c>
      <c r="C104" s="50">
        <f>Analysis!$C$6</f>
        <v>182823.46666666667</v>
      </c>
      <c r="D104" s="44">
        <v>240000</v>
      </c>
      <c r="E104" s="50">
        <v>500000</v>
      </c>
      <c r="F104" s="50">
        <f>D104*B104</f>
        <v>3840000</v>
      </c>
      <c r="G104" s="50">
        <f t="shared" si="10"/>
        <v>3425175.4666666668</v>
      </c>
      <c r="H104" s="53">
        <f t="shared" si="11"/>
        <v>414824.53333333321</v>
      </c>
    </row>
    <row r="105" spans="1:8" x14ac:dyDescent="0.2">
      <c r="A105" t="s">
        <v>33</v>
      </c>
      <c r="B105" s="112">
        <f t="shared" si="8"/>
        <v>14.25</v>
      </c>
      <c r="C105" s="50">
        <f>Analysis!$C$6</f>
        <v>182823.46666666667</v>
      </c>
      <c r="D105" s="44">
        <v>245000</v>
      </c>
      <c r="E105" s="50">
        <v>500000</v>
      </c>
      <c r="F105" s="50">
        <f t="shared" si="9"/>
        <v>3491250</v>
      </c>
      <c r="G105" s="50">
        <f t="shared" si="10"/>
        <v>3105234.4</v>
      </c>
      <c r="H105" s="52">
        <f t="shared" si="11"/>
        <v>386015.60000000009</v>
      </c>
    </row>
    <row r="113" spans="1:9" x14ac:dyDescent="0.2">
      <c r="A113" s="163" t="s">
        <v>50</v>
      </c>
      <c r="B113" s="163"/>
      <c r="C113" s="163"/>
      <c r="D113" s="163"/>
      <c r="E113" s="163"/>
      <c r="F113" s="163"/>
      <c r="G113" s="163"/>
      <c r="H113" s="163"/>
      <c r="I113" s="163"/>
    </row>
    <row r="114" spans="1:9" x14ac:dyDescent="0.2">
      <c r="A114" s="80" t="s">
        <v>65</v>
      </c>
      <c r="B114" s="61"/>
      <c r="C114" s="61"/>
      <c r="D114" s="61"/>
      <c r="E114" s="61"/>
      <c r="F114" s="61"/>
      <c r="G114" s="61"/>
      <c r="H114" s="61"/>
      <c r="I114" s="61"/>
    </row>
    <row r="115" spans="1:9" x14ac:dyDescent="0.2">
      <c r="A115" s="162" t="s">
        <v>49</v>
      </c>
      <c r="B115" s="162"/>
      <c r="C115" s="162"/>
      <c r="D115" s="162"/>
      <c r="E115" s="162"/>
      <c r="F115" s="162"/>
      <c r="G115" s="162"/>
      <c r="H115" s="162"/>
      <c r="I115" s="162"/>
    </row>
    <row r="116" spans="1:9" ht="16" x14ac:dyDescent="0.2">
      <c r="A116" s="26" t="s">
        <v>23</v>
      </c>
      <c r="B116" s="26" t="s">
        <v>42</v>
      </c>
      <c r="C116" s="27" t="s">
        <v>43</v>
      </c>
      <c r="D116" s="27" t="s">
        <v>44</v>
      </c>
      <c r="E116" s="26" t="s">
        <v>45</v>
      </c>
      <c r="F116" s="69" t="s">
        <v>46</v>
      </c>
      <c r="G116" s="26" t="s">
        <v>51</v>
      </c>
      <c r="H116" s="26" t="s">
        <v>47</v>
      </c>
      <c r="I116" s="3" t="s">
        <v>51</v>
      </c>
    </row>
    <row r="117" spans="1:9" x14ac:dyDescent="0.2">
      <c r="A117" s="28" t="s">
        <v>32</v>
      </c>
      <c r="B117" s="28">
        <f>Analysis!B12</f>
        <v>9</v>
      </c>
      <c r="C117" s="59">
        <f>Analysis!B33</f>
        <v>10</v>
      </c>
      <c r="D117" s="60">
        <f>Analysis!H12</f>
        <v>44492.166577373166</v>
      </c>
      <c r="E117" s="23">
        <f>Analysis!H33</f>
        <v>104991.29619708145</v>
      </c>
      <c r="F117" s="63">
        <f>C117-B117</f>
        <v>1</v>
      </c>
      <c r="G117" s="71">
        <f>F117/B117</f>
        <v>0.1111111111111111</v>
      </c>
      <c r="H117" s="62">
        <f>E117-D117</f>
        <v>60499.129619708285</v>
      </c>
      <c r="I117" s="22">
        <f>H117/D117</f>
        <v>1.3597703657451374</v>
      </c>
    </row>
    <row r="118" spans="1:9" x14ac:dyDescent="0.2">
      <c r="A118" s="28" t="s">
        <v>31</v>
      </c>
      <c r="B118" s="28">
        <f>Analysis!B13</f>
        <v>32</v>
      </c>
      <c r="C118" s="59">
        <f>Analysis!B34</f>
        <v>38</v>
      </c>
      <c r="D118" s="60">
        <f>Analysis!H13</f>
        <v>2075411.6644767402</v>
      </c>
      <c r="E118" s="23">
        <f>Analysis!H34</f>
        <v>2558301.3515661294</v>
      </c>
      <c r="F118" s="63">
        <f>C118-B118</f>
        <v>6</v>
      </c>
      <c r="G118" s="71">
        <f>F118/B118</f>
        <v>0.1875</v>
      </c>
      <c r="H118" s="62">
        <f>E118-D118</f>
        <v>482889.68708938919</v>
      </c>
      <c r="I118" s="22">
        <f>H118/D118</f>
        <v>0.23267176115208785</v>
      </c>
    </row>
    <row r="119" spans="1:9" x14ac:dyDescent="0.2">
      <c r="A119" s="28" t="s">
        <v>33</v>
      </c>
      <c r="B119" s="28">
        <f>Analysis!B14</f>
        <v>20</v>
      </c>
      <c r="C119" s="59">
        <f>Analysis!B35</f>
        <v>24</v>
      </c>
      <c r="D119" s="60">
        <f>Analysis!H14</f>
        <v>443528.95696462924</v>
      </c>
      <c r="E119" s="23">
        <f>Analysis!H35</f>
        <v>632234.7483575549</v>
      </c>
      <c r="F119" s="63">
        <f>C119-B119</f>
        <v>4</v>
      </c>
      <c r="G119" s="71">
        <f>F119/B119</f>
        <v>0.2</v>
      </c>
      <c r="H119" s="62">
        <f>E119-D119</f>
        <v>188705.79139292566</v>
      </c>
      <c r="I119" s="22">
        <f>H119/D119</f>
        <v>0.4254644221752012</v>
      </c>
    </row>
    <row r="120" spans="1:9" x14ac:dyDescent="0.2">
      <c r="A120" s="66" t="s">
        <v>41</v>
      </c>
      <c r="B120" s="67"/>
      <c r="C120" s="67"/>
      <c r="D120" s="68">
        <f>Analysis!H15</f>
        <v>2563432.7880187426</v>
      </c>
      <c r="E120" s="62">
        <f>Analysis!H36</f>
        <v>3295527.3961207657</v>
      </c>
      <c r="F120" s="67"/>
      <c r="G120" s="72"/>
      <c r="H120" s="62">
        <f>E120-D120</f>
        <v>732094.60810202314</v>
      </c>
      <c r="I120" s="73">
        <f>H120/D120</f>
        <v>0.28559149727809069</v>
      </c>
    </row>
    <row r="122" spans="1:9" x14ac:dyDescent="0.2">
      <c r="A122" s="25" t="s">
        <v>66</v>
      </c>
    </row>
    <row r="123" spans="1:9" x14ac:dyDescent="0.2">
      <c r="A123" s="162" t="s">
        <v>48</v>
      </c>
      <c r="B123" s="162"/>
      <c r="C123" s="162"/>
      <c r="D123" s="162"/>
      <c r="E123" s="162"/>
      <c r="F123" s="162"/>
      <c r="G123" s="162"/>
      <c r="H123" s="162"/>
      <c r="I123" s="162"/>
    </row>
    <row r="124" spans="1:9" ht="16" x14ac:dyDescent="0.2">
      <c r="A124" s="26" t="s">
        <v>23</v>
      </c>
      <c r="B124" s="26" t="s">
        <v>42</v>
      </c>
      <c r="C124" s="27" t="s">
        <v>43</v>
      </c>
      <c r="D124" s="27" t="s">
        <v>44</v>
      </c>
      <c r="E124" s="26" t="s">
        <v>45</v>
      </c>
      <c r="F124" s="26" t="s">
        <v>46</v>
      </c>
      <c r="G124" s="26" t="s">
        <v>51</v>
      </c>
      <c r="H124" s="26" t="s">
        <v>47</v>
      </c>
      <c r="I124" s="26" t="s">
        <v>51</v>
      </c>
    </row>
    <row r="125" spans="1:9" x14ac:dyDescent="0.2">
      <c r="A125" s="28" t="s">
        <v>32</v>
      </c>
      <c r="B125" s="28">
        <f>Analysis!B20</f>
        <v>13</v>
      </c>
      <c r="C125" s="59">
        <f>Analysis!B41</f>
        <v>15</v>
      </c>
      <c r="D125" s="60">
        <f>Analysis!H20</f>
        <v>156483.23534666235</v>
      </c>
      <c r="E125" s="23">
        <f>Analysis!H41</f>
        <v>257480.65616922546</v>
      </c>
      <c r="F125" s="63">
        <f>C125-B125</f>
        <v>2</v>
      </c>
      <c r="G125" s="71">
        <f>F125/B125</f>
        <v>0.15384615384615385</v>
      </c>
      <c r="H125" s="62">
        <f>E125-D125</f>
        <v>100997.42082256312</v>
      </c>
      <c r="I125" s="70">
        <f>H125/D125</f>
        <v>0.64542007071121887</v>
      </c>
    </row>
    <row r="126" spans="1:9" x14ac:dyDescent="0.2">
      <c r="A126" s="28" t="s">
        <v>31</v>
      </c>
      <c r="B126" s="28">
        <f>Analysis!B21</f>
        <v>29</v>
      </c>
      <c r="C126" s="59">
        <f>Analysis!B42</f>
        <v>34</v>
      </c>
      <c r="D126" s="60">
        <f>Analysis!H21</f>
        <v>2121281.9791505495</v>
      </c>
      <c r="E126" s="23">
        <f>Analysis!H42</f>
        <v>2573227.1479696101</v>
      </c>
      <c r="F126" s="63">
        <f>C126-B126</f>
        <v>5</v>
      </c>
      <c r="G126" s="71">
        <f>F126/B126</f>
        <v>0.17241379310344829</v>
      </c>
      <c r="H126" s="62">
        <f>E126-D126</f>
        <v>451945.16881906055</v>
      </c>
      <c r="I126" s="70">
        <f>H126/D126</f>
        <v>0.21305284882495368</v>
      </c>
    </row>
    <row r="127" spans="1:9" x14ac:dyDescent="0.2">
      <c r="A127" s="28" t="s">
        <v>33</v>
      </c>
      <c r="B127" s="28">
        <f>Analysis!B22</f>
        <v>17</v>
      </c>
      <c r="C127" s="59">
        <f>Analysis!B43</f>
        <v>20</v>
      </c>
      <c r="D127" s="60">
        <f>Analysis!H22</f>
        <v>471999.27784934593</v>
      </c>
      <c r="E127" s="23">
        <f>Analysis!H43</f>
        <v>643528.56217570091</v>
      </c>
      <c r="F127" s="63">
        <f>C127-B127</f>
        <v>3</v>
      </c>
      <c r="G127" s="71">
        <f>F127/B127</f>
        <v>0.17647058823529413</v>
      </c>
      <c r="H127" s="62">
        <f>E127-D127</f>
        <v>171529.28432635497</v>
      </c>
      <c r="I127" s="70">
        <f>H127/D127</f>
        <v>0.36341005670162102</v>
      </c>
    </row>
    <row r="128" spans="1:9" x14ac:dyDescent="0.2">
      <c r="A128" s="66" t="s">
        <v>41</v>
      </c>
      <c r="B128" s="67"/>
      <c r="C128" s="67"/>
      <c r="D128" s="68">
        <f>Analysis!H23</f>
        <v>2749764.4923465578</v>
      </c>
      <c r="E128" s="62">
        <f>Analysis!H44</f>
        <v>3474236.3663145364</v>
      </c>
      <c r="F128" s="67"/>
      <c r="G128" s="71"/>
      <c r="H128" s="62">
        <f>E128-D128</f>
        <v>724471.87396797864</v>
      </c>
      <c r="I128" s="71">
        <f>H128/D128</f>
        <v>0.2634668808854021</v>
      </c>
    </row>
  </sheetData>
  <mergeCells count="19">
    <mergeCell ref="B9:E9"/>
    <mergeCell ref="B10:E10"/>
    <mergeCell ref="B11:E11"/>
    <mergeCell ref="B12:E12"/>
    <mergeCell ref="B3:E3"/>
    <mergeCell ref="B4:E4"/>
    <mergeCell ref="B5:E5"/>
    <mergeCell ref="B6:E6"/>
    <mergeCell ref="B7:E7"/>
    <mergeCell ref="B8:E8"/>
    <mergeCell ref="B21:C21"/>
    <mergeCell ref="A115:I115"/>
    <mergeCell ref="A123:I123"/>
    <mergeCell ref="A113:I113"/>
    <mergeCell ref="D21:E21"/>
    <mergeCell ref="F21:G21"/>
    <mergeCell ref="B30:C30"/>
    <mergeCell ref="D30:E30"/>
    <mergeCell ref="F30:G30"/>
  </mergeCells>
  <phoneticPr fontId="26" type="noConversion"/>
  <hyperlinks>
    <hyperlink ref="H13" r:id="rId1" display="https://doi.org/https:/doi.org/10.1002/dir.10032" xr:uid="{1EF5EAFC-4F49-0843-9007-E7096BD7B0A7}"/>
    <hyperlink ref="H14" r:id="rId2" display="https://doi.org/10.1287/mksc.1070.0319" xr:uid="{FBD2AD7A-67B4-BC45-8C18-FD4AED558939}"/>
    <hyperlink ref="H15" r:id="rId3" display="https://doi.org/doi:10.2478/gfkmir-2014-0076" xr:uid="{FB8771CF-6479-CC4F-A924-F82C48D9BC68}"/>
    <hyperlink ref="H16" r:id="rId4" display="https://www.treasury.govt.nz/information-and-services/state-sector-leadership/investment-management/better-business-cases-bbc/bbc-methods-and-tools/approaches-sensitivity-analysis" xr:uid="{89031B3C-A3D1-9040-B146-3F4816ABD295}"/>
  </hyperlinks>
  <pageMargins left="0.7" right="0.7" top="0.75" bottom="0.75" header="0.3" footer="0.3"/>
  <drawing r:id="rId5"/>
  <tableParts count="6">
    <tablePart r:id="rId6"/>
    <tablePart r:id="rId7"/>
    <tablePart r:id="rId8"/>
    <tablePart r:id="rId9"/>
    <tablePart r:id="rId10"/>
    <tablePart r:id="rId11"/>
  </tableParts>
</worksheet>
</file>

<file path=docMetadata/LabelInfo.xml><?xml version="1.0" encoding="utf-8"?>
<clbl:labelList xmlns:clbl="http://schemas.microsoft.com/office/2020/mipLabelMetadata">
  <clbl:label id="{adaa4be3-f650-4692-881a-64ae220cbceb}" enabled="1" method="Standard" siteId="{5a7cc8ab-a4dc-4f9b-bf60-66714049ad6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Case Study</vt:lpstr>
      <vt:lpstr>Colleges</vt:lpstr>
      <vt:lpstr>Offices</vt:lpstr>
      <vt:lpstr>Malls</vt:lpstr>
      <vt:lpstr>Analysis</vt:lpstr>
      <vt:lpstr>Report</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2023-07-03T23:50:21Z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daa4be3-f650-4692-881a-64ae220cbceb_Enabled">
    <vt:lpwstr>true</vt:lpwstr>
  </property>
  <property fmtid="{D5CDD505-2E9C-101B-9397-08002B2CF9AE}" pid="3" name="MSIP_Label_adaa4be3-f650-4692-881a-64ae220cbceb_SetDate">
    <vt:lpwstr>2023-01-20T02:57:42Z</vt:lpwstr>
  </property>
  <property fmtid="{D5CDD505-2E9C-101B-9397-08002B2CF9AE}" pid="4" name="MSIP_Label_adaa4be3-f650-4692-881a-64ae220cbceb_Method">
    <vt:lpwstr>Standard</vt:lpwstr>
  </property>
  <property fmtid="{D5CDD505-2E9C-101B-9397-08002B2CF9AE}" pid="5" name="MSIP_Label_adaa4be3-f650-4692-881a-64ae220cbceb_Name">
    <vt:lpwstr>OFFICIAL  Internal (External sharing)</vt:lpwstr>
  </property>
  <property fmtid="{D5CDD505-2E9C-101B-9397-08002B2CF9AE}" pid="6" name="MSIP_Label_adaa4be3-f650-4692-881a-64ae220cbceb_SiteId">
    <vt:lpwstr>5a7cc8ab-a4dc-4f9b-bf60-66714049ad62</vt:lpwstr>
  </property>
  <property fmtid="{D5CDD505-2E9C-101B-9397-08002B2CF9AE}" pid="7" name="MSIP_Label_adaa4be3-f650-4692-881a-64ae220cbceb_ActionId">
    <vt:lpwstr>aa95f032-394a-41c1-a668-e2d66231fe2d</vt:lpwstr>
  </property>
  <property fmtid="{D5CDD505-2E9C-101B-9397-08002B2CF9AE}" pid="8" name="MSIP_Label_adaa4be3-f650-4692-881a-64ae220cbceb_ContentBits">
    <vt:lpwstr>0</vt:lpwstr>
  </property>
</Properties>
</file>