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gn\Desktop\"/>
    </mc:Choice>
  </mc:AlternateContent>
  <xr:revisionPtr revIDLastSave="0" documentId="13_ncr:1_{C8EEB4ED-F72F-4BA4-9C0D-20A9EF738849}" xr6:coauthVersionLast="47" xr6:coauthVersionMax="47" xr10:uidLastSave="{00000000-0000-0000-0000-000000000000}"/>
  <bookViews>
    <workbookView xWindow="-120" yWindow="-120" windowWidth="29040" windowHeight="15720" firstSheet="1" activeTab="7" xr2:uid="{26D4546B-D2A1-4444-8EAF-A6228F96F0C1}"/>
  </bookViews>
  <sheets>
    <sheet name="All_Staff" sheetId="6" r:id="rId1"/>
    <sheet name="Employee per Country" sheetId="12" r:id="rId2"/>
    <sheet name="Salary_Spead" sheetId="8" r:id="rId3"/>
    <sheet name="Salary vs. Rating" sheetId="9" r:id="rId4"/>
    <sheet name="Employee_trend" sheetId="11" r:id="rId5"/>
    <sheet name="Males vs. Female" sheetId="7" r:id="rId6"/>
    <sheet name="NewZealand_Staff" sheetId="3" r:id="rId7"/>
    <sheet name="India_Staff" sheetId="2" r:id="rId8"/>
    <sheet name="Data_BKP" sheetId="1" r:id="rId9"/>
    <sheet name="India_BKP" sheetId="4" r:id="rId10"/>
  </sheets>
  <definedNames>
    <definedName name="_xlnm._FilterDatabase" localSheetId="8" hidden="1">Data_BKP!$C$4:$I$104</definedName>
    <definedName name="_xlnm._FilterDatabase" localSheetId="9" hidden="1">India_BKP!$B$2:$H$114</definedName>
    <definedName name="_xlnm._FilterDatabase" localSheetId="7" hidden="1">India_Staff!$B$2:$H$114</definedName>
    <definedName name="_xlnm._FilterDatabase" localSheetId="6" hidden="1">NewZealand_Staff!$C$4:$I$104</definedName>
    <definedName name="_xlchart.v1.0" hidden="1">All_Staff!$G$1</definedName>
    <definedName name="_xlchart.v1.1" hidden="1">All_Staff!$G$2:$G$184</definedName>
    <definedName name="_xlchart.v1.2" hidden="1">All_Staff!$G$1</definedName>
    <definedName name="_xlchart.v1.3" hidden="1">All_Staff!$G$2:$G$184</definedName>
    <definedName name="ExternalData_1" localSheetId="0" hidden="1">All_Staff!$A$1:$H$184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5" i="2" l="1"/>
  <c r="H115" i="2"/>
  <c r="B4" i="12"/>
  <c r="L4" i="12"/>
  <c r="H4" i="12"/>
  <c r="J4" i="12" s="1"/>
  <c r="D4" i="12"/>
  <c r="F4" i="12"/>
  <c r="M3" i="11" a="1"/>
  <c r="M3" i="11" s="1"/>
  <c r="N3" i="11" s="1" a="1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I162" i="6"/>
  <c r="J162" i="6" s="1"/>
  <c r="I18" i="6"/>
  <c r="J18" i="6" s="1"/>
  <c r="I142" i="6"/>
  <c r="J142" i="6" s="1"/>
  <c r="I20" i="6"/>
  <c r="J20" i="6" s="1"/>
  <c r="I175" i="6"/>
  <c r="J175" i="6" s="1"/>
  <c r="I46" i="6"/>
  <c r="J46" i="6" s="1"/>
  <c r="I130" i="6"/>
  <c r="J130" i="6" s="1"/>
  <c r="I124" i="6"/>
  <c r="J124" i="6" s="1"/>
  <c r="I90" i="6"/>
  <c r="J90" i="6" s="1"/>
  <c r="I156" i="6"/>
  <c r="J156" i="6" s="1"/>
  <c r="I146" i="6"/>
  <c r="J146" i="6" s="1"/>
  <c r="I134" i="6"/>
  <c r="J134" i="6" s="1"/>
  <c r="I24" i="6"/>
  <c r="J24" i="6" s="1"/>
  <c r="I8" i="6"/>
  <c r="J8" i="6" s="1"/>
  <c r="I163" i="6"/>
  <c r="J163" i="6" s="1"/>
  <c r="I32" i="6"/>
  <c r="J32" i="6" s="1"/>
  <c r="I181" i="6"/>
  <c r="J181" i="6" s="1"/>
  <c r="I82" i="6"/>
  <c r="J82" i="6" s="1"/>
  <c r="I108" i="6"/>
  <c r="J108" i="6" s="1"/>
  <c r="I102" i="6"/>
  <c r="J102" i="6" s="1"/>
  <c r="I44" i="6"/>
  <c r="J44" i="6" s="1"/>
  <c r="I120" i="6"/>
  <c r="J120" i="6" s="1"/>
  <c r="I6" i="6"/>
  <c r="J6" i="6" s="1"/>
  <c r="I92" i="6"/>
  <c r="J92" i="6" s="1"/>
  <c r="I10" i="6"/>
  <c r="J10" i="6" s="1"/>
  <c r="I140" i="6"/>
  <c r="J140" i="6" s="1"/>
  <c r="I50" i="6"/>
  <c r="J50" i="6" s="1"/>
  <c r="I171" i="6"/>
  <c r="J171" i="6" s="1"/>
  <c r="I12" i="6"/>
  <c r="J12" i="6" s="1"/>
  <c r="I160" i="6"/>
  <c r="J160" i="6" s="1"/>
  <c r="I22" i="6"/>
  <c r="J22" i="6" s="1"/>
  <c r="I70" i="6"/>
  <c r="J70" i="6" s="1"/>
  <c r="I138" i="6"/>
  <c r="J138" i="6" s="1"/>
  <c r="I110" i="6"/>
  <c r="J110" i="6" s="1"/>
  <c r="I34" i="6"/>
  <c r="J34" i="6" s="1"/>
  <c r="I158" i="6"/>
  <c r="J158" i="6" s="1"/>
  <c r="I183" i="6"/>
  <c r="J183" i="6" s="1"/>
  <c r="I165" i="6"/>
  <c r="J165" i="6" s="1"/>
  <c r="I173" i="6"/>
  <c r="J173" i="6" s="1"/>
  <c r="I30" i="6"/>
  <c r="J30" i="6" s="1"/>
  <c r="I98" i="6"/>
  <c r="J98" i="6" s="1"/>
  <c r="I36" i="6"/>
  <c r="J36" i="6" s="1"/>
  <c r="I114" i="6"/>
  <c r="J114" i="6" s="1"/>
  <c r="I2" i="6"/>
  <c r="J2" i="6" s="1"/>
  <c r="I94" i="6"/>
  <c r="J94" i="6" s="1"/>
  <c r="I52" i="6"/>
  <c r="J52" i="6" s="1"/>
  <c r="I148" i="6"/>
  <c r="J148" i="6" s="1"/>
  <c r="I48" i="6"/>
  <c r="J48" i="6" s="1"/>
  <c r="I126" i="6"/>
  <c r="J126" i="6" s="1"/>
  <c r="I84" i="6"/>
  <c r="J84" i="6" s="1"/>
  <c r="I100" i="6"/>
  <c r="J100" i="6" s="1"/>
  <c r="I122" i="6"/>
  <c r="J122" i="6" s="1"/>
  <c r="I60" i="6"/>
  <c r="J60" i="6" s="1"/>
  <c r="I177" i="6"/>
  <c r="J177" i="6" s="1"/>
  <c r="I66" i="6"/>
  <c r="J66" i="6" s="1"/>
  <c r="I64" i="6"/>
  <c r="J64" i="6" s="1"/>
  <c r="I128" i="6"/>
  <c r="J128" i="6" s="1"/>
  <c r="I28" i="6"/>
  <c r="J28" i="6" s="1"/>
  <c r="I112" i="6"/>
  <c r="J112" i="6" s="1"/>
  <c r="I118" i="6"/>
  <c r="J118" i="6" s="1"/>
  <c r="I76" i="6"/>
  <c r="J76" i="6" s="1"/>
  <c r="I38" i="6"/>
  <c r="J38" i="6" s="1"/>
  <c r="I16" i="6"/>
  <c r="J16" i="6" s="1"/>
  <c r="I154" i="6"/>
  <c r="J154" i="6" s="1"/>
  <c r="I136" i="6"/>
  <c r="J136" i="6" s="1"/>
  <c r="I14" i="6"/>
  <c r="J14" i="6" s="1"/>
  <c r="I88" i="6"/>
  <c r="J88" i="6" s="1"/>
  <c r="I167" i="6"/>
  <c r="J167" i="6" s="1"/>
  <c r="I116" i="6"/>
  <c r="J116" i="6" s="1"/>
  <c r="I39" i="6"/>
  <c r="J39" i="6" s="1"/>
  <c r="I78" i="6"/>
  <c r="J78" i="6" s="1"/>
  <c r="I72" i="6"/>
  <c r="J72" i="6" s="1"/>
  <c r="I80" i="6"/>
  <c r="J80" i="6" s="1"/>
  <c r="I58" i="6"/>
  <c r="J58" i="6" s="1"/>
  <c r="I150" i="6"/>
  <c r="J150" i="6" s="1"/>
  <c r="I179" i="6"/>
  <c r="J179" i="6" s="1"/>
  <c r="I104" i="6"/>
  <c r="J104" i="6" s="1"/>
  <c r="I169" i="6"/>
  <c r="J169" i="6" s="1"/>
  <c r="I144" i="6"/>
  <c r="J144" i="6" s="1"/>
  <c r="I74" i="6"/>
  <c r="J74" i="6" s="1"/>
  <c r="I4" i="6"/>
  <c r="J4" i="6" s="1"/>
  <c r="I62" i="6"/>
  <c r="J62" i="6" s="1"/>
  <c r="I152" i="6"/>
  <c r="J152" i="6" s="1"/>
  <c r="I68" i="6"/>
  <c r="J68" i="6" s="1"/>
  <c r="I96" i="6"/>
  <c r="J96" i="6" s="1"/>
  <c r="I42" i="6"/>
  <c r="J42" i="6" s="1"/>
  <c r="I106" i="6"/>
  <c r="J106" i="6" s="1"/>
  <c r="I54" i="6"/>
  <c r="J54" i="6" s="1"/>
  <c r="I86" i="6"/>
  <c r="J86" i="6" s="1"/>
  <c r="I56" i="6"/>
  <c r="J56" i="6" s="1"/>
  <c r="I26" i="6"/>
  <c r="J26" i="6" s="1"/>
  <c r="I132" i="6"/>
  <c r="J132" i="6" s="1"/>
  <c r="I166" i="6"/>
  <c r="J166" i="6" s="1"/>
  <c r="I87" i="6"/>
  <c r="J87" i="6" s="1"/>
  <c r="I37" i="6"/>
  <c r="J37" i="6" s="1"/>
  <c r="I176" i="6"/>
  <c r="J176" i="6" s="1"/>
  <c r="I40" i="6"/>
  <c r="J40" i="6" s="1"/>
  <c r="I161" i="6"/>
  <c r="J161" i="6" s="1"/>
  <c r="I27" i="6"/>
  <c r="J27" i="6" s="1"/>
  <c r="I63" i="6"/>
  <c r="J63" i="6" s="1"/>
  <c r="I43" i="6"/>
  <c r="J43" i="6" s="1"/>
  <c r="I184" i="6"/>
  <c r="J184" i="6" s="1"/>
  <c r="I159" i="6"/>
  <c r="J159" i="6" s="1"/>
  <c r="I69" i="6"/>
  <c r="J69" i="6" s="1"/>
  <c r="I79" i="6"/>
  <c r="J79" i="6" s="1"/>
  <c r="I153" i="6"/>
  <c r="J153" i="6" s="1"/>
  <c r="I19" i="6"/>
  <c r="J19" i="6" s="1"/>
  <c r="I137" i="6"/>
  <c r="J137" i="6" s="1"/>
  <c r="I9" i="6"/>
  <c r="J9" i="6" s="1"/>
  <c r="I49" i="6"/>
  <c r="J49" i="6" s="1"/>
  <c r="I15" i="6"/>
  <c r="J15" i="6" s="1"/>
  <c r="I99" i="6"/>
  <c r="J99" i="6" s="1"/>
  <c r="I53" i="6"/>
  <c r="J53" i="6" s="1"/>
  <c r="I73" i="6"/>
  <c r="J73" i="6" s="1"/>
  <c r="I51" i="6"/>
  <c r="J51" i="6" s="1"/>
  <c r="I31" i="6"/>
  <c r="J31" i="6" s="1"/>
  <c r="I65" i="6"/>
  <c r="J65" i="6" s="1"/>
  <c r="I93" i="6"/>
  <c r="J93" i="6" s="1"/>
  <c r="I119" i="6"/>
  <c r="J119" i="6" s="1"/>
  <c r="I5" i="6"/>
  <c r="J5" i="6" s="1"/>
  <c r="I101" i="6"/>
  <c r="J101" i="6" s="1"/>
  <c r="I59" i="6"/>
  <c r="J59" i="6" s="1"/>
  <c r="I97" i="6"/>
  <c r="J97" i="6" s="1"/>
  <c r="I178" i="6"/>
  <c r="J178" i="6" s="1"/>
  <c r="I107" i="6"/>
  <c r="J107" i="6" s="1"/>
  <c r="I157" i="6"/>
  <c r="J157" i="6" s="1"/>
  <c r="I33" i="6"/>
  <c r="J33" i="6" s="1"/>
  <c r="I139" i="6"/>
  <c r="J139" i="6" s="1"/>
  <c r="I133" i="6"/>
  <c r="J133" i="6" s="1"/>
  <c r="I143" i="6"/>
  <c r="J143" i="6" s="1"/>
  <c r="I29" i="6"/>
  <c r="J29" i="6" s="1"/>
  <c r="I35" i="6"/>
  <c r="J35" i="6" s="1"/>
  <c r="I105" i="6"/>
  <c r="J105" i="6" s="1"/>
  <c r="I117" i="6"/>
  <c r="J117" i="6" s="1"/>
  <c r="I113" i="6"/>
  <c r="J113" i="6" s="1"/>
  <c r="I129" i="6"/>
  <c r="J129" i="6" s="1"/>
  <c r="I164" i="6"/>
  <c r="J164" i="6" s="1"/>
  <c r="I109" i="6"/>
  <c r="J109" i="6" s="1"/>
  <c r="I77" i="6"/>
  <c r="J77" i="6" s="1"/>
  <c r="I111" i="6"/>
  <c r="J111" i="6" s="1"/>
  <c r="I55" i="6"/>
  <c r="J55" i="6" s="1"/>
  <c r="I182" i="6"/>
  <c r="J182" i="6" s="1"/>
  <c r="I25" i="6"/>
  <c r="J25" i="6" s="1"/>
  <c r="I21" i="6"/>
  <c r="J21" i="6" s="1"/>
  <c r="I174" i="6"/>
  <c r="J174" i="6" s="1"/>
  <c r="I83" i="6"/>
  <c r="J83" i="6" s="1"/>
  <c r="I89" i="6"/>
  <c r="J89" i="6" s="1"/>
  <c r="I155" i="6"/>
  <c r="J155" i="6" s="1"/>
  <c r="I168" i="6"/>
  <c r="J168" i="6" s="1"/>
  <c r="I81" i="6"/>
  <c r="J81" i="6" s="1"/>
  <c r="I180" i="6"/>
  <c r="J180" i="6" s="1"/>
  <c r="I103" i="6"/>
  <c r="J103" i="6" s="1"/>
  <c r="I172" i="6"/>
  <c r="J172" i="6" s="1"/>
  <c r="I125" i="6"/>
  <c r="J125" i="6" s="1"/>
  <c r="I149" i="6"/>
  <c r="J149" i="6" s="1"/>
  <c r="I45" i="6"/>
  <c r="J45" i="6" s="1"/>
  <c r="I123" i="6"/>
  <c r="J123" i="6" s="1"/>
  <c r="I47" i="6"/>
  <c r="J47" i="6" s="1"/>
  <c r="I131" i="6"/>
  <c r="O12" i="6" s="1" a="1"/>
  <c r="O12" i="6" s="1"/>
  <c r="I71" i="6"/>
  <c r="J71" i="6" s="1"/>
  <c r="I23" i="6"/>
  <c r="J23" i="6" s="1"/>
  <c r="I61" i="6"/>
  <c r="J61" i="6" s="1"/>
  <c r="I145" i="6"/>
  <c r="J145" i="6" s="1"/>
  <c r="I121" i="6"/>
  <c r="J121" i="6" s="1"/>
  <c r="I141" i="6"/>
  <c r="J141" i="6" s="1"/>
  <c r="I170" i="6"/>
  <c r="J170" i="6" s="1"/>
  <c r="I3" i="6"/>
  <c r="J3" i="6" s="1"/>
  <c r="I151" i="6"/>
  <c r="J151" i="6" s="1"/>
  <c r="I11" i="6"/>
  <c r="J11" i="6" s="1"/>
  <c r="I127" i="6"/>
  <c r="J127" i="6" s="1"/>
  <c r="I7" i="6"/>
  <c r="J7" i="6" s="1"/>
  <c r="I147" i="6"/>
  <c r="J147" i="6" s="1"/>
  <c r="I135" i="6"/>
  <c r="J135" i="6" s="1"/>
  <c r="I115" i="6"/>
  <c r="J115" i="6" s="1"/>
  <c r="I17" i="6"/>
  <c r="J17" i="6" s="1"/>
  <c r="I57" i="6"/>
  <c r="J57" i="6" s="1"/>
  <c r="I67" i="6"/>
  <c r="J67" i="6" s="1"/>
  <c r="I13" i="6"/>
  <c r="J13" i="6" s="1"/>
  <c r="I95" i="6"/>
  <c r="J95" i="6" s="1"/>
  <c r="I91" i="6"/>
  <c r="J91" i="6" s="1"/>
  <c r="I75" i="6"/>
  <c r="J75" i="6" s="1"/>
  <c r="I85" i="6"/>
  <c r="J85" i="6" s="1"/>
  <c r="I41" i="6"/>
  <c r="J41" i="6" s="1"/>
  <c r="P4" i="6"/>
  <c r="P3" i="6"/>
  <c r="O4" i="6"/>
  <c r="O3" i="6"/>
  <c r="O2" i="6"/>
  <c r="O7" i="6" s="1"/>
  <c r="F105" i="3"/>
  <c r="H105" i="3"/>
  <c r="I105" i="3"/>
  <c r="N3" i="11" l="1"/>
  <c r="O3" i="11" s="1"/>
  <c r="O14" i="11"/>
  <c r="O26" i="11"/>
  <c r="O38" i="11"/>
  <c r="O15" i="11"/>
  <c r="O27" i="11"/>
  <c r="O17" i="11"/>
  <c r="O4" i="11"/>
  <c r="O16" i="11"/>
  <c r="O28" i="11"/>
  <c r="O5" i="11"/>
  <c r="O29" i="11"/>
  <c r="O6" i="11"/>
  <c r="O18" i="11"/>
  <c r="O30" i="11"/>
  <c r="O7" i="11"/>
  <c r="O19" i="11"/>
  <c r="O31" i="11"/>
  <c r="O8" i="11"/>
  <c r="O20" i="11"/>
  <c r="O32" i="11"/>
  <c r="O9" i="11"/>
  <c r="O21" i="11"/>
  <c r="O33" i="11"/>
  <c r="O10" i="11"/>
  <c r="O22" i="11"/>
  <c r="O34" i="11"/>
  <c r="O11" i="11"/>
  <c r="O23" i="11"/>
  <c r="O35" i="11"/>
  <c r="O12" i="11"/>
  <c r="O24" i="11"/>
  <c r="O36" i="11"/>
  <c r="O13" i="11"/>
  <c r="O25" i="11"/>
  <c r="O37" i="11"/>
  <c r="O6" i="6"/>
  <c r="J131" i="6"/>
  <c r="N23" i="6" a="1"/>
  <c r="N23" i="6" s="1"/>
  <c r="O5" i="6"/>
  <c r="P4" i="11" l="1"/>
  <c r="P16" i="11"/>
  <c r="P28" i="11"/>
  <c r="P5" i="11"/>
  <c r="P17" i="11"/>
  <c r="P29" i="11"/>
  <c r="P32" i="11"/>
  <c r="P14" i="11"/>
  <c r="P6" i="11"/>
  <c r="P18" i="11"/>
  <c r="P30" i="11"/>
  <c r="P8" i="11"/>
  <c r="P7" i="11"/>
  <c r="P19" i="11"/>
  <c r="P31" i="11"/>
  <c r="P20" i="11"/>
  <c r="P26" i="11"/>
  <c r="P9" i="11"/>
  <c r="P21" i="11"/>
  <c r="P33" i="11"/>
  <c r="P38" i="11"/>
  <c r="P10" i="11"/>
  <c r="P22" i="11"/>
  <c r="P34" i="11"/>
  <c r="P11" i="11"/>
  <c r="P23" i="11"/>
  <c r="P35" i="11"/>
  <c r="P13" i="11"/>
  <c r="P37" i="11"/>
  <c r="P12" i="11"/>
  <c r="P24" i="11"/>
  <c r="P36" i="11"/>
  <c r="P25" i="11"/>
  <c r="P15" i="11"/>
  <c r="P27" i="11"/>
  <c r="P3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8061A-476D-4ED0-92B8-676A4CB764F1}" keepAlive="1" name="Query - India_Staff" description="Connection to the 'India_Staff' query in the workbook." type="5" refreshedVersion="0" background="1">
    <dbPr connection="Provider=Microsoft.Mashup.OleDb.1;Data Source=$Workbook$;Location=India_Staff;Extended Properties=&quot;&quot;" command="SELECT * FROM [India_Staff]"/>
  </connection>
  <connection id="2" xr16:uid="{075E303C-E99F-4C2A-9839-4DEE97DDF822}" keepAlive="1" name="Query - New_Zealand_Staff" description="Connection to the 'New_Zealand_Staff' query in the workbook." type="5" refreshedVersion="0" background="1">
    <dbPr connection="Provider=Microsoft.Mashup.OleDb.1;Data Source=$Workbook$;Location=New_Zealand_Staff;Extended Properties=&quot;&quot;" command="SELECT * FROM [New_Zealand_Staff]"/>
  </connection>
  <connection id="3" xr16:uid="{2893FE3C-F372-4C13-B5B5-26F0F96B855D}" keepAlive="1" name="Query - New_Zealand_Staff (2)" description="Connection to the 'New_Zealand_Staff (2)' query in the workbook." type="5" refreshedVersion="0" background="1">
    <dbPr connection="Provider=Microsoft.Mashup.OleDb.1;Data Source=$Workbook$;Location=&quot;New_Zealand_Staff (2)&quot;;Extended Properties=&quot;&quot;" command="SELECT * FROM [New_Zealand_Staff (2)]"/>
  </connection>
  <connection id="4" xr16:uid="{076C3AE1-EC36-4BB1-B6A4-F31809A94C7A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<sst xmlns="http://schemas.openxmlformats.org/spreadsheetml/2006/main" count="2700" uniqueCount="251">
  <si>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</si>
  <si>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</si>
  <si>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</si>
  <si>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</si>
  <si>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</si>
  <si>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</si>
  <si>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</si>
  <si>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</si>
  <si>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</si>
  <si>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</si>
  <si>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</si>
  <si>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</si>
  <si>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</si>
  <si>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</si>
  <si>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</si>
  <si>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</si>
  <si>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</si>
  <si>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</si>
  <si>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</si>
  <si>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</si>
  <si>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</si>
  <si>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</si>
  <si>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</si>
  <si>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</si>
  <si>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</si>
  <si>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</si>
  <si>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</si>
  <si>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</si>
  <si>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</si>
  <si>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</si>
  <si>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</si>
  <si>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</si>
  <si>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</si>
  <si>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</si>
  <si>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</si>
  <si>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</si>
  <si>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</si>
  <si>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</si>
  <si>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</si>
  <si>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</si>
  <si>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</si>
  <si>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</si>
  <si>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</si>
  <si>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</si>
  <si>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</si>
  <si>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</si>
  <si>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</si>
  <si>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</si>
  <si>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</si>
  <si>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</si>
  <si>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</si>
  <si>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</si>
  <si>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</si>
  <si>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</si>
  <si>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</si>
  <si>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</si>
  <si>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</si>
  <si>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</si>
  <si>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</si>
  <si>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</si>
  <si>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</si>
  <si>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</si>
  <si>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</si>
  <si>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</si>
  <si>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</si>
  <si>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</si>
  <si>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</si>
  <si>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</si>
  <si>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</si>
  <si>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</si>
  <si>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</si>
  <si>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</si>
  <si>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</si>
  <si>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</si>
  <si>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</si>
  <si>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</si>
  <si>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</si>
  <si>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</si>
  <si>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</si>
  <si>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</si>
  <si>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</si>
  <si>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</si>
  <si>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</si>
  <si>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</si>
  <si>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</si>
  <si>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</si>
  <si>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</si>
  <si>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</si>
  <si>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</si>
  <si>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</si>
  <si>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</si>
  <si>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</si>
  <si>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</si>
  <si>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</si>
  <si>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</si>
  <si>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</si>
  <si>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</si>
  <si>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</si>
  <si>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</si>
  <si>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</si>
  <si>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</si>
  <si>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</si>
  <si>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</si>
  <si>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</si>
  <si>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</si>
  <si>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</si>
  <si>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</si>
  <si>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</si>
  <si>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</si>
  <si>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</si>
  <si>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</si>
  <si>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</si>
  <si>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</si>
  <si>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</si>
  <si>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</si>
  <si>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</si>
  <si>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</si>
  <si>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</si>
  <si>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</si>
  <si>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</si>
  <si>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</si>
  <si>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</si>
  <si>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</si>
  <si>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</si>
  <si>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</si>
  <si>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</si>
  <si>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</si>
  <si>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</si>
  <si>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</si>
  <si>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</si>
  <si>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</si>
  <si>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</si>
  <si>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</si>
  <si>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</si>
  <si>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</si>
  <si>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</si>
  <si>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</si>
  <si>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</si>
  <si>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</si>
  <si>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</si>
  <si>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</si>
  <si>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</si>
  <si>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</si>
  <si>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</si>
  <si>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</si>
  <si>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</si>
  <si>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</si>
  <si>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</si>
  <si>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</si>
  <si>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</si>
  <si>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</si>
  <si>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</si>
  <si>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</si>
  <si>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</si>
  <si>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</si>
  <si>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</si>
  <si>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</si>
  <si>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</si>
  <si>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</si>
  <si>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</si>
  <si>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</si>
  <si>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</si>
  <si>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</si>
  <si>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</si>
  <si>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</si>
  <si>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</si>
  <si>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</si>
  <si>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</si>
  <si>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</si>
  <si>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</si>
  <si>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</si>
  <si>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</si>
  <si>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</si>
  <si>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</si>
  <si>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</si>
  <si>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</si>
  <si>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</si>
  <si>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</si>
  <si>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</si>
  <si>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</si>
  <si>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</si>
  <si>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</si>
  <si>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</si>
  <si>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</si>
  <si>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</si>
  <si>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</si>
  <si>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</si>
  <si>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</si>
  <si>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</si>
  <si>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</si>
  <si>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</si>
  <si>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</si>
  <si>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</si>
  <si>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</si>
  <si>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</si>
  <si>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</si>
  <si>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</si>
  <si>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</si>
  <si>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</si>
  <si>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</si>
  <si>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</si>
  <si>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</si>
  <si>
    <t>Total</t>
  </si>
  <si>
    <t>Country</t>
  </si>
  <si>
    <t>Other</t>
  </si>
  <si>
    <t>NZ</t>
  </si>
  <si>
    <t>IND</t>
  </si>
  <si>
    <t>Count of employees</t>
  </si>
  <si>
    <t xml:space="preserve">Average Salary </t>
  </si>
  <si>
    <t xml:space="preserve">Average Age </t>
  </si>
  <si>
    <t xml:space="preserve">Average Tenure </t>
  </si>
  <si>
    <t>Female ratio %</t>
  </si>
  <si>
    <t>Tenure</t>
  </si>
  <si>
    <t xml:space="preserve">Ratio of staff &gt; $90,000 </t>
  </si>
  <si>
    <t>Looking for information of Hinda Label</t>
  </si>
  <si>
    <t xml:space="preserve">Department </t>
  </si>
  <si>
    <t>Looking for Department information</t>
  </si>
  <si>
    <t>Column Labels</t>
  </si>
  <si>
    <t>Count of Name</t>
  </si>
  <si>
    <t>Average of Age</t>
  </si>
  <si>
    <t>Values</t>
  </si>
  <si>
    <t>Average of Salary</t>
  </si>
  <si>
    <t>Average of Tenure</t>
  </si>
  <si>
    <t>Bonus</t>
  </si>
  <si>
    <t>Row Labels</t>
  </si>
  <si>
    <t>Grand Total</t>
  </si>
  <si>
    <t>Rating as Number</t>
  </si>
  <si>
    <t>2020</t>
  </si>
  <si>
    <t>May</t>
  </si>
  <si>
    <t>Jun</t>
  </si>
  <si>
    <t>Jul</t>
  </si>
  <si>
    <t>Aug</t>
  </si>
  <si>
    <t>Sep</t>
  </si>
  <si>
    <t>Oct</t>
  </si>
  <si>
    <t>Nov</t>
  </si>
  <si>
    <t>Dec</t>
  </si>
  <si>
    <t>2021</t>
  </si>
  <si>
    <t>Feb</t>
  </si>
  <si>
    <t>Apr</t>
  </si>
  <si>
    <t>2022</t>
  </si>
  <si>
    <t>2023</t>
  </si>
  <si>
    <t>Month</t>
  </si>
  <si>
    <t>HeadCount</t>
  </si>
  <si>
    <t>Running Total</t>
  </si>
  <si>
    <t xml:space="preserve">Head Count by Department </t>
  </si>
  <si>
    <t>India</t>
  </si>
  <si>
    <t>New Zealand</t>
  </si>
  <si>
    <t xml:space="preserve"> </t>
  </si>
  <si>
    <t>Number of Employee</t>
  </si>
  <si>
    <t>Female Ratio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</si>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</sst>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[$-409]mmm\-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Soegoe UI Black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Soegoe UI Black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0" fillId="0" borderId="0" xfId="0" pivotButton="1"/>
    <xf numFmtId="8" fontId="1" fillId="0" borderId="0" xfId="0" applyNumberFormat="1" applyFont="1"/>
    <xf numFmtId="6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/>
    <xf numFmtId="0" fontId="2" fillId="4" borderId="0" xfId="0" applyFont="1" applyFill="1" applyAlignment="1">
      <alignment horizontal="center" vertical="center"/>
    </xf>
    <xf numFmtId="9" fontId="2" fillId="4" borderId="0" xfId="0" applyNumberFormat="1" applyFont="1" applyFill="1" applyAlignment="1">
      <alignment horizontal="center" vertical="center"/>
    </xf>
    <xf numFmtId="6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9" fontId="2" fillId="5" borderId="0" xfId="0" applyNumberFormat="1" applyFont="1" applyFill="1" applyAlignment="1">
      <alignment horizontal="center" vertical="center"/>
    </xf>
    <xf numFmtId="6" fontId="2" fillId="5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0" formatCode="d\-mmm\-yy"/>
    </dxf>
    <dxf>
      <numFmt numFmtId="10" formatCode="&quot;$&quot;#,##0_);[Red]\(&quot;$&quot;#,##0\)"/>
    </dxf>
    <dxf>
      <numFmt numFmtId="10" formatCode="&quot;$&quot;#,##0_);[Red]\(&quot;$&quot;#,##0\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12" formatCode="&quot;$&quot;#,##0.00_);[Red]\(&quot;$&quot;#,##0.00\)"/>
    </dxf>
    <dxf>
      <numFmt numFmtId="0" formatCode="General"/>
    </dxf>
    <dxf>
      <numFmt numFmtId="0" formatCode="General"/>
    </dxf>
    <dxf>
      <numFmt numFmtId="10" formatCode="&quot;$&quot;#,##0_);[Red]\(&quot;$&quot;#,##0\)"/>
    </dxf>
    <dxf>
      <numFmt numFmtId="0" formatCode="General"/>
    </dxf>
    <dxf>
      <numFmt numFmtId="12" formatCode="&quot;$&quot;#,##0.00_);[Red]\(&quot;$&quot;#,##0.00\)"/>
    </dxf>
    <dxf>
      <numFmt numFmtId="2" formatCode="0.00"/>
    </dxf>
    <dxf>
      <numFmt numFmtId="10" formatCode="&quot;$&quot;#,##0_);[Red]\(&quot;$&quot;#,##0\)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Procurement</c:v>
              </c:pt>
              <c:pt idx="1">
                <c:v>Website</c:v>
              </c:pt>
              <c:pt idx="2">
                <c:v>Finance</c:v>
              </c:pt>
              <c:pt idx="3">
                <c:v>Sales</c:v>
              </c:pt>
              <c:pt idx="4">
                <c:v>HR</c:v>
              </c:pt>
            </c:strLit>
          </c:cat>
          <c:val>
            <c:numLit>
              <c:formatCode>General</c:formatCode>
              <c:ptCount val="5"/>
              <c:pt idx="0">
                <c:v>28</c:v>
              </c:pt>
              <c:pt idx="1">
                <c:v>27</c:v>
              </c:pt>
              <c:pt idx="2">
                <c:v>19</c:v>
              </c:pt>
              <c:pt idx="3">
                <c:v>14</c:v>
              </c:pt>
              <c:pt idx="4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0-3A83-4BFB-BB6D-F762C4D18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213799696"/>
        <c:axId val="152586656"/>
      </c:barChart>
      <c:catAx>
        <c:axId val="12137996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6656"/>
        <c:crosses val="autoZero"/>
        <c:auto val="1"/>
        <c:lblAlgn val="ctr"/>
        <c:lblOffset val="100"/>
        <c:noMultiLvlLbl val="0"/>
      </c:catAx>
      <c:valAx>
        <c:axId val="1525866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79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Website</c:v>
              </c:pt>
              <c:pt idx="1">
                <c:v>Procurement</c:v>
              </c:pt>
              <c:pt idx="2">
                <c:v>Finance</c:v>
              </c:pt>
              <c:pt idx="3">
                <c:v>Sales</c:v>
              </c:pt>
              <c:pt idx="4">
                <c:v>HR</c:v>
              </c:pt>
            </c:strLit>
          </c:cat>
          <c:val>
            <c:numLit>
              <c:formatCode>General</c:formatCode>
              <c:ptCount val="5"/>
              <c:pt idx="0">
                <c:v>27</c:v>
              </c:pt>
              <c:pt idx="1">
                <c:v>27</c:v>
              </c:pt>
              <c:pt idx="2">
                <c:v>19</c:v>
              </c:pt>
              <c:pt idx="3">
                <c:v>14</c:v>
              </c:pt>
              <c:pt idx="4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0-6A8B-431C-97BF-4E8CAB542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248505248"/>
        <c:axId val="152581376"/>
      </c:barChart>
      <c:catAx>
        <c:axId val="2485052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1376"/>
        <c:crosses val="autoZero"/>
        <c:auto val="1"/>
        <c:lblAlgn val="ctr"/>
        <c:lblOffset val="100"/>
        <c:noMultiLvlLbl val="0"/>
      </c:catAx>
      <c:valAx>
        <c:axId val="1525813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0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vs. Rating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All_Staff!$K$1</c:f>
              <c:strCache>
                <c:ptCount val="1"/>
                <c:pt idx="0">
                  <c:v>Rating as 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All_Staff!$G$2:$G$184</c:f>
              <c:numCache>
                <c:formatCode>"$"#,##0_);[Red]\("$"#,##0\)</c:formatCode>
                <c:ptCount val="183"/>
                <c:pt idx="0">
                  <c:v>33920</c:v>
                </c:pt>
                <c:pt idx="1">
                  <c:v>33920</c:v>
                </c:pt>
                <c:pt idx="2">
                  <c:v>34980</c:v>
                </c:pt>
                <c:pt idx="3">
                  <c:v>34980</c:v>
                </c:pt>
                <c:pt idx="4">
                  <c:v>36040</c:v>
                </c:pt>
                <c:pt idx="5">
                  <c:v>36040</c:v>
                </c:pt>
                <c:pt idx="6">
                  <c:v>37920</c:v>
                </c:pt>
                <c:pt idx="7">
                  <c:v>37920</c:v>
                </c:pt>
                <c:pt idx="8">
                  <c:v>40400</c:v>
                </c:pt>
                <c:pt idx="9">
                  <c:v>40400</c:v>
                </c:pt>
                <c:pt idx="10">
                  <c:v>41570</c:v>
                </c:pt>
                <c:pt idx="11">
                  <c:v>41570</c:v>
                </c:pt>
                <c:pt idx="12">
                  <c:v>41980</c:v>
                </c:pt>
                <c:pt idx="13">
                  <c:v>41980</c:v>
                </c:pt>
                <c:pt idx="14">
                  <c:v>43510</c:v>
                </c:pt>
                <c:pt idx="15">
                  <c:v>43510</c:v>
                </c:pt>
                <c:pt idx="16">
                  <c:v>43840</c:v>
                </c:pt>
                <c:pt idx="17">
                  <c:v>43840</c:v>
                </c:pt>
                <c:pt idx="18">
                  <c:v>45510</c:v>
                </c:pt>
                <c:pt idx="19">
                  <c:v>45510</c:v>
                </c:pt>
                <c:pt idx="20">
                  <c:v>47360</c:v>
                </c:pt>
                <c:pt idx="21">
                  <c:v>47360</c:v>
                </c:pt>
                <c:pt idx="22">
                  <c:v>48170</c:v>
                </c:pt>
                <c:pt idx="23">
                  <c:v>48170</c:v>
                </c:pt>
                <c:pt idx="24">
                  <c:v>48530</c:v>
                </c:pt>
                <c:pt idx="25">
                  <c:v>48530</c:v>
                </c:pt>
                <c:pt idx="26">
                  <c:v>48950</c:v>
                </c:pt>
                <c:pt idx="27">
                  <c:v>48950</c:v>
                </c:pt>
                <c:pt idx="28">
                  <c:v>48980</c:v>
                </c:pt>
                <c:pt idx="29">
                  <c:v>48980</c:v>
                </c:pt>
                <c:pt idx="30">
                  <c:v>49630</c:v>
                </c:pt>
                <c:pt idx="31">
                  <c:v>49630</c:v>
                </c:pt>
                <c:pt idx="32">
                  <c:v>52610</c:v>
                </c:pt>
                <c:pt idx="33">
                  <c:v>52610</c:v>
                </c:pt>
                <c:pt idx="34">
                  <c:v>53240</c:v>
                </c:pt>
                <c:pt idx="35">
                  <c:v>53240</c:v>
                </c:pt>
                <c:pt idx="36">
                  <c:v>53540</c:v>
                </c:pt>
                <c:pt idx="37">
                  <c:v>53540</c:v>
                </c:pt>
                <c:pt idx="38">
                  <c:v>53540</c:v>
                </c:pt>
                <c:pt idx="39">
                  <c:v>53540</c:v>
                </c:pt>
                <c:pt idx="40">
                  <c:v>53870</c:v>
                </c:pt>
                <c:pt idx="41">
                  <c:v>53870</c:v>
                </c:pt>
                <c:pt idx="42">
                  <c:v>54970</c:v>
                </c:pt>
                <c:pt idx="43">
                  <c:v>54970</c:v>
                </c:pt>
                <c:pt idx="44">
                  <c:v>56870</c:v>
                </c:pt>
                <c:pt idx="45">
                  <c:v>56870</c:v>
                </c:pt>
                <c:pt idx="46">
                  <c:v>57090</c:v>
                </c:pt>
                <c:pt idx="47">
                  <c:v>57090</c:v>
                </c:pt>
                <c:pt idx="48">
                  <c:v>58100</c:v>
                </c:pt>
                <c:pt idx="49">
                  <c:v>58100</c:v>
                </c:pt>
                <c:pt idx="50">
                  <c:v>58940</c:v>
                </c:pt>
                <c:pt idx="51">
                  <c:v>58940</c:v>
                </c:pt>
                <c:pt idx="52">
                  <c:v>58960</c:v>
                </c:pt>
                <c:pt idx="53">
                  <c:v>58960</c:v>
                </c:pt>
                <c:pt idx="54">
                  <c:v>59430</c:v>
                </c:pt>
                <c:pt idx="55">
                  <c:v>59430</c:v>
                </c:pt>
                <c:pt idx="56">
                  <c:v>60130</c:v>
                </c:pt>
                <c:pt idx="57">
                  <c:v>60130</c:v>
                </c:pt>
                <c:pt idx="58">
                  <c:v>60570</c:v>
                </c:pt>
                <c:pt idx="59">
                  <c:v>60570</c:v>
                </c:pt>
                <c:pt idx="60">
                  <c:v>62780</c:v>
                </c:pt>
                <c:pt idx="61">
                  <c:v>62780</c:v>
                </c:pt>
                <c:pt idx="62">
                  <c:v>64000</c:v>
                </c:pt>
                <c:pt idx="63">
                  <c:v>64000</c:v>
                </c:pt>
                <c:pt idx="64">
                  <c:v>65360</c:v>
                </c:pt>
                <c:pt idx="65">
                  <c:v>65360</c:v>
                </c:pt>
                <c:pt idx="66">
                  <c:v>65700</c:v>
                </c:pt>
                <c:pt idx="67">
                  <c:v>65700</c:v>
                </c:pt>
                <c:pt idx="68">
                  <c:v>65920</c:v>
                </c:pt>
                <c:pt idx="69">
                  <c:v>65920</c:v>
                </c:pt>
                <c:pt idx="70">
                  <c:v>67910</c:v>
                </c:pt>
                <c:pt idx="71">
                  <c:v>67910</c:v>
                </c:pt>
                <c:pt idx="72">
                  <c:v>67950</c:v>
                </c:pt>
                <c:pt idx="73">
                  <c:v>67950</c:v>
                </c:pt>
                <c:pt idx="74">
                  <c:v>68900</c:v>
                </c:pt>
                <c:pt idx="75">
                  <c:v>68900</c:v>
                </c:pt>
                <c:pt idx="76">
                  <c:v>69070</c:v>
                </c:pt>
                <c:pt idx="77">
                  <c:v>69070</c:v>
                </c:pt>
                <c:pt idx="78">
                  <c:v>69120</c:v>
                </c:pt>
                <c:pt idx="79">
                  <c:v>69120</c:v>
                </c:pt>
                <c:pt idx="80">
                  <c:v>69710</c:v>
                </c:pt>
                <c:pt idx="81">
                  <c:v>69710</c:v>
                </c:pt>
                <c:pt idx="82">
                  <c:v>70270</c:v>
                </c:pt>
                <c:pt idx="83">
                  <c:v>70270</c:v>
                </c:pt>
                <c:pt idx="84">
                  <c:v>70610</c:v>
                </c:pt>
                <c:pt idx="85">
                  <c:v>70610</c:v>
                </c:pt>
                <c:pt idx="86">
                  <c:v>71380</c:v>
                </c:pt>
                <c:pt idx="87">
                  <c:v>71380</c:v>
                </c:pt>
                <c:pt idx="88">
                  <c:v>74550</c:v>
                </c:pt>
                <c:pt idx="89">
                  <c:v>74550</c:v>
                </c:pt>
                <c:pt idx="90">
                  <c:v>75000</c:v>
                </c:pt>
                <c:pt idx="91">
                  <c:v>75000</c:v>
                </c:pt>
                <c:pt idx="92">
                  <c:v>75280</c:v>
                </c:pt>
                <c:pt idx="93">
                  <c:v>75280</c:v>
                </c:pt>
                <c:pt idx="94">
                  <c:v>75480</c:v>
                </c:pt>
                <c:pt idx="95">
                  <c:v>75480</c:v>
                </c:pt>
                <c:pt idx="96">
                  <c:v>75880</c:v>
                </c:pt>
                <c:pt idx="97">
                  <c:v>75880</c:v>
                </c:pt>
                <c:pt idx="98">
                  <c:v>75970</c:v>
                </c:pt>
                <c:pt idx="99">
                  <c:v>75970</c:v>
                </c:pt>
                <c:pt idx="100">
                  <c:v>76900</c:v>
                </c:pt>
                <c:pt idx="101">
                  <c:v>76900</c:v>
                </c:pt>
                <c:pt idx="102">
                  <c:v>78390</c:v>
                </c:pt>
                <c:pt idx="103">
                  <c:v>78390</c:v>
                </c:pt>
                <c:pt idx="104">
                  <c:v>78540</c:v>
                </c:pt>
                <c:pt idx="105">
                  <c:v>78540</c:v>
                </c:pt>
                <c:pt idx="106">
                  <c:v>79570</c:v>
                </c:pt>
                <c:pt idx="107">
                  <c:v>79570</c:v>
                </c:pt>
                <c:pt idx="108">
                  <c:v>80700</c:v>
                </c:pt>
                <c:pt idx="109">
                  <c:v>80700</c:v>
                </c:pt>
                <c:pt idx="110">
                  <c:v>83750</c:v>
                </c:pt>
                <c:pt idx="111">
                  <c:v>83750</c:v>
                </c:pt>
                <c:pt idx="112">
                  <c:v>85000</c:v>
                </c:pt>
                <c:pt idx="113">
                  <c:v>85000</c:v>
                </c:pt>
                <c:pt idx="114">
                  <c:v>86570</c:v>
                </c:pt>
                <c:pt idx="115">
                  <c:v>86570</c:v>
                </c:pt>
                <c:pt idx="116">
                  <c:v>87620</c:v>
                </c:pt>
                <c:pt idx="117">
                  <c:v>87620</c:v>
                </c:pt>
                <c:pt idx="118">
                  <c:v>88050</c:v>
                </c:pt>
                <c:pt idx="119">
                  <c:v>88050</c:v>
                </c:pt>
                <c:pt idx="120">
                  <c:v>90700</c:v>
                </c:pt>
                <c:pt idx="121">
                  <c:v>90700</c:v>
                </c:pt>
                <c:pt idx="122">
                  <c:v>91310</c:v>
                </c:pt>
                <c:pt idx="123">
                  <c:v>91310</c:v>
                </c:pt>
                <c:pt idx="124">
                  <c:v>91650</c:v>
                </c:pt>
                <c:pt idx="125">
                  <c:v>91650</c:v>
                </c:pt>
                <c:pt idx="126">
                  <c:v>92450</c:v>
                </c:pt>
                <c:pt idx="127">
                  <c:v>92450</c:v>
                </c:pt>
                <c:pt idx="128">
                  <c:v>92700</c:v>
                </c:pt>
                <c:pt idx="129">
                  <c:v>92700</c:v>
                </c:pt>
                <c:pt idx="130">
                  <c:v>96140</c:v>
                </c:pt>
                <c:pt idx="131">
                  <c:v>96140</c:v>
                </c:pt>
                <c:pt idx="132">
                  <c:v>96800</c:v>
                </c:pt>
                <c:pt idx="133">
                  <c:v>96800</c:v>
                </c:pt>
                <c:pt idx="134">
                  <c:v>99750</c:v>
                </c:pt>
                <c:pt idx="135">
                  <c:v>99750</c:v>
                </c:pt>
                <c:pt idx="136">
                  <c:v>99970</c:v>
                </c:pt>
                <c:pt idx="137">
                  <c:v>99970</c:v>
                </c:pt>
                <c:pt idx="138">
                  <c:v>100420</c:v>
                </c:pt>
                <c:pt idx="139">
                  <c:v>100420</c:v>
                </c:pt>
                <c:pt idx="140">
                  <c:v>103550</c:v>
                </c:pt>
                <c:pt idx="141">
                  <c:v>103550</c:v>
                </c:pt>
                <c:pt idx="142">
                  <c:v>104120</c:v>
                </c:pt>
                <c:pt idx="143">
                  <c:v>104120</c:v>
                </c:pt>
                <c:pt idx="144">
                  <c:v>104410</c:v>
                </c:pt>
                <c:pt idx="145">
                  <c:v>104410</c:v>
                </c:pt>
                <c:pt idx="146">
                  <c:v>104770</c:v>
                </c:pt>
                <c:pt idx="147">
                  <c:v>104770</c:v>
                </c:pt>
                <c:pt idx="148">
                  <c:v>106460</c:v>
                </c:pt>
                <c:pt idx="149">
                  <c:v>106460</c:v>
                </c:pt>
                <c:pt idx="150">
                  <c:v>107700</c:v>
                </c:pt>
                <c:pt idx="151">
                  <c:v>107700</c:v>
                </c:pt>
                <c:pt idx="152">
                  <c:v>109160</c:v>
                </c:pt>
                <c:pt idx="153">
                  <c:v>109160</c:v>
                </c:pt>
                <c:pt idx="154">
                  <c:v>109190</c:v>
                </c:pt>
                <c:pt idx="155">
                  <c:v>109190</c:v>
                </c:pt>
                <c:pt idx="156">
                  <c:v>112110</c:v>
                </c:pt>
                <c:pt idx="157">
                  <c:v>112110</c:v>
                </c:pt>
                <c:pt idx="158">
                  <c:v>112570</c:v>
                </c:pt>
                <c:pt idx="159">
                  <c:v>112570</c:v>
                </c:pt>
                <c:pt idx="160">
                  <c:v>112650</c:v>
                </c:pt>
                <c:pt idx="161">
                  <c:v>112650</c:v>
                </c:pt>
                <c:pt idx="162">
                  <c:v>112650</c:v>
                </c:pt>
                <c:pt idx="163">
                  <c:v>112780</c:v>
                </c:pt>
                <c:pt idx="164">
                  <c:v>112780</c:v>
                </c:pt>
                <c:pt idx="165">
                  <c:v>113280</c:v>
                </c:pt>
                <c:pt idx="166">
                  <c:v>113280</c:v>
                </c:pt>
                <c:pt idx="167">
                  <c:v>114180</c:v>
                </c:pt>
                <c:pt idx="168">
                  <c:v>114180</c:v>
                </c:pt>
                <c:pt idx="169">
                  <c:v>114870</c:v>
                </c:pt>
                <c:pt idx="170">
                  <c:v>114870</c:v>
                </c:pt>
                <c:pt idx="171">
                  <c:v>114890</c:v>
                </c:pt>
                <c:pt idx="172">
                  <c:v>114890</c:v>
                </c:pt>
                <c:pt idx="173">
                  <c:v>115440</c:v>
                </c:pt>
                <c:pt idx="174">
                  <c:v>115440</c:v>
                </c:pt>
                <c:pt idx="175">
                  <c:v>115920</c:v>
                </c:pt>
                <c:pt idx="176">
                  <c:v>115920</c:v>
                </c:pt>
                <c:pt idx="177">
                  <c:v>118100</c:v>
                </c:pt>
                <c:pt idx="178">
                  <c:v>118100</c:v>
                </c:pt>
                <c:pt idx="179">
                  <c:v>118840</c:v>
                </c:pt>
                <c:pt idx="180">
                  <c:v>118840</c:v>
                </c:pt>
                <c:pt idx="181">
                  <c:v>119110</c:v>
                </c:pt>
                <c:pt idx="182">
                  <c:v>119110</c:v>
                </c:pt>
              </c:numCache>
            </c:numRef>
          </c:xVal>
          <c:yVal>
            <c:numRef>
              <c:f>All_Staff!$K$2:$K$184</c:f>
              <c:numCache>
                <c:formatCode>General</c:formatCode>
                <c:ptCount val="18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5</c:v>
                </c:pt>
                <c:pt idx="91">
                  <c:v>5</c:v>
                </c:pt>
                <c:pt idx="92">
                  <c:v>3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4</c:v>
                </c:pt>
                <c:pt idx="121">
                  <c:v>4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5</c:v>
                </c:pt>
                <c:pt idx="153">
                  <c:v>5</c:v>
                </c:pt>
                <c:pt idx="154">
                  <c:v>4</c:v>
                </c:pt>
                <c:pt idx="155">
                  <c:v>4</c:v>
                </c:pt>
                <c:pt idx="156">
                  <c:v>2</c:v>
                </c:pt>
                <c:pt idx="157">
                  <c:v>2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4</c:v>
                </c:pt>
                <c:pt idx="164">
                  <c:v>4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65-4F88-8248-A4E9256D5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837296"/>
        <c:axId val="152588576"/>
      </c:scatterChart>
      <c:valAx>
        <c:axId val="121283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8576"/>
        <c:crosses val="autoZero"/>
        <c:crossBetween val="midCat"/>
      </c:valAx>
      <c:valAx>
        <c:axId val="15258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3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[NZ_IND_data.xlsx]Employee_trend!PivotTable6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Employee_trend!$B$2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Employee_trend!$A$3:$A$17</c:f>
              <c:multiLvlStrCache>
                <c:ptCount val="12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10">
                    <c:v>Feb</c:v>
                  </c:pt>
                  <c:pt idx="11">
                    <c:v>Apr</c:v>
                  </c:pt>
                </c:lvl>
                <c:lvl>
                  <c:pt idx="0">
                    <c:v>2020</c:v>
                  </c:pt>
                  <c:pt idx="8">
                    <c:v>2021</c:v>
                  </c:pt>
                  <c:pt idx="9">
                    <c:v>2022</c:v>
                  </c:pt>
                  <c:pt idx="10">
                    <c:v>2023</c:v>
                  </c:pt>
                </c:lvl>
              </c:multiLvlStrCache>
            </c:multiLvlStrRef>
          </c:cat>
          <c:val>
            <c:numRef>
              <c:f>Employee_trend!$B$3:$B$17</c:f>
              <c:numCache>
                <c:formatCode>General</c:formatCode>
                <c:ptCount val="12"/>
                <c:pt idx="0">
                  <c:v>3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82</c:v>
                </c:pt>
                <c:pt idx="9">
                  <c:v>62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B-4AE8-AE18-B77431F2E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2870240"/>
        <c:axId val="152584736"/>
      </c:lineChart>
      <c:catAx>
        <c:axId val="121287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4736"/>
        <c:crosses val="autoZero"/>
        <c:auto val="1"/>
        <c:lblAlgn val="ctr"/>
        <c:lblOffset val="100"/>
        <c:noMultiLvlLbl val="0"/>
      </c:catAx>
      <c:valAx>
        <c:axId val="15258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7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total of Employees added</a:t>
            </a:r>
            <a:r>
              <a:rPr lang="en-US"/>
              <a:t> from May 2020 -</a:t>
            </a:r>
            <a:r>
              <a:rPr lang="en-US" baseline="0"/>
              <a:t> April 2023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Employee_trend!$P$2</c:f>
              <c:strCache>
                <c:ptCount val="1"/>
                <c:pt idx="0">
                  <c:v>Running 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Employee_trend!$N$3:$N$65</c:f>
              <c:numCache>
                <c:formatCode>[$-409]mmm\-yy;@</c:formatCode>
                <c:ptCount val="63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  <c:pt idx="12">
                  <c:v>44317</c:v>
                </c:pt>
                <c:pt idx="13">
                  <c:v>44348</c:v>
                </c:pt>
                <c:pt idx="14">
                  <c:v>44378</c:v>
                </c:pt>
                <c:pt idx="15">
                  <c:v>44409</c:v>
                </c:pt>
                <c:pt idx="16">
                  <c:v>44440</c:v>
                </c:pt>
                <c:pt idx="17">
                  <c:v>44470</c:v>
                </c:pt>
                <c:pt idx="18">
                  <c:v>44501</c:v>
                </c:pt>
                <c:pt idx="19">
                  <c:v>44531</c:v>
                </c:pt>
                <c:pt idx="20">
                  <c:v>44562</c:v>
                </c:pt>
                <c:pt idx="21">
                  <c:v>44593</c:v>
                </c:pt>
                <c:pt idx="22">
                  <c:v>44621</c:v>
                </c:pt>
                <c:pt idx="23">
                  <c:v>44652</c:v>
                </c:pt>
                <c:pt idx="24">
                  <c:v>44682</c:v>
                </c:pt>
                <c:pt idx="25">
                  <c:v>44713</c:v>
                </c:pt>
                <c:pt idx="26">
                  <c:v>44743</c:v>
                </c:pt>
                <c:pt idx="27">
                  <c:v>44774</c:v>
                </c:pt>
                <c:pt idx="28">
                  <c:v>44805</c:v>
                </c:pt>
                <c:pt idx="29">
                  <c:v>44835</c:v>
                </c:pt>
                <c:pt idx="30">
                  <c:v>44866</c:v>
                </c:pt>
                <c:pt idx="31">
                  <c:v>44896</c:v>
                </c:pt>
                <c:pt idx="32">
                  <c:v>44927</c:v>
                </c:pt>
                <c:pt idx="33">
                  <c:v>44958</c:v>
                </c:pt>
                <c:pt idx="34">
                  <c:v>44986</c:v>
                </c:pt>
                <c:pt idx="35">
                  <c:v>45017</c:v>
                </c:pt>
              </c:numCache>
            </c:numRef>
          </c:xVal>
          <c:yVal>
            <c:numRef>
              <c:f>Employee_trend!$P$3:$P$65</c:f>
              <c:numCache>
                <c:formatCode>General</c:formatCode>
                <c:ptCount val="63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  <c:pt idx="7">
                  <c:v>37</c:v>
                </c:pt>
                <c:pt idx="8">
                  <c:v>43</c:v>
                </c:pt>
                <c:pt idx="9">
                  <c:v>47</c:v>
                </c:pt>
                <c:pt idx="10">
                  <c:v>56</c:v>
                </c:pt>
                <c:pt idx="11">
                  <c:v>61</c:v>
                </c:pt>
                <c:pt idx="12">
                  <c:v>71</c:v>
                </c:pt>
                <c:pt idx="13">
                  <c:v>77</c:v>
                </c:pt>
                <c:pt idx="14">
                  <c:v>90</c:v>
                </c:pt>
                <c:pt idx="15">
                  <c:v>94</c:v>
                </c:pt>
                <c:pt idx="16">
                  <c:v>105</c:v>
                </c:pt>
                <c:pt idx="17">
                  <c:v>108</c:v>
                </c:pt>
                <c:pt idx="18">
                  <c:v>112</c:v>
                </c:pt>
                <c:pt idx="19">
                  <c:v>119</c:v>
                </c:pt>
                <c:pt idx="20">
                  <c:v>122</c:v>
                </c:pt>
                <c:pt idx="21">
                  <c:v>132</c:v>
                </c:pt>
                <c:pt idx="22">
                  <c:v>141</c:v>
                </c:pt>
                <c:pt idx="23">
                  <c:v>150</c:v>
                </c:pt>
                <c:pt idx="24">
                  <c:v>159</c:v>
                </c:pt>
                <c:pt idx="25">
                  <c:v>166</c:v>
                </c:pt>
                <c:pt idx="26">
                  <c:v>171</c:v>
                </c:pt>
                <c:pt idx="27">
                  <c:v>176</c:v>
                </c:pt>
                <c:pt idx="28">
                  <c:v>178</c:v>
                </c:pt>
                <c:pt idx="29">
                  <c:v>181</c:v>
                </c:pt>
                <c:pt idx="30">
                  <c:v>181</c:v>
                </c:pt>
                <c:pt idx="31">
                  <c:v>181</c:v>
                </c:pt>
                <c:pt idx="32">
                  <c:v>181</c:v>
                </c:pt>
                <c:pt idx="33">
                  <c:v>182</c:v>
                </c:pt>
                <c:pt idx="34">
                  <c:v>182</c:v>
                </c:pt>
                <c:pt idx="35">
                  <c:v>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0-44C1-AC3F-AD82531D14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8513872"/>
        <c:axId val="20990944"/>
      </c:scatterChart>
      <c:valAx>
        <c:axId val="2851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944"/>
        <c:crosses val="autoZero"/>
        <c:crossBetween val="midCat"/>
      </c:valAx>
      <c:valAx>
        <c:axId val="2099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Spread-by $10,000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Spread-by $10,000</a:t>
          </a:r>
        </a:p>
      </cx:txPr>
    </cx:title>
    <cx:plotArea>
      <cx:plotAreaRegion>
        <cx:series layoutId="clusteredColumn" uniqueId="{533262CD-751E-4C15-B182-D0CA4E7FE6FA}">
          <cx:tx>
            <cx:txData>
              <cx:f>_xlchart.v1.0</cx:f>
              <cx:v>Salary</cx:v>
            </cx:txData>
          </cx:tx>
          <cx:dataId val="0"/>
          <cx:layoutPr>
            <cx:binning intervalClosed="r" underflow="40000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Salary SpreadSheet-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SpreadSheet- Box Plot</a:t>
          </a:r>
        </a:p>
      </cx:txPr>
    </cx:title>
    <cx:plotArea>
      <cx:plotAreaRegion>
        <cx:series layoutId="boxWhisker" uniqueId="{3796F833-66FF-45E7-BADE-901EC33BFD0A}">
          <cx:tx>
            <cx:txData>
              <cx:f>_xlchart.v1.2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8</xdr:row>
      <xdr:rowOff>9525</xdr:rowOff>
    </xdr:from>
    <xdr:to>
      <xdr:col>11</xdr:col>
      <xdr:colOff>2371724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D9F4F-0481-4B0F-B334-13F3777C9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25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0D7A0B-3ED5-4C23-80EA-6401453D6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428625</xdr:colOff>
      <xdr:row>22</xdr:row>
      <xdr:rowOff>176214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AC75013-0ECE-4117-AF52-93D871A7A5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200025"/>
              <a:ext cx="8353425" cy="41671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</xdr:colOff>
      <xdr:row>1</xdr:row>
      <xdr:rowOff>0</xdr:rowOff>
    </xdr:from>
    <xdr:to>
      <xdr:col>22</xdr:col>
      <xdr:colOff>509589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06D636F-D32A-4D3E-9B6B-3B409FB30F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601" y="190500"/>
              <a:ext cx="4167188" cy="419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9524</xdr:rowOff>
    </xdr:from>
    <xdr:to>
      <xdr:col>14</xdr:col>
      <xdr:colOff>600075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AECB5D-F24A-4FF8-BF09-6AC93D62E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581024</xdr:colOff>
      <xdr:row>1</xdr:row>
      <xdr:rowOff>14286</xdr:rowOff>
    </xdr:from>
    <xdr:to>
      <xdr:col>11</xdr:col>
      <xdr:colOff>609599</xdr:colOff>
      <xdr:row>23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8FBC45-F46E-D7A4-1031-DD5FFCF49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14287</xdr:rowOff>
    </xdr:from>
    <xdr:to>
      <xdr:col>32</xdr:col>
      <xdr:colOff>609599</xdr:colOff>
      <xdr:row>34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06ED26-98D4-E9CE-29F4-067E77AD9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ng Nguyen Song" refreshedDate="45155.603839814816" createdVersion="8" refreshedVersion="8" minRefreshableVersion="3" recordCount="183" xr:uid="{3ECC8AD1-E9AC-4B36-B8EF-7290F511C998}">
  <cacheSource type="worksheet">
    <worksheetSource name="Staff"/>
  </cacheSource>
  <cacheFields count="12">
    <cacheField name="Name" numFmtId="0">
      <sharedItems/>
    </cacheField>
    <cacheField name="Gender" numFmtId="0">
      <sharedItems count="3">
        <s v="Male"/>
        <s v="Female"/>
        <s v="Other"/>
      </sharedItems>
    </cacheField>
    <cacheField name="Age" numFmtId="0">
      <sharedItems containsSemiMixedTypes="0" containsString="0" containsNumber="1" containsInteger="1" minValue="19" maxValue="46"/>
    </cacheField>
    <cacheField name="Rating" numFmtId="0">
      <sharedItems count="5">
        <s v="Average"/>
        <s v="Above average"/>
        <s v="Poor"/>
        <s v="Exceptional"/>
        <s v="Very poor"/>
      </sharedItems>
    </cacheField>
    <cacheField name="Date Joined" numFmtId="14">
      <sharedItems containsSemiMixedTypes="0" containsNonDate="0" containsDate="1" containsString="0" minDate="2020-05-07T00:00:00" maxDate="2023-04-30T00:00:00" count="160">
        <d v="2020-10-18T00:00:00"/>
        <d v="2021-04-07T00:00:00"/>
        <d v="2022-04-12T00:00:00"/>
        <d v="2021-05-23T00:00:00"/>
        <d v="2020-09-11T00:00:00"/>
        <d v="2021-03-13T00:00:00"/>
        <d v="2020-11-09T00:00:00"/>
        <d v="2022-06-01T00:00:00"/>
        <d v="2021-05-08T00:00:00"/>
        <d v="2022-04-14T00:00:00"/>
        <d v="2021-05-04T00:00:00"/>
        <d v="2021-12-14T00:00:00"/>
        <d v="2020-05-29T00:00:00"/>
        <d v="2020-07-30T00:00:00"/>
        <d v="2022-03-22T00:00:00"/>
        <d v="2022-04-09T00:00:00"/>
        <d v="2020-05-07T00:00:00"/>
        <d v="2022-08-16T00:00:00"/>
        <d v="2022-05-02T00:00:00"/>
        <d v="2021-07-11T00:00:00"/>
        <d v="2020-08-30T00:00:00"/>
        <d v="2021-03-22T00:00:00"/>
        <d v="2021-12-28T00:00:00"/>
        <d v="2022-06-06T00:00:00"/>
        <d v="2022-04-15T00:00:00"/>
        <d v="2022-03-05T00:00:00"/>
        <d v="2022-02-12T00:00:00"/>
        <d v="2023-02-28T00:00:00"/>
        <d v="2021-12-19T00:00:00"/>
        <d v="2022-08-27T00:00:00"/>
        <d v="2020-11-29T00:00:00"/>
        <d v="2021-03-01T00:00:00"/>
        <d v="2022-01-10T00:00:00"/>
        <d v="2022-03-13T00:00:00"/>
        <d v="2021-06-28T00:00:00"/>
        <d v="2020-10-15T00:00:00"/>
        <d v="2020-08-18T00:00:00"/>
        <d v="2021-07-07T00:00:00"/>
        <d v="2020-07-11T00:00:00"/>
        <d v="2021-11-06T00:00:00"/>
        <d v="2020-12-15T00:00:00"/>
        <d v="2021-04-10T00:00:00"/>
        <d v="2021-07-20T00:00:00"/>
        <d v="2022-02-27T00:00:00"/>
        <d v="2021-02-26T00:00:00"/>
        <d v="2022-02-02T00:00:00"/>
        <d v="2021-08-17T00:00:00"/>
        <d v="2022-05-20T00:00:00"/>
        <d v="2020-12-09T00:00:00"/>
        <d v="2022-04-19T00:00:00"/>
        <d v="2020-10-20T00:00:00"/>
        <d v="2021-01-16T00:00:00"/>
        <d v="2022-02-15T00:00:00"/>
        <d v="2020-09-29T00:00:00"/>
        <d v="2020-06-24T00:00:00"/>
        <d v="2021-12-05T00:00:00"/>
        <d v="2021-07-06T00:00:00"/>
        <d v="2021-09-11T00:00:00"/>
        <d v="2021-03-21T00:00:00"/>
        <d v="2021-10-07T00:00:00"/>
        <d v="2021-07-26T00:00:00"/>
        <d v="2022-07-16T00:00:00"/>
        <d v="2021-04-30T00:00:00"/>
        <d v="2021-01-08T00:00:00"/>
        <d v="2020-09-10T00:00:00"/>
        <d v="2021-03-17T00:00:00"/>
        <d v="2021-12-17T00:00:00"/>
        <d v="2022-07-05T00:00:00"/>
        <d v="2021-06-03T00:00:00"/>
        <d v="2022-03-20T00:00:00"/>
        <d v="2021-05-12T00:00:00"/>
        <d v="2021-01-18T00:00:00"/>
        <d v="2021-12-20T00:00:00"/>
        <d v="2021-07-01T00:00:00"/>
        <d v="2021-07-12T00:00:00"/>
        <d v="2021-09-29T00:00:00"/>
        <d v="2022-01-29T00:00:00"/>
        <d v="2020-05-11T00:00:00"/>
        <d v="2020-09-13T00:00:00"/>
        <d v="2021-05-06T00:00:00"/>
        <d v="2021-04-27T00:00:00"/>
        <d v="2021-09-09T00:00:00"/>
        <d v="2021-08-25T00:00:00"/>
        <d v="2021-01-22T00:00:00"/>
        <d v="2022-05-16T00:00:00"/>
        <d v="2020-12-16T00:00:00"/>
        <d v="2020-10-25T00:00:00"/>
        <d v="2021-09-07T00:00:00"/>
        <d v="2021-06-10T00:00:00"/>
        <d v="2020-11-11T00:00:00"/>
        <d v="2021-09-26T00:00:00"/>
        <d v="2022-10-27T00:00:00"/>
        <d v="2020-11-13T00:00:00"/>
        <d v="2021-11-09T00:00:00"/>
        <d v="2021-09-20T00:00:00"/>
        <d v="2021-06-07T00:00:00"/>
        <d v="2021-03-08T00:00:00"/>
        <d v="2020-09-30T00:00:00"/>
        <d v="2022-07-20T00:00:00"/>
        <d v="2020-11-10T00:00:00"/>
        <d v="2021-02-15T00:00:00"/>
        <d v="2022-04-02T00:00:00"/>
        <d v="2022-01-06T00:00:00"/>
        <d v="2022-02-05T00:00:00"/>
        <d v="2022-08-06T00:00:00"/>
        <d v="2021-05-21T00:00:00"/>
        <d v="2020-12-20T00:00:00"/>
        <d v="2022-02-20T00:00:00"/>
        <d v="2021-06-27T00:00:00"/>
        <d v="2021-10-25T00:00:00"/>
        <d v="2022-06-14T00:00:00"/>
        <d v="2022-06-09T00:00:00"/>
        <d v="2022-03-10T00:00:00"/>
        <d v="2020-12-25T00:00:00"/>
        <d v="2022-06-12T00:00:00"/>
        <d v="2021-11-11T00:00:00"/>
        <d v="2021-08-28T00:00:00"/>
        <d v="2021-11-29T00:00:00"/>
        <d v="2022-09-05T00:00:00"/>
        <d v="2022-05-05T00:00:00"/>
        <d v="2021-09-06T00:00:00"/>
        <d v="2020-12-18T00:00:00"/>
        <d v="2022-07-02T00:00:00"/>
        <d v="2021-12-07T00:00:00"/>
        <d v="2022-05-13T00:00:00"/>
        <d v="2020-07-07T00:00:00"/>
        <d v="2020-07-29T00:00:00"/>
        <d v="2021-07-23T00:00:00"/>
        <d v="2022-10-16T00:00:00"/>
        <d v="2021-05-17T00:00:00"/>
        <d v="2021-06-30T00:00:00"/>
        <d v="2022-02-17T00:00:00"/>
        <d v="2021-03-18T00:00:00"/>
        <d v="2021-09-12T00:00:00"/>
        <d v="2023-04-29T00:00:00"/>
        <d v="2022-08-01T00:00:00"/>
        <d v="2021-10-17T00:00:00"/>
        <d v="2020-10-30T00:00:00"/>
        <d v="2021-03-16T00:00:00"/>
        <d v="2021-05-13T00:00:00"/>
        <d v="2021-01-09T00:00:00"/>
        <d v="2021-05-01T00:00:00"/>
        <d v="2021-01-29T00:00:00"/>
        <d v="2022-03-29T00:00:00"/>
        <d v="2021-05-22T00:00:00"/>
        <d v="2022-04-27T00:00:00"/>
        <d v="2021-09-01T00:00:00"/>
        <d v="2022-06-15T00:00:00"/>
        <d v="2021-02-09T00:00:00"/>
        <d v="2022-02-28T00:00:00"/>
        <d v="2021-07-04T00:00:00"/>
        <d v="2022-02-14T00:00:00"/>
        <d v="2022-09-16T00:00:00"/>
        <d v="2021-02-16T00:00:00"/>
        <d v="2020-08-24T00:00:00"/>
        <d v="2022-02-19T00:00:00"/>
        <d v="2021-04-26T00:00:00"/>
        <d v="2021-07-08T00:00:00"/>
        <d v="2022-06-19T00:00:00"/>
        <d v="2021-08-03T00:00:00"/>
      </sharedItems>
      <fieldGroup par="11"/>
    </cacheField>
    <cacheField name="Department" numFmtId="0">
      <sharedItems count="5">
        <s v="Website"/>
        <s v="Procurement"/>
        <s v="HR"/>
        <s v="Finance"/>
        <s v="Sales"/>
      </sharedItems>
    </cacheField>
    <cacheField name="Salary" numFmtId="0">
      <sharedItems containsSemiMixedTypes="0" containsString="0" containsNumber="1" containsInteger="1" minValue="33920" maxValue="119110"/>
    </cacheField>
    <cacheField name="Country" numFmtId="0">
      <sharedItems count="2">
        <s v="IND"/>
        <s v="NZ"/>
      </sharedItems>
    </cacheField>
    <cacheField name="Tenure" numFmtId="2">
      <sharedItems containsSemiMixedTypes="0" containsString="0" containsNumber="1" minValue="0.30136986301369861" maxValue="3.2794520547945205"/>
    </cacheField>
    <cacheField name="Months (Date Joined)" numFmtId="0" databaseField="0">
      <fieldGroup base="4">
        <rangePr groupBy="months" startDate="2020-05-07T00:00:00" endDate="2023-04-30T00:00:00"/>
        <groupItems count="14">
          <s v="&lt;5/7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30/2023"/>
        </groupItems>
      </fieldGroup>
    </cacheField>
    <cacheField name="Quarters (Date Joined)" numFmtId="0" databaseField="0">
      <fieldGroup base="4">
        <rangePr groupBy="quarters" startDate="2020-05-07T00:00:00" endDate="2023-04-30T00:00:00"/>
        <groupItems count="6">
          <s v="&lt;5/7/2020"/>
          <s v="Qtr1"/>
          <s v="Qtr2"/>
          <s v="Qtr3"/>
          <s v="Qtr4"/>
          <s v="&gt;4/30/2023"/>
        </groupItems>
      </fieldGroup>
    </cacheField>
    <cacheField name="Years (Date Joined)" numFmtId="0" databaseField="0">
      <fieldGroup base="4">
        <rangePr groupBy="years" startDate="2020-05-07T00:00:00" endDate="2023-04-30T00:00:00"/>
        <groupItems count="6">
          <s v="&lt;5/7/2020"/>
          <s v="2020"/>
          <s v="2021"/>
          <s v="2022"/>
          <s v="2023"/>
          <s v="&gt;4/30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s v="Deepali Charan"/>
    <x v="0"/>
    <n v="20"/>
    <x v="0"/>
    <x v="0"/>
    <x v="0"/>
    <n v="112650"/>
    <x v="0"/>
    <n v="2.8301369863013699"/>
  </r>
  <r>
    <s v="Yagna Sujeev"/>
    <x v="1"/>
    <n v="32"/>
    <x v="1"/>
    <x v="1"/>
    <x v="0"/>
    <n v="43840"/>
    <x v="0"/>
    <n v="2.3616438356164382"/>
  </r>
  <r>
    <s v="Satyendra Venkatadri"/>
    <x v="0"/>
    <n v="31"/>
    <x v="0"/>
    <x v="2"/>
    <x v="1"/>
    <n v="103550"/>
    <x v="0"/>
    <n v="1.3479452054794521"/>
  </r>
  <r>
    <s v="Madhavdas Buhpathi"/>
    <x v="1"/>
    <n v="32"/>
    <x v="0"/>
    <x v="3"/>
    <x v="2"/>
    <n v="45510"/>
    <x v="0"/>
    <n v="2.2356164383561645"/>
  </r>
  <r>
    <s v="Sahila Chandrasekhar"/>
    <x v="2"/>
    <n v="37"/>
    <x v="2"/>
    <x v="4"/>
    <x v="3"/>
    <n v="115440"/>
    <x v="0"/>
    <n v="2.9315068493150687"/>
  </r>
  <r>
    <s v="Mirium Seemantini Shivakumar"/>
    <x v="1"/>
    <n v="38"/>
    <x v="1"/>
    <x v="5"/>
    <x v="4"/>
    <n v="56870"/>
    <x v="0"/>
    <n v="2.43013698630137"/>
  </r>
  <r>
    <s v="Purnendu Vijayarangan"/>
    <x v="1"/>
    <n v="25"/>
    <x v="0"/>
    <x v="6"/>
    <x v="4"/>
    <n v="92700"/>
    <x v="0"/>
    <n v="2.7698630136986302"/>
  </r>
  <r>
    <s v="Rukma Vinita"/>
    <x v="2"/>
    <n v="32"/>
    <x v="0"/>
    <x v="7"/>
    <x v="0"/>
    <n v="91310"/>
    <x v="0"/>
    <n v="1.210958904109589"/>
  </r>
  <r>
    <s v="Yauvani Tarpa"/>
    <x v="0"/>
    <n v="33"/>
    <x v="0"/>
    <x v="8"/>
    <x v="4"/>
    <n v="74550"/>
    <x v="0"/>
    <n v="2.2767123287671232"/>
  </r>
  <r>
    <s v="Damayanti Thangavadivelu"/>
    <x v="0"/>
    <n v="25"/>
    <x v="1"/>
    <x v="9"/>
    <x v="1"/>
    <n v="109190"/>
    <x v="0"/>
    <n v="1.3424657534246576"/>
  </r>
  <r>
    <s v="Manjusri Ruchi"/>
    <x v="1"/>
    <n v="40"/>
    <x v="0"/>
    <x v="10"/>
    <x v="0"/>
    <n v="104410"/>
    <x v="0"/>
    <n v="2.2876712328767121"/>
  </r>
  <r>
    <s v="Mithil Nadkarni"/>
    <x v="0"/>
    <n v="30"/>
    <x v="0"/>
    <x v="11"/>
    <x v="3"/>
    <n v="96800"/>
    <x v="0"/>
    <n v="1.6739726027397259"/>
  </r>
  <r>
    <s v="Ardhendu Abhichandra Jayakar"/>
    <x v="0"/>
    <n v="28"/>
    <x v="1"/>
    <x v="12"/>
    <x v="3"/>
    <n v="48170"/>
    <x v="0"/>
    <n v="3.2191780821917808"/>
  </r>
  <r>
    <s v="Akbar Sorabhjee"/>
    <x v="0"/>
    <n v="21"/>
    <x v="0"/>
    <x v="13"/>
    <x v="1"/>
    <n v="37920"/>
    <x v="0"/>
    <n v="3.0493150684931507"/>
  </r>
  <r>
    <s v="Bandhula Sathyanna"/>
    <x v="0"/>
    <n v="34"/>
    <x v="0"/>
    <x v="14"/>
    <x v="1"/>
    <n v="112650"/>
    <x v="0"/>
    <n v="1.4054794520547946"/>
  </r>
  <r>
    <s v="Daruka Ghazali"/>
    <x v="1"/>
    <n v="34"/>
    <x v="2"/>
    <x v="15"/>
    <x v="4"/>
    <n v="49630"/>
    <x v="0"/>
    <n v="1.3561643835616439"/>
  </r>
  <r>
    <s v="Heer Pennathur"/>
    <x v="0"/>
    <n v="36"/>
    <x v="0"/>
    <x v="16"/>
    <x v="0"/>
    <n v="118840"/>
    <x v="0"/>
    <n v="3.2794520547945205"/>
  </r>
  <r>
    <s v="Shekhar Eswara"/>
    <x v="0"/>
    <n v="30"/>
    <x v="0"/>
    <x v="17"/>
    <x v="0"/>
    <n v="69710"/>
    <x v="0"/>
    <n v="1.0027397260273974"/>
  </r>
  <r>
    <s v="Udyan Lanka"/>
    <x v="0"/>
    <n v="20"/>
    <x v="0"/>
    <x v="18"/>
    <x v="1"/>
    <n v="79570"/>
    <x v="0"/>
    <n v="1.2931506849315069"/>
  </r>
  <r>
    <s v="Shreela Ramasubraman"/>
    <x v="1"/>
    <n v="22"/>
    <x v="1"/>
    <x v="19"/>
    <x v="1"/>
    <n v="76900"/>
    <x v="0"/>
    <n v="2.1013698630136988"/>
  </r>
  <r>
    <s v="Sanchali Shirish"/>
    <x v="0"/>
    <n v="27"/>
    <x v="0"/>
    <x v="20"/>
    <x v="4"/>
    <n v="54970"/>
    <x v="0"/>
    <n v="2.9643835616438357"/>
  </r>
  <r>
    <s v="Gangadutt Ragha"/>
    <x v="0"/>
    <n v="37"/>
    <x v="2"/>
    <x v="21"/>
    <x v="0"/>
    <n v="88050"/>
    <x v="0"/>
    <n v="2.4054794520547946"/>
  </r>
  <r>
    <s v="Waheeda Vasuman"/>
    <x v="0"/>
    <n v="43"/>
    <x v="0"/>
    <x v="22"/>
    <x v="4"/>
    <n v="36040"/>
    <x v="0"/>
    <n v="1.6356164383561644"/>
  </r>
  <r>
    <s v="Nanak Sapna"/>
    <x v="1"/>
    <n v="42"/>
    <x v="3"/>
    <x v="23"/>
    <x v="1"/>
    <n v="75000"/>
    <x v="0"/>
    <n v="1.1972602739726028"/>
  </r>
  <r>
    <s v="Shobhana Samuel"/>
    <x v="0"/>
    <n v="35"/>
    <x v="0"/>
    <x v="24"/>
    <x v="1"/>
    <n v="40400"/>
    <x v="0"/>
    <n v="1.3397260273972602"/>
  </r>
  <r>
    <s v="Amlankusum Rajabhushan"/>
    <x v="0"/>
    <n v="24"/>
    <x v="0"/>
    <x v="25"/>
    <x v="0"/>
    <n v="100420"/>
    <x v="0"/>
    <n v="1.452054794520548"/>
  </r>
  <r>
    <s v="Pratigya Rema"/>
    <x v="1"/>
    <n v="31"/>
    <x v="0"/>
    <x v="26"/>
    <x v="0"/>
    <n v="58100"/>
    <x v="0"/>
    <n v="1.5095890410958903"/>
  </r>
  <r>
    <s v="Ramnath Ravuri"/>
    <x v="1"/>
    <n v="44"/>
    <x v="0"/>
    <x v="27"/>
    <x v="0"/>
    <n v="114870"/>
    <x v="0"/>
    <n v="0.46575342465753422"/>
  </r>
  <r>
    <s v="Prerana Nishita"/>
    <x v="1"/>
    <n v="32"/>
    <x v="0"/>
    <x v="28"/>
    <x v="1"/>
    <n v="41570"/>
    <x v="0"/>
    <n v="1.6602739726027398"/>
  </r>
  <r>
    <s v="Makshi Vinutha"/>
    <x v="1"/>
    <n v="30"/>
    <x v="0"/>
    <x v="29"/>
    <x v="1"/>
    <n v="112570"/>
    <x v="0"/>
    <n v="0.9726027397260274"/>
  </r>
  <r>
    <s v="Shiuli Sapna"/>
    <x v="0"/>
    <n v="26"/>
    <x v="0"/>
    <x v="30"/>
    <x v="1"/>
    <n v="47360"/>
    <x v="0"/>
    <n v="2.7150684931506848"/>
  </r>
  <r>
    <s v="Agrata Rajarama"/>
    <x v="1"/>
    <n v="21"/>
    <x v="0"/>
    <x v="31"/>
    <x v="3"/>
    <n v="65920"/>
    <x v="0"/>
    <n v="2.463013698630137"/>
  </r>
  <r>
    <s v="Vasu Nandin"/>
    <x v="1"/>
    <n v="28"/>
    <x v="0"/>
    <x v="32"/>
    <x v="1"/>
    <n v="99970"/>
    <x v="0"/>
    <n v="1.6"/>
  </r>
  <r>
    <s v="Bhuvan Pals"/>
    <x v="1"/>
    <n v="25"/>
    <x v="1"/>
    <x v="33"/>
    <x v="0"/>
    <n v="80700"/>
    <x v="0"/>
    <n v="1.4301369863013698"/>
  </r>
  <r>
    <s v="Gumwant Veera"/>
    <x v="0"/>
    <n v="24"/>
    <x v="2"/>
    <x v="34"/>
    <x v="3"/>
    <n v="52610"/>
    <x v="0"/>
    <n v="2.1369863013698631"/>
  </r>
  <r>
    <s v="Narois Motiwala"/>
    <x v="0"/>
    <n v="29"/>
    <x v="2"/>
    <x v="35"/>
    <x v="0"/>
    <n v="112110"/>
    <x v="0"/>
    <n v="2.8383561643835615"/>
  </r>
  <r>
    <s v="Anjushri Chandiramani"/>
    <x v="1"/>
    <n v="27"/>
    <x v="0"/>
    <x v="36"/>
    <x v="2"/>
    <n v="119110"/>
    <x v="0"/>
    <n v="2.9972602739726026"/>
  </r>
  <r>
    <s v="Krishnakanta Vellanki"/>
    <x v="0"/>
    <n v="22"/>
    <x v="1"/>
    <x v="37"/>
    <x v="4"/>
    <n v="112780"/>
    <x v="0"/>
    <n v="2.1123287671232878"/>
  </r>
  <r>
    <s v="Dhruv Manjunath"/>
    <x v="1"/>
    <n v="36"/>
    <x v="0"/>
    <x v="38"/>
    <x v="1"/>
    <n v="114890"/>
    <x v="0"/>
    <n v="3.1013698630136988"/>
  </r>
  <r>
    <s v="Vanmala Shriharsha"/>
    <x v="0"/>
    <n v="27"/>
    <x v="0"/>
    <x v="39"/>
    <x v="3"/>
    <n v="48980"/>
    <x v="0"/>
    <n v="1.7780821917808218"/>
  </r>
  <r>
    <s v="Sameer Shashank Sapra"/>
    <x v="0"/>
    <n v="21"/>
    <x v="0"/>
    <x v="40"/>
    <x v="2"/>
    <n v="75880"/>
    <x v="0"/>
    <n v="2.6712328767123288"/>
  </r>
  <r>
    <s v="Anumati Shyamari Meherhomji"/>
    <x v="1"/>
    <n v="28"/>
    <x v="0"/>
    <x v="41"/>
    <x v="4"/>
    <n v="53240"/>
    <x v="0"/>
    <n v="2.3534246575342466"/>
  </r>
  <r>
    <s v="Tarala Vishaal"/>
    <x v="1"/>
    <n v="34"/>
    <x v="0"/>
    <x v="42"/>
    <x v="3"/>
    <n v="85000"/>
    <x v="0"/>
    <n v="2.0767123287671234"/>
  </r>
  <r>
    <s v="Shubhra Potla"/>
    <x v="1"/>
    <n v="21"/>
    <x v="0"/>
    <x v="43"/>
    <x v="0"/>
    <n v="33920"/>
    <x v="0"/>
    <n v="1.4684931506849315"/>
  </r>
  <r>
    <s v="Hemavati Muthiah"/>
    <x v="1"/>
    <n v="33"/>
    <x v="0"/>
    <x v="44"/>
    <x v="0"/>
    <n v="75280"/>
    <x v="0"/>
    <n v="2.4712328767123286"/>
  </r>
  <r>
    <s v="Krittika Gaekwad"/>
    <x v="1"/>
    <n v="34"/>
    <x v="0"/>
    <x v="45"/>
    <x v="3"/>
    <n v="58940"/>
    <x v="0"/>
    <n v="1.536986301369863"/>
  </r>
  <r>
    <s v="Shevantilal Muppala"/>
    <x v="1"/>
    <n v="28"/>
    <x v="0"/>
    <x v="46"/>
    <x v="1"/>
    <n v="104770"/>
    <x v="0"/>
    <n v="2"/>
  </r>
  <r>
    <s v="Shattesh Utpat"/>
    <x v="0"/>
    <n v="21"/>
    <x v="0"/>
    <x v="47"/>
    <x v="1"/>
    <n v="57090"/>
    <x v="0"/>
    <n v="1.2438356164383562"/>
  </r>
  <r>
    <s v="Kamalakshi Mukundan"/>
    <x v="0"/>
    <n v="27"/>
    <x v="1"/>
    <x v="48"/>
    <x v="3"/>
    <n v="91650"/>
    <x v="0"/>
    <n v="2.6876712328767125"/>
  </r>
  <r>
    <s v="Chandana Sannidhi Surnilla"/>
    <x v="0"/>
    <n v="42"/>
    <x v="2"/>
    <x v="49"/>
    <x v="3"/>
    <n v="70270"/>
    <x v="0"/>
    <n v="1.3287671232876712"/>
  </r>
  <r>
    <s v="Indu Varada Sumedh"/>
    <x v="1"/>
    <n v="28"/>
    <x v="0"/>
    <x v="50"/>
    <x v="3"/>
    <n v="75970"/>
    <x v="0"/>
    <n v="2.8246575342465752"/>
  </r>
  <r>
    <s v="Karuna Pashupathy"/>
    <x v="2"/>
    <n v="27"/>
    <x v="1"/>
    <x v="51"/>
    <x v="0"/>
    <n v="90700"/>
    <x v="0"/>
    <n v="2.5835616438356164"/>
  </r>
  <r>
    <s v="Mardav Ramaswami"/>
    <x v="0"/>
    <n v="30"/>
    <x v="0"/>
    <x v="52"/>
    <x v="1"/>
    <n v="60570"/>
    <x v="0"/>
    <n v="1.5013698630136987"/>
  </r>
  <r>
    <s v="Sarayu Ragunathan"/>
    <x v="0"/>
    <n v="33"/>
    <x v="0"/>
    <x v="53"/>
    <x v="1"/>
    <n v="115920"/>
    <x v="0"/>
    <n v="2.882191780821918"/>
  </r>
  <r>
    <s v="Kevalkumar Solanki"/>
    <x v="1"/>
    <n v="33"/>
    <x v="0"/>
    <x v="54"/>
    <x v="3"/>
    <n v="65360"/>
    <x v="0"/>
    <n v="3.1479452054794521"/>
  </r>
  <r>
    <s v="Upendra Swati"/>
    <x v="2"/>
    <n v="30"/>
    <x v="0"/>
    <x v="55"/>
    <x v="3"/>
    <n v="64000"/>
    <x v="0"/>
    <n v="1.6986301369863013"/>
  </r>
  <r>
    <s v="Deepit Ranjana"/>
    <x v="1"/>
    <n v="34"/>
    <x v="0"/>
    <x v="56"/>
    <x v="3"/>
    <n v="92450"/>
    <x v="0"/>
    <n v="2.1150684931506851"/>
  </r>
  <r>
    <s v="Amal Nimesh"/>
    <x v="0"/>
    <n v="31"/>
    <x v="0"/>
    <x v="57"/>
    <x v="0"/>
    <n v="48950"/>
    <x v="0"/>
    <n v="1.9315068493150684"/>
  </r>
  <r>
    <s v="Kunja Prashanta Vibha"/>
    <x v="1"/>
    <n v="27"/>
    <x v="0"/>
    <x v="25"/>
    <x v="0"/>
    <n v="83750"/>
    <x v="0"/>
    <n v="1.452054794520548"/>
  </r>
  <r>
    <s v="Godavari Veena"/>
    <x v="1"/>
    <n v="40"/>
    <x v="0"/>
    <x v="58"/>
    <x v="0"/>
    <n v="87620"/>
    <x v="0"/>
    <n v="2.408219178082192"/>
  </r>
  <r>
    <s v="Devasree Fullara Saurin"/>
    <x v="1"/>
    <n v="20"/>
    <x v="2"/>
    <x v="59"/>
    <x v="4"/>
    <n v="68900"/>
    <x v="0"/>
    <n v="1.8602739726027397"/>
  </r>
  <r>
    <s v="Geena Raghavanpillai"/>
    <x v="0"/>
    <n v="32"/>
    <x v="0"/>
    <x v="60"/>
    <x v="4"/>
    <n v="53540"/>
    <x v="0"/>
    <n v="2.0602739726027397"/>
  </r>
  <r>
    <s v="Rupak Mehra"/>
    <x v="0"/>
    <n v="28"/>
    <x v="4"/>
    <x v="61"/>
    <x v="4"/>
    <n v="43510"/>
    <x v="0"/>
    <n v="1.0876712328767124"/>
  </r>
  <r>
    <s v="Sawini Chandan"/>
    <x v="1"/>
    <n v="38"/>
    <x v="3"/>
    <x v="62"/>
    <x v="4"/>
    <n v="109160"/>
    <x v="0"/>
    <n v="2.2986301369863016"/>
  </r>
  <r>
    <s v="Baruna Ogale"/>
    <x v="0"/>
    <n v="40"/>
    <x v="0"/>
    <x v="63"/>
    <x v="1"/>
    <n v="99750"/>
    <x v="0"/>
    <n v="2.6054794520547944"/>
  </r>
  <r>
    <s v="Jagajeet Viraj"/>
    <x v="1"/>
    <n v="31"/>
    <x v="0"/>
    <x v="64"/>
    <x v="0"/>
    <n v="41980"/>
    <x v="0"/>
    <n v="2.9342465753424656"/>
  </r>
  <r>
    <s v="Kulbhushan Moorthy"/>
    <x v="0"/>
    <n v="36"/>
    <x v="0"/>
    <x v="65"/>
    <x v="3"/>
    <n v="71380"/>
    <x v="0"/>
    <n v="2.419178082191781"/>
  </r>
  <r>
    <s v="Ilesh Dasgupta"/>
    <x v="0"/>
    <n v="27"/>
    <x v="4"/>
    <x v="66"/>
    <x v="1"/>
    <n v="113280"/>
    <x v="0"/>
    <n v="1.6657534246575343"/>
  </r>
  <r>
    <s v="Madhumati Gazala Soumitra"/>
    <x v="1"/>
    <n v="33"/>
    <x v="0"/>
    <x v="67"/>
    <x v="3"/>
    <n v="86570"/>
    <x v="0"/>
    <n v="1.1178082191780823"/>
  </r>
  <r>
    <s v="Chitrasen Laul"/>
    <x v="0"/>
    <n v="26"/>
    <x v="0"/>
    <x v="68"/>
    <x v="1"/>
    <n v="53540"/>
    <x v="0"/>
    <n v="2.2054794520547945"/>
  </r>
  <r>
    <s v="Jaishree Atasi Yavatkar"/>
    <x v="0"/>
    <n v="37"/>
    <x v="0"/>
    <x v="69"/>
    <x v="0"/>
    <n v="69070"/>
    <x v="0"/>
    <n v="1.4109589041095891"/>
  </r>
  <r>
    <s v="Kantimoy Pritish"/>
    <x v="1"/>
    <n v="30"/>
    <x v="2"/>
    <x v="70"/>
    <x v="3"/>
    <n v="67910"/>
    <x v="0"/>
    <n v="2.2657534246575342"/>
  </r>
  <r>
    <s v="Rameshwari Chikodi"/>
    <x v="0"/>
    <n v="30"/>
    <x v="0"/>
    <x v="71"/>
    <x v="0"/>
    <n v="69120"/>
    <x v="0"/>
    <n v="2.5780821917808221"/>
  </r>
  <r>
    <s v="Lalit Kothari"/>
    <x v="1"/>
    <n v="34"/>
    <x v="0"/>
    <x v="72"/>
    <x v="3"/>
    <n v="60130"/>
    <x v="0"/>
    <n v="1.6575342465753424"/>
  </r>
  <r>
    <s v="Sahas Sanabhi Shrikant"/>
    <x v="0"/>
    <n v="23"/>
    <x v="0"/>
    <x v="73"/>
    <x v="1"/>
    <n v="106460"/>
    <x v="0"/>
    <n v="2.128767123287671"/>
  </r>
  <r>
    <s v="Kaishori Harathi Kateel"/>
    <x v="1"/>
    <n v="37"/>
    <x v="0"/>
    <x v="74"/>
    <x v="2"/>
    <n v="118100"/>
    <x v="0"/>
    <n v="2.0986301369863014"/>
  </r>
  <r>
    <s v="Rushil Kripa"/>
    <x v="1"/>
    <n v="36"/>
    <x v="0"/>
    <x v="75"/>
    <x v="1"/>
    <n v="78390"/>
    <x v="0"/>
    <n v="1.8821917808219177"/>
  </r>
  <r>
    <s v="Sarojini Naueshwara"/>
    <x v="1"/>
    <n v="30"/>
    <x v="0"/>
    <x v="17"/>
    <x v="1"/>
    <n v="114180"/>
    <x v="0"/>
    <n v="1.0027397260273974"/>
  </r>
  <r>
    <s v="Sartaj Probal"/>
    <x v="1"/>
    <n v="28"/>
    <x v="0"/>
    <x v="76"/>
    <x v="1"/>
    <n v="104120"/>
    <x v="0"/>
    <n v="1.547945205479452"/>
  </r>
  <r>
    <s v="Mahindra Sreedharan"/>
    <x v="0"/>
    <n v="30"/>
    <x v="0"/>
    <x v="69"/>
    <x v="1"/>
    <n v="67950"/>
    <x v="0"/>
    <n v="1.4109589041095891"/>
  </r>
  <r>
    <s v="Suchira Bhanupriya Tapti"/>
    <x v="1"/>
    <n v="29"/>
    <x v="0"/>
    <x v="77"/>
    <x v="0"/>
    <n v="34980"/>
    <x v="0"/>
    <n v="3.2684931506849315"/>
  </r>
  <r>
    <s v="Fullara Sushanti Mokate"/>
    <x v="1"/>
    <n v="24"/>
    <x v="0"/>
    <x v="78"/>
    <x v="0"/>
    <n v="62780"/>
    <x v="0"/>
    <n v="2.9260273972602739"/>
  </r>
  <r>
    <s v="Hridaynath Tendulkar"/>
    <x v="0"/>
    <n v="20"/>
    <x v="0"/>
    <x v="42"/>
    <x v="0"/>
    <n v="107700"/>
    <x v="0"/>
    <n v="2.0767123287671234"/>
  </r>
  <r>
    <s v="Abhaya Priyavardhan"/>
    <x v="0"/>
    <n v="25"/>
    <x v="0"/>
    <x v="79"/>
    <x v="4"/>
    <n v="65700"/>
    <x v="0"/>
    <n v="2.2821917808219179"/>
  </r>
  <r>
    <s v="Ayog Chakrabarti"/>
    <x v="1"/>
    <n v="33"/>
    <x v="4"/>
    <x v="80"/>
    <x v="0"/>
    <n v="75480"/>
    <x v="0"/>
    <n v="2.3068493150684932"/>
  </r>
  <r>
    <s v="Pragya Nilufar"/>
    <x v="0"/>
    <n v="33"/>
    <x v="0"/>
    <x v="81"/>
    <x v="0"/>
    <n v="53870"/>
    <x v="0"/>
    <n v="1.9369863013698629"/>
  </r>
  <r>
    <s v="Shulabh Qutub Sundaramoorthy"/>
    <x v="1"/>
    <n v="36"/>
    <x v="0"/>
    <x v="82"/>
    <x v="4"/>
    <n v="78540"/>
    <x v="0"/>
    <n v="1.978082191780822"/>
  </r>
  <r>
    <s v="Vinanti Choudhari"/>
    <x v="0"/>
    <n v="19"/>
    <x v="0"/>
    <x v="83"/>
    <x v="1"/>
    <n v="58960"/>
    <x v="0"/>
    <n v="2.5671232876712327"/>
  </r>
  <r>
    <s v="Ranajay Kailashnath Richa"/>
    <x v="0"/>
    <n v="46"/>
    <x v="0"/>
    <x v="84"/>
    <x v="1"/>
    <n v="70610"/>
    <x v="0"/>
    <n v="1.2547945205479452"/>
  </r>
  <r>
    <s v="Asija Pothireddy"/>
    <x v="0"/>
    <n v="33"/>
    <x v="0"/>
    <x v="85"/>
    <x v="3"/>
    <n v="59430"/>
    <x v="0"/>
    <n v="2.6684931506849314"/>
  </r>
  <r>
    <s v="Piyali Mahanthapa"/>
    <x v="0"/>
    <n v="33"/>
    <x v="1"/>
    <x v="69"/>
    <x v="1"/>
    <n v="48530"/>
    <x v="0"/>
    <n v="1.4109589041095891"/>
  </r>
  <r>
    <s v="Sukhdev Nageshwar"/>
    <x v="1"/>
    <n v="33"/>
    <x v="0"/>
    <x v="86"/>
    <x v="0"/>
    <n v="96140"/>
    <x v="0"/>
    <n v="2.8109589041095893"/>
  </r>
  <r>
    <s v="Lindy Guillet"/>
    <x v="0"/>
    <n v="22"/>
    <x v="1"/>
    <x v="87"/>
    <x v="4"/>
    <n v="112780"/>
    <x v="1"/>
    <n v="1.9424657534246574"/>
  </r>
  <r>
    <s v="Ambros Murthwaite"/>
    <x v="0"/>
    <n v="46"/>
    <x v="0"/>
    <x v="61"/>
    <x v="1"/>
    <n v="70610"/>
    <x v="1"/>
    <n v="1.0876712328767124"/>
  </r>
  <r>
    <s v="Tatum Hush"/>
    <x v="1"/>
    <n v="28"/>
    <x v="0"/>
    <x v="88"/>
    <x v="4"/>
    <n v="53240"/>
    <x v="1"/>
    <n v="2.1863013698630138"/>
  </r>
  <r>
    <s v="Benny Karolovsky"/>
    <x v="2"/>
    <n v="37"/>
    <x v="2"/>
    <x v="89"/>
    <x v="3"/>
    <n v="115440"/>
    <x v="1"/>
    <n v="2.7643835616438355"/>
  </r>
  <r>
    <s v="Hoyt D'Alesco"/>
    <x v="0"/>
    <n v="32"/>
    <x v="0"/>
    <x v="90"/>
    <x v="4"/>
    <n v="53540"/>
    <x v="1"/>
    <n v="1.8904109589041096"/>
  </r>
  <r>
    <s v="Halimeda Kuscha"/>
    <x v="1"/>
    <n v="30"/>
    <x v="0"/>
    <x v="91"/>
    <x v="1"/>
    <n v="112570"/>
    <x v="1"/>
    <n v="0.80547945205479454"/>
  </r>
  <r>
    <s v="Erin Androsik"/>
    <x v="0"/>
    <n v="33"/>
    <x v="1"/>
    <x v="47"/>
    <x v="1"/>
    <n v="48530"/>
    <x v="1"/>
    <n v="1.2438356164383562"/>
  </r>
  <r>
    <s v="Vic Radolf"/>
    <x v="1"/>
    <n v="24"/>
    <x v="0"/>
    <x v="92"/>
    <x v="0"/>
    <n v="62780"/>
    <x v="1"/>
    <n v="2.7589041095890412"/>
  </r>
  <r>
    <s v="William Reeveley"/>
    <x v="0"/>
    <n v="33"/>
    <x v="0"/>
    <x v="93"/>
    <x v="0"/>
    <n v="53870"/>
    <x v="1"/>
    <n v="1.7698630136986302"/>
  </r>
  <r>
    <s v="Ewart Laphorn"/>
    <x v="1"/>
    <n v="27"/>
    <x v="0"/>
    <x v="0"/>
    <x v="2"/>
    <n v="119110"/>
    <x v="1"/>
    <n v="2.8301369863013699"/>
  </r>
  <r>
    <s v="Bev Lashley"/>
    <x v="0"/>
    <n v="29"/>
    <x v="2"/>
    <x v="40"/>
    <x v="0"/>
    <n v="112110"/>
    <x v="1"/>
    <n v="2.6712328767123288"/>
  </r>
  <r>
    <s v="Kath Bletsoe"/>
    <x v="0"/>
    <n v="25"/>
    <x v="0"/>
    <x v="56"/>
    <x v="4"/>
    <n v="65700"/>
    <x v="1"/>
    <n v="2.1150684931506851"/>
  </r>
  <r>
    <s v="Murry Dryburgh"/>
    <x v="0"/>
    <n v="37"/>
    <x v="0"/>
    <x v="47"/>
    <x v="0"/>
    <n v="69070"/>
    <x v="1"/>
    <n v="1.2438356164383562"/>
  </r>
  <r>
    <s v="Kaine Padly"/>
    <x v="0"/>
    <n v="20"/>
    <x v="0"/>
    <x v="94"/>
    <x v="0"/>
    <n v="107700"/>
    <x v="1"/>
    <n v="1.9068493150684931"/>
  </r>
  <r>
    <s v="Kassi Jonson"/>
    <x v="1"/>
    <n v="32"/>
    <x v="1"/>
    <x v="95"/>
    <x v="0"/>
    <n v="43840"/>
    <x v="1"/>
    <n v="2.1945205479452055"/>
  </r>
  <r>
    <s v="Simon Kembery"/>
    <x v="0"/>
    <n v="40"/>
    <x v="0"/>
    <x v="96"/>
    <x v="1"/>
    <n v="99750"/>
    <x v="1"/>
    <n v="2.4438356164383563"/>
  </r>
  <r>
    <s v="Orton Livick"/>
    <x v="0"/>
    <n v="21"/>
    <x v="0"/>
    <x v="97"/>
    <x v="1"/>
    <n v="37920"/>
    <x v="1"/>
    <n v="2.8794520547945206"/>
  </r>
  <r>
    <s v="Kelci Walkden"/>
    <x v="0"/>
    <n v="21"/>
    <x v="0"/>
    <x v="98"/>
    <x v="1"/>
    <n v="57090"/>
    <x v="1"/>
    <n v="1.0767123287671232"/>
  </r>
  <r>
    <s v="Dotty Strutley"/>
    <x v="1"/>
    <n v="31"/>
    <x v="0"/>
    <x v="99"/>
    <x v="0"/>
    <n v="41980"/>
    <x v="1"/>
    <n v="2.7671232876712328"/>
  </r>
  <r>
    <s v="Shari McNee"/>
    <x v="0"/>
    <n v="21"/>
    <x v="0"/>
    <x v="100"/>
    <x v="2"/>
    <n v="75880"/>
    <x v="1"/>
    <n v="2.5013698630136987"/>
  </r>
  <r>
    <s v="Oby Sorrel"/>
    <x v="1"/>
    <n v="34"/>
    <x v="0"/>
    <x v="101"/>
    <x v="3"/>
    <n v="58940"/>
    <x v="1"/>
    <n v="1.3753424657534246"/>
  </r>
  <r>
    <s v="Husein Augar"/>
    <x v="1"/>
    <n v="30"/>
    <x v="2"/>
    <x v="74"/>
    <x v="3"/>
    <n v="67910"/>
    <x v="1"/>
    <n v="2.0986301369863014"/>
  </r>
  <r>
    <s v="Brien Boise"/>
    <x v="1"/>
    <n v="31"/>
    <x v="0"/>
    <x v="2"/>
    <x v="0"/>
    <n v="58100"/>
    <x v="1"/>
    <n v="1.3479452054794521"/>
  </r>
  <r>
    <s v="Esmaria Denecamp"/>
    <x v="0"/>
    <n v="27"/>
    <x v="0"/>
    <x v="102"/>
    <x v="3"/>
    <n v="48980"/>
    <x v="1"/>
    <n v="1.6109589041095891"/>
  </r>
  <r>
    <s v="Curtice Advani"/>
    <x v="2"/>
    <n v="30"/>
    <x v="0"/>
    <x v="103"/>
    <x v="3"/>
    <n v="64000"/>
    <x v="1"/>
    <n v="1.5287671232876712"/>
  </r>
  <r>
    <s v="Barr Faughny"/>
    <x v="1"/>
    <n v="42"/>
    <x v="3"/>
    <x v="104"/>
    <x v="1"/>
    <n v="75000"/>
    <x v="1"/>
    <n v="1.0301369863013699"/>
  </r>
  <r>
    <s v="Merrilee Plenty"/>
    <x v="1"/>
    <n v="40"/>
    <x v="0"/>
    <x v="105"/>
    <x v="0"/>
    <n v="87620"/>
    <x v="1"/>
    <n v="2.2410958904109588"/>
  </r>
  <r>
    <s v="Niall Selesnick"/>
    <x v="1"/>
    <n v="29"/>
    <x v="0"/>
    <x v="38"/>
    <x v="0"/>
    <n v="34980"/>
    <x v="1"/>
    <n v="3.1013698630136988"/>
  </r>
  <r>
    <s v="Beverie Moffet"/>
    <x v="1"/>
    <n v="28"/>
    <x v="0"/>
    <x v="106"/>
    <x v="3"/>
    <n v="75970"/>
    <x v="1"/>
    <n v="2.6575342465753424"/>
  </r>
  <r>
    <s v="Jehu Rudeforth"/>
    <x v="1"/>
    <n v="34"/>
    <x v="0"/>
    <x v="107"/>
    <x v="3"/>
    <n v="60130"/>
    <x v="1"/>
    <n v="1.4876712328767123"/>
  </r>
  <r>
    <s v="Camilla Castle"/>
    <x v="1"/>
    <n v="33"/>
    <x v="4"/>
    <x v="108"/>
    <x v="0"/>
    <n v="75480"/>
    <x v="1"/>
    <n v="2.1397260273972605"/>
  </r>
  <r>
    <s v="Roddy Speechley"/>
    <x v="0"/>
    <n v="33"/>
    <x v="0"/>
    <x v="30"/>
    <x v="1"/>
    <n v="115920"/>
    <x v="1"/>
    <n v="2.7150684931506848"/>
  </r>
  <r>
    <s v="Gray Seamon"/>
    <x v="1"/>
    <n v="36"/>
    <x v="0"/>
    <x v="109"/>
    <x v="4"/>
    <n v="78540"/>
    <x v="1"/>
    <n v="1.810958904109589"/>
  </r>
  <r>
    <s v="Madelene Upcott"/>
    <x v="0"/>
    <n v="25"/>
    <x v="1"/>
    <x v="110"/>
    <x v="1"/>
    <n v="109190"/>
    <x v="1"/>
    <n v="1.1753424657534246"/>
  </r>
  <r>
    <s v="Violante Courtonne"/>
    <x v="1"/>
    <n v="34"/>
    <x v="2"/>
    <x v="111"/>
    <x v="4"/>
    <n v="49630"/>
    <x v="1"/>
    <n v="1.189041095890411"/>
  </r>
  <r>
    <s v="Bernie Gorges"/>
    <x v="1"/>
    <n v="28"/>
    <x v="0"/>
    <x v="112"/>
    <x v="1"/>
    <n v="99970"/>
    <x v="1"/>
    <n v="1.4383561643835616"/>
  </r>
  <r>
    <s v="Torrance Collier"/>
    <x v="1"/>
    <n v="33"/>
    <x v="0"/>
    <x v="113"/>
    <x v="0"/>
    <n v="96140"/>
    <x v="1"/>
    <n v="2.6438356164383561"/>
  </r>
  <r>
    <s v="Dyna Doucette"/>
    <x v="0"/>
    <n v="31"/>
    <x v="0"/>
    <x v="114"/>
    <x v="1"/>
    <n v="103550"/>
    <x v="1"/>
    <n v="1.1808219178082191"/>
  </r>
  <r>
    <s v="Gunar Cockshoot"/>
    <x v="0"/>
    <n v="31"/>
    <x v="0"/>
    <x v="115"/>
    <x v="0"/>
    <n v="48950"/>
    <x v="1"/>
    <n v="1.7643835616438357"/>
  </r>
  <r>
    <s v="Kaye Crocroft"/>
    <x v="0"/>
    <n v="24"/>
    <x v="2"/>
    <x v="116"/>
    <x v="3"/>
    <n v="52610"/>
    <x v="1"/>
    <n v="1.9698630136986301"/>
  </r>
  <r>
    <s v="Allene Gobbet"/>
    <x v="1"/>
    <n v="36"/>
    <x v="0"/>
    <x v="117"/>
    <x v="1"/>
    <n v="78390"/>
    <x v="1"/>
    <n v="1.715068493150685"/>
  </r>
  <r>
    <s v="Sibyl Dunkirk"/>
    <x v="1"/>
    <n v="33"/>
    <x v="0"/>
    <x v="118"/>
    <x v="3"/>
    <n v="86570"/>
    <x v="1"/>
    <n v="0.94794520547945205"/>
  </r>
  <r>
    <s v="Agnes Collicott"/>
    <x v="1"/>
    <n v="27"/>
    <x v="0"/>
    <x v="119"/>
    <x v="0"/>
    <n v="83750"/>
    <x v="1"/>
    <n v="1.284931506849315"/>
  </r>
  <r>
    <s v="Leilah Yesinin"/>
    <x v="1"/>
    <n v="34"/>
    <x v="0"/>
    <x v="120"/>
    <x v="3"/>
    <n v="92450"/>
    <x v="1"/>
    <n v="1.9452054794520548"/>
  </r>
  <r>
    <s v="Mollie Hanway"/>
    <x v="0"/>
    <n v="20"/>
    <x v="0"/>
    <x v="121"/>
    <x v="0"/>
    <n v="112650"/>
    <x v="1"/>
    <n v="2.6630136986301371"/>
  </r>
  <r>
    <s v="Kellsie Waby"/>
    <x v="0"/>
    <n v="20"/>
    <x v="0"/>
    <x v="122"/>
    <x v="1"/>
    <n v="79570"/>
    <x v="1"/>
    <n v="1.1260273972602739"/>
  </r>
  <r>
    <s v="Hyacinthie Braybrooke"/>
    <x v="1"/>
    <n v="20"/>
    <x v="2"/>
    <x v="123"/>
    <x v="4"/>
    <n v="68900"/>
    <x v="1"/>
    <n v="1.6931506849315068"/>
  </r>
  <r>
    <s v="Van Tuxwell"/>
    <x v="1"/>
    <n v="25"/>
    <x v="1"/>
    <x v="124"/>
    <x v="0"/>
    <n v="80700"/>
    <x v="1"/>
    <n v="1.263013698630137"/>
  </r>
  <r>
    <s v="Lilyan Klimpt"/>
    <x v="0"/>
    <n v="19"/>
    <x v="0"/>
    <x v="21"/>
    <x v="1"/>
    <n v="58960"/>
    <x v="1"/>
    <n v="2.4054794520547946"/>
  </r>
  <r>
    <s v="Tawnya Tickel"/>
    <x v="0"/>
    <n v="36"/>
    <x v="0"/>
    <x v="125"/>
    <x v="0"/>
    <n v="118840"/>
    <x v="1"/>
    <n v="3.1123287671232878"/>
  </r>
  <r>
    <s v="Jan Morforth"/>
    <x v="0"/>
    <n v="28"/>
    <x v="1"/>
    <x v="126"/>
    <x v="3"/>
    <n v="48170"/>
    <x v="1"/>
    <n v="3.0520547945205481"/>
  </r>
  <r>
    <s v="Florinda Crace"/>
    <x v="1"/>
    <n v="32"/>
    <x v="0"/>
    <x v="127"/>
    <x v="2"/>
    <n v="45510"/>
    <x v="1"/>
    <n v="2.0684931506849313"/>
  </r>
  <r>
    <s v="Tracy Renad"/>
    <x v="1"/>
    <n v="36"/>
    <x v="0"/>
    <x v="4"/>
    <x v="1"/>
    <n v="114890"/>
    <x v="1"/>
    <n v="2.9315068493150687"/>
  </r>
  <r>
    <s v="Myer McCory"/>
    <x v="0"/>
    <n v="30"/>
    <x v="0"/>
    <x v="128"/>
    <x v="0"/>
    <n v="69710"/>
    <x v="1"/>
    <n v="0.83561643835616439"/>
  </r>
  <r>
    <s v="Bennie Pepis"/>
    <x v="0"/>
    <n v="36"/>
    <x v="0"/>
    <x v="129"/>
    <x v="3"/>
    <n v="71380"/>
    <x v="1"/>
    <n v="2.2520547945205478"/>
  </r>
  <r>
    <s v="Rafaelita Blaksland"/>
    <x v="1"/>
    <n v="38"/>
    <x v="3"/>
    <x v="130"/>
    <x v="4"/>
    <n v="109160"/>
    <x v="1"/>
    <n v="2.1315068493150684"/>
  </r>
  <r>
    <s v="Mahalia Larcher"/>
    <x v="0"/>
    <n v="27"/>
    <x v="4"/>
    <x v="131"/>
    <x v="1"/>
    <n v="113280"/>
    <x v="1"/>
    <n v="1.4958904109589042"/>
  </r>
  <r>
    <s v="Andria Kimpton"/>
    <x v="0"/>
    <n v="30"/>
    <x v="0"/>
    <x v="132"/>
    <x v="0"/>
    <n v="69120"/>
    <x v="1"/>
    <n v="2.4164383561643836"/>
  </r>
  <r>
    <s v="Valentia Etteridge"/>
    <x v="1"/>
    <n v="37"/>
    <x v="0"/>
    <x v="133"/>
    <x v="2"/>
    <n v="118100"/>
    <x v="1"/>
    <n v="1.9287671232876713"/>
  </r>
  <r>
    <s v="Virginia McConville"/>
    <x v="1"/>
    <n v="22"/>
    <x v="1"/>
    <x v="57"/>
    <x v="1"/>
    <n v="76900"/>
    <x v="1"/>
    <n v="1.9315068493150684"/>
  </r>
  <r>
    <s v="Wilone O'Kielt"/>
    <x v="1"/>
    <n v="43"/>
    <x v="0"/>
    <x v="134"/>
    <x v="0"/>
    <n v="114870"/>
    <x v="1"/>
    <n v="0.30136986301369861"/>
  </r>
  <r>
    <s v="Madge McCloughen"/>
    <x v="2"/>
    <n v="32"/>
    <x v="0"/>
    <x v="135"/>
    <x v="0"/>
    <n v="91310"/>
    <x v="1"/>
    <n v="1.0438356164383562"/>
  </r>
  <r>
    <s v="Janene Hairsine"/>
    <x v="1"/>
    <n v="28"/>
    <x v="0"/>
    <x v="136"/>
    <x v="1"/>
    <n v="104770"/>
    <x v="1"/>
    <n v="1.832876712328767"/>
  </r>
  <r>
    <s v="Alta Kaszper"/>
    <x v="0"/>
    <n v="27"/>
    <x v="0"/>
    <x v="137"/>
    <x v="4"/>
    <n v="54970"/>
    <x v="1"/>
    <n v="2.7972602739726029"/>
  </r>
  <r>
    <s v="Dennison Crosswaite"/>
    <x v="2"/>
    <n v="26"/>
    <x v="1"/>
    <x v="138"/>
    <x v="0"/>
    <n v="90700"/>
    <x v="1"/>
    <n v="2.4219178082191779"/>
  </r>
  <r>
    <s v="Oran Buxcy"/>
    <x v="1"/>
    <n v="38"/>
    <x v="1"/>
    <x v="139"/>
    <x v="4"/>
    <n v="56870"/>
    <x v="1"/>
    <n v="2.2630136986301368"/>
  </r>
  <r>
    <s v="Hinda Label"/>
    <x v="1"/>
    <n v="25"/>
    <x v="0"/>
    <x v="140"/>
    <x v="4"/>
    <n v="92700"/>
    <x v="1"/>
    <n v="2.6027397260273974"/>
  </r>
  <r>
    <s v="Marney O'Breen"/>
    <x v="1"/>
    <n v="21"/>
    <x v="0"/>
    <x v="141"/>
    <x v="3"/>
    <n v="65920"/>
    <x v="1"/>
    <n v="2.2958904109589042"/>
  </r>
  <r>
    <s v="Dell Molloy"/>
    <x v="0"/>
    <n v="26"/>
    <x v="0"/>
    <x v="142"/>
    <x v="1"/>
    <n v="47360"/>
    <x v="1"/>
    <n v="2.547945205479452"/>
  </r>
  <r>
    <s v="Mallorie Waber"/>
    <x v="0"/>
    <n v="30"/>
    <x v="0"/>
    <x v="24"/>
    <x v="1"/>
    <n v="60570"/>
    <x v="1"/>
    <n v="1.3397260273972602"/>
  </r>
  <r>
    <s v="Cherlyn Barter"/>
    <x v="1"/>
    <n v="28"/>
    <x v="0"/>
    <x v="143"/>
    <x v="1"/>
    <n v="104120"/>
    <x v="1"/>
    <n v="1.3863013698630138"/>
  </r>
  <r>
    <s v="Ches Bonnell"/>
    <x v="0"/>
    <n v="37"/>
    <x v="2"/>
    <x v="144"/>
    <x v="0"/>
    <n v="88050"/>
    <x v="1"/>
    <n v="2.2383561643835614"/>
  </r>
  <r>
    <s v="Collin Jagson"/>
    <x v="0"/>
    <n v="24"/>
    <x v="0"/>
    <x v="119"/>
    <x v="0"/>
    <n v="100420"/>
    <x v="1"/>
    <n v="1.284931506849315"/>
  </r>
  <r>
    <s v="Hogan Iles"/>
    <x v="1"/>
    <n v="30"/>
    <x v="0"/>
    <x v="128"/>
    <x v="1"/>
    <n v="114180"/>
    <x v="1"/>
    <n v="0.83561643835616439"/>
  </r>
  <r>
    <s v="Gretchen Callow"/>
    <x v="1"/>
    <n v="21"/>
    <x v="0"/>
    <x v="145"/>
    <x v="0"/>
    <n v="33920"/>
    <x v="1"/>
    <n v="1.3068493150684932"/>
  </r>
  <r>
    <s v="Kissiah Maydway"/>
    <x v="0"/>
    <n v="23"/>
    <x v="0"/>
    <x v="146"/>
    <x v="1"/>
    <n v="106460"/>
    <x v="1"/>
    <n v="1.9589041095890412"/>
  </r>
  <r>
    <s v="Archibald Filliskirk"/>
    <x v="0"/>
    <n v="35"/>
    <x v="0"/>
    <x v="147"/>
    <x v="1"/>
    <n v="40400"/>
    <x v="1"/>
    <n v="1.1726027397260275"/>
  </r>
  <r>
    <s v="Enoch Dowrey"/>
    <x v="0"/>
    <n v="27"/>
    <x v="1"/>
    <x v="148"/>
    <x v="3"/>
    <n v="91650"/>
    <x v="1"/>
    <n v="2.5178082191780824"/>
  </r>
  <r>
    <s v="Bili Sizey"/>
    <x v="0"/>
    <n v="43"/>
    <x v="0"/>
    <x v="149"/>
    <x v="4"/>
    <n v="36040"/>
    <x v="1"/>
    <n v="1.4657534246575343"/>
  </r>
  <r>
    <s v="Caro Chappel"/>
    <x v="1"/>
    <n v="40"/>
    <x v="0"/>
    <x v="150"/>
    <x v="0"/>
    <n v="104410"/>
    <x v="1"/>
    <n v="2.1205479452054794"/>
  </r>
  <r>
    <s v="Constantino Espley"/>
    <x v="0"/>
    <n v="30"/>
    <x v="0"/>
    <x v="151"/>
    <x v="3"/>
    <n v="96800"/>
    <x v="1"/>
    <n v="1.5041095890410958"/>
  </r>
  <r>
    <s v="Karlen McCaffrey"/>
    <x v="1"/>
    <n v="34"/>
    <x v="0"/>
    <x v="94"/>
    <x v="3"/>
    <n v="85000"/>
    <x v="1"/>
    <n v="1.9068493150684931"/>
  </r>
  <r>
    <s v="Drusy MacCombe"/>
    <x v="0"/>
    <n v="28"/>
    <x v="4"/>
    <x v="152"/>
    <x v="4"/>
    <n v="43510"/>
    <x v="1"/>
    <n v="0.9178082191780822"/>
  </r>
  <r>
    <s v="My Hanscome"/>
    <x v="0"/>
    <n v="33"/>
    <x v="0"/>
    <x v="153"/>
    <x v="3"/>
    <n v="59430"/>
    <x v="1"/>
    <n v="2.4986301369863013"/>
  </r>
  <r>
    <s v="Teressa Udden"/>
    <x v="1"/>
    <n v="33"/>
    <x v="0"/>
    <x v="154"/>
    <x v="3"/>
    <n v="65360"/>
    <x v="1"/>
    <n v="2.9808219178082194"/>
  </r>
  <r>
    <s v="Crissie Cordel"/>
    <x v="1"/>
    <n v="32"/>
    <x v="0"/>
    <x v="155"/>
    <x v="1"/>
    <n v="41570"/>
    <x v="1"/>
    <n v="1.4904109589041097"/>
  </r>
  <r>
    <s v="Elia Cockton"/>
    <x v="1"/>
    <n v="33"/>
    <x v="0"/>
    <x v="156"/>
    <x v="0"/>
    <n v="75280"/>
    <x v="1"/>
    <n v="2.3095890410958906"/>
  </r>
  <r>
    <s v="Gigi Bohling"/>
    <x v="0"/>
    <n v="33"/>
    <x v="0"/>
    <x v="157"/>
    <x v="4"/>
    <n v="74550"/>
    <x v="1"/>
    <n v="2.1095890410958904"/>
  </r>
  <r>
    <s v="Ebonee Roxburgh"/>
    <x v="0"/>
    <n v="30"/>
    <x v="0"/>
    <x v="47"/>
    <x v="1"/>
    <n v="67950"/>
    <x v="1"/>
    <n v="1.2438356164383562"/>
  </r>
  <r>
    <s v="Shayne Stegel"/>
    <x v="0"/>
    <n v="42"/>
    <x v="2"/>
    <x v="158"/>
    <x v="3"/>
    <n v="70270"/>
    <x v="1"/>
    <n v="1.1616438356164382"/>
  </r>
  <r>
    <s v="Zach Polon"/>
    <x v="0"/>
    <n v="26"/>
    <x v="0"/>
    <x v="159"/>
    <x v="1"/>
    <n v="53540"/>
    <x v="1"/>
    <n v="2.03835616438356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1F6E5-1BFA-4A02-90C7-F284907DC64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D8" firstHeaderRow="0" firstDataRow="1" firstDataCol="1"/>
  <pivotFields count="12">
    <pivotField dataField="1" showAll="0"/>
    <pivotField showAll="0"/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numFmtId="14" showAll="0">
      <items count="161">
        <item x="16"/>
        <item x="77"/>
        <item x="12"/>
        <item x="54"/>
        <item x="125"/>
        <item x="38"/>
        <item x="126"/>
        <item x="13"/>
        <item x="36"/>
        <item x="154"/>
        <item x="20"/>
        <item x="64"/>
        <item x="4"/>
        <item x="78"/>
        <item x="53"/>
        <item x="97"/>
        <item x="35"/>
        <item x="0"/>
        <item x="50"/>
        <item x="86"/>
        <item x="137"/>
        <item x="6"/>
        <item x="99"/>
        <item x="89"/>
        <item x="92"/>
        <item x="30"/>
        <item x="48"/>
        <item x="40"/>
        <item x="85"/>
        <item x="121"/>
        <item x="106"/>
        <item x="113"/>
        <item x="63"/>
        <item x="140"/>
        <item x="51"/>
        <item x="71"/>
        <item x="83"/>
        <item x="142"/>
        <item x="148"/>
        <item x="100"/>
        <item x="153"/>
        <item x="44"/>
        <item x="31"/>
        <item x="96"/>
        <item x="5"/>
        <item x="138"/>
        <item x="65"/>
        <item x="132"/>
        <item x="58"/>
        <item x="21"/>
        <item x="1"/>
        <item x="41"/>
        <item x="156"/>
        <item x="80"/>
        <item x="62"/>
        <item x="141"/>
        <item x="10"/>
        <item x="79"/>
        <item x="8"/>
        <item x="70"/>
        <item x="139"/>
        <item x="129"/>
        <item x="105"/>
        <item x="144"/>
        <item x="3"/>
        <item x="68"/>
        <item x="95"/>
        <item x="88"/>
        <item x="108"/>
        <item x="34"/>
        <item x="130"/>
        <item x="73"/>
        <item x="150"/>
        <item x="56"/>
        <item x="37"/>
        <item x="157"/>
        <item x="19"/>
        <item x="74"/>
        <item x="42"/>
        <item x="127"/>
        <item x="60"/>
        <item x="159"/>
        <item x="46"/>
        <item x="82"/>
        <item x="116"/>
        <item x="146"/>
        <item x="120"/>
        <item x="87"/>
        <item x="81"/>
        <item x="57"/>
        <item x="133"/>
        <item x="94"/>
        <item x="90"/>
        <item x="75"/>
        <item x="59"/>
        <item x="136"/>
        <item x="109"/>
        <item x="39"/>
        <item x="93"/>
        <item x="115"/>
        <item x="117"/>
        <item x="55"/>
        <item x="123"/>
        <item x="11"/>
        <item x="66"/>
        <item x="28"/>
        <item x="72"/>
        <item x="22"/>
        <item x="102"/>
        <item x="32"/>
        <item x="76"/>
        <item x="45"/>
        <item x="103"/>
        <item x="26"/>
        <item x="151"/>
        <item x="52"/>
        <item x="131"/>
        <item x="155"/>
        <item x="107"/>
        <item x="43"/>
        <item x="149"/>
        <item x="25"/>
        <item x="112"/>
        <item x="33"/>
        <item x="69"/>
        <item x="14"/>
        <item x="143"/>
        <item x="101"/>
        <item x="15"/>
        <item x="2"/>
        <item x="9"/>
        <item x="24"/>
        <item x="49"/>
        <item x="145"/>
        <item x="18"/>
        <item x="119"/>
        <item x="124"/>
        <item x="84"/>
        <item x="47"/>
        <item x="7"/>
        <item x="23"/>
        <item x="111"/>
        <item x="114"/>
        <item x="110"/>
        <item x="147"/>
        <item x="158"/>
        <item x="122"/>
        <item x="67"/>
        <item x="61"/>
        <item x="98"/>
        <item x="135"/>
        <item x="104"/>
        <item x="17"/>
        <item x="29"/>
        <item x="118"/>
        <item x="152"/>
        <item x="128"/>
        <item x="91"/>
        <item x="27"/>
        <item x="134"/>
        <item t="default"/>
      </items>
    </pivotField>
    <pivotField showAll="0"/>
    <pivotField dataField="1" showAll="0"/>
    <pivotField showAll="0"/>
    <pivotField numFmtId="2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0" subtotal="count" baseField="0" baseItem="0"/>
    <dataField name="Average of Salary" fld="6" subtotal="average" baseField="0" baseItem="0" numFmtId="6"/>
  </dataFields>
  <formats count="1">
    <format dxfId="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891B6E-0E01-43E7-9A4C-02E9D71EFCA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17" firstHeaderRow="1" firstDataRow="1" firstDataCol="1"/>
  <pivotFields count="12">
    <pivotField dataField="1" showAll="0"/>
    <pivotField showAll="0"/>
    <pivotField showAll="0"/>
    <pivotField showAll="0"/>
    <pivotField numFmtId="14" showAll="0">
      <items count="161">
        <item x="16"/>
        <item x="77"/>
        <item x="12"/>
        <item x="54"/>
        <item x="125"/>
        <item x="38"/>
        <item x="126"/>
        <item x="13"/>
        <item x="36"/>
        <item x="154"/>
        <item x="20"/>
        <item x="64"/>
        <item x="4"/>
        <item x="78"/>
        <item x="53"/>
        <item x="97"/>
        <item x="35"/>
        <item x="0"/>
        <item x="50"/>
        <item x="86"/>
        <item x="137"/>
        <item x="6"/>
        <item x="99"/>
        <item x="89"/>
        <item x="92"/>
        <item x="30"/>
        <item x="48"/>
        <item x="40"/>
        <item x="85"/>
        <item x="121"/>
        <item x="106"/>
        <item x="113"/>
        <item x="63"/>
        <item x="140"/>
        <item x="51"/>
        <item x="71"/>
        <item x="83"/>
        <item x="142"/>
        <item x="148"/>
        <item x="100"/>
        <item x="153"/>
        <item x="44"/>
        <item x="31"/>
        <item x="96"/>
        <item x="5"/>
        <item x="138"/>
        <item x="65"/>
        <item x="132"/>
        <item x="58"/>
        <item x="21"/>
        <item x="1"/>
        <item x="41"/>
        <item x="156"/>
        <item x="80"/>
        <item x="62"/>
        <item x="141"/>
        <item x="10"/>
        <item x="79"/>
        <item x="8"/>
        <item x="70"/>
        <item x="139"/>
        <item x="129"/>
        <item x="105"/>
        <item x="144"/>
        <item x="3"/>
        <item x="68"/>
        <item x="95"/>
        <item x="88"/>
        <item x="108"/>
        <item x="34"/>
        <item x="130"/>
        <item x="73"/>
        <item x="150"/>
        <item x="56"/>
        <item x="37"/>
        <item x="157"/>
        <item x="19"/>
        <item x="74"/>
        <item x="42"/>
        <item x="127"/>
        <item x="60"/>
        <item x="159"/>
        <item x="46"/>
        <item x="82"/>
        <item x="116"/>
        <item x="146"/>
        <item x="120"/>
        <item x="87"/>
        <item x="81"/>
        <item x="57"/>
        <item x="133"/>
        <item x="94"/>
        <item x="90"/>
        <item x="75"/>
        <item x="59"/>
        <item x="136"/>
        <item x="109"/>
        <item x="39"/>
        <item x="93"/>
        <item x="115"/>
        <item x="117"/>
        <item x="55"/>
        <item x="123"/>
        <item x="11"/>
        <item x="66"/>
        <item x="28"/>
        <item x="72"/>
        <item x="22"/>
        <item x="102"/>
        <item x="32"/>
        <item x="76"/>
        <item x="45"/>
        <item x="103"/>
        <item x="26"/>
        <item x="151"/>
        <item x="52"/>
        <item x="131"/>
        <item x="155"/>
        <item x="107"/>
        <item x="43"/>
        <item x="149"/>
        <item x="25"/>
        <item x="112"/>
        <item x="33"/>
        <item x="69"/>
        <item x="14"/>
        <item x="143"/>
        <item x="101"/>
        <item x="15"/>
        <item x="2"/>
        <item x="9"/>
        <item x="24"/>
        <item x="49"/>
        <item x="145"/>
        <item x="18"/>
        <item x="119"/>
        <item x="124"/>
        <item x="84"/>
        <item x="47"/>
        <item x="7"/>
        <item x="23"/>
        <item x="111"/>
        <item x="114"/>
        <item x="110"/>
        <item x="147"/>
        <item x="158"/>
        <item x="122"/>
        <item x="67"/>
        <item x="61"/>
        <item x="98"/>
        <item x="135"/>
        <item x="104"/>
        <item x="17"/>
        <item x="29"/>
        <item x="118"/>
        <item x="152"/>
        <item x="128"/>
        <item x="91"/>
        <item x="27"/>
        <item x="134"/>
        <item t="default"/>
      </items>
    </pivotField>
    <pivotField showAll="0"/>
    <pivotField showAll="0"/>
    <pivotField showAll="0"/>
    <pivotField numFmtId="2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sd="0" x="2"/>
        <item sd="0" x="3"/>
        <item x="4"/>
        <item sd="0" x="5"/>
        <item t="default"/>
      </items>
    </pivotField>
  </pivotFields>
  <rowFields count="2">
    <field x="11"/>
    <field x="9"/>
  </rowFields>
  <rowItems count="15">
    <i>
      <x v="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>
      <x v="3"/>
    </i>
    <i>
      <x v="4"/>
    </i>
    <i r="1">
      <x v="2"/>
    </i>
    <i r="1">
      <x v="4"/>
    </i>
    <i t="grand">
      <x/>
    </i>
  </rowItems>
  <colItems count="1">
    <i/>
  </colItems>
  <dataFields count="1">
    <dataField name="Count of Name" fld="0" subtotal="count" baseField="0" baseItem="0"/>
  </dataFields>
  <formats count="2">
    <format dxfId="11">
      <pivotArea outline="0" collapsedLevelsAreSubtotals="1" fieldPosition="0"/>
    </format>
    <format dxfId="1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986E39-08AE-466A-80BE-2001D57E547D}" name="PivotTable1" cacheId="0" dataOnRows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2:C7" firstHeaderRow="1" firstDataRow="2" firstDataCol="1"/>
  <pivotFields count="12">
    <pivotField dataField="1" showAll="0"/>
    <pivotField axis="axisCol" showAll="0">
      <items count="4">
        <item x="1"/>
        <item x="0"/>
        <item h="1" x="2"/>
        <item t="default"/>
      </items>
    </pivotField>
    <pivotField dataField="1" showAll="0"/>
    <pivotField showAll="0"/>
    <pivotField numFmtId="14" showAll="0">
      <items count="161">
        <item x="16"/>
        <item x="77"/>
        <item x="12"/>
        <item x="54"/>
        <item x="125"/>
        <item x="38"/>
        <item x="126"/>
        <item x="13"/>
        <item x="36"/>
        <item x="154"/>
        <item x="20"/>
        <item x="64"/>
        <item x="4"/>
        <item x="78"/>
        <item x="53"/>
        <item x="97"/>
        <item x="35"/>
        <item x="0"/>
        <item x="50"/>
        <item x="86"/>
        <item x="137"/>
        <item x="6"/>
        <item x="99"/>
        <item x="89"/>
        <item x="92"/>
        <item x="30"/>
        <item x="48"/>
        <item x="40"/>
        <item x="85"/>
        <item x="121"/>
        <item x="106"/>
        <item x="113"/>
        <item x="63"/>
        <item x="140"/>
        <item x="51"/>
        <item x="71"/>
        <item x="83"/>
        <item x="142"/>
        <item x="148"/>
        <item x="100"/>
        <item x="153"/>
        <item x="44"/>
        <item x="31"/>
        <item x="96"/>
        <item x="5"/>
        <item x="138"/>
        <item x="65"/>
        <item x="132"/>
        <item x="58"/>
        <item x="21"/>
        <item x="1"/>
        <item x="41"/>
        <item x="156"/>
        <item x="80"/>
        <item x="62"/>
        <item x="141"/>
        <item x="10"/>
        <item x="79"/>
        <item x="8"/>
        <item x="70"/>
        <item x="139"/>
        <item x="129"/>
        <item x="105"/>
        <item x="144"/>
        <item x="3"/>
        <item x="68"/>
        <item x="95"/>
        <item x="88"/>
        <item x="108"/>
        <item x="34"/>
        <item x="130"/>
        <item x="73"/>
        <item x="150"/>
        <item x="56"/>
        <item x="37"/>
        <item x="157"/>
        <item x="19"/>
        <item x="74"/>
        <item x="42"/>
        <item x="127"/>
        <item x="60"/>
        <item x="159"/>
        <item x="46"/>
        <item x="82"/>
        <item x="116"/>
        <item x="146"/>
        <item x="120"/>
        <item x="87"/>
        <item x="81"/>
        <item x="57"/>
        <item x="133"/>
        <item x="94"/>
        <item x="90"/>
        <item x="75"/>
        <item x="59"/>
        <item x="136"/>
        <item x="109"/>
        <item x="39"/>
        <item x="93"/>
        <item x="115"/>
        <item x="117"/>
        <item x="55"/>
        <item x="123"/>
        <item x="11"/>
        <item x="66"/>
        <item x="28"/>
        <item x="72"/>
        <item x="22"/>
        <item x="102"/>
        <item x="32"/>
        <item x="76"/>
        <item x="45"/>
        <item x="103"/>
        <item x="26"/>
        <item x="151"/>
        <item x="52"/>
        <item x="131"/>
        <item x="155"/>
        <item x="107"/>
        <item x="43"/>
        <item x="149"/>
        <item x="25"/>
        <item x="112"/>
        <item x="33"/>
        <item x="69"/>
        <item x="14"/>
        <item x="143"/>
        <item x="101"/>
        <item x="15"/>
        <item x="2"/>
        <item x="9"/>
        <item x="24"/>
        <item x="49"/>
        <item x="145"/>
        <item x="18"/>
        <item x="119"/>
        <item x="124"/>
        <item x="84"/>
        <item x="47"/>
        <item x="7"/>
        <item x="23"/>
        <item x="111"/>
        <item x="114"/>
        <item x="110"/>
        <item x="147"/>
        <item x="158"/>
        <item x="122"/>
        <item x="67"/>
        <item x="61"/>
        <item x="98"/>
        <item x="135"/>
        <item x="104"/>
        <item x="17"/>
        <item x="29"/>
        <item x="118"/>
        <item x="152"/>
        <item x="128"/>
        <item x="91"/>
        <item x="27"/>
        <item x="134"/>
        <item t="default"/>
      </items>
    </pivotField>
    <pivotField showAll="0"/>
    <pivotField dataField="1" showAll="0"/>
    <pivotField showAll="0"/>
    <pivotField dataField="1" numFmtId="2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2">
    <i>
      <x/>
    </i>
    <i>
      <x v="1"/>
    </i>
  </colItems>
  <dataFields count="4">
    <dataField name="Count of Name" fld="0" subtotal="count" baseField="0" baseItem="0"/>
    <dataField name="Average of Age" fld="2" subtotal="average" baseField="0" baseItem="0"/>
    <dataField name="Average of Salary" fld="6" subtotal="average" baseField="0" baseItem="0"/>
    <dataField name="Average of Tenure" fld="8" subtotal="average" baseField="0" baseItem="0"/>
  </dataFields>
  <formats count="3">
    <format dxfId="9">
      <pivotArea collapsedLevelsAreSubtotals="1" fieldPosition="0">
        <references count="1">
          <reference field="4294967294" count="1">
            <x v="2"/>
          </reference>
        </references>
      </pivotArea>
    </format>
    <format dxfId="8">
      <pivotArea collapsedLevelsAreSubtotals="1" fieldPosition="0">
        <references count="1">
          <reference field="4294967294" count="1">
            <x v="1"/>
          </reference>
        </references>
      </pivotArea>
    </format>
    <format dxfId="7">
      <pivotArea collapsedLevelsAreSubtotals="1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D366FEE-7D73-472C-BCF4-FED37D71B23F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Name" tableColumnId="1"/>
      <queryTableField id="2" name="Gender" tableColumnId="2"/>
      <queryTableField id="3" name="Age" tableColumnId="3"/>
      <queryTableField id="4" name="Rating" tableColumnId="4"/>
      <queryTableField id="5" name="Date Joined" tableColumnId="5"/>
      <queryTableField id="6" name="Department" tableColumnId="6"/>
      <queryTableField id="7" name="Salary" tableColumnId="7"/>
      <queryTableField id="8" name="Country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CE4629-5165-474C-8D87-0306EEC4A84C}" name="Staff" displayName="Staff" ref="A1:K184" tableType="queryTable" totalsRowShown="0">
  <autoFilter ref="A1:K184" xr:uid="{5FCE4629-5165-474C-8D87-0306EEC4A84C}"/>
  <sortState xmlns:xlrd2="http://schemas.microsoft.com/office/spreadsheetml/2017/richdata2" ref="A2:J184">
    <sortCondition ref="G1:G184"/>
  </sortState>
  <tableColumns count="11">
    <tableColumn id="1" xr3:uid="{426CBF82-18B4-4047-8D2E-8AE9BAB37890}" uniqueName="1" name="Name" queryTableFieldId="1" dataDxfId="20"/>
    <tableColumn id="2" xr3:uid="{647D356C-1680-458B-9323-C10996AC5258}" uniqueName="2" name="Gender" queryTableFieldId="2" dataDxfId="19"/>
    <tableColumn id="3" xr3:uid="{CBF007C9-80FA-4070-98AB-284C0202B28B}" uniqueName="3" name="Age" queryTableFieldId="3"/>
    <tableColumn id="4" xr3:uid="{345F12A9-5D16-4BED-868A-44845B156102}" uniqueName="4" name="Rating" queryTableFieldId="4"/>
    <tableColumn id="5" xr3:uid="{812C4ED4-C849-4826-A2C4-FB9402F147DF}" uniqueName="5" name="Date Joined" queryTableFieldId="5" dataDxfId="18"/>
    <tableColumn id="6" xr3:uid="{96A154E8-E4A6-425A-95FC-68C2FFB81A3A}" uniqueName="6" name="Department" queryTableFieldId="6" dataDxfId="17"/>
    <tableColumn id="7" xr3:uid="{A2B15A3C-D98E-426A-AAE1-58E6907B523B}" uniqueName="7" name="Salary" queryTableFieldId="7" dataDxfId="16"/>
    <tableColumn id="8" xr3:uid="{DF70AB1B-E79D-4301-98EC-02975E3B3F4C}" uniqueName="8" name="Country" queryTableFieldId="8"/>
    <tableColumn id="9" xr3:uid="{EFEBF02D-FCF7-4D59-9A4B-EFC1643A2181}" uniqueName="9" name="Tenure" queryTableFieldId="9" dataDxfId="15">
      <calculatedColumnFormula>(TODAY()-Staff[[#This Row],[Date Joined]])/365</calculatedColumnFormula>
    </tableColumn>
    <tableColumn id="10" xr3:uid="{51EA42A7-EDA2-4261-8E9C-27F18307E5FF}" uniqueName="10" name="Bonus" queryTableFieldId="10" dataDxfId="14">
      <calculatedColumnFormula>IF(Staff[[#This Row],[Tenure]]&gt;3,3%,2%)*Staff[[#This Row],[Salary]]</calculatedColumnFormula>
    </tableColumn>
    <tableColumn id="11" xr3:uid="{CB19E974-E14F-4119-B316-8D9EEAFE487B}" uniqueName="11" name="Rating as Number" queryTableFieldId="11" dataDxfId="13">
      <calculatedColumnFormula>_xlfn.XLOOKUP(Staff[[#This Row],[Rating]],'Salary vs. Rating'!$B$10:$B$14,'Salary vs. Rating'!$C$10:$C$14)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0C4C34-E62C-4306-818D-869CB1942347}" name="New_Zealand_Staff" displayName="New_Zealand_Staff" ref="C4:I105" totalsRowCount="1">
  <autoFilter ref="C4:I104" xr:uid="{5E0C4C34-E62C-4306-818D-869CB1942347}"/>
  <tableColumns count="7">
    <tableColumn id="1" xr3:uid="{78B901DD-6C57-4E8F-A7E2-0CBE02A583EF}" name="Name" totalsRowLabel="Total"/>
    <tableColumn id="2" xr3:uid="{F2942B83-AADE-4D4A-AD21-774B65EDB57F}" name="Gender"/>
    <tableColumn id="3" xr3:uid="{9F653FA7-ADAC-4540-95C7-0A62F9D61B9F}" name="Department"/>
    <tableColumn id="4" xr3:uid="{199070B7-6D9B-4F0F-8631-88B18E308819}" name="Age" totalsRowFunction="average" dataDxfId="6" totalsRowDxfId="5"/>
    <tableColumn id="5" xr3:uid="{C357E983-20F3-49D9-B550-C36FB021327A}" name="Date Joined"/>
    <tableColumn id="6" xr3:uid="{31DD61B6-344B-4506-BE9E-6F075CB11833}" name="Salary" totalsRowFunction="average" dataDxfId="4" totalsRowDxfId="3"/>
    <tableColumn id="7" xr3:uid="{9282A1BE-F09B-4F22-B25F-9856AB1E3409}" name="Rating" totalsRowFunction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5E3D27-CE76-4DE0-8688-5F250C4E122C}" name="India_Staff" displayName="India_Staff" ref="B2:H115" totalsRowCount="1">
  <autoFilter ref="B2:H114" xr:uid="{4A5E3D27-CE76-4DE0-8688-5F250C4E122C}"/>
  <tableColumns count="7">
    <tableColumn id="1" xr3:uid="{4F934D2C-3807-4A1C-8E8F-B31A59BFB4E6}" name="Name" totalsRowLabel="Total"/>
    <tableColumn id="2" xr3:uid="{9EAF99E9-CF45-4FA6-9C5C-0D76719AC8C8}" name="Gender" totalsRowFunction="count"/>
    <tableColumn id="3" xr3:uid="{344E1878-6A58-408B-AADA-B716264346F9}" name="Age"/>
    <tableColumn id="4" xr3:uid="{65B492B2-E592-430E-B464-A29DBF781ED8}" name="Rating"/>
    <tableColumn id="5" xr3:uid="{616979CF-5579-4486-9C9B-837684E4ADA1}" name="Date Joined" dataDxfId="2"/>
    <tableColumn id="6" xr3:uid="{F4EF6282-E5EE-4E0B-A531-405637ABEE98}" name="Department"/>
    <tableColumn id="7" xr3:uid="{248F4B56-0CE5-4F56-95E6-BAAD5BEB56AA}" name="Salary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3EC-A5F1-4CC0-95F9-288616859F0F}">
  <sheetPr>
    <tabColor rgb="FF0070C0"/>
  </sheetPr>
  <dimension ref="A1:X184"/>
  <sheetViews>
    <sheetView topLeftCell="C1" workbookViewId="0">
      <selection activeCell="L17" sqref="L17"/>
    </sheetView>
  </sheetViews>
  <sheetFormatPr defaultRowHeight="15"/>
  <cols>
    <col min="1" max="1" width="30" bestFit="1" customWidth="1"/>
    <col min="2" max="2" width="10" bestFit="1" customWidth="1"/>
    <col min="3" max="3" width="6.7109375" bestFit="1" customWidth="1"/>
    <col min="4" max="4" width="14.28515625" bestFit="1" customWidth="1"/>
    <col min="5" max="5" width="13.7109375" bestFit="1" customWidth="1"/>
    <col min="6" max="6" width="14" bestFit="1" customWidth="1"/>
    <col min="7" max="7" width="11.85546875" style="3" bestFit="1" customWidth="1"/>
    <col min="8" max="8" width="10.28515625" bestFit="1" customWidth="1"/>
    <col min="9" max="9" width="10.7109375" style="6" bestFit="1" customWidth="1"/>
    <col min="10" max="10" width="14.85546875" style="2" customWidth="1"/>
    <col min="11" max="11" width="19" bestFit="1" customWidth="1"/>
    <col min="12" max="12" width="14.85546875" customWidth="1"/>
    <col min="13" max="13" width="2" bestFit="1" customWidth="1"/>
    <col min="14" max="14" width="21.5703125" bestFit="1" customWidth="1"/>
    <col min="15" max="15" width="12" bestFit="1" customWidth="1"/>
    <col min="17" max="17" width="11.28515625" bestFit="1" customWidth="1"/>
  </cols>
  <sheetData>
    <row r="1" spans="1:17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s="17" t="s">
        <v>5</v>
      </c>
      <c r="H1" t="s">
        <v>203</v>
      </c>
      <c r="I1" s="6" t="s">
        <v>212</v>
      </c>
      <c r="J1" s="16" t="s">
        <v>223</v>
      </c>
      <c r="K1" s="18" t="s">
        <v>226</v>
      </c>
    </row>
    <row r="2" spans="1:17">
      <c r="A2" t="s">
        <v>178</v>
      </c>
      <c r="B2" t="s">
        <v>8</v>
      </c>
      <c r="C2">
        <v>21</v>
      </c>
      <c r="D2" t="s">
        <v>16</v>
      </c>
      <c r="E2" s="5">
        <v>44619</v>
      </c>
      <c r="F2" t="s">
        <v>12</v>
      </c>
      <c r="G2" s="3">
        <v>33920</v>
      </c>
      <c r="H2" t="s">
        <v>206</v>
      </c>
      <c r="I2" s="6">
        <f ca="1">(TODAY()-Staff[[#This Row],[Date Joined]])/365</f>
        <v>1.4794520547945205</v>
      </c>
      <c r="J2" s="2">
        <f ca="1">IF(Staff[[#This Row],[Tenure]]&gt;3,3%,2%)*Staff[[#This Row],[Salary]]</f>
        <v>678.4</v>
      </c>
      <c r="K2">
        <f>_xlfn.XLOOKUP(Staff[[#This Row],[Rating]],'Salary vs. Rating'!$B$10:$B$14,'Salary vs. Rating'!$C$10:$C$14)</f>
        <v>3</v>
      </c>
      <c r="M2" s="9">
        <v>1</v>
      </c>
      <c r="N2" t="s">
        <v>207</v>
      </c>
      <c r="O2">
        <f>COUNTA(Staff[Name])</f>
        <v>183</v>
      </c>
    </row>
    <row r="3" spans="1:17">
      <c r="A3" t="s">
        <v>86</v>
      </c>
      <c r="B3" t="s">
        <v>8</v>
      </c>
      <c r="C3">
        <v>21</v>
      </c>
      <c r="D3" t="s">
        <v>16</v>
      </c>
      <c r="E3" s="5">
        <v>44678</v>
      </c>
      <c r="F3" t="s">
        <v>12</v>
      </c>
      <c r="G3" s="3">
        <v>33920</v>
      </c>
      <c r="H3" t="s">
        <v>205</v>
      </c>
      <c r="I3" s="6">
        <f ca="1">(TODAY()-Staff[[#This Row],[Date Joined]])/365</f>
        <v>1.3178082191780822</v>
      </c>
      <c r="J3" s="2">
        <f ca="1">IF(Staff[[#This Row],[Tenure]]&gt;3,3%,2%)*Staff[[#This Row],[Salary]]</f>
        <v>678.4</v>
      </c>
      <c r="K3">
        <f>_xlfn.XLOOKUP(Staff[[#This Row],[Rating]],'Salary vs. Rating'!$B$10:$B$14,'Salary vs. Rating'!$C$10:$C$14)</f>
        <v>3</v>
      </c>
      <c r="N3" t="s">
        <v>208</v>
      </c>
      <c r="O3" s="2">
        <f>AVERAGE(Staff[Salary])</f>
        <v>77173.715846994543</v>
      </c>
      <c r="P3">
        <f>MEDIAN(Staff[Salary])</f>
        <v>75000</v>
      </c>
    </row>
    <row r="4" spans="1:17">
      <c r="A4" t="s">
        <v>136</v>
      </c>
      <c r="B4" t="s">
        <v>8</v>
      </c>
      <c r="C4">
        <v>29</v>
      </c>
      <c r="D4" t="s">
        <v>16</v>
      </c>
      <c r="E4" s="5">
        <v>43962</v>
      </c>
      <c r="F4" t="s">
        <v>12</v>
      </c>
      <c r="G4" s="3">
        <v>34980</v>
      </c>
      <c r="H4" t="s">
        <v>206</v>
      </c>
      <c r="I4" s="6">
        <f ca="1">(TODAY()-Staff[[#This Row],[Date Joined]])/365</f>
        <v>3.2794520547945205</v>
      </c>
      <c r="J4" s="2">
        <f ca="1">IF(Staff[[#This Row],[Tenure]]&gt;3,3%,2%)*Staff[[#This Row],[Salary]]</f>
        <v>1049.3999999999999</v>
      </c>
      <c r="K4">
        <f>_xlfn.XLOOKUP(Staff[[#This Row],[Rating]],'Salary vs. Rating'!$B$10:$B$14,'Salary vs. Rating'!$C$10:$C$14)</f>
        <v>3</v>
      </c>
      <c r="N4" t="s">
        <v>209</v>
      </c>
      <c r="O4">
        <f>AVERAGE(Staff[Age])</f>
        <v>30.42622950819672</v>
      </c>
      <c r="P4">
        <f>MEDIAN(Staff[Age])</f>
        <v>30</v>
      </c>
    </row>
    <row r="5" spans="1:17">
      <c r="A5" t="s">
        <v>44</v>
      </c>
      <c r="B5" t="s">
        <v>8</v>
      </c>
      <c r="C5">
        <v>29</v>
      </c>
      <c r="D5" t="s">
        <v>16</v>
      </c>
      <c r="E5" s="5">
        <v>44023</v>
      </c>
      <c r="F5" t="s">
        <v>12</v>
      </c>
      <c r="G5" s="3">
        <v>34980</v>
      </c>
      <c r="H5" t="s">
        <v>205</v>
      </c>
      <c r="I5" s="6">
        <f ca="1">(TODAY()-Staff[[#This Row],[Date Joined]])/365</f>
        <v>3.1123287671232878</v>
      </c>
      <c r="J5" s="2">
        <f ca="1">IF(Staff[[#This Row],[Tenure]]&gt;3,3%,2%)*Staff[[#This Row],[Salary]]</f>
        <v>1049.3999999999999</v>
      </c>
      <c r="K5">
        <f>_xlfn.XLOOKUP(Staff[[#This Row],[Rating]],'Salary vs. Rating'!$B$10:$B$14,'Salary vs. Rating'!$C$10:$C$14)</f>
        <v>3</v>
      </c>
      <c r="N5" t="s">
        <v>210</v>
      </c>
      <c r="O5">
        <f ca="1">AVERAGE(Staff[Tenure])</f>
        <v>1.9889512688075464</v>
      </c>
    </row>
    <row r="6" spans="1:17">
      <c r="A6" t="s">
        <v>191</v>
      </c>
      <c r="B6" t="s">
        <v>15</v>
      </c>
      <c r="C6">
        <v>43</v>
      </c>
      <c r="D6" t="s">
        <v>16</v>
      </c>
      <c r="E6" s="5">
        <v>44558</v>
      </c>
      <c r="F6" t="s">
        <v>19</v>
      </c>
      <c r="G6" s="3">
        <v>36040</v>
      </c>
      <c r="H6" t="s">
        <v>206</v>
      </c>
      <c r="I6" s="6">
        <f ca="1">(TODAY()-Staff[[#This Row],[Date Joined]])/365</f>
        <v>1.6465753424657534</v>
      </c>
      <c r="J6" s="2">
        <f ca="1">IF(Staff[[#This Row],[Tenure]]&gt;3,3%,2%)*Staff[[#This Row],[Salary]]</f>
        <v>720.80000000000007</v>
      </c>
      <c r="K6">
        <f>_xlfn.XLOOKUP(Staff[[#This Row],[Rating]],'Salary vs. Rating'!$B$10:$B$14,'Salary vs. Rating'!$C$10:$C$14)</f>
        <v>3</v>
      </c>
      <c r="N6" t="s">
        <v>211</v>
      </c>
      <c r="O6" s="7">
        <f>COUNTIF(Staff[Gender],"Female")/O2</f>
        <v>0.46994535519125685</v>
      </c>
    </row>
    <row r="7" spans="1:17">
      <c r="A7" t="s">
        <v>99</v>
      </c>
      <c r="B7" t="s">
        <v>15</v>
      </c>
      <c r="C7">
        <v>43</v>
      </c>
      <c r="D7" t="s">
        <v>16</v>
      </c>
      <c r="E7" s="5">
        <v>44620</v>
      </c>
      <c r="F7" t="s">
        <v>19</v>
      </c>
      <c r="G7" s="3">
        <v>36040</v>
      </c>
      <c r="H7" t="s">
        <v>205</v>
      </c>
      <c r="I7" s="6">
        <f ca="1">(TODAY()-Staff[[#This Row],[Date Joined]])/365</f>
        <v>1.4767123287671233</v>
      </c>
      <c r="J7" s="2">
        <f ca="1">IF(Staff[[#This Row],[Tenure]]&gt;3,3%,2%)*Staff[[#This Row],[Salary]]</f>
        <v>720.80000000000007</v>
      </c>
      <c r="K7">
        <f>_xlfn.XLOOKUP(Staff[[#This Row],[Rating]],'Salary vs. Rating'!$B$10:$B$14,'Salary vs. Rating'!$C$10:$C$14)</f>
        <v>3</v>
      </c>
      <c r="N7" t="s">
        <v>213</v>
      </c>
      <c r="O7" s="7">
        <f>COUNTIF(Staff[Salary],"&gt;90000")/O2</f>
        <v>0.34426229508196721</v>
      </c>
    </row>
    <row r="8" spans="1:17">
      <c r="A8" t="s">
        <v>139</v>
      </c>
      <c r="B8" t="s">
        <v>15</v>
      </c>
      <c r="C8">
        <v>21</v>
      </c>
      <c r="D8" t="s">
        <v>16</v>
      </c>
      <c r="E8" s="5">
        <v>44042</v>
      </c>
      <c r="F8" t="s">
        <v>9</v>
      </c>
      <c r="G8" s="3">
        <v>37920</v>
      </c>
      <c r="H8" t="s">
        <v>206</v>
      </c>
      <c r="I8" s="6">
        <f ca="1">(TODAY()-Staff[[#This Row],[Date Joined]])/365</f>
        <v>3.0602739726027397</v>
      </c>
      <c r="J8" s="2">
        <f ca="1">IF(Staff[[#This Row],[Tenure]]&gt;3,3%,2%)*Staff[[#This Row],[Salary]]</f>
        <v>1137.5999999999999</v>
      </c>
      <c r="K8">
        <f>_xlfn.XLOOKUP(Staff[[#This Row],[Rating]],'Salary vs. Rating'!$B$10:$B$14,'Salary vs. Rating'!$C$10:$C$14)</f>
        <v>3</v>
      </c>
    </row>
    <row r="9" spans="1:17">
      <c r="A9" t="s">
        <v>47</v>
      </c>
      <c r="B9" t="s">
        <v>15</v>
      </c>
      <c r="C9">
        <v>21</v>
      </c>
      <c r="D9" t="s">
        <v>16</v>
      </c>
      <c r="E9" s="5">
        <v>44104</v>
      </c>
      <c r="F9" t="s">
        <v>9</v>
      </c>
      <c r="G9" s="3">
        <v>37920</v>
      </c>
      <c r="H9" t="s">
        <v>205</v>
      </c>
      <c r="I9" s="6">
        <f ca="1">(TODAY()-Staff[[#This Row],[Date Joined]])/365</f>
        <v>2.8904109589041096</v>
      </c>
      <c r="J9" s="2">
        <f ca="1">IF(Staff[[#This Row],[Tenure]]&gt;3,3%,2%)*Staff[[#This Row],[Salary]]</f>
        <v>758.4</v>
      </c>
      <c r="K9">
        <f>_xlfn.XLOOKUP(Staff[[#This Row],[Rating]],'Salary vs. Rating'!$B$10:$B$14,'Salary vs. Rating'!$C$10:$C$14)</f>
        <v>3</v>
      </c>
    </row>
    <row r="10" spans="1:17">
      <c r="A10" t="s">
        <v>148</v>
      </c>
      <c r="B10" t="s">
        <v>15</v>
      </c>
      <c r="C10">
        <v>35</v>
      </c>
      <c r="D10" t="s">
        <v>16</v>
      </c>
      <c r="E10" s="5">
        <v>44666</v>
      </c>
      <c r="F10" t="s">
        <v>9</v>
      </c>
      <c r="G10" s="3">
        <v>40400</v>
      </c>
      <c r="H10" t="s">
        <v>206</v>
      </c>
      <c r="I10" s="6">
        <f ca="1">(TODAY()-Staff[[#This Row],[Date Joined]])/365</f>
        <v>1.3506849315068492</v>
      </c>
      <c r="J10" s="2">
        <f ca="1">IF(Staff[[#This Row],[Tenure]]&gt;3,3%,2%)*Staff[[#This Row],[Salary]]</f>
        <v>808</v>
      </c>
      <c r="K10">
        <f>_xlfn.XLOOKUP(Staff[[#This Row],[Rating]],'Salary vs. Rating'!$B$10:$B$14,'Salary vs. Rating'!$C$10:$C$14)</f>
        <v>3</v>
      </c>
      <c r="M10" s="10">
        <v>2</v>
      </c>
      <c r="N10" t="s">
        <v>214</v>
      </c>
      <c r="Q10" t="s">
        <v>77</v>
      </c>
    </row>
    <row r="11" spans="1:17">
      <c r="A11" t="s">
        <v>57</v>
      </c>
      <c r="B11" t="s">
        <v>15</v>
      </c>
      <c r="C11">
        <v>35</v>
      </c>
      <c r="D11" t="s">
        <v>16</v>
      </c>
      <c r="E11" s="5">
        <v>44727</v>
      </c>
      <c r="F11" t="s">
        <v>9</v>
      </c>
      <c r="G11" s="3">
        <v>40400</v>
      </c>
      <c r="H11" t="s">
        <v>205</v>
      </c>
      <c r="I11" s="6">
        <f ca="1">(TODAY()-Staff[[#This Row],[Date Joined]])/365</f>
        <v>1.1835616438356165</v>
      </c>
      <c r="J11" s="2">
        <f ca="1">IF(Staff[[#This Row],[Tenure]]&gt;3,3%,2%)*Staff[[#This Row],[Salary]]</f>
        <v>808</v>
      </c>
      <c r="K11">
        <f>_xlfn.XLOOKUP(Staff[[#This Row],[Rating]],'Salary vs. Rating'!$B$10:$B$14,'Salary vs. Rating'!$C$10:$C$14)</f>
        <v>3</v>
      </c>
    </row>
    <row r="12" spans="1:17">
      <c r="A12" t="s">
        <v>157</v>
      </c>
      <c r="B12" t="s">
        <v>8</v>
      </c>
      <c r="C12">
        <v>32</v>
      </c>
      <c r="D12" t="s">
        <v>16</v>
      </c>
      <c r="E12" s="5">
        <v>44549</v>
      </c>
      <c r="F12" t="s">
        <v>9</v>
      </c>
      <c r="G12" s="3">
        <v>41570</v>
      </c>
      <c r="H12" t="s">
        <v>206</v>
      </c>
      <c r="I12" s="6">
        <f ca="1">(TODAY()-Staff[[#This Row],[Date Joined]])/365</f>
        <v>1.6712328767123288</v>
      </c>
      <c r="J12" s="2">
        <f ca="1">IF(Staff[[#This Row],[Tenure]]&gt;3,3%,2%)*Staff[[#This Row],[Salary]]</f>
        <v>831.4</v>
      </c>
      <c r="K12">
        <f>_xlfn.XLOOKUP(Staff[[#This Row],[Rating]],'Salary vs. Rating'!$B$10:$B$14,'Salary vs. Rating'!$C$10:$C$14)</f>
        <v>3</v>
      </c>
      <c r="N12" s="11" t="s">
        <v>1</v>
      </c>
      <c r="O12" s="12" t="str" cm="1">
        <f t="array" aca="1" ref="O12:O19" ca="1">TRANSPOSE(_xlfn.XLOOKUP(Q10,Staff[Name],Staff[[Gender]:[Tenure]]))</f>
        <v>Female</v>
      </c>
    </row>
    <row r="13" spans="1:17">
      <c r="A13" t="s">
        <v>66</v>
      </c>
      <c r="B13" t="s">
        <v>8</v>
      </c>
      <c r="C13">
        <v>32</v>
      </c>
      <c r="D13" t="s">
        <v>16</v>
      </c>
      <c r="E13" s="5">
        <v>44611</v>
      </c>
      <c r="F13" t="s">
        <v>9</v>
      </c>
      <c r="G13" s="3">
        <v>41570</v>
      </c>
      <c r="H13" t="s">
        <v>205</v>
      </c>
      <c r="I13" s="6">
        <f ca="1">(TODAY()-Staff[[#This Row],[Date Joined]])/365</f>
        <v>1.5013698630136987</v>
      </c>
      <c r="J13" s="2">
        <f ca="1">IF(Staff[[#This Row],[Tenure]]&gt;3,3%,2%)*Staff[[#This Row],[Salary]]</f>
        <v>831.4</v>
      </c>
      <c r="K13">
        <f>_xlfn.XLOOKUP(Staff[[#This Row],[Rating]],'Salary vs. Rating'!$B$10:$B$14,'Salary vs. Rating'!$C$10:$C$14)</f>
        <v>3</v>
      </c>
      <c r="N13" s="11" t="s">
        <v>3</v>
      </c>
      <c r="O13" s="12">
        <f ca="1"/>
        <v>25</v>
      </c>
    </row>
    <row r="14" spans="1:17">
      <c r="A14" t="s">
        <v>123</v>
      </c>
      <c r="B14" t="s">
        <v>8</v>
      </c>
      <c r="C14">
        <v>31</v>
      </c>
      <c r="D14" t="s">
        <v>16</v>
      </c>
      <c r="E14" s="5">
        <v>44084</v>
      </c>
      <c r="F14" t="s">
        <v>12</v>
      </c>
      <c r="G14" s="3">
        <v>41980</v>
      </c>
      <c r="H14" t="s">
        <v>206</v>
      </c>
      <c r="I14" s="6">
        <f ca="1">(TODAY()-Staff[[#This Row],[Date Joined]])/365</f>
        <v>2.9452054794520546</v>
      </c>
      <c r="J14" s="2">
        <f ca="1">IF(Staff[[#This Row],[Tenure]]&gt;3,3%,2%)*Staff[[#This Row],[Salary]]</f>
        <v>839.6</v>
      </c>
      <c r="K14">
        <f>_xlfn.XLOOKUP(Staff[[#This Row],[Rating]],'Salary vs. Rating'!$B$10:$B$14,'Salary vs. Rating'!$C$10:$C$14)</f>
        <v>3</v>
      </c>
      <c r="N14" s="11" t="s">
        <v>6</v>
      </c>
      <c r="O14" s="12" t="str">
        <f ca="1"/>
        <v>Average</v>
      </c>
    </row>
    <row r="15" spans="1:17">
      <c r="A15" t="s">
        <v>30</v>
      </c>
      <c r="B15" t="s">
        <v>8</v>
      </c>
      <c r="C15">
        <v>31</v>
      </c>
      <c r="D15" t="s">
        <v>16</v>
      </c>
      <c r="E15" s="5">
        <v>44145</v>
      </c>
      <c r="F15" t="s">
        <v>12</v>
      </c>
      <c r="G15" s="3">
        <v>41980</v>
      </c>
      <c r="H15" t="s">
        <v>205</v>
      </c>
      <c r="I15" s="6">
        <f ca="1">(TODAY()-Staff[[#This Row],[Date Joined]])/365</f>
        <v>2.7780821917808218</v>
      </c>
      <c r="J15" s="2">
        <f ca="1">IF(Staff[[#This Row],[Tenure]]&gt;3,3%,2%)*Staff[[#This Row],[Salary]]</f>
        <v>839.6</v>
      </c>
      <c r="K15">
        <f>_xlfn.XLOOKUP(Staff[[#This Row],[Rating]],'Salary vs. Rating'!$B$10:$B$14,'Salary vs. Rating'!$C$10:$C$14)</f>
        <v>3</v>
      </c>
      <c r="N15" s="11" t="s">
        <v>4</v>
      </c>
      <c r="O15" s="13">
        <f ca="1"/>
        <v>44205</v>
      </c>
    </row>
    <row r="16" spans="1:17">
      <c r="A16" t="s">
        <v>171</v>
      </c>
      <c r="B16" t="s">
        <v>15</v>
      </c>
      <c r="C16">
        <v>28</v>
      </c>
      <c r="D16" t="s">
        <v>42</v>
      </c>
      <c r="E16" s="5">
        <v>44758</v>
      </c>
      <c r="F16" t="s">
        <v>19</v>
      </c>
      <c r="G16" s="3">
        <v>43510</v>
      </c>
      <c r="H16" t="s">
        <v>206</v>
      </c>
      <c r="I16" s="6">
        <f ca="1">(TODAY()-Staff[[#This Row],[Date Joined]])/365</f>
        <v>1.0986301369863014</v>
      </c>
      <c r="J16" s="2">
        <f ca="1">IF(Staff[[#This Row],[Tenure]]&gt;3,3%,2%)*Staff[[#This Row],[Salary]]</f>
        <v>870.2</v>
      </c>
      <c r="K16">
        <f>_xlfn.XLOOKUP(Staff[[#This Row],[Rating]],'Salary vs. Rating'!$B$10:$B$14,'Salary vs. Rating'!$C$10:$C$14)</f>
        <v>1</v>
      </c>
      <c r="N16" s="11" t="s">
        <v>215</v>
      </c>
      <c r="O16" s="12" t="str">
        <f ca="1"/>
        <v>Sales</v>
      </c>
    </row>
    <row r="17" spans="1:24">
      <c r="A17" t="s">
        <v>80</v>
      </c>
      <c r="B17" t="s">
        <v>15</v>
      </c>
      <c r="C17">
        <v>28</v>
      </c>
      <c r="D17" t="s">
        <v>42</v>
      </c>
      <c r="E17" s="5">
        <v>44820</v>
      </c>
      <c r="F17" t="s">
        <v>19</v>
      </c>
      <c r="G17" s="3">
        <v>43510</v>
      </c>
      <c r="H17" t="s">
        <v>205</v>
      </c>
      <c r="I17" s="6">
        <f ca="1">(TODAY()-Staff[[#This Row],[Date Joined]])/365</f>
        <v>0.92876712328767119</v>
      </c>
      <c r="J17" s="2">
        <f ca="1">IF(Staff[[#This Row],[Tenure]]&gt;3,3%,2%)*Staff[[#This Row],[Salary]]</f>
        <v>870.2</v>
      </c>
      <c r="K17">
        <f>_xlfn.XLOOKUP(Staff[[#This Row],[Rating]],'Salary vs. Rating'!$B$10:$B$14,'Salary vs. Rating'!$C$10:$C$14)</f>
        <v>1</v>
      </c>
      <c r="N17" s="11" t="s">
        <v>5</v>
      </c>
      <c r="O17" s="14">
        <f ca="1"/>
        <v>92700</v>
      </c>
    </row>
    <row r="18" spans="1:24">
      <c r="A18" t="s">
        <v>175</v>
      </c>
      <c r="B18" t="s">
        <v>8</v>
      </c>
      <c r="C18">
        <v>32</v>
      </c>
      <c r="D18" t="s">
        <v>13</v>
      </c>
      <c r="E18" s="5">
        <v>44293</v>
      </c>
      <c r="F18" t="s">
        <v>12</v>
      </c>
      <c r="G18" s="3">
        <v>43840</v>
      </c>
      <c r="H18" t="s">
        <v>206</v>
      </c>
      <c r="I18" s="6">
        <f ca="1">(TODAY()-Staff[[#This Row],[Date Joined]])/365</f>
        <v>2.3726027397260272</v>
      </c>
      <c r="J18" s="2">
        <f ca="1">IF(Staff[[#This Row],[Tenure]]&gt;3,3%,2%)*Staff[[#This Row],[Salary]]</f>
        <v>876.80000000000007</v>
      </c>
      <c r="K18">
        <f>_xlfn.XLOOKUP(Staff[[#This Row],[Rating]],'Salary vs. Rating'!$B$10:$B$14,'Salary vs. Rating'!$C$10:$C$14)</f>
        <v>4</v>
      </c>
      <c r="N18" s="11" t="s">
        <v>203</v>
      </c>
      <c r="O18" s="12" t="str">
        <f ca="1"/>
        <v>NZ</v>
      </c>
    </row>
    <row r="19" spans="1:24">
      <c r="A19" t="s">
        <v>84</v>
      </c>
      <c r="B19" t="s">
        <v>8</v>
      </c>
      <c r="C19">
        <v>32</v>
      </c>
      <c r="D19" t="s">
        <v>13</v>
      </c>
      <c r="E19" s="5">
        <v>44354</v>
      </c>
      <c r="F19" t="s">
        <v>12</v>
      </c>
      <c r="G19" s="3">
        <v>43840</v>
      </c>
      <c r="H19" t="s">
        <v>205</v>
      </c>
      <c r="I19" s="6">
        <f ca="1">(TODAY()-Staff[[#This Row],[Date Joined]])/365</f>
        <v>2.2054794520547945</v>
      </c>
      <c r="J19" s="2">
        <f ca="1">IF(Staff[[#This Row],[Tenure]]&gt;3,3%,2%)*Staff[[#This Row],[Salary]]</f>
        <v>876.80000000000007</v>
      </c>
      <c r="K19">
        <f>_xlfn.XLOOKUP(Staff[[#This Row],[Rating]],'Salary vs. Rating'!$B$10:$B$14,'Salary vs. Rating'!$C$10:$C$14)</f>
        <v>4</v>
      </c>
      <c r="N19" s="11" t="s">
        <v>212</v>
      </c>
      <c r="O19" s="12">
        <f ca="1"/>
        <v>2.6136986301369864</v>
      </c>
    </row>
    <row r="20" spans="1:24">
      <c r="A20" t="s">
        <v>200</v>
      </c>
      <c r="B20" t="s">
        <v>8</v>
      </c>
      <c r="C20">
        <v>32</v>
      </c>
      <c r="D20" t="s">
        <v>16</v>
      </c>
      <c r="E20" s="5">
        <v>44339</v>
      </c>
      <c r="F20" t="s">
        <v>56</v>
      </c>
      <c r="G20" s="3">
        <v>45510</v>
      </c>
      <c r="H20" t="s">
        <v>206</v>
      </c>
      <c r="I20" s="6">
        <f ca="1">(TODAY()-Staff[[#This Row],[Date Joined]])/365</f>
        <v>2.2465753424657535</v>
      </c>
      <c r="J20" s="2">
        <f ca="1">IF(Staff[[#This Row],[Tenure]]&gt;3,3%,2%)*Staff[[#This Row],[Salary]]</f>
        <v>910.2</v>
      </c>
      <c r="K20">
        <f>_xlfn.XLOOKUP(Staff[[#This Row],[Rating]],'Salary vs. Rating'!$B$10:$B$14,'Salary vs. Rating'!$C$10:$C$14)</f>
        <v>3</v>
      </c>
    </row>
    <row r="21" spans="1:24">
      <c r="A21" t="s">
        <v>108</v>
      </c>
      <c r="B21" t="s">
        <v>8</v>
      </c>
      <c r="C21">
        <v>32</v>
      </c>
      <c r="D21" t="s">
        <v>16</v>
      </c>
      <c r="E21" s="5">
        <v>44400</v>
      </c>
      <c r="F21" t="s">
        <v>56</v>
      </c>
      <c r="G21" s="3">
        <v>45510</v>
      </c>
      <c r="H21" t="s">
        <v>205</v>
      </c>
      <c r="I21" s="6">
        <f ca="1">(TODAY()-Staff[[#This Row],[Date Joined]])/365</f>
        <v>2.0794520547945203</v>
      </c>
      <c r="J21" s="2">
        <f ca="1">IF(Staff[[#This Row],[Tenure]]&gt;3,3%,2%)*Staff[[#This Row],[Salary]]</f>
        <v>910.2</v>
      </c>
      <c r="K21">
        <f>_xlfn.XLOOKUP(Staff[[#This Row],[Rating]],'Salary vs. Rating'!$B$10:$B$14,'Salary vs. Rating'!$C$10:$C$14)</f>
        <v>3</v>
      </c>
      <c r="M21" s="10">
        <v>3</v>
      </c>
      <c r="N21" t="s">
        <v>216</v>
      </c>
      <c r="Q21" t="s">
        <v>21</v>
      </c>
    </row>
    <row r="22" spans="1:24">
      <c r="A22" t="s">
        <v>150</v>
      </c>
      <c r="B22" t="s">
        <v>15</v>
      </c>
      <c r="C22">
        <v>26</v>
      </c>
      <c r="D22" t="s">
        <v>16</v>
      </c>
      <c r="E22" s="5">
        <v>44164</v>
      </c>
      <c r="F22" t="s">
        <v>9</v>
      </c>
      <c r="G22" s="3">
        <v>47360</v>
      </c>
      <c r="H22" t="s">
        <v>206</v>
      </c>
      <c r="I22" s="6">
        <f ca="1">(TODAY()-Staff[[#This Row],[Date Joined]])/365</f>
        <v>2.7260273972602738</v>
      </c>
      <c r="J22" s="2">
        <f ca="1">IF(Staff[[#This Row],[Tenure]]&gt;3,3%,2%)*Staff[[#This Row],[Salary]]</f>
        <v>947.2</v>
      </c>
      <c r="K22">
        <f>_xlfn.XLOOKUP(Staff[[#This Row],[Rating]],'Salary vs. Rating'!$B$10:$B$14,'Salary vs. Rating'!$C$10:$C$14)</f>
        <v>3</v>
      </c>
    </row>
    <row r="23" spans="1:24">
      <c r="A23" t="s">
        <v>59</v>
      </c>
      <c r="B23" t="s">
        <v>15</v>
      </c>
      <c r="C23">
        <v>26</v>
      </c>
      <c r="D23" t="s">
        <v>16</v>
      </c>
      <c r="E23" s="5">
        <v>44225</v>
      </c>
      <c r="F23" t="s">
        <v>9</v>
      </c>
      <c r="G23" s="3">
        <v>47360</v>
      </c>
      <c r="H23" t="s">
        <v>205</v>
      </c>
      <c r="I23" s="6">
        <f ca="1">(TODAY()-Staff[[#This Row],[Date Joined]])/365</f>
        <v>2.558904109589041</v>
      </c>
      <c r="J23" s="2">
        <f ca="1">IF(Staff[[#This Row],[Tenure]]&gt;3,3%,2%)*Staff[[#This Row],[Salary]]</f>
        <v>947.2</v>
      </c>
      <c r="K23">
        <f>_xlfn.XLOOKUP(Staff[[#This Row],[Rating]],'Salary vs. Rating'!$B$10:$B$14,'Salary vs. Rating'!$C$10:$C$14)</f>
        <v>3</v>
      </c>
      <c r="N23" t="str" cm="1">
        <f t="array" aca="1" ref="N23:X60" ca="1">_xlfn._xlws.SORT(_xlfn._xlws.FILTER(Staff[],Staff[Department]=Q21),7,-1)</f>
        <v>Sahila Chandrasekhar</v>
      </c>
      <c r="O23" t="str">
        <f ca="1"/>
        <v>Other</v>
      </c>
      <c r="P23">
        <f ca="1"/>
        <v>37</v>
      </c>
      <c r="Q23" t="str">
        <f ca="1"/>
        <v>Poor</v>
      </c>
      <c r="R23">
        <f ca="1"/>
        <v>44085</v>
      </c>
      <c r="S23" t="str">
        <f ca="1"/>
        <v>Finance</v>
      </c>
      <c r="T23">
        <f ca="1"/>
        <v>115440</v>
      </c>
      <c r="U23" t="str">
        <f ca="1"/>
        <v>IND</v>
      </c>
      <c r="V23">
        <f ca="1"/>
        <v>2.9424657534246577</v>
      </c>
      <c r="W23">
        <f ca="1"/>
        <v>2308.8000000000002</v>
      </c>
      <c r="X23">
        <f ca="1"/>
        <v>2</v>
      </c>
    </row>
    <row r="24" spans="1:24">
      <c r="A24" t="s">
        <v>122</v>
      </c>
      <c r="B24" t="s">
        <v>15</v>
      </c>
      <c r="C24">
        <v>28</v>
      </c>
      <c r="D24" t="s">
        <v>13</v>
      </c>
      <c r="E24" s="5">
        <v>43980</v>
      </c>
      <c r="F24" t="s">
        <v>21</v>
      </c>
      <c r="G24" s="3">
        <v>48170</v>
      </c>
      <c r="H24" t="s">
        <v>206</v>
      </c>
      <c r="I24" s="6">
        <f ca="1">(TODAY()-Staff[[#This Row],[Date Joined]])/365</f>
        <v>3.2301369863013698</v>
      </c>
      <c r="J24" s="2">
        <f ca="1">IF(Staff[[#This Row],[Tenure]]&gt;3,3%,2%)*Staff[[#This Row],[Salary]]</f>
        <v>1445.1</v>
      </c>
      <c r="K24">
        <f>_xlfn.XLOOKUP(Staff[[#This Row],[Rating]],'Salary vs. Rating'!$B$10:$B$14,'Salary vs. Rating'!$C$10:$C$14)</f>
        <v>4</v>
      </c>
      <c r="N24" t="str">
        <f ca="1"/>
        <v>Benny Karolovsky</v>
      </c>
      <c r="O24" t="str">
        <f ca="1"/>
        <v>Other</v>
      </c>
      <c r="P24">
        <f ca="1"/>
        <v>37</v>
      </c>
      <c r="Q24" t="str">
        <f ca="1"/>
        <v>Poor</v>
      </c>
      <c r="R24">
        <f ca="1"/>
        <v>44146</v>
      </c>
      <c r="S24" t="str">
        <f ca="1"/>
        <v>Finance</v>
      </c>
      <c r="T24">
        <f ca="1"/>
        <v>115440</v>
      </c>
      <c r="U24" t="str">
        <f ca="1"/>
        <v>NZ</v>
      </c>
      <c r="V24">
        <f ca="1"/>
        <v>2.7753424657534245</v>
      </c>
      <c r="W24">
        <f ca="1"/>
        <v>2308.8000000000002</v>
      </c>
      <c r="X24">
        <f ca="1"/>
        <v>2</v>
      </c>
    </row>
    <row r="25" spans="1:24">
      <c r="A25" t="s">
        <v>29</v>
      </c>
      <c r="B25" t="s">
        <v>15</v>
      </c>
      <c r="C25">
        <v>28</v>
      </c>
      <c r="D25" t="s">
        <v>13</v>
      </c>
      <c r="E25" s="5">
        <v>44041</v>
      </c>
      <c r="F25" t="s">
        <v>21</v>
      </c>
      <c r="G25" s="3">
        <v>48170</v>
      </c>
      <c r="H25" t="s">
        <v>205</v>
      </c>
      <c r="I25" s="6">
        <f ca="1">(TODAY()-Staff[[#This Row],[Date Joined]])/365</f>
        <v>3.0630136986301371</v>
      </c>
      <c r="J25" s="2">
        <f ca="1">IF(Staff[[#This Row],[Tenure]]&gt;3,3%,2%)*Staff[[#This Row],[Salary]]</f>
        <v>1445.1</v>
      </c>
      <c r="K25">
        <f>_xlfn.XLOOKUP(Staff[[#This Row],[Rating]],'Salary vs. Rating'!$B$10:$B$14,'Salary vs. Rating'!$C$10:$C$14)</f>
        <v>4</v>
      </c>
      <c r="N25" t="str">
        <f ca="1"/>
        <v>Mithil Nadkarni</v>
      </c>
      <c r="O25" t="str">
        <f ca="1"/>
        <v>Male</v>
      </c>
      <c r="P25">
        <f ca="1"/>
        <v>30</v>
      </c>
      <c r="Q25" t="str">
        <f ca="1"/>
        <v>Average</v>
      </c>
      <c r="R25">
        <f ca="1"/>
        <v>44544</v>
      </c>
      <c r="S25" t="str">
        <f ca="1"/>
        <v>Finance</v>
      </c>
      <c r="T25">
        <f ca="1"/>
        <v>96800</v>
      </c>
      <c r="U25" t="str">
        <f ca="1"/>
        <v>IND</v>
      </c>
      <c r="V25">
        <f ca="1"/>
        <v>1.6849315068493151</v>
      </c>
      <c r="W25">
        <f ca="1"/>
        <v>1936</v>
      </c>
      <c r="X25">
        <f ca="1"/>
        <v>3</v>
      </c>
    </row>
    <row r="26" spans="1:24">
      <c r="A26" t="s">
        <v>143</v>
      </c>
      <c r="B26" t="s">
        <v>15</v>
      </c>
      <c r="C26">
        <v>33</v>
      </c>
      <c r="D26" t="s">
        <v>13</v>
      </c>
      <c r="E26" s="5">
        <v>44640</v>
      </c>
      <c r="F26" t="s">
        <v>9</v>
      </c>
      <c r="G26" s="3">
        <v>48530</v>
      </c>
      <c r="H26" t="s">
        <v>206</v>
      </c>
      <c r="I26" s="6">
        <f ca="1">(TODAY()-Staff[[#This Row],[Date Joined]])/365</f>
        <v>1.4219178082191781</v>
      </c>
      <c r="J26" s="2">
        <f ca="1">IF(Staff[[#This Row],[Tenure]]&gt;3,3%,2%)*Staff[[#This Row],[Salary]]</f>
        <v>970.6</v>
      </c>
      <c r="K26">
        <f>_xlfn.XLOOKUP(Staff[[#This Row],[Rating]],'Salary vs. Rating'!$B$10:$B$14,'Salary vs. Rating'!$C$10:$C$14)</f>
        <v>4</v>
      </c>
      <c r="N26" t="str">
        <f ca="1"/>
        <v>Constantino Espley</v>
      </c>
      <c r="O26" t="str">
        <f ca="1"/>
        <v>Male</v>
      </c>
      <c r="P26">
        <f ca="1"/>
        <v>30</v>
      </c>
      <c r="Q26" t="str">
        <f ca="1"/>
        <v>Average</v>
      </c>
      <c r="R26">
        <f ca="1"/>
        <v>44606</v>
      </c>
      <c r="S26" t="str">
        <f ca="1"/>
        <v>Finance</v>
      </c>
      <c r="T26">
        <f ca="1"/>
        <v>96800</v>
      </c>
      <c r="U26" t="str">
        <f ca="1"/>
        <v>NZ</v>
      </c>
      <c r="V26">
        <f ca="1"/>
        <v>1.515068493150685</v>
      </c>
      <c r="W26">
        <f ca="1"/>
        <v>1936</v>
      </c>
      <c r="X26">
        <f ca="1"/>
        <v>3</v>
      </c>
    </row>
    <row r="27" spans="1:24">
      <c r="A27" t="s">
        <v>51</v>
      </c>
      <c r="B27" t="s">
        <v>15</v>
      </c>
      <c r="C27">
        <v>33</v>
      </c>
      <c r="D27" t="s">
        <v>13</v>
      </c>
      <c r="E27" s="5">
        <v>44701</v>
      </c>
      <c r="F27" t="s">
        <v>9</v>
      </c>
      <c r="G27" s="3">
        <v>48530</v>
      </c>
      <c r="H27" t="s">
        <v>205</v>
      </c>
      <c r="I27" s="6">
        <f ca="1">(TODAY()-Staff[[#This Row],[Date Joined]])/365</f>
        <v>1.2547945205479452</v>
      </c>
      <c r="J27" s="2">
        <f ca="1">IF(Staff[[#This Row],[Tenure]]&gt;3,3%,2%)*Staff[[#This Row],[Salary]]</f>
        <v>970.6</v>
      </c>
      <c r="K27">
        <f>_xlfn.XLOOKUP(Staff[[#This Row],[Rating]],'Salary vs. Rating'!$B$10:$B$14,'Salary vs. Rating'!$C$10:$C$14)</f>
        <v>4</v>
      </c>
      <c r="N27" t="str">
        <f ca="1"/>
        <v>Deepit Ranjana</v>
      </c>
      <c r="O27" t="str">
        <f ca="1"/>
        <v>Female</v>
      </c>
      <c r="P27">
        <f ca="1"/>
        <v>34</v>
      </c>
      <c r="Q27" t="str">
        <f ca="1"/>
        <v>Average</v>
      </c>
      <c r="R27">
        <f ca="1"/>
        <v>44383</v>
      </c>
      <c r="S27" t="str">
        <f ca="1"/>
        <v>Finance</v>
      </c>
      <c r="T27">
        <f ca="1"/>
        <v>92450</v>
      </c>
      <c r="U27" t="str">
        <f ca="1"/>
        <v>IND</v>
      </c>
      <c r="V27">
        <f ca="1"/>
        <v>2.1260273972602741</v>
      </c>
      <c r="W27">
        <f ca="1"/>
        <v>1849</v>
      </c>
      <c r="X27">
        <f ca="1"/>
        <v>3</v>
      </c>
    </row>
    <row r="28" spans="1:24">
      <c r="A28" t="s">
        <v>112</v>
      </c>
      <c r="B28" t="s">
        <v>15</v>
      </c>
      <c r="C28">
        <v>31</v>
      </c>
      <c r="D28" t="s">
        <v>16</v>
      </c>
      <c r="E28" s="5">
        <v>44450</v>
      </c>
      <c r="F28" t="s">
        <v>12</v>
      </c>
      <c r="G28" s="3">
        <v>48950</v>
      </c>
      <c r="H28" t="s">
        <v>206</v>
      </c>
      <c r="I28" s="6">
        <f ca="1">(TODAY()-Staff[[#This Row],[Date Joined]])/365</f>
        <v>1.9424657534246574</v>
      </c>
      <c r="J28" s="2">
        <f ca="1">IF(Staff[[#This Row],[Tenure]]&gt;3,3%,2%)*Staff[[#This Row],[Salary]]</f>
        <v>979</v>
      </c>
      <c r="K28">
        <f>_xlfn.XLOOKUP(Staff[[#This Row],[Rating]],'Salary vs. Rating'!$B$10:$B$14,'Salary vs. Rating'!$C$10:$C$14)</f>
        <v>3</v>
      </c>
      <c r="N28" t="str">
        <f ca="1"/>
        <v>Leilah Yesinin</v>
      </c>
      <c r="O28" t="str">
        <f ca="1"/>
        <v>Female</v>
      </c>
      <c r="P28">
        <f ca="1"/>
        <v>34</v>
      </c>
      <c r="Q28" t="str">
        <f ca="1"/>
        <v>Average</v>
      </c>
      <c r="R28">
        <f ca="1"/>
        <v>44445</v>
      </c>
      <c r="S28" t="str">
        <f ca="1"/>
        <v>Finance</v>
      </c>
      <c r="T28">
        <f ca="1"/>
        <v>92450</v>
      </c>
      <c r="U28" t="str">
        <f ca="1"/>
        <v>NZ</v>
      </c>
      <c r="V28">
        <f ca="1"/>
        <v>1.9561643835616438</v>
      </c>
      <c r="W28">
        <f ca="1"/>
        <v>1849</v>
      </c>
      <c r="X28">
        <f ca="1"/>
        <v>3</v>
      </c>
    </row>
    <row r="29" spans="1:24">
      <c r="A29" t="s">
        <v>14</v>
      </c>
      <c r="B29" t="s">
        <v>15</v>
      </c>
      <c r="C29">
        <v>31</v>
      </c>
      <c r="D29" t="s">
        <v>16</v>
      </c>
      <c r="E29" s="5">
        <v>44511</v>
      </c>
      <c r="F29" t="s">
        <v>12</v>
      </c>
      <c r="G29" s="3">
        <v>48950</v>
      </c>
      <c r="H29" t="s">
        <v>205</v>
      </c>
      <c r="I29" s="6">
        <f ca="1">(TODAY()-Staff[[#This Row],[Date Joined]])/365</f>
        <v>1.7753424657534247</v>
      </c>
      <c r="J29" s="2">
        <f ca="1">IF(Staff[[#This Row],[Tenure]]&gt;3,3%,2%)*Staff[[#This Row],[Salary]]</f>
        <v>979</v>
      </c>
      <c r="K29">
        <f>_xlfn.XLOOKUP(Staff[[#This Row],[Rating]],'Salary vs. Rating'!$B$10:$B$14,'Salary vs. Rating'!$C$10:$C$14)</f>
        <v>3</v>
      </c>
      <c r="N29" t="str">
        <f ca="1"/>
        <v>Kamalakshi Mukundan</v>
      </c>
      <c r="O29" t="str">
        <f ca="1"/>
        <v>Male</v>
      </c>
      <c r="P29">
        <f ca="1"/>
        <v>27</v>
      </c>
      <c r="Q29" t="str">
        <f ca="1"/>
        <v>Above average</v>
      </c>
      <c r="R29">
        <f ca="1"/>
        <v>44174</v>
      </c>
      <c r="S29" t="str">
        <f ca="1"/>
        <v>Finance</v>
      </c>
      <c r="T29">
        <f ca="1"/>
        <v>91650</v>
      </c>
      <c r="U29" t="str">
        <f ca="1"/>
        <v>IND</v>
      </c>
      <c r="V29">
        <f ca="1"/>
        <v>2.6986301369863015</v>
      </c>
      <c r="W29">
        <f ca="1"/>
        <v>1833</v>
      </c>
      <c r="X29">
        <f ca="1"/>
        <v>4</v>
      </c>
    </row>
    <row r="30" spans="1:24">
      <c r="A30" t="s">
        <v>145</v>
      </c>
      <c r="B30" t="s">
        <v>15</v>
      </c>
      <c r="C30">
        <v>27</v>
      </c>
      <c r="D30" t="s">
        <v>16</v>
      </c>
      <c r="E30" s="5">
        <v>44506</v>
      </c>
      <c r="F30" t="s">
        <v>21</v>
      </c>
      <c r="G30" s="3">
        <v>48980</v>
      </c>
      <c r="H30" t="s">
        <v>206</v>
      </c>
      <c r="I30" s="6">
        <f ca="1">(TODAY()-Staff[[#This Row],[Date Joined]])/365</f>
        <v>1.789041095890411</v>
      </c>
      <c r="J30" s="2">
        <f ca="1">IF(Staff[[#This Row],[Tenure]]&gt;3,3%,2%)*Staff[[#This Row],[Salary]]</f>
        <v>979.6</v>
      </c>
      <c r="K30">
        <f>_xlfn.XLOOKUP(Staff[[#This Row],[Rating]],'Salary vs. Rating'!$B$10:$B$14,'Salary vs. Rating'!$C$10:$C$14)</f>
        <v>3</v>
      </c>
      <c r="N30" t="str">
        <f ca="1"/>
        <v>Enoch Dowrey</v>
      </c>
      <c r="O30" t="str">
        <f ca="1"/>
        <v>Male</v>
      </c>
      <c r="P30">
        <f ca="1"/>
        <v>27</v>
      </c>
      <c r="Q30" t="str">
        <f ca="1"/>
        <v>Above average</v>
      </c>
      <c r="R30">
        <f ca="1"/>
        <v>44236</v>
      </c>
      <c r="S30" t="str">
        <f ca="1"/>
        <v>Finance</v>
      </c>
      <c r="T30">
        <f ca="1"/>
        <v>91650</v>
      </c>
      <c r="U30" t="str">
        <f ca="1"/>
        <v>NZ</v>
      </c>
      <c r="V30">
        <f ca="1"/>
        <v>2.5287671232876714</v>
      </c>
      <c r="W30">
        <f ca="1"/>
        <v>1833</v>
      </c>
      <c r="X30">
        <f ca="1"/>
        <v>4</v>
      </c>
    </row>
    <row r="31" spans="1:24">
      <c r="A31" t="s">
        <v>53</v>
      </c>
      <c r="B31" t="s">
        <v>15</v>
      </c>
      <c r="C31">
        <v>27</v>
      </c>
      <c r="D31" t="s">
        <v>16</v>
      </c>
      <c r="E31" s="5">
        <v>44567</v>
      </c>
      <c r="F31" t="s">
        <v>21</v>
      </c>
      <c r="G31" s="3">
        <v>48980</v>
      </c>
      <c r="H31" t="s">
        <v>205</v>
      </c>
      <c r="I31" s="6">
        <f ca="1">(TODAY()-Staff[[#This Row],[Date Joined]])/365</f>
        <v>1.6219178082191781</v>
      </c>
      <c r="J31" s="2">
        <f ca="1">IF(Staff[[#This Row],[Tenure]]&gt;3,3%,2%)*Staff[[#This Row],[Salary]]</f>
        <v>979.6</v>
      </c>
      <c r="K31">
        <f>_xlfn.XLOOKUP(Staff[[#This Row],[Rating]],'Salary vs. Rating'!$B$10:$B$14,'Salary vs. Rating'!$C$10:$C$14)</f>
        <v>3</v>
      </c>
      <c r="N31" t="str">
        <f ca="1"/>
        <v>Madhumati Gazala Soumitra</v>
      </c>
      <c r="O31" t="str">
        <f ca="1"/>
        <v>Female</v>
      </c>
      <c r="P31">
        <f ca="1"/>
        <v>33</v>
      </c>
      <c r="Q31" t="str">
        <f ca="1"/>
        <v>Average</v>
      </c>
      <c r="R31">
        <f ca="1"/>
        <v>44747</v>
      </c>
      <c r="S31" t="str">
        <f ca="1"/>
        <v>Finance</v>
      </c>
      <c r="T31">
        <f ca="1"/>
        <v>86570</v>
      </c>
      <c r="U31" t="str">
        <f ca="1"/>
        <v>IND</v>
      </c>
      <c r="V31">
        <f ca="1"/>
        <v>1.1287671232876713</v>
      </c>
      <c r="W31">
        <f ca="1"/>
        <v>1731.4</v>
      </c>
      <c r="X31">
        <f ca="1"/>
        <v>3</v>
      </c>
    </row>
    <row r="32" spans="1:24">
      <c r="A32" t="s">
        <v>164</v>
      </c>
      <c r="B32" t="s">
        <v>8</v>
      </c>
      <c r="C32">
        <v>34</v>
      </c>
      <c r="D32" t="s">
        <v>24</v>
      </c>
      <c r="E32" s="5">
        <v>44660</v>
      </c>
      <c r="F32" t="s">
        <v>19</v>
      </c>
      <c r="G32" s="3">
        <v>49630</v>
      </c>
      <c r="H32" t="s">
        <v>206</v>
      </c>
      <c r="I32" s="6">
        <f ca="1">(TODAY()-Staff[[#This Row],[Date Joined]])/365</f>
        <v>1.3671232876712329</v>
      </c>
      <c r="J32" s="2">
        <f ca="1">IF(Staff[[#This Row],[Tenure]]&gt;3,3%,2%)*Staff[[#This Row],[Salary]]</f>
        <v>992.6</v>
      </c>
      <c r="K32">
        <f>_xlfn.XLOOKUP(Staff[[#This Row],[Rating]],'Salary vs. Rating'!$B$10:$B$14,'Salary vs. Rating'!$C$10:$C$14)</f>
        <v>2</v>
      </c>
      <c r="N32" t="str">
        <f ca="1"/>
        <v>Sibyl Dunkirk</v>
      </c>
      <c r="O32" t="str">
        <f ca="1"/>
        <v>Female</v>
      </c>
      <c r="P32">
        <f ca="1"/>
        <v>33</v>
      </c>
      <c r="Q32" t="str">
        <f ca="1"/>
        <v>Average</v>
      </c>
      <c r="R32">
        <f ca="1"/>
        <v>44809</v>
      </c>
      <c r="S32" t="str">
        <f ca="1"/>
        <v>Finance</v>
      </c>
      <c r="T32">
        <f ca="1"/>
        <v>86570</v>
      </c>
      <c r="U32" t="str">
        <f ca="1"/>
        <v>NZ</v>
      </c>
      <c r="V32">
        <f ca="1"/>
        <v>0.95890410958904104</v>
      </c>
      <c r="W32">
        <f ca="1"/>
        <v>1731.4</v>
      </c>
      <c r="X32">
        <f ca="1"/>
        <v>3</v>
      </c>
    </row>
    <row r="33" spans="1:24">
      <c r="A33" t="s">
        <v>73</v>
      </c>
      <c r="B33" t="s">
        <v>8</v>
      </c>
      <c r="C33">
        <v>34</v>
      </c>
      <c r="D33" t="s">
        <v>24</v>
      </c>
      <c r="E33" s="5">
        <v>44721</v>
      </c>
      <c r="F33" t="s">
        <v>19</v>
      </c>
      <c r="G33" s="3">
        <v>49630</v>
      </c>
      <c r="H33" t="s">
        <v>205</v>
      </c>
      <c r="I33" s="6">
        <f ca="1">(TODAY()-Staff[[#This Row],[Date Joined]])/365</f>
        <v>1.2</v>
      </c>
      <c r="J33" s="2">
        <f ca="1">IF(Staff[[#This Row],[Tenure]]&gt;3,3%,2%)*Staff[[#This Row],[Salary]]</f>
        <v>992.6</v>
      </c>
      <c r="K33">
        <f>_xlfn.XLOOKUP(Staff[[#This Row],[Rating]],'Salary vs. Rating'!$B$10:$B$14,'Salary vs. Rating'!$C$10:$C$14)</f>
        <v>2</v>
      </c>
      <c r="N33" t="str">
        <f ca="1"/>
        <v>Tarala Vishaal</v>
      </c>
      <c r="O33" t="str">
        <f ca="1"/>
        <v>Female</v>
      </c>
      <c r="P33">
        <f ca="1"/>
        <v>34</v>
      </c>
      <c r="Q33" t="str">
        <f ca="1"/>
        <v>Average</v>
      </c>
      <c r="R33">
        <f ca="1"/>
        <v>44397</v>
      </c>
      <c r="S33" t="str">
        <f ca="1"/>
        <v>Finance</v>
      </c>
      <c r="T33">
        <f ca="1"/>
        <v>85000</v>
      </c>
      <c r="U33" t="str">
        <f ca="1"/>
        <v>IND</v>
      </c>
      <c r="V33">
        <f ca="1"/>
        <v>2.0876712328767124</v>
      </c>
      <c r="W33">
        <f ca="1"/>
        <v>1700</v>
      </c>
      <c r="X33">
        <f ca="1"/>
        <v>3</v>
      </c>
    </row>
    <row r="34" spans="1:24">
      <c r="A34" t="s">
        <v>154</v>
      </c>
      <c r="B34" t="s">
        <v>15</v>
      </c>
      <c r="C34">
        <v>24</v>
      </c>
      <c r="D34" t="s">
        <v>24</v>
      </c>
      <c r="E34" s="5">
        <v>44375</v>
      </c>
      <c r="F34" t="s">
        <v>21</v>
      </c>
      <c r="G34" s="3">
        <v>52610</v>
      </c>
      <c r="H34" t="s">
        <v>206</v>
      </c>
      <c r="I34" s="6">
        <f ca="1">(TODAY()-Staff[[#This Row],[Date Joined]])/365</f>
        <v>2.1479452054794521</v>
      </c>
      <c r="J34" s="2">
        <f ca="1">IF(Staff[[#This Row],[Tenure]]&gt;3,3%,2%)*Staff[[#This Row],[Salary]]</f>
        <v>1052.2</v>
      </c>
      <c r="K34">
        <f>_xlfn.XLOOKUP(Staff[[#This Row],[Rating]],'Salary vs. Rating'!$B$10:$B$14,'Salary vs. Rating'!$C$10:$C$14)</f>
        <v>2</v>
      </c>
      <c r="N34" t="str">
        <f ca="1"/>
        <v>Karlen McCaffrey</v>
      </c>
      <c r="O34" t="str">
        <f ca="1"/>
        <v>Female</v>
      </c>
      <c r="P34">
        <f ca="1"/>
        <v>34</v>
      </c>
      <c r="Q34" t="str">
        <f ca="1"/>
        <v>Average</v>
      </c>
      <c r="R34">
        <f ca="1"/>
        <v>44459</v>
      </c>
      <c r="S34" t="str">
        <f ca="1"/>
        <v>Finance</v>
      </c>
      <c r="T34">
        <f ca="1"/>
        <v>85000</v>
      </c>
      <c r="U34" t="str">
        <f ca="1"/>
        <v>NZ</v>
      </c>
      <c r="V34">
        <f ca="1"/>
        <v>1.9178082191780821</v>
      </c>
      <c r="W34">
        <f ca="1"/>
        <v>1700</v>
      </c>
      <c r="X34">
        <f ca="1"/>
        <v>3</v>
      </c>
    </row>
    <row r="35" spans="1:24">
      <c r="A35" t="s">
        <v>63</v>
      </c>
      <c r="B35" t="s">
        <v>15</v>
      </c>
      <c r="C35">
        <v>24</v>
      </c>
      <c r="D35" t="s">
        <v>24</v>
      </c>
      <c r="E35" s="5">
        <v>44436</v>
      </c>
      <c r="F35" t="s">
        <v>21</v>
      </c>
      <c r="G35" s="3">
        <v>52610</v>
      </c>
      <c r="H35" t="s">
        <v>205</v>
      </c>
      <c r="I35" s="6">
        <f ca="1">(TODAY()-Staff[[#This Row],[Date Joined]])/365</f>
        <v>1.9808219178082191</v>
      </c>
      <c r="J35" s="2">
        <f ca="1">IF(Staff[[#This Row],[Tenure]]&gt;3,3%,2%)*Staff[[#This Row],[Salary]]</f>
        <v>1052.2</v>
      </c>
      <c r="K35">
        <f>_xlfn.XLOOKUP(Staff[[#This Row],[Rating]],'Salary vs. Rating'!$B$10:$B$14,'Salary vs. Rating'!$C$10:$C$14)</f>
        <v>2</v>
      </c>
      <c r="N35" t="str">
        <f ca="1"/>
        <v>Indu Varada Sumedh</v>
      </c>
      <c r="O35" t="str">
        <f ca="1"/>
        <v>Female</v>
      </c>
      <c r="P35">
        <f ca="1"/>
        <v>28</v>
      </c>
      <c r="Q35" t="str">
        <f ca="1"/>
        <v>Average</v>
      </c>
      <c r="R35">
        <f ca="1"/>
        <v>44124</v>
      </c>
      <c r="S35" t="str">
        <f ca="1"/>
        <v>Finance</v>
      </c>
      <c r="T35">
        <f ca="1"/>
        <v>75970</v>
      </c>
      <c r="U35" t="str">
        <f ca="1"/>
        <v>IND</v>
      </c>
      <c r="V35">
        <f ca="1"/>
        <v>2.8356164383561642</v>
      </c>
      <c r="W35">
        <f ca="1"/>
        <v>1519.4</v>
      </c>
      <c r="X35">
        <f ca="1"/>
        <v>3</v>
      </c>
    </row>
    <row r="36" spans="1:24">
      <c r="A36" t="s">
        <v>166</v>
      </c>
      <c r="B36" t="s">
        <v>8</v>
      </c>
      <c r="C36">
        <v>28</v>
      </c>
      <c r="D36" t="s">
        <v>16</v>
      </c>
      <c r="E36" s="5">
        <v>44296</v>
      </c>
      <c r="F36" t="s">
        <v>19</v>
      </c>
      <c r="G36" s="3">
        <v>53240</v>
      </c>
      <c r="H36" t="s">
        <v>206</v>
      </c>
      <c r="I36" s="6">
        <f ca="1">(TODAY()-Staff[[#This Row],[Date Joined]])/365</f>
        <v>2.3643835616438356</v>
      </c>
      <c r="J36" s="2">
        <f ca="1">IF(Staff[[#This Row],[Tenure]]&gt;3,3%,2%)*Staff[[#This Row],[Salary]]</f>
        <v>1064.8</v>
      </c>
      <c r="K36">
        <f>_xlfn.XLOOKUP(Staff[[#This Row],[Rating]],'Salary vs. Rating'!$B$10:$B$14,'Salary vs. Rating'!$C$10:$C$14)</f>
        <v>3</v>
      </c>
      <c r="N36" t="str">
        <f ca="1"/>
        <v>Beverie Moffet</v>
      </c>
      <c r="O36" t="str">
        <f ca="1"/>
        <v>Female</v>
      </c>
      <c r="P36">
        <f ca="1"/>
        <v>28</v>
      </c>
      <c r="Q36" t="str">
        <f ca="1"/>
        <v>Average</v>
      </c>
      <c r="R36">
        <f ca="1"/>
        <v>44185</v>
      </c>
      <c r="S36" t="str">
        <f ca="1"/>
        <v>Finance</v>
      </c>
      <c r="T36">
        <f ca="1"/>
        <v>75970</v>
      </c>
      <c r="U36" t="str">
        <f ca="1"/>
        <v>NZ</v>
      </c>
      <c r="V36">
        <f ca="1"/>
        <v>2.6684931506849314</v>
      </c>
      <c r="W36">
        <f ca="1"/>
        <v>1519.4</v>
      </c>
      <c r="X36">
        <f ca="1"/>
        <v>3</v>
      </c>
    </row>
    <row r="37" spans="1:24">
      <c r="A37" t="s">
        <v>75</v>
      </c>
      <c r="B37" t="s">
        <v>8</v>
      </c>
      <c r="C37">
        <v>28</v>
      </c>
      <c r="D37" t="s">
        <v>16</v>
      </c>
      <c r="E37" s="5">
        <v>44357</v>
      </c>
      <c r="F37" t="s">
        <v>19</v>
      </c>
      <c r="G37" s="3">
        <v>53240</v>
      </c>
      <c r="H37" t="s">
        <v>205</v>
      </c>
      <c r="I37" s="6">
        <f ca="1">(TODAY()-Staff[[#This Row],[Date Joined]])/365</f>
        <v>2.1972602739726028</v>
      </c>
      <c r="J37" s="2">
        <f ca="1">IF(Staff[[#This Row],[Tenure]]&gt;3,3%,2%)*Staff[[#This Row],[Salary]]</f>
        <v>1064.8</v>
      </c>
      <c r="K37">
        <f>_xlfn.XLOOKUP(Staff[[#This Row],[Rating]],'Salary vs. Rating'!$B$10:$B$14,'Salary vs. Rating'!$C$10:$C$14)</f>
        <v>3</v>
      </c>
      <c r="N37" t="str">
        <f ca="1"/>
        <v>Kulbhushan Moorthy</v>
      </c>
      <c r="O37" t="str">
        <f ca="1"/>
        <v>Male</v>
      </c>
      <c r="P37">
        <f ca="1"/>
        <v>36</v>
      </c>
      <c r="Q37" t="str">
        <f ca="1"/>
        <v>Average</v>
      </c>
      <c r="R37">
        <f ca="1"/>
        <v>44272</v>
      </c>
      <c r="S37" t="str">
        <f ca="1"/>
        <v>Finance</v>
      </c>
      <c r="T37">
        <f ca="1"/>
        <v>71380</v>
      </c>
      <c r="U37" t="str">
        <f ca="1"/>
        <v>IND</v>
      </c>
      <c r="V37">
        <f ca="1"/>
        <v>2.43013698630137</v>
      </c>
      <c r="W37">
        <f ca="1"/>
        <v>1427.6000000000001</v>
      </c>
      <c r="X37">
        <f ca="1"/>
        <v>3</v>
      </c>
    </row>
    <row r="38" spans="1:24">
      <c r="A38" t="s">
        <v>156</v>
      </c>
      <c r="B38" t="s">
        <v>15</v>
      </c>
      <c r="C38">
        <v>32</v>
      </c>
      <c r="D38" t="s">
        <v>16</v>
      </c>
      <c r="E38" s="5">
        <v>44403</v>
      </c>
      <c r="F38" t="s">
        <v>19</v>
      </c>
      <c r="G38" s="3">
        <v>53540</v>
      </c>
      <c r="H38" t="s">
        <v>206</v>
      </c>
      <c r="I38" s="6">
        <f ca="1">(TODAY()-Staff[[#This Row],[Date Joined]])/365</f>
        <v>2.0712328767123287</v>
      </c>
      <c r="J38" s="2">
        <f ca="1">IF(Staff[[#This Row],[Tenure]]&gt;3,3%,2%)*Staff[[#This Row],[Salary]]</f>
        <v>1070.8</v>
      </c>
      <c r="K38">
        <f>_xlfn.XLOOKUP(Staff[[#This Row],[Rating]],'Salary vs. Rating'!$B$10:$B$14,'Salary vs. Rating'!$C$10:$C$14)</f>
        <v>3</v>
      </c>
      <c r="N38" t="str">
        <f ca="1"/>
        <v>Bennie Pepis</v>
      </c>
      <c r="O38" t="str">
        <f ca="1"/>
        <v>Male</v>
      </c>
      <c r="P38">
        <f ca="1"/>
        <v>36</v>
      </c>
      <c r="Q38" t="str">
        <f ca="1"/>
        <v>Average</v>
      </c>
      <c r="R38">
        <f ca="1"/>
        <v>44333</v>
      </c>
      <c r="S38" t="str">
        <f ca="1"/>
        <v>Finance</v>
      </c>
      <c r="T38">
        <f ca="1"/>
        <v>71380</v>
      </c>
      <c r="U38" t="str">
        <f ca="1"/>
        <v>NZ</v>
      </c>
      <c r="V38">
        <f ca="1"/>
        <v>2.2630136986301368</v>
      </c>
      <c r="W38">
        <f ca="1"/>
        <v>1427.6000000000001</v>
      </c>
      <c r="X38">
        <f ca="1"/>
        <v>3</v>
      </c>
    </row>
    <row r="39" spans="1:24">
      <c r="A39" t="s">
        <v>138</v>
      </c>
      <c r="B39" t="s">
        <v>15</v>
      </c>
      <c r="C39">
        <v>26</v>
      </c>
      <c r="D39" t="s">
        <v>16</v>
      </c>
      <c r="E39" s="5">
        <v>44350</v>
      </c>
      <c r="F39" t="s">
        <v>9</v>
      </c>
      <c r="G39" s="3">
        <v>53540</v>
      </c>
      <c r="H39" t="s">
        <v>206</v>
      </c>
      <c r="I39" s="6">
        <f ca="1">(TODAY()-Staff[[#This Row],[Date Joined]])/365</f>
        <v>2.2164383561643834</v>
      </c>
      <c r="J39" s="2">
        <f ca="1">IF(Staff[[#This Row],[Tenure]]&gt;3,3%,2%)*Staff[[#This Row],[Salary]]</f>
        <v>1070.8</v>
      </c>
      <c r="K39">
        <f>_xlfn.XLOOKUP(Staff[[#This Row],[Rating]],'Salary vs. Rating'!$B$10:$B$14,'Salary vs. Rating'!$C$10:$C$14)</f>
        <v>3</v>
      </c>
      <c r="N39" t="str">
        <f ca="1"/>
        <v>Chandana Sannidhi Surnilla</v>
      </c>
      <c r="O39" t="str">
        <f ca="1"/>
        <v>Male</v>
      </c>
      <c r="P39">
        <f ca="1"/>
        <v>42</v>
      </c>
      <c r="Q39" t="str">
        <f ca="1"/>
        <v>Poor</v>
      </c>
      <c r="R39">
        <f ca="1"/>
        <v>44670</v>
      </c>
      <c r="S39" t="str">
        <f ca="1"/>
        <v>Finance</v>
      </c>
      <c r="T39">
        <f ca="1"/>
        <v>70270</v>
      </c>
      <c r="U39" t="str">
        <f ca="1"/>
        <v>IND</v>
      </c>
      <c r="V39">
        <f ca="1"/>
        <v>1.3397260273972602</v>
      </c>
      <c r="W39">
        <f ca="1"/>
        <v>1405.4</v>
      </c>
      <c r="X39">
        <f ca="1"/>
        <v>2</v>
      </c>
    </row>
    <row r="40" spans="1:24">
      <c r="A40" t="s">
        <v>65</v>
      </c>
      <c r="B40" t="s">
        <v>15</v>
      </c>
      <c r="C40">
        <v>32</v>
      </c>
      <c r="D40" t="s">
        <v>16</v>
      </c>
      <c r="E40" s="5">
        <v>44465</v>
      </c>
      <c r="F40" t="s">
        <v>19</v>
      </c>
      <c r="G40" s="3">
        <v>53540</v>
      </c>
      <c r="H40" t="s">
        <v>205</v>
      </c>
      <c r="I40" s="6">
        <f ca="1">(TODAY()-Staff[[#This Row],[Date Joined]])/365</f>
        <v>1.9013698630136986</v>
      </c>
      <c r="J40" s="2">
        <f ca="1">IF(Staff[[#This Row],[Tenure]]&gt;3,3%,2%)*Staff[[#This Row],[Salary]]</f>
        <v>1070.8</v>
      </c>
      <c r="K40">
        <f>_xlfn.XLOOKUP(Staff[[#This Row],[Rating]],'Salary vs. Rating'!$B$10:$B$14,'Salary vs. Rating'!$C$10:$C$14)</f>
        <v>3</v>
      </c>
      <c r="N40" t="str">
        <f ca="1"/>
        <v>Shayne Stegel</v>
      </c>
      <c r="O40" t="str">
        <f ca="1"/>
        <v>Male</v>
      </c>
      <c r="P40">
        <f ca="1"/>
        <v>42</v>
      </c>
      <c r="Q40" t="str">
        <f ca="1"/>
        <v>Poor</v>
      </c>
      <c r="R40">
        <f ca="1"/>
        <v>44731</v>
      </c>
      <c r="S40" t="str">
        <f ca="1"/>
        <v>Finance</v>
      </c>
      <c r="T40">
        <f ca="1"/>
        <v>70270</v>
      </c>
      <c r="U40" t="str">
        <f ca="1"/>
        <v>NZ</v>
      </c>
      <c r="V40">
        <f ca="1"/>
        <v>1.1726027397260275</v>
      </c>
      <c r="W40">
        <f ca="1"/>
        <v>1405.4</v>
      </c>
      <c r="X40">
        <f ca="1"/>
        <v>2</v>
      </c>
    </row>
    <row r="41" spans="1:24">
      <c r="A41" t="s">
        <v>46</v>
      </c>
      <c r="B41" t="s">
        <v>15</v>
      </c>
      <c r="C41">
        <v>26</v>
      </c>
      <c r="D41" t="s">
        <v>16</v>
      </c>
      <c r="E41" s="5">
        <v>44411</v>
      </c>
      <c r="F41" t="s">
        <v>9</v>
      </c>
      <c r="G41" s="3">
        <v>53540</v>
      </c>
      <c r="H41" t="s">
        <v>205</v>
      </c>
      <c r="I41" s="6">
        <f ca="1">(TODAY()-Staff[[#This Row],[Date Joined]])/365</f>
        <v>2.0493150684931507</v>
      </c>
      <c r="J41" s="2">
        <f ca="1">IF(Staff[[#This Row],[Tenure]]&gt;3,3%,2%)*Staff[[#This Row],[Salary]]</f>
        <v>1070.8</v>
      </c>
      <c r="K41">
        <f>_xlfn.XLOOKUP(Staff[[#This Row],[Rating]],'Salary vs. Rating'!$B$10:$B$14,'Salary vs. Rating'!$C$10:$C$14)</f>
        <v>3</v>
      </c>
      <c r="N41" t="str">
        <f ca="1"/>
        <v>Kantimoy Pritish</v>
      </c>
      <c r="O41" t="str">
        <f ca="1"/>
        <v>Female</v>
      </c>
      <c r="P41">
        <f ca="1"/>
        <v>30</v>
      </c>
      <c r="Q41" t="str">
        <f ca="1"/>
        <v>Poor</v>
      </c>
      <c r="R41">
        <f ca="1"/>
        <v>44328</v>
      </c>
      <c r="S41" t="str">
        <f ca="1"/>
        <v>Finance</v>
      </c>
      <c r="T41">
        <f ca="1"/>
        <v>67910</v>
      </c>
      <c r="U41" t="str">
        <f ca="1"/>
        <v>IND</v>
      </c>
      <c r="V41">
        <f ca="1"/>
        <v>2.2767123287671232</v>
      </c>
      <c r="W41">
        <f ca="1"/>
        <v>1358.2</v>
      </c>
      <c r="X41">
        <f ca="1"/>
        <v>2</v>
      </c>
    </row>
    <row r="42" spans="1:24">
      <c r="A42" t="s">
        <v>173</v>
      </c>
      <c r="B42" t="s">
        <v>15</v>
      </c>
      <c r="C42">
        <v>33</v>
      </c>
      <c r="D42" t="s">
        <v>16</v>
      </c>
      <c r="E42" s="5">
        <v>44448</v>
      </c>
      <c r="F42" t="s">
        <v>12</v>
      </c>
      <c r="G42" s="3">
        <v>53870</v>
      </c>
      <c r="H42" t="s">
        <v>206</v>
      </c>
      <c r="I42" s="6">
        <f ca="1">(TODAY()-Staff[[#This Row],[Date Joined]])/365</f>
        <v>1.9479452054794522</v>
      </c>
      <c r="J42" s="2">
        <f ca="1">IF(Staff[[#This Row],[Tenure]]&gt;3,3%,2%)*Staff[[#This Row],[Salary]]</f>
        <v>1077.4000000000001</v>
      </c>
      <c r="K42">
        <f>_xlfn.XLOOKUP(Staff[[#This Row],[Rating]],'Salary vs. Rating'!$B$10:$B$14,'Salary vs. Rating'!$C$10:$C$14)</f>
        <v>3</v>
      </c>
      <c r="N42" t="str">
        <f ca="1"/>
        <v>Husein Augar</v>
      </c>
      <c r="O42" t="str">
        <f ca="1"/>
        <v>Female</v>
      </c>
      <c r="P42">
        <f ca="1"/>
        <v>30</v>
      </c>
      <c r="Q42" t="str">
        <f ca="1"/>
        <v>Poor</v>
      </c>
      <c r="R42">
        <f ca="1"/>
        <v>44389</v>
      </c>
      <c r="S42" t="str">
        <f ca="1"/>
        <v>Finance</v>
      </c>
      <c r="T42">
        <f ca="1"/>
        <v>67910</v>
      </c>
      <c r="U42" t="str">
        <f ca="1"/>
        <v>NZ</v>
      </c>
      <c r="V42">
        <f ca="1"/>
        <v>2.1095890410958904</v>
      </c>
      <c r="W42">
        <f ca="1"/>
        <v>1358.2</v>
      </c>
      <c r="X42">
        <f ca="1"/>
        <v>2</v>
      </c>
    </row>
    <row r="43" spans="1:24">
      <c r="A43" t="s">
        <v>82</v>
      </c>
      <c r="B43" t="s">
        <v>15</v>
      </c>
      <c r="C43">
        <v>33</v>
      </c>
      <c r="D43" t="s">
        <v>16</v>
      </c>
      <c r="E43" s="5">
        <v>44509</v>
      </c>
      <c r="F43" t="s">
        <v>12</v>
      </c>
      <c r="G43" s="3">
        <v>53870</v>
      </c>
      <c r="H43" t="s">
        <v>205</v>
      </c>
      <c r="I43" s="6">
        <f ca="1">(TODAY()-Staff[[#This Row],[Date Joined]])/365</f>
        <v>1.7808219178082192</v>
      </c>
      <c r="J43" s="2">
        <f ca="1">IF(Staff[[#This Row],[Tenure]]&gt;3,3%,2%)*Staff[[#This Row],[Salary]]</f>
        <v>1077.4000000000001</v>
      </c>
      <c r="K43">
        <f>_xlfn.XLOOKUP(Staff[[#This Row],[Rating]],'Salary vs. Rating'!$B$10:$B$14,'Salary vs. Rating'!$C$10:$C$14)</f>
        <v>3</v>
      </c>
      <c r="N43" t="str">
        <f ca="1"/>
        <v>Agrata Rajarama</v>
      </c>
      <c r="O43" t="str">
        <f ca="1"/>
        <v>Female</v>
      </c>
      <c r="P43">
        <f ca="1"/>
        <v>21</v>
      </c>
      <c r="Q43" t="str">
        <f ca="1"/>
        <v>Average</v>
      </c>
      <c r="R43">
        <f ca="1"/>
        <v>44256</v>
      </c>
      <c r="S43" t="str">
        <f ca="1"/>
        <v>Finance</v>
      </c>
      <c r="T43">
        <f ca="1"/>
        <v>65920</v>
      </c>
      <c r="U43" t="str">
        <f ca="1"/>
        <v>IND</v>
      </c>
      <c r="V43">
        <f ca="1"/>
        <v>2.473972602739726</v>
      </c>
      <c r="W43">
        <f ca="1"/>
        <v>1318.4</v>
      </c>
      <c r="X43">
        <f ca="1"/>
        <v>3</v>
      </c>
    </row>
    <row r="44" spans="1:24">
      <c r="A44" t="s">
        <v>181</v>
      </c>
      <c r="B44" t="s">
        <v>15</v>
      </c>
      <c r="C44">
        <v>27</v>
      </c>
      <c r="D44" t="s">
        <v>16</v>
      </c>
      <c r="E44" s="5">
        <v>44073</v>
      </c>
      <c r="F44" t="s">
        <v>19</v>
      </c>
      <c r="G44" s="3">
        <v>54970</v>
      </c>
      <c r="H44" t="s">
        <v>206</v>
      </c>
      <c r="I44" s="6">
        <f ca="1">(TODAY()-Staff[[#This Row],[Date Joined]])/365</f>
        <v>2.9753424657534246</v>
      </c>
      <c r="J44" s="2">
        <f ca="1">IF(Staff[[#This Row],[Tenure]]&gt;3,3%,2%)*Staff[[#This Row],[Salary]]</f>
        <v>1099.4000000000001</v>
      </c>
      <c r="K44">
        <f>_xlfn.XLOOKUP(Staff[[#This Row],[Rating]],'Salary vs. Rating'!$B$10:$B$14,'Salary vs. Rating'!$C$10:$C$14)</f>
        <v>3</v>
      </c>
      <c r="N44" t="str">
        <f ca="1"/>
        <v>Marney O'Breen</v>
      </c>
      <c r="O44" t="str">
        <f ca="1"/>
        <v>Female</v>
      </c>
      <c r="P44">
        <f ca="1"/>
        <v>21</v>
      </c>
      <c r="Q44" t="str">
        <f ca="1"/>
        <v>Average</v>
      </c>
      <c r="R44">
        <f ca="1"/>
        <v>44317</v>
      </c>
      <c r="S44" t="str">
        <f ca="1"/>
        <v>Finance</v>
      </c>
      <c r="T44">
        <f ca="1"/>
        <v>65920</v>
      </c>
      <c r="U44" t="str">
        <f ca="1"/>
        <v>NZ</v>
      </c>
      <c r="V44">
        <f ca="1"/>
        <v>2.3068493150684932</v>
      </c>
      <c r="W44">
        <f ca="1"/>
        <v>1318.4</v>
      </c>
      <c r="X44">
        <f ca="1"/>
        <v>3</v>
      </c>
    </row>
    <row r="45" spans="1:24">
      <c r="A45" t="s">
        <v>89</v>
      </c>
      <c r="B45" t="s">
        <v>15</v>
      </c>
      <c r="C45">
        <v>27</v>
      </c>
      <c r="D45" t="s">
        <v>16</v>
      </c>
      <c r="E45" s="5">
        <v>44134</v>
      </c>
      <c r="F45" t="s">
        <v>19</v>
      </c>
      <c r="G45" s="3">
        <v>54970</v>
      </c>
      <c r="H45" t="s">
        <v>205</v>
      </c>
      <c r="I45" s="6">
        <f ca="1">(TODAY()-Staff[[#This Row],[Date Joined]])/365</f>
        <v>2.8082191780821919</v>
      </c>
      <c r="J45" s="2">
        <f ca="1">IF(Staff[[#This Row],[Tenure]]&gt;3,3%,2%)*Staff[[#This Row],[Salary]]</f>
        <v>1099.4000000000001</v>
      </c>
      <c r="K45">
        <f>_xlfn.XLOOKUP(Staff[[#This Row],[Rating]],'Salary vs. Rating'!$B$10:$B$14,'Salary vs. Rating'!$C$10:$C$14)</f>
        <v>3</v>
      </c>
      <c r="N45" t="str">
        <f ca="1"/>
        <v>Kevalkumar Solanki</v>
      </c>
      <c r="O45" t="str">
        <f ca="1"/>
        <v>Female</v>
      </c>
      <c r="P45">
        <f ca="1"/>
        <v>33</v>
      </c>
      <c r="Q45" t="str">
        <f ca="1"/>
        <v>Average</v>
      </c>
      <c r="R45">
        <f ca="1"/>
        <v>44006</v>
      </c>
      <c r="S45" t="str">
        <f ca="1"/>
        <v>Finance</v>
      </c>
      <c r="T45">
        <f ca="1"/>
        <v>65360</v>
      </c>
      <c r="U45" t="str">
        <f ca="1"/>
        <v>IND</v>
      </c>
      <c r="V45">
        <f ca="1"/>
        <v>3.1589041095890411</v>
      </c>
      <c r="W45">
        <f ca="1"/>
        <v>1960.8</v>
      </c>
      <c r="X45">
        <f ca="1"/>
        <v>3</v>
      </c>
    </row>
    <row r="46" spans="1:24">
      <c r="A46" t="s">
        <v>201</v>
      </c>
      <c r="B46" t="s">
        <v>8</v>
      </c>
      <c r="C46">
        <v>38</v>
      </c>
      <c r="D46" t="s">
        <v>13</v>
      </c>
      <c r="E46" s="5">
        <v>44268</v>
      </c>
      <c r="F46" t="s">
        <v>19</v>
      </c>
      <c r="G46" s="3">
        <v>56870</v>
      </c>
      <c r="H46" t="s">
        <v>206</v>
      </c>
      <c r="I46" s="6">
        <f ca="1">(TODAY()-Staff[[#This Row],[Date Joined]])/365</f>
        <v>2.441095890410959</v>
      </c>
      <c r="J46" s="2">
        <f ca="1">IF(Staff[[#This Row],[Tenure]]&gt;3,3%,2%)*Staff[[#This Row],[Salary]]</f>
        <v>1137.4000000000001</v>
      </c>
      <c r="K46">
        <f>_xlfn.XLOOKUP(Staff[[#This Row],[Rating]],'Salary vs. Rating'!$B$10:$B$14,'Salary vs. Rating'!$C$10:$C$14)</f>
        <v>4</v>
      </c>
      <c r="N46" t="str">
        <f ca="1"/>
        <v>Teressa Udden</v>
      </c>
      <c r="O46" t="str">
        <f ca="1"/>
        <v>Female</v>
      </c>
      <c r="P46">
        <f ca="1"/>
        <v>33</v>
      </c>
      <c r="Q46" t="str">
        <f ca="1"/>
        <v>Average</v>
      </c>
      <c r="R46">
        <f ca="1"/>
        <v>44067</v>
      </c>
      <c r="S46" t="str">
        <f ca="1"/>
        <v>Finance</v>
      </c>
      <c r="T46">
        <f ca="1"/>
        <v>65360</v>
      </c>
      <c r="U46" t="str">
        <f ca="1"/>
        <v>NZ</v>
      </c>
      <c r="V46">
        <f ca="1"/>
        <v>2.9917808219178084</v>
      </c>
      <c r="W46">
        <f ca="1"/>
        <v>1307.2</v>
      </c>
      <c r="X46">
        <f ca="1"/>
        <v>3</v>
      </c>
    </row>
    <row r="47" spans="1:24">
      <c r="A47" t="s">
        <v>109</v>
      </c>
      <c r="B47" t="s">
        <v>8</v>
      </c>
      <c r="C47">
        <v>38</v>
      </c>
      <c r="D47" t="s">
        <v>13</v>
      </c>
      <c r="E47" s="5">
        <v>44329</v>
      </c>
      <c r="F47" t="s">
        <v>19</v>
      </c>
      <c r="G47" s="3">
        <v>56870</v>
      </c>
      <c r="H47" t="s">
        <v>205</v>
      </c>
      <c r="I47" s="6">
        <f ca="1">(TODAY()-Staff[[#This Row],[Date Joined]])/365</f>
        <v>2.2739726027397262</v>
      </c>
      <c r="J47" s="2">
        <f ca="1">IF(Staff[[#This Row],[Tenure]]&gt;3,3%,2%)*Staff[[#This Row],[Salary]]</f>
        <v>1137.4000000000001</v>
      </c>
      <c r="K47">
        <f>_xlfn.XLOOKUP(Staff[[#This Row],[Rating]],'Salary vs. Rating'!$B$10:$B$14,'Salary vs. Rating'!$C$10:$C$14)</f>
        <v>4</v>
      </c>
      <c r="N47" t="str">
        <f ca="1"/>
        <v>Upendra Swati</v>
      </c>
      <c r="O47" t="str">
        <f ca="1"/>
        <v>Other</v>
      </c>
      <c r="P47">
        <f ca="1"/>
        <v>30</v>
      </c>
      <c r="Q47" t="str">
        <f ca="1"/>
        <v>Average</v>
      </c>
      <c r="R47">
        <f ca="1"/>
        <v>44535</v>
      </c>
      <c r="S47" t="str">
        <f ca="1"/>
        <v>Finance</v>
      </c>
      <c r="T47">
        <f ca="1"/>
        <v>64000</v>
      </c>
      <c r="U47" t="str">
        <f ca="1"/>
        <v>IND</v>
      </c>
      <c r="V47">
        <f ca="1"/>
        <v>1.7095890410958905</v>
      </c>
      <c r="W47">
        <f ca="1"/>
        <v>1280</v>
      </c>
      <c r="X47">
        <f ca="1"/>
        <v>3</v>
      </c>
    </row>
    <row r="48" spans="1:24">
      <c r="A48" t="s">
        <v>124</v>
      </c>
      <c r="B48" t="s">
        <v>15</v>
      </c>
      <c r="C48">
        <v>21</v>
      </c>
      <c r="D48" t="s">
        <v>16</v>
      </c>
      <c r="E48" s="5">
        <v>44701</v>
      </c>
      <c r="F48" t="s">
        <v>9</v>
      </c>
      <c r="G48" s="3">
        <v>57090</v>
      </c>
      <c r="H48" t="s">
        <v>206</v>
      </c>
      <c r="I48" s="6">
        <f ca="1">(TODAY()-Staff[[#This Row],[Date Joined]])/365</f>
        <v>1.2547945205479452</v>
      </c>
      <c r="J48" s="2">
        <f ca="1">IF(Staff[[#This Row],[Tenure]]&gt;3,3%,2%)*Staff[[#This Row],[Salary]]</f>
        <v>1141.8</v>
      </c>
      <c r="K48">
        <f>_xlfn.XLOOKUP(Staff[[#This Row],[Rating]],'Salary vs. Rating'!$B$10:$B$14,'Salary vs. Rating'!$C$10:$C$14)</f>
        <v>3</v>
      </c>
      <c r="N48" t="str">
        <f ca="1"/>
        <v>Curtice Advani</v>
      </c>
      <c r="O48" t="str">
        <f ca="1"/>
        <v>Other</v>
      </c>
      <c r="P48">
        <f ca="1"/>
        <v>30</v>
      </c>
      <c r="Q48" t="str">
        <f ca="1"/>
        <v>Average</v>
      </c>
      <c r="R48">
        <f ca="1"/>
        <v>44597</v>
      </c>
      <c r="S48" t="str">
        <f ca="1"/>
        <v>Finance</v>
      </c>
      <c r="T48">
        <f ca="1"/>
        <v>64000</v>
      </c>
      <c r="U48" t="str">
        <f ca="1"/>
        <v>NZ</v>
      </c>
      <c r="V48">
        <f ca="1"/>
        <v>1.5397260273972602</v>
      </c>
      <c r="W48">
        <f ca="1"/>
        <v>1280</v>
      </c>
      <c r="X48">
        <f ca="1"/>
        <v>3</v>
      </c>
    </row>
    <row r="49" spans="1:24">
      <c r="A49" t="s">
        <v>31</v>
      </c>
      <c r="B49" t="s">
        <v>15</v>
      </c>
      <c r="C49">
        <v>21</v>
      </c>
      <c r="D49" t="s">
        <v>16</v>
      </c>
      <c r="E49" s="5">
        <v>44762</v>
      </c>
      <c r="F49" t="s">
        <v>9</v>
      </c>
      <c r="G49" s="3">
        <v>57090</v>
      </c>
      <c r="H49" t="s">
        <v>205</v>
      </c>
      <c r="I49" s="6">
        <f ca="1">(TODAY()-Staff[[#This Row],[Date Joined]])/365</f>
        <v>1.0876712328767124</v>
      </c>
      <c r="J49" s="2">
        <f ca="1">IF(Staff[[#This Row],[Tenure]]&gt;3,3%,2%)*Staff[[#This Row],[Salary]]</f>
        <v>1141.8</v>
      </c>
      <c r="K49">
        <f>_xlfn.XLOOKUP(Staff[[#This Row],[Rating]],'Salary vs. Rating'!$B$10:$B$14,'Salary vs. Rating'!$C$10:$C$14)</f>
        <v>3</v>
      </c>
      <c r="N49" t="str">
        <f ca="1"/>
        <v>Lalit Kothari</v>
      </c>
      <c r="O49" t="str">
        <f ca="1"/>
        <v>Female</v>
      </c>
      <c r="P49">
        <f ca="1"/>
        <v>34</v>
      </c>
      <c r="Q49" t="str">
        <f ca="1"/>
        <v>Average</v>
      </c>
      <c r="R49">
        <f ca="1"/>
        <v>44550</v>
      </c>
      <c r="S49" t="str">
        <f ca="1"/>
        <v>Finance</v>
      </c>
      <c r="T49">
        <f ca="1"/>
        <v>60130</v>
      </c>
      <c r="U49" t="str">
        <f ca="1"/>
        <v>IND</v>
      </c>
      <c r="V49">
        <f ca="1"/>
        <v>1.6684931506849314</v>
      </c>
      <c r="W49">
        <f ca="1"/>
        <v>1202.6000000000001</v>
      </c>
      <c r="X49">
        <f ca="1"/>
        <v>3</v>
      </c>
    </row>
    <row r="50" spans="1:24">
      <c r="A50" t="s">
        <v>119</v>
      </c>
      <c r="B50" t="s">
        <v>8</v>
      </c>
      <c r="C50">
        <v>31</v>
      </c>
      <c r="D50" t="s">
        <v>16</v>
      </c>
      <c r="E50" s="5">
        <v>44604</v>
      </c>
      <c r="F50" t="s">
        <v>12</v>
      </c>
      <c r="G50" s="3">
        <v>58100</v>
      </c>
      <c r="H50" t="s">
        <v>206</v>
      </c>
      <c r="I50" s="6">
        <f ca="1">(TODAY()-Staff[[#This Row],[Date Joined]])/365</f>
        <v>1.5205479452054795</v>
      </c>
      <c r="J50" s="2">
        <f ca="1">IF(Staff[[#This Row],[Tenure]]&gt;3,3%,2%)*Staff[[#This Row],[Salary]]</f>
        <v>1162</v>
      </c>
      <c r="K50">
        <f>_xlfn.XLOOKUP(Staff[[#This Row],[Rating]],'Salary vs. Rating'!$B$10:$B$14,'Salary vs. Rating'!$C$10:$C$14)</f>
        <v>3</v>
      </c>
      <c r="N50" t="str">
        <f ca="1"/>
        <v>Jehu Rudeforth</v>
      </c>
      <c r="O50" t="str">
        <f ca="1"/>
        <v>Female</v>
      </c>
      <c r="P50">
        <f ca="1"/>
        <v>34</v>
      </c>
      <c r="Q50" t="str">
        <f ca="1"/>
        <v>Average</v>
      </c>
      <c r="R50">
        <f ca="1"/>
        <v>44612</v>
      </c>
      <c r="S50" t="str">
        <f ca="1"/>
        <v>Finance</v>
      </c>
      <c r="T50">
        <f ca="1"/>
        <v>60130</v>
      </c>
      <c r="U50" t="str">
        <f ca="1"/>
        <v>NZ</v>
      </c>
      <c r="V50">
        <f ca="1"/>
        <v>1.4986301369863013</v>
      </c>
      <c r="W50">
        <f ca="1"/>
        <v>1202.6000000000001</v>
      </c>
      <c r="X50">
        <f ca="1"/>
        <v>3</v>
      </c>
    </row>
    <row r="51" spans="1:24">
      <c r="A51" t="s">
        <v>26</v>
      </c>
      <c r="B51" t="s">
        <v>8</v>
      </c>
      <c r="C51">
        <v>31</v>
      </c>
      <c r="D51" t="s">
        <v>16</v>
      </c>
      <c r="E51" s="5">
        <v>44663</v>
      </c>
      <c r="F51" t="s">
        <v>12</v>
      </c>
      <c r="G51" s="3">
        <v>58100</v>
      </c>
      <c r="H51" t="s">
        <v>205</v>
      </c>
      <c r="I51" s="6">
        <f ca="1">(TODAY()-Staff[[#This Row],[Date Joined]])/365</f>
        <v>1.3589041095890411</v>
      </c>
      <c r="J51" s="2">
        <f ca="1">IF(Staff[[#This Row],[Tenure]]&gt;3,3%,2%)*Staff[[#This Row],[Salary]]</f>
        <v>1162</v>
      </c>
      <c r="K51">
        <f>_xlfn.XLOOKUP(Staff[[#This Row],[Rating]],'Salary vs. Rating'!$B$10:$B$14,'Salary vs. Rating'!$C$10:$C$14)</f>
        <v>3</v>
      </c>
      <c r="N51" t="str">
        <f ca="1"/>
        <v>Asija Pothireddy</v>
      </c>
      <c r="O51" t="str">
        <f ca="1"/>
        <v>Male</v>
      </c>
      <c r="P51">
        <f ca="1"/>
        <v>33</v>
      </c>
      <c r="Q51" t="str">
        <f ca="1"/>
        <v>Average</v>
      </c>
      <c r="R51">
        <f ca="1"/>
        <v>44181</v>
      </c>
      <c r="S51" t="str">
        <f ca="1"/>
        <v>Finance</v>
      </c>
      <c r="T51">
        <f ca="1"/>
        <v>59430</v>
      </c>
      <c r="U51" t="str">
        <f ca="1"/>
        <v>IND</v>
      </c>
      <c r="V51">
        <f ca="1"/>
        <v>2.6794520547945204</v>
      </c>
      <c r="W51">
        <f ca="1"/>
        <v>1188.6000000000001</v>
      </c>
      <c r="X51">
        <f ca="1"/>
        <v>3</v>
      </c>
    </row>
    <row r="52" spans="1:24">
      <c r="A52" t="s">
        <v>129</v>
      </c>
      <c r="B52" t="s">
        <v>8</v>
      </c>
      <c r="C52">
        <v>34</v>
      </c>
      <c r="D52" t="s">
        <v>16</v>
      </c>
      <c r="E52" s="5">
        <v>44594</v>
      </c>
      <c r="F52" t="s">
        <v>21</v>
      </c>
      <c r="G52" s="3">
        <v>58940</v>
      </c>
      <c r="H52" t="s">
        <v>206</v>
      </c>
      <c r="I52" s="6">
        <f ca="1">(TODAY()-Staff[[#This Row],[Date Joined]])/365</f>
        <v>1.547945205479452</v>
      </c>
      <c r="J52" s="2">
        <f ca="1">IF(Staff[[#This Row],[Tenure]]&gt;3,3%,2%)*Staff[[#This Row],[Salary]]</f>
        <v>1178.8</v>
      </c>
      <c r="K52">
        <f>_xlfn.XLOOKUP(Staff[[#This Row],[Rating]],'Salary vs. Rating'!$B$10:$B$14,'Salary vs. Rating'!$C$10:$C$14)</f>
        <v>3</v>
      </c>
      <c r="N52" t="str">
        <f ca="1"/>
        <v>My Hanscome</v>
      </c>
      <c r="O52" t="str">
        <f ca="1"/>
        <v>Male</v>
      </c>
      <c r="P52">
        <f ca="1"/>
        <v>33</v>
      </c>
      <c r="Q52" t="str">
        <f ca="1"/>
        <v>Average</v>
      </c>
      <c r="R52">
        <f ca="1"/>
        <v>44243</v>
      </c>
      <c r="S52" t="str">
        <f ca="1"/>
        <v>Finance</v>
      </c>
      <c r="T52">
        <f ca="1"/>
        <v>59430</v>
      </c>
      <c r="U52" t="str">
        <f ca="1"/>
        <v>NZ</v>
      </c>
      <c r="V52">
        <f ca="1"/>
        <v>2.5095890410958903</v>
      </c>
      <c r="W52">
        <f ca="1"/>
        <v>1188.6000000000001</v>
      </c>
      <c r="X52">
        <f ca="1"/>
        <v>3</v>
      </c>
    </row>
    <row r="53" spans="1:24">
      <c r="A53" t="s">
        <v>36</v>
      </c>
      <c r="B53" t="s">
        <v>8</v>
      </c>
      <c r="C53">
        <v>34</v>
      </c>
      <c r="D53" t="s">
        <v>16</v>
      </c>
      <c r="E53" s="5">
        <v>44653</v>
      </c>
      <c r="F53" t="s">
        <v>21</v>
      </c>
      <c r="G53" s="3">
        <v>58940</v>
      </c>
      <c r="H53" t="s">
        <v>205</v>
      </c>
      <c r="I53" s="6">
        <f ca="1">(TODAY()-Staff[[#This Row],[Date Joined]])/365</f>
        <v>1.3863013698630138</v>
      </c>
      <c r="J53" s="2">
        <f ca="1">IF(Staff[[#This Row],[Tenure]]&gt;3,3%,2%)*Staff[[#This Row],[Salary]]</f>
        <v>1178.8</v>
      </c>
      <c r="K53">
        <f>_xlfn.XLOOKUP(Staff[[#This Row],[Rating]],'Salary vs. Rating'!$B$10:$B$14,'Salary vs. Rating'!$C$10:$C$14)</f>
        <v>3</v>
      </c>
      <c r="N53" t="str">
        <f ca="1"/>
        <v>Krittika Gaekwad</v>
      </c>
      <c r="O53" t="str">
        <f ca="1"/>
        <v>Female</v>
      </c>
      <c r="P53">
        <f ca="1"/>
        <v>34</v>
      </c>
      <c r="Q53" t="str">
        <f ca="1"/>
        <v>Average</v>
      </c>
      <c r="R53">
        <f ca="1"/>
        <v>44594</v>
      </c>
      <c r="S53" t="str">
        <f ca="1"/>
        <v>Finance</v>
      </c>
      <c r="T53">
        <f ca="1"/>
        <v>58940</v>
      </c>
      <c r="U53" t="str">
        <f ca="1"/>
        <v>IND</v>
      </c>
      <c r="V53">
        <f ca="1"/>
        <v>1.547945205479452</v>
      </c>
      <c r="W53">
        <f ca="1"/>
        <v>1178.8</v>
      </c>
      <c r="X53">
        <f ca="1"/>
        <v>3</v>
      </c>
    </row>
    <row r="54" spans="1:24">
      <c r="A54" t="s">
        <v>192</v>
      </c>
      <c r="B54" t="s">
        <v>15</v>
      </c>
      <c r="C54">
        <v>19</v>
      </c>
      <c r="D54" t="s">
        <v>16</v>
      </c>
      <c r="E54" s="5">
        <v>44218</v>
      </c>
      <c r="F54" t="s">
        <v>9</v>
      </c>
      <c r="G54" s="3">
        <v>58960</v>
      </c>
      <c r="H54" t="s">
        <v>206</v>
      </c>
      <c r="I54" s="6">
        <f ca="1">(TODAY()-Staff[[#This Row],[Date Joined]])/365</f>
        <v>2.5780821917808221</v>
      </c>
      <c r="J54" s="2">
        <f ca="1">IF(Staff[[#This Row],[Tenure]]&gt;3,3%,2%)*Staff[[#This Row],[Salary]]</f>
        <v>1179.2</v>
      </c>
      <c r="K54">
        <f>_xlfn.XLOOKUP(Staff[[#This Row],[Rating]],'Salary vs. Rating'!$B$10:$B$14,'Salary vs. Rating'!$C$10:$C$14)</f>
        <v>3</v>
      </c>
      <c r="N54" t="str">
        <f ca="1"/>
        <v>Oby Sorrel</v>
      </c>
      <c r="O54" t="str">
        <f ca="1"/>
        <v>Female</v>
      </c>
      <c r="P54">
        <f ca="1"/>
        <v>34</v>
      </c>
      <c r="Q54" t="str">
        <f ca="1"/>
        <v>Average</v>
      </c>
      <c r="R54">
        <f ca="1"/>
        <v>44653</v>
      </c>
      <c r="S54" t="str">
        <f ca="1"/>
        <v>Finance</v>
      </c>
      <c r="T54">
        <f ca="1"/>
        <v>58940</v>
      </c>
      <c r="U54" t="str">
        <f ca="1"/>
        <v>NZ</v>
      </c>
      <c r="V54">
        <f ca="1"/>
        <v>1.3863013698630138</v>
      </c>
      <c r="W54">
        <f ca="1"/>
        <v>1178.8</v>
      </c>
      <c r="X54">
        <f ca="1"/>
        <v>3</v>
      </c>
    </row>
    <row r="55" spans="1:24">
      <c r="A55" t="s">
        <v>100</v>
      </c>
      <c r="B55" t="s">
        <v>15</v>
      </c>
      <c r="C55">
        <v>19</v>
      </c>
      <c r="D55" t="s">
        <v>16</v>
      </c>
      <c r="E55" s="5">
        <v>44277</v>
      </c>
      <c r="F55" t="s">
        <v>9</v>
      </c>
      <c r="G55" s="3">
        <v>58960</v>
      </c>
      <c r="H55" t="s">
        <v>205</v>
      </c>
      <c r="I55" s="6">
        <f ca="1">(TODAY()-Staff[[#This Row],[Date Joined]])/365</f>
        <v>2.4164383561643836</v>
      </c>
      <c r="J55" s="2">
        <f ca="1">IF(Staff[[#This Row],[Tenure]]&gt;3,3%,2%)*Staff[[#This Row],[Salary]]</f>
        <v>1179.2</v>
      </c>
      <c r="K55">
        <f>_xlfn.XLOOKUP(Staff[[#This Row],[Rating]],'Salary vs. Rating'!$B$10:$B$14,'Salary vs. Rating'!$C$10:$C$14)</f>
        <v>3</v>
      </c>
      <c r="N55" t="str">
        <f ca="1"/>
        <v>Gumwant Veera</v>
      </c>
      <c r="O55" t="str">
        <f ca="1"/>
        <v>Male</v>
      </c>
      <c r="P55">
        <f ca="1"/>
        <v>24</v>
      </c>
      <c r="Q55" t="str">
        <f ca="1"/>
        <v>Poor</v>
      </c>
      <c r="R55">
        <f ca="1"/>
        <v>44375</v>
      </c>
      <c r="S55" t="str">
        <f ca="1"/>
        <v>Finance</v>
      </c>
      <c r="T55">
        <f ca="1"/>
        <v>52610</v>
      </c>
      <c r="U55" t="str">
        <f ca="1"/>
        <v>IND</v>
      </c>
      <c r="V55">
        <f ca="1"/>
        <v>2.1479452054794521</v>
      </c>
      <c r="W55">
        <f ca="1"/>
        <v>1052.2</v>
      </c>
      <c r="X55">
        <f ca="1"/>
        <v>2</v>
      </c>
    </row>
    <row r="56" spans="1:24">
      <c r="A56" t="s">
        <v>170</v>
      </c>
      <c r="B56" t="s">
        <v>15</v>
      </c>
      <c r="C56">
        <v>33</v>
      </c>
      <c r="D56" t="s">
        <v>16</v>
      </c>
      <c r="E56" s="5">
        <v>44181</v>
      </c>
      <c r="F56" t="s">
        <v>21</v>
      </c>
      <c r="G56" s="3">
        <v>59430</v>
      </c>
      <c r="H56" t="s">
        <v>206</v>
      </c>
      <c r="I56" s="6">
        <f ca="1">(TODAY()-Staff[[#This Row],[Date Joined]])/365</f>
        <v>2.6794520547945204</v>
      </c>
      <c r="J56" s="2">
        <f ca="1">IF(Staff[[#This Row],[Tenure]]&gt;3,3%,2%)*Staff[[#This Row],[Salary]]</f>
        <v>1188.6000000000001</v>
      </c>
      <c r="K56">
        <f>_xlfn.XLOOKUP(Staff[[#This Row],[Rating]],'Salary vs. Rating'!$B$10:$B$14,'Salary vs. Rating'!$C$10:$C$14)</f>
        <v>3</v>
      </c>
      <c r="N56" t="str">
        <f ca="1"/>
        <v>Kaye Crocroft</v>
      </c>
      <c r="O56" t="str">
        <f ca="1"/>
        <v>Male</v>
      </c>
      <c r="P56">
        <f ca="1"/>
        <v>24</v>
      </c>
      <c r="Q56" t="str">
        <f ca="1"/>
        <v>Poor</v>
      </c>
      <c r="R56">
        <f ca="1"/>
        <v>44436</v>
      </c>
      <c r="S56" t="str">
        <f ca="1"/>
        <v>Finance</v>
      </c>
      <c r="T56">
        <f ca="1"/>
        <v>52610</v>
      </c>
      <c r="U56" t="str">
        <f ca="1"/>
        <v>NZ</v>
      </c>
      <c r="V56">
        <f ca="1"/>
        <v>1.9808219178082191</v>
      </c>
      <c r="W56">
        <f ca="1"/>
        <v>1052.2</v>
      </c>
      <c r="X56">
        <f ca="1"/>
        <v>2</v>
      </c>
    </row>
    <row r="57" spans="1:24">
      <c r="A57" t="s">
        <v>79</v>
      </c>
      <c r="B57" t="s">
        <v>15</v>
      </c>
      <c r="C57">
        <v>33</v>
      </c>
      <c r="D57" t="s">
        <v>16</v>
      </c>
      <c r="E57" s="5">
        <v>44243</v>
      </c>
      <c r="F57" t="s">
        <v>21</v>
      </c>
      <c r="G57" s="3">
        <v>59430</v>
      </c>
      <c r="H57" t="s">
        <v>205</v>
      </c>
      <c r="I57" s="6">
        <f ca="1">(TODAY()-Staff[[#This Row],[Date Joined]])/365</f>
        <v>2.5095890410958903</v>
      </c>
      <c r="J57" s="2">
        <f ca="1">IF(Staff[[#This Row],[Tenure]]&gt;3,3%,2%)*Staff[[#This Row],[Salary]]</f>
        <v>1188.6000000000001</v>
      </c>
      <c r="K57">
        <f>_xlfn.XLOOKUP(Staff[[#This Row],[Rating]],'Salary vs. Rating'!$B$10:$B$14,'Salary vs. Rating'!$C$10:$C$14)</f>
        <v>3</v>
      </c>
      <c r="N57" t="str">
        <f ca="1"/>
        <v>Vanmala Shriharsha</v>
      </c>
      <c r="O57" t="str">
        <f ca="1"/>
        <v>Male</v>
      </c>
      <c r="P57">
        <f ca="1"/>
        <v>27</v>
      </c>
      <c r="Q57" t="str">
        <f ca="1"/>
        <v>Average</v>
      </c>
      <c r="R57">
        <f ca="1"/>
        <v>44506</v>
      </c>
      <c r="S57" t="str">
        <f ca="1"/>
        <v>Finance</v>
      </c>
      <c r="T57">
        <f ca="1"/>
        <v>48980</v>
      </c>
      <c r="U57" t="str">
        <f ca="1"/>
        <v>IND</v>
      </c>
      <c r="V57">
        <f ca="1"/>
        <v>1.789041095890411</v>
      </c>
      <c r="W57">
        <f ca="1"/>
        <v>979.6</v>
      </c>
      <c r="X57">
        <f ca="1"/>
        <v>3</v>
      </c>
    </row>
    <row r="58" spans="1:24">
      <c r="A58" t="s">
        <v>131</v>
      </c>
      <c r="B58" t="s">
        <v>8</v>
      </c>
      <c r="C58">
        <v>34</v>
      </c>
      <c r="D58" t="s">
        <v>16</v>
      </c>
      <c r="E58" s="5">
        <v>44550</v>
      </c>
      <c r="F58" t="s">
        <v>21</v>
      </c>
      <c r="G58" s="3">
        <v>60130</v>
      </c>
      <c r="H58" t="s">
        <v>206</v>
      </c>
      <c r="I58" s="6">
        <f ca="1">(TODAY()-Staff[[#This Row],[Date Joined]])/365</f>
        <v>1.6684931506849314</v>
      </c>
      <c r="J58" s="2">
        <f ca="1">IF(Staff[[#This Row],[Tenure]]&gt;3,3%,2%)*Staff[[#This Row],[Salary]]</f>
        <v>1202.6000000000001</v>
      </c>
      <c r="K58">
        <f>_xlfn.XLOOKUP(Staff[[#This Row],[Rating]],'Salary vs. Rating'!$B$10:$B$14,'Salary vs. Rating'!$C$10:$C$14)</f>
        <v>3</v>
      </c>
      <c r="N58" t="str">
        <f ca="1"/>
        <v>Esmaria Denecamp</v>
      </c>
      <c r="O58" t="str">
        <f ca="1"/>
        <v>Male</v>
      </c>
      <c r="P58">
        <f ca="1"/>
        <v>27</v>
      </c>
      <c r="Q58" t="str">
        <f ca="1"/>
        <v>Average</v>
      </c>
      <c r="R58">
        <f ca="1"/>
        <v>44567</v>
      </c>
      <c r="S58" t="str">
        <f ca="1"/>
        <v>Finance</v>
      </c>
      <c r="T58">
        <f ca="1"/>
        <v>48980</v>
      </c>
      <c r="U58" t="str">
        <f ca="1"/>
        <v>NZ</v>
      </c>
      <c r="V58">
        <f ca="1"/>
        <v>1.6219178082191781</v>
      </c>
      <c r="W58">
        <f ca="1"/>
        <v>979.6</v>
      </c>
      <c r="X58">
        <f ca="1"/>
        <v>3</v>
      </c>
    </row>
    <row r="59" spans="1:24">
      <c r="A59" t="s">
        <v>38</v>
      </c>
      <c r="B59" t="s">
        <v>8</v>
      </c>
      <c r="C59">
        <v>34</v>
      </c>
      <c r="D59" t="s">
        <v>16</v>
      </c>
      <c r="E59" s="5">
        <v>44612</v>
      </c>
      <c r="F59" t="s">
        <v>21</v>
      </c>
      <c r="G59" s="3">
        <v>60130</v>
      </c>
      <c r="H59" t="s">
        <v>205</v>
      </c>
      <c r="I59" s="6">
        <f ca="1">(TODAY()-Staff[[#This Row],[Date Joined]])/365</f>
        <v>1.4986301369863013</v>
      </c>
      <c r="J59" s="2">
        <f ca="1">IF(Staff[[#This Row],[Tenure]]&gt;3,3%,2%)*Staff[[#This Row],[Salary]]</f>
        <v>1202.6000000000001</v>
      </c>
      <c r="K59">
        <f>_xlfn.XLOOKUP(Staff[[#This Row],[Rating]],'Salary vs. Rating'!$B$10:$B$14,'Salary vs. Rating'!$C$10:$C$14)</f>
        <v>3</v>
      </c>
      <c r="N59" t="str">
        <f ca="1"/>
        <v>Ardhendu Abhichandra Jayakar</v>
      </c>
      <c r="O59" t="str">
        <f ca="1"/>
        <v>Male</v>
      </c>
      <c r="P59">
        <f ca="1"/>
        <v>28</v>
      </c>
      <c r="Q59" t="str">
        <f ca="1"/>
        <v>Above average</v>
      </c>
      <c r="R59">
        <f ca="1"/>
        <v>43980</v>
      </c>
      <c r="S59" t="str">
        <f ca="1"/>
        <v>Finance</v>
      </c>
      <c r="T59">
        <f ca="1"/>
        <v>48170</v>
      </c>
      <c r="U59" t="str">
        <f ca="1"/>
        <v>IND</v>
      </c>
      <c r="V59">
        <f ca="1"/>
        <v>3.2301369863013698</v>
      </c>
      <c r="W59">
        <f ca="1"/>
        <v>1445.1</v>
      </c>
      <c r="X59">
        <f ca="1"/>
        <v>4</v>
      </c>
    </row>
    <row r="60" spans="1:24">
      <c r="A60" t="s">
        <v>130</v>
      </c>
      <c r="B60" t="s">
        <v>15</v>
      </c>
      <c r="C60">
        <v>30</v>
      </c>
      <c r="D60" t="s">
        <v>16</v>
      </c>
      <c r="E60" s="5">
        <v>44607</v>
      </c>
      <c r="F60" t="s">
        <v>9</v>
      </c>
      <c r="G60" s="3">
        <v>60570</v>
      </c>
      <c r="H60" t="s">
        <v>206</v>
      </c>
      <c r="I60" s="6">
        <f ca="1">(TODAY()-Staff[[#This Row],[Date Joined]])/365</f>
        <v>1.5123287671232877</v>
      </c>
      <c r="J60" s="2">
        <f ca="1">IF(Staff[[#This Row],[Tenure]]&gt;3,3%,2%)*Staff[[#This Row],[Salary]]</f>
        <v>1211.4000000000001</v>
      </c>
      <c r="K60">
        <f>_xlfn.XLOOKUP(Staff[[#This Row],[Rating]],'Salary vs. Rating'!$B$10:$B$14,'Salary vs. Rating'!$C$10:$C$14)</f>
        <v>3</v>
      </c>
      <c r="N60" t="str">
        <f ca="1"/>
        <v>Jan Morforth</v>
      </c>
      <c r="O60" t="str">
        <f ca="1"/>
        <v>Male</v>
      </c>
      <c r="P60">
        <f ca="1"/>
        <v>28</v>
      </c>
      <c r="Q60" t="str">
        <f ca="1"/>
        <v>Above average</v>
      </c>
      <c r="R60">
        <f ca="1"/>
        <v>44041</v>
      </c>
      <c r="S60" t="str">
        <f ca="1"/>
        <v>Finance</v>
      </c>
      <c r="T60">
        <f ca="1"/>
        <v>48170</v>
      </c>
      <c r="U60" t="str">
        <f ca="1"/>
        <v>NZ</v>
      </c>
      <c r="V60">
        <f ca="1"/>
        <v>3.0630136986301371</v>
      </c>
      <c r="W60">
        <f ca="1"/>
        <v>1445.1</v>
      </c>
      <c r="X60">
        <f ca="1"/>
        <v>4</v>
      </c>
    </row>
    <row r="61" spans="1:24">
      <c r="A61" t="s">
        <v>37</v>
      </c>
      <c r="B61" t="s">
        <v>15</v>
      </c>
      <c r="C61">
        <v>30</v>
      </c>
      <c r="D61" t="s">
        <v>16</v>
      </c>
      <c r="E61" s="5">
        <v>44666</v>
      </c>
      <c r="F61" t="s">
        <v>9</v>
      </c>
      <c r="G61" s="3">
        <v>60570</v>
      </c>
      <c r="H61" t="s">
        <v>205</v>
      </c>
      <c r="I61" s="6">
        <f ca="1">(TODAY()-Staff[[#This Row],[Date Joined]])/365</f>
        <v>1.3506849315068492</v>
      </c>
      <c r="J61" s="2">
        <f ca="1">IF(Staff[[#This Row],[Tenure]]&gt;3,3%,2%)*Staff[[#This Row],[Salary]]</f>
        <v>1211.4000000000001</v>
      </c>
      <c r="K61">
        <f>_xlfn.XLOOKUP(Staff[[#This Row],[Rating]],'Salary vs. Rating'!$B$10:$B$14,'Salary vs. Rating'!$C$10:$C$14)</f>
        <v>3</v>
      </c>
    </row>
    <row r="62" spans="1:24">
      <c r="A62" t="s">
        <v>152</v>
      </c>
      <c r="B62" t="s">
        <v>8</v>
      </c>
      <c r="C62">
        <v>24</v>
      </c>
      <c r="D62" t="s">
        <v>16</v>
      </c>
      <c r="E62" s="5">
        <v>44087</v>
      </c>
      <c r="F62" t="s">
        <v>12</v>
      </c>
      <c r="G62" s="3">
        <v>62780</v>
      </c>
      <c r="H62" t="s">
        <v>206</v>
      </c>
      <c r="I62" s="6">
        <f ca="1">(TODAY()-Staff[[#This Row],[Date Joined]])/365</f>
        <v>2.9369863013698629</v>
      </c>
      <c r="J62" s="2">
        <f ca="1">IF(Staff[[#This Row],[Tenure]]&gt;3,3%,2%)*Staff[[#This Row],[Salary]]</f>
        <v>1255.6000000000001</v>
      </c>
      <c r="K62">
        <f>_xlfn.XLOOKUP(Staff[[#This Row],[Rating]],'Salary vs. Rating'!$B$10:$B$14,'Salary vs. Rating'!$C$10:$C$14)</f>
        <v>3</v>
      </c>
    </row>
    <row r="63" spans="1:24">
      <c r="A63" t="s">
        <v>61</v>
      </c>
      <c r="B63" t="s">
        <v>8</v>
      </c>
      <c r="C63">
        <v>24</v>
      </c>
      <c r="D63" t="s">
        <v>16</v>
      </c>
      <c r="E63" s="5">
        <v>44148</v>
      </c>
      <c r="F63" t="s">
        <v>12</v>
      </c>
      <c r="G63" s="3">
        <v>62780</v>
      </c>
      <c r="H63" t="s">
        <v>205</v>
      </c>
      <c r="I63" s="6">
        <f ca="1">(TODAY()-Staff[[#This Row],[Date Joined]])/365</f>
        <v>2.7698630136986302</v>
      </c>
      <c r="J63" s="2">
        <f ca="1">IF(Staff[[#This Row],[Tenure]]&gt;3,3%,2%)*Staff[[#This Row],[Salary]]</f>
        <v>1255.6000000000001</v>
      </c>
      <c r="K63">
        <f>_xlfn.XLOOKUP(Staff[[#This Row],[Rating]],'Salary vs. Rating'!$B$10:$B$14,'Salary vs. Rating'!$C$10:$C$14)</f>
        <v>3</v>
      </c>
    </row>
    <row r="64" spans="1:24">
      <c r="A64" t="s">
        <v>115</v>
      </c>
      <c r="B64" t="s">
        <v>204</v>
      </c>
      <c r="C64">
        <v>30</v>
      </c>
      <c r="D64" t="s">
        <v>16</v>
      </c>
      <c r="E64" s="5">
        <v>44535</v>
      </c>
      <c r="F64" t="s">
        <v>21</v>
      </c>
      <c r="G64" s="3">
        <v>64000</v>
      </c>
      <c r="H64" t="s">
        <v>206</v>
      </c>
      <c r="I64" s="6">
        <f ca="1">(TODAY()-Staff[[#This Row],[Date Joined]])/365</f>
        <v>1.7095890410958905</v>
      </c>
      <c r="J64" s="2">
        <f ca="1">IF(Staff[[#This Row],[Tenure]]&gt;3,3%,2%)*Staff[[#This Row],[Salary]]</f>
        <v>1280</v>
      </c>
      <c r="K64">
        <f>_xlfn.XLOOKUP(Staff[[#This Row],[Rating]],'Salary vs. Rating'!$B$10:$B$14,'Salary vs. Rating'!$C$10:$C$14)</f>
        <v>3</v>
      </c>
    </row>
    <row r="65" spans="1:11">
      <c r="A65" t="s">
        <v>20</v>
      </c>
      <c r="B65" t="s">
        <v>204</v>
      </c>
      <c r="C65">
        <v>30</v>
      </c>
      <c r="D65" t="s">
        <v>16</v>
      </c>
      <c r="E65" s="5">
        <v>44597</v>
      </c>
      <c r="F65" t="s">
        <v>21</v>
      </c>
      <c r="G65" s="3">
        <v>64000</v>
      </c>
      <c r="H65" t="s">
        <v>205</v>
      </c>
      <c r="I65" s="6">
        <f ca="1">(TODAY()-Staff[[#This Row],[Date Joined]])/365</f>
        <v>1.5397260273972602</v>
      </c>
      <c r="J65" s="2">
        <f ca="1">IF(Staff[[#This Row],[Tenure]]&gt;3,3%,2%)*Staff[[#This Row],[Salary]]</f>
        <v>1280</v>
      </c>
      <c r="K65">
        <f>_xlfn.XLOOKUP(Staff[[#This Row],[Rating]],'Salary vs. Rating'!$B$10:$B$14,'Salary vs. Rating'!$C$10:$C$14)</f>
        <v>3</v>
      </c>
    </row>
    <row r="66" spans="1:11">
      <c r="A66" t="s">
        <v>185</v>
      </c>
      <c r="B66" t="s">
        <v>8</v>
      </c>
      <c r="C66">
        <v>33</v>
      </c>
      <c r="D66" t="s">
        <v>16</v>
      </c>
      <c r="E66" s="5">
        <v>44006</v>
      </c>
      <c r="F66" t="s">
        <v>21</v>
      </c>
      <c r="G66" s="3">
        <v>65360</v>
      </c>
      <c r="H66" t="s">
        <v>206</v>
      </c>
      <c r="I66" s="6">
        <f ca="1">(TODAY()-Staff[[#This Row],[Date Joined]])/365</f>
        <v>3.1589041095890411</v>
      </c>
      <c r="J66" s="2">
        <f ca="1">IF(Staff[[#This Row],[Tenure]]&gt;3,3%,2%)*Staff[[#This Row],[Salary]]</f>
        <v>1960.8</v>
      </c>
      <c r="K66">
        <f>_xlfn.XLOOKUP(Staff[[#This Row],[Rating]],'Salary vs. Rating'!$B$10:$B$14,'Salary vs. Rating'!$C$10:$C$14)</f>
        <v>3</v>
      </c>
    </row>
    <row r="67" spans="1:11">
      <c r="A67" t="s">
        <v>93</v>
      </c>
      <c r="B67" t="s">
        <v>8</v>
      </c>
      <c r="C67">
        <v>33</v>
      </c>
      <c r="D67" t="s">
        <v>16</v>
      </c>
      <c r="E67" s="5">
        <v>44067</v>
      </c>
      <c r="F67" t="s">
        <v>21</v>
      </c>
      <c r="G67" s="3">
        <v>65360</v>
      </c>
      <c r="H67" t="s">
        <v>205</v>
      </c>
      <c r="I67" s="6">
        <f ca="1">(TODAY()-Staff[[#This Row],[Date Joined]])/365</f>
        <v>2.9917808219178084</v>
      </c>
      <c r="J67" s="2">
        <f ca="1">IF(Staff[[#This Row],[Tenure]]&gt;3,3%,2%)*Staff[[#This Row],[Salary]]</f>
        <v>1307.2</v>
      </c>
      <c r="K67">
        <f>_xlfn.XLOOKUP(Staff[[#This Row],[Rating]],'Salary vs. Rating'!$B$10:$B$14,'Salary vs. Rating'!$C$10:$C$14)</f>
        <v>3</v>
      </c>
    </row>
    <row r="68" spans="1:11">
      <c r="A68" t="s">
        <v>167</v>
      </c>
      <c r="B68" t="s">
        <v>15</v>
      </c>
      <c r="C68">
        <v>25</v>
      </c>
      <c r="D68" t="s">
        <v>16</v>
      </c>
      <c r="E68" s="5">
        <v>44322</v>
      </c>
      <c r="F68" t="s">
        <v>19</v>
      </c>
      <c r="G68" s="3">
        <v>65700</v>
      </c>
      <c r="H68" t="s">
        <v>206</v>
      </c>
      <c r="I68" s="6">
        <f ca="1">(TODAY()-Staff[[#This Row],[Date Joined]])/365</f>
        <v>2.2931506849315069</v>
      </c>
      <c r="J68" s="2">
        <f ca="1">IF(Staff[[#This Row],[Tenure]]&gt;3,3%,2%)*Staff[[#This Row],[Salary]]</f>
        <v>1314</v>
      </c>
      <c r="K68">
        <f>_xlfn.XLOOKUP(Staff[[#This Row],[Rating]],'Salary vs. Rating'!$B$10:$B$14,'Salary vs. Rating'!$C$10:$C$14)</f>
        <v>3</v>
      </c>
    </row>
    <row r="69" spans="1:11">
      <c r="A69" t="s">
        <v>76</v>
      </c>
      <c r="B69" t="s">
        <v>15</v>
      </c>
      <c r="C69">
        <v>25</v>
      </c>
      <c r="D69" t="s">
        <v>16</v>
      </c>
      <c r="E69" s="5">
        <v>44383</v>
      </c>
      <c r="F69" t="s">
        <v>19</v>
      </c>
      <c r="G69" s="3">
        <v>65700</v>
      </c>
      <c r="H69" t="s">
        <v>205</v>
      </c>
      <c r="I69" s="6">
        <f ca="1">(TODAY()-Staff[[#This Row],[Date Joined]])/365</f>
        <v>2.1260273972602741</v>
      </c>
      <c r="J69" s="2">
        <f ca="1">IF(Staff[[#This Row],[Tenure]]&gt;3,3%,2%)*Staff[[#This Row],[Salary]]</f>
        <v>1314</v>
      </c>
      <c r="K69">
        <f>_xlfn.XLOOKUP(Staff[[#This Row],[Rating]],'Salary vs. Rating'!$B$10:$B$14,'Salary vs. Rating'!$C$10:$C$14)</f>
        <v>3</v>
      </c>
    </row>
    <row r="70" spans="1:11">
      <c r="A70" t="s">
        <v>125</v>
      </c>
      <c r="B70" t="s">
        <v>8</v>
      </c>
      <c r="C70">
        <v>21</v>
      </c>
      <c r="D70" t="s">
        <v>16</v>
      </c>
      <c r="E70" s="5">
        <v>44256</v>
      </c>
      <c r="F70" t="s">
        <v>21</v>
      </c>
      <c r="G70" s="3">
        <v>65920</v>
      </c>
      <c r="H70" t="s">
        <v>206</v>
      </c>
      <c r="I70" s="6">
        <f ca="1">(TODAY()-Staff[[#This Row],[Date Joined]])/365</f>
        <v>2.473972602739726</v>
      </c>
      <c r="J70" s="2">
        <f ca="1">IF(Staff[[#This Row],[Tenure]]&gt;3,3%,2%)*Staff[[#This Row],[Salary]]</f>
        <v>1318.4</v>
      </c>
      <c r="K70">
        <f>_xlfn.XLOOKUP(Staff[[#This Row],[Rating]],'Salary vs. Rating'!$B$10:$B$14,'Salary vs. Rating'!$C$10:$C$14)</f>
        <v>3</v>
      </c>
    </row>
    <row r="71" spans="1:11">
      <c r="A71" t="s">
        <v>32</v>
      </c>
      <c r="B71" t="s">
        <v>8</v>
      </c>
      <c r="C71">
        <v>21</v>
      </c>
      <c r="D71" t="s">
        <v>16</v>
      </c>
      <c r="E71" s="5">
        <v>44317</v>
      </c>
      <c r="F71" t="s">
        <v>21</v>
      </c>
      <c r="G71" s="3">
        <v>65920</v>
      </c>
      <c r="H71" t="s">
        <v>205</v>
      </c>
      <c r="I71" s="6">
        <f ca="1">(TODAY()-Staff[[#This Row],[Date Joined]])/365</f>
        <v>2.3068493150684932</v>
      </c>
      <c r="J71" s="2">
        <f ca="1">IF(Staff[[#This Row],[Tenure]]&gt;3,3%,2%)*Staff[[#This Row],[Salary]]</f>
        <v>1318.4</v>
      </c>
      <c r="K71">
        <f>_xlfn.XLOOKUP(Staff[[#This Row],[Rating]],'Salary vs. Rating'!$B$10:$B$14,'Salary vs. Rating'!$C$10:$C$14)</f>
        <v>3</v>
      </c>
    </row>
    <row r="72" spans="1:11">
      <c r="A72" t="s">
        <v>120</v>
      </c>
      <c r="B72" t="s">
        <v>8</v>
      </c>
      <c r="C72">
        <v>30</v>
      </c>
      <c r="D72" t="s">
        <v>24</v>
      </c>
      <c r="E72" s="5">
        <v>44328</v>
      </c>
      <c r="F72" t="s">
        <v>21</v>
      </c>
      <c r="G72" s="3">
        <v>67910</v>
      </c>
      <c r="H72" t="s">
        <v>206</v>
      </c>
      <c r="I72" s="6">
        <f ca="1">(TODAY()-Staff[[#This Row],[Date Joined]])/365</f>
        <v>2.2767123287671232</v>
      </c>
      <c r="J72" s="2">
        <f ca="1">IF(Staff[[#This Row],[Tenure]]&gt;3,3%,2%)*Staff[[#This Row],[Salary]]</f>
        <v>1358.2</v>
      </c>
      <c r="K72">
        <f>_xlfn.XLOOKUP(Staff[[#This Row],[Rating]],'Salary vs. Rating'!$B$10:$B$14,'Salary vs. Rating'!$C$10:$C$14)</f>
        <v>2</v>
      </c>
    </row>
    <row r="73" spans="1:11">
      <c r="A73" t="s">
        <v>27</v>
      </c>
      <c r="B73" t="s">
        <v>8</v>
      </c>
      <c r="C73">
        <v>30</v>
      </c>
      <c r="D73" t="s">
        <v>24</v>
      </c>
      <c r="E73" s="5">
        <v>44389</v>
      </c>
      <c r="F73" t="s">
        <v>21</v>
      </c>
      <c r="G73" s="3">
        <v>67910</v>
      </c>
      <c r="H73" t="s">
        <v>205</v>
      </c>
      <c r="I73" s="6">
        <f ca="1">(TODAY()-Staff[[#This Row],[Date Joined]])/365</f>
        <v>2.1095890410958904</v>
      </c>
      <c r="J73" s="2">
        <f ca="1">IF(Staff[[#This Row],[Tenure]]&gt;3,3%,2%)*Staff[[#This Row],[Salary]]</f>
        <v>1358.2</v>
      </c>
      <c r="K73">
        <f>_xlfn.XLOOKUP(Staff[[#This Row],[Rating]],'Salary vs. Rating'!$B$10:$B$14,'Salary vs. Rating'!$C$10:$C$14)</f>
        <v>2</v>
      </c>
    </row>
    <row r="74" spans="1:11">
      <c r="A74" t="s">
        <v>137</v>
      </c>
      <c r="B74" t="s">
        <v>15</v>
      </c>
      <c r="C74">
        <v>30</v>
      </c>
      <c r="D74" t="s">
        <v>16</v>
      </c>
      <c r="E74" s="5">
        <v>44640</v>
      </c>
      <c r="F74" t="s">
        <v>9</v>
      </c>
      <c r="G74" s="3">
        <v>67950</v>
      </c>
      <c r="H74" t="s">
        <v>206</v>
      </c>
      <c r="I74" s="6">
        <f ca="1">(TODAY()-Staff[[#This Row],[Date Joined]])/365</f>
        <v>1.4219178082191781</v>
      </c>
      <c r="J74" s="2">
        <f ca="1">IF(Staff[[#This Row],[Tenure]]&gt;3,3%,2%)*Staff[[#This Row],[Salary]]</f>
        <v>1359</v>
      </c>
      <c r="K74">
        <f>_xlfn.XLOOKUP(Staff[[#This Row],[Rating]],'Salary vs. Rating'!$B$10:$B$14,'Salary vs. Rating'!$C$10:$C$14)</f>
        <v>3</v>
      </c>
    </row>
    <row r="75" spans="1:11">
      <c r="A75" t="s">
        <v>45</v>
      </c>
      <c r="B75" t="s">
        <v>15</v>
      </c>
      <c r="C75">
        <v>30</v>
      </c>
      <c r="D75" t="s">
        <v>16</v>
      </c>
      <c r="E75" s="5">
        <v>44701</v>
      </c>
      <c r="F75" t="s">
        <v>9</v>
      </c>
      <c r="G75" s="3">
        <v>67950</v>
      </c>
      <c r="H75" t="s">
        <v>205</v>
      </c>
      <c r="I75" s="6">
        <f ca="1">(TODAY()-Staff[[#This Row],[Date Joined]])/365</f>
        <v>1.2547945205479452</v>
      </c>
      <c r="J75" s="2">
        <f ca="1">IF(Staff[[#This Row],[Tenure]]&gt;3,3%,2%)*Staff[[#This Row],[Salary]]</f>
        <v>1359</v>
      </c>
      <c r="K75">
        <f>_xlfn.XLOOKUP(Staff[[#This Row],[Rating]],'Salary vs. Rating'!$B$10:$B$14,'Salary vs. Rating'!$C$10:$C$14)</f>
        <v>3</v>
      </c>
    </row>
    <row r="76" spans="1:11">
      <c r="A76" t="s">
        <v>183</v>
      </c>
      <c r="B76" t="s">
        <v>8</v>
      </c>
      <c r="C76">
        <v>20</v>
      </c>
      <c r="D76" t="s">
        <v>24</v>
      </c>
      <c r="E76" s="5">
        <v>44476</v>
      </c>
      <c r="F76" t="s">
        <v>19</v>
      </c>
      <c r="G76" s="3">
        <v>68900</v>
      </c>
      <c r="H76" t="s">
        <v>206</v>
      </c>
      <c r="I76" s="6">
        <f ca="1">(TODAY()-Staff[[#This Row],[Date Joined]])/365</f>
        <v>1.8712328767123287</v>
      </c>
      <c r="J76" s="2">
        <f ca="1">IF(Staff[[#This Row],[Tenure]]&gt;3,3%,2%)*Staff[[#This Row],[Salary]]</f>
        <v>1378</v>
      </c>
      <c r="K76">
        <f>_xlfn.XLOOKUP(Staff[[#This Row],[Rating]],'Salary vs. Rating'!$B$10:$B$14,'Salary vs. Rating'!$C$10:$C$14)</f>
        <v>2</v>
      </c>
    </row>
    <row r="77" spans="1:11">
      <c r="A77" t="s">
        <v>91</v>
      </c>
      <c r="B77" t="s">
        <v>8</v>
      </c>
      <c r="C77">
        <v>20</v>
      </c>
      <c r="D77" t="s">
        <v>24</v>
      </c>
      <c r="E77" s="5">
        <v>44537</v>
      </c>
      <c r="F77" t="s">
        <v>19</v>
      </c>
      <c r="G77" s="3">
        <v>68900</v>
      </c>
      <c r="H77" t="s">
        <v>205</v>
      </c>
      <c r="I77" s="6">
        <f ca="1">(TODAY()-Staff[[#This Row],[Date Joined]])/365</f>
        <v>1.704109589041096</v>
      </c>
      <c r="J77" s="2">
        <f ca="1">IF(Staff[[#This Row],[Tenure]]&gt;3,3%,2%)*Staff[[#This Row],[Salary]]</f>
        <v>1378</v>
      </c>
      <c r="K77">
        <f>_xlfn.XLOOKUP(Staff[[#This Row],[Rating]],'Salary vs. Rating'!$B$10:$B$14,'Salary vs. Rating'!$C$10:$C$14)</f>
        <v>2</v>
      </c>
    </row>
    <row r="78" spans="1:11">
      <c r="A78" t="s">
        <v>189</v>
      </c>
      <c r="B78" t="s">
        <v>15</v>
      </c>
      <c r="C78">
        <v>37</v>
      </c>
      <c r="D78" t="s">
        <v>16</v>
      </c>
      <c r="E78" s="5">
        <v>44640</v>
      </c>
      <c r="F78" t="s">
        <v>12</v>
      </c>
      <c r="G78" s="3">
        <v>69070</v>
      </c>
      <c r="H78" t="s">
        <v>206</v>
      </c>
      <c r="I78" s="6">
        <f ca="1">(TODAY()-Staff[[#This Row],[Date Joined]])/365</f>
        <v>1.4219178082191781</v>
      </c>
      <c r="J78" s="2">
        <f ca="1">IF(Staff[[#This Row],[Tenure]]&gt;3,3%,2%)*Staff[[#This Row],[Salary]]</f>
        <v>1381.4</v>
      </c>
      <c r="K78">
        <f>_xlfn.XLOOKUP(Staff[[#This Row],[Rating]],'Salary vs. Rating'!$B$10:$B$14,'Salary vs. Rating'!$C$10:$C$14)</f>
        <v>3</v>
      </c>
    </row>
    <row r="79" spans="1:11">
      <c r="A79" t="s">
        <v>97</v>
      </c>
      <c r="B79" t="s">
        <v>15</v>
      </c>
      <c r="C79">
        <v>37</v>
      </c>
      <c r="D79" t="s">
        <v>16</v>
      </c>
      <c r="E79" s="5">
        <v>44701</v>
      </c>
      <c r="F79" t="s">
        <v>12</v>
      </c>
      <c r="G79" s="3">
        <v>69070</v>
      </c>
      <c r="H79" t="s">
        <v>205</v>
      </c>
      <c r="I79" s="6">
        <f ca="1">(TODAY()-Staff[[#This Row],[Date Joined]])/365</f>
        <v>1.2547945205479452</v>
      </c>
      <c r="J79" s="2">
        <f ca="1">IF(Staff[[#This Row],[Tenure]]&gt;3,3%,2%)*Staff[[#This Row],[Salary]]</f>
        <v>1381.4</v>
      </c>
      <c r="K79">
        <f>_xlfn.XLOOKUP(Staff[[#This Row],[Rating]],'Salary vs. Rating'!$B$10:$B$14,'Salary vs. Rating'!$C$10:$C$14)</f>
        <v>3</v>
      </c>
    </row>
    <row r="80" spans="1:11">
      <c r="A80" t="s">
        <v>118</v>
      </c>
      <c r="B80" t="s">
        <v>15</v>
      </c>
      <c r="C80">
        <v>30</v>
      </c>
      <c r="D80" t="s">
        <v>16</v>
      </c>
      <c r="E80" s="5">
        <v>44214</v>
      </c>
      <c r="F80" t="s">
        <v>12</v>
      </c>
      <c r="G80" s="3">
        <v>69120</v>
      </c>
      <c r="H80" t="s">
        <v>206</v>
      </c>
      <c r="I80" s="6">
        <f ca="1">(TODAY()-Staff[[#This Row],[Date Joined]])/365</f>
        <v>2.5890410958904111</v>
      </c>
      <c r="J80" s="2">
        <f ca="1">IF(Staff[[#This Row],[Tenure]]&gt;3,3%,2%)*Staff[[#This Row],[Salary]]</f>
        <v>1382.4</v>
      </c>
      <c r="K80">
        <f>_xlfn.XLOOKUP(Staff[[#This Row],[Rating]],'Salary vs. Rating'!$B$10:$B$14,'Salary vs. Rating'!$C$10:$C$14)</f>
        <v>3</v>
      </c>
    </row>
    <row r="81" spans="1:11">
      <c r="A81" t="s">
        <v>25</v>
      </c>
      <c r="B81" t="s">
        <v>15</v>
      </c>
      <c r="C81">
        <v>30</v>
      </c>
      <c r="D81" t="s">
        <v>16</v>
      </c>
      <c r="E81" s="5">
        <v>44273</v>
      </c>
      <c r="F81" t="s">
        <v>12</v>
      </c>
      <c r="G81" s="3">
        <v>69120</v>
      </c>
      <c r="H81" t="s">
        <v>205</v>
      </c>
      <c r="I81" s="6">
        <f ca="1">(TODAY()-Staff[[#This Row],[Date Joined]])/365</f>
        <v>2.4273972602739726</v>
      </c>
      <c r="J81" s="2">
        <f ca="1">IF(Staff[[#This Row],[Tenure]]&gt;3,3%,2%)*Staff[[#This Row],[Salary]]</f>
        <v>1382.4</v>
      </c>
      <c r="K81">
        <f>_xlfn.XLOOKUP(Staff[[#This Row],[Rating]],'Salary vs. Rating'!$B$10:$B$14,'Salary vs. Rating'!$C$10:$C$14)</f>
        <v>3</v>
      </c>
    </row>
    <row r="82" spans="1:11">
      <c r="A82" t="s">
        <v>158</v>
      </c>
      <c r="B82" t="s">
        <v>15</v>
      </c>
      <c r="C82">
        <v>30</v>
      </c>
      <c r="D82" t="s">
        <v>16</v>
      </c>
      <c r="E82" s="5">
        <v>44789</v>
      </c>
      <c r="F82" t="s">
        <v>12</v>
      </c>
      <c r="G82" s="3">
        <v>69710</v>
      </c>
      <c r="H82" t="s">
        <v>206</v>
      </c>
      <c r="I82" s="6">
        <f ca="1">(TODAY()-Staff[[#This Row],[Date Joined]])/365</f>
        <v>1.0136986301369864</v>
      </c>
      <c r="J82" s="2">
        <f ca="1">IF(Staff[[#This Row],[Tenure]]&gt;3,3%,2%)*Staff[[#This Row],[Salary]]</f>
        <v>1394.2</v>
      </c>
      <c r="K82">
        <f>_xlfn.XLOOKUP(Staff[[#This Row],[Rating]],'Salary vs. Rating'!$B$10:$B$14,'Salary vs. Rating'!$C$10:$C$14)</f>
        <v>3</v>
      </c>
    </row>
    <row r="83" spans="1:11">
      <c r="A83" t="s">
        <v>67</v>
      </c>
      <c r="B83" t="s">
        <v>15</v>
      </c>
      <c r="C83">
        <v>30</v>
      </c>
      <c r="D83" t="s">
        <v>16</v>
      </c>
      <c r="E83" s="5">
        <v>44850</v>
      </c>
      <c r="F83" t="s">
        <v>12</v>
      </c>
      <c r="G83" s="3">
        <v>69710</v>
      </c>
      <c r="H83" t="s">
        <v>205</v>
      </c>
      <c r="I83" s="6">
        <f ca="1">(TODAY()-Staff[[#This Row],[Date Joined]])/365</f>
        <v>0.84657534246575339</v>
      </c>
      <c r="J83" s="2">
        <f ca="1">IF(Staff[[#This Row],[Tenure]]&gt;3,3%,2%)*Staff[[#This Row],[Salary]]</f>
        <v>1394.2</v>
      </c>
      <c r="K83">
        <f>_xlfn.XLOOKUP(Staff[[#This Row],[Rating]],'Salary vs. Rating'!$B$10:$B$14,'Salary vs. Rating'!$C$10:$C$14)</f>
        <v>3</v>
      </c>
    </row>
    <row r="84" spans="1:11">
      <c r="A84" t="s">
        <v>182</v>
      </c>
      <c r="B84" t="s">
        <v>15</v>
      </c>
      <c r="C84">
        <v>42</v>
      </c>
      <c r="D84" t="s">
        <v>24</v>
      </c>
      <c r="E84" s="5">
        <v>44670</v>
      </c>
      <c r="F84" t="s">
        <v>21</v>
      </c>
      <c r="G84" s="3">
        <v>70270</v>
      </c>
      <c r="H84" t="s">
        <v>206</v>
      </c>
      <c r="I84" s="6">
        <f ca="1">(TODAY()-Staff[[#This Row],[Date Joined]])/365</f>
        <v>1.3397260273972602</v>
      </c>
      <c r="J84" s="2">
        <f ca="1">IF(Staff[[#This Row],[Tenure]]&gt;3,3%,2%)*Staff[[#This Row],[Salary]]</f>
        <v>1405.4</v>
      </c>
      <c r="K84">
        <f>_xlfn.XLOOKUP(Staff[[#This Row],[Rating]],'Salary vs. Rating'!$B$10:$B$14,'Salary vs. Rating'!$C$10:$C$14)</f>
        <v>2</v>
      </c>
    </row>
    <row r="85" spans="1:11">
      <c r="A85" t="s">
        <v>90</v>
      </c>
      <c r="B85" t="s">
        <v>15</v>
      </c>
      <c r="C85">
        <v>42</v>
      </c>
      <c r="D85" t="s">
        <v>24</v>
      </c>
      <c r="E85" s="5">
        <v>44731</v>
      </c>
      <c r="F85" t="s">
        <v>21</v>
      </c>
      <c r="G85" s="3">
        <v>70270</v>
      </c>
      <c r="H85" t="s">
        <v>205</v>
      </c>
      <c r="I85" s="6">
        <f ca="1">(TODAY()-Staff[[#This Row],[Date Joined]])/365</f>
        <v>1.1726027397260275</v>
      </c>
      <c r="J85" s="2">
        <f ca="1">IF(Staff[[#This Row],[Tenure]]&gt;3,3%,2%)*Staff[[#This Row],[Salary]]</f>
        <v>1405.4</v>
      </c>
      <c r="K85">
        <f>_xlfn.XLOOKUP(Staff[[#This Row],[Rating]],'Salary vs. Rating'!$B$10:$B$14,'Salary vs. Rating'!$C$10:$C$14)</f>
        <v>2</v>
      </c>
    </row>
    <row r="86" spans="1:11">
      <c r="A86" t="s">
        <v>161</v>
      </c>
      <c r="B86" t="s">
        <v>15</v>
      </c>
      <c r="C86">
        <v>46</v>
      </c>
      <c r="D86" t="s">
        <v>16</v>
      </c>
      <c r="E86" s="5">
        <v>44697</v>
      </c>
      <c r="F86" t="s">
        <v>9</v>
      </c>
      <c r="G86" s="3">
        <v>70610</v>
      </c>
      <c r="H86" t="s">
        <v>206</v>
      </c>
      <c r="I86" s="6">
        <f ca="1">(TODAY()-Staff[[#This Row],[Date Joined]])/365</f>
        <v>1.2657534246575342</v>
      </c>
      <c r="J86" s="2">
        <f ca="1">IF(Staff[[#This Row],[Tenure]]&gt;3,3%,2%)*Staff[[#This Row],[Salary]]</f>
        <v>1412.2</v>
      </c>
      <c r="K86">
        <f>_xlfn.XLOOKUP(Staff[[#This Row],[Rating]],'Salary vs. Rating'!$B$10:$B$14,'Salary vs. Rating'!$C$10:$C$14)</f>
        <v>3</v>
      </c>
    </row>
    <row r="87" spans="1:11">
      <c r="A87" t="s">
        <v>70</v>
      </c>
      <c r="B87" t="s">
        <v>15</v>
      </c>
      <c r="C87">
        <v>46</v>
      </c>
      <c r="D87" t="s">
        <v>16</v>
      </c>
      <c r="E87" s="5">
        <v>44758</v>
      </c>
      <c r="F87" t="s">
        <v>9</v>
      </c>
      <c r="G87" s="3">
        <v>70610</v>
      </c>
      <c r="H87" t="s">
        <v>205</v>
      </c>
      <c r="I87" s="6">
        <f ca="1">(TODAY()-Staff[[#This Row],[Date Joined]])/365</f>
        <v>1.0986301369863014</v>
      </c>
      <c r="J87" s="2">
        <f ca="1">IF(Staff[[#This Row],[Tenure]]&gt;3,3%,2%)*Staff[[#This Row],[Salary]]</f>
        <v>1412.2</v>
      </c>
      <c r="K87">
        <f>_xlfn.XLOOKUP(Staff[[#This Row],[Rating]],'Salary vs. Rating'!$B$10:$B$14,'Salary vs. Rating'!$C$10:$C$14)</f>
        <v>3</v>
      </c>
    </row>
    <row r="88" spans="1:11">
      <c r="A88" t="s">
        <v>186</v>
      </c>
      <c r="B88" t="s">
        <v>15</v>
      </c>
      <c r="C88">
        <v>36</v>
      </c>
      <c r="D88" t="s">
        <v>16</v>
      </c>
      <c r="E88" s="5">
        <v>44272</v>
      </c>
      <c r="F88" t="s">
        <v>21</v>
      </c>
      <c r="G88" s="3">
        <v>71380</v>
      </c>
      <c r="H88" t="s">
        <v>206</v>
      </c>
      <c r="I88" s="6">
        <f ca="1">(TODAY()-Staff[[#This Row],[Date Joined]])/365</f>
        <v>2.43013698630137</v>
      </c>
      <c r="J88" s="2">
        <f ca="1">IF(Staff[[#This Row],[Tenure]]&gt;3,3%,2%)*Staff[[#This Row],[Salary]]</f>
        <v>1427.6000000000001</v>
      </c>
      <c r="K88">
        <f>_xlfn.XLOOKUP(Staff[[#This Row],[Rating]],'Salary vs. Rating'!$B$10:$B$14,'Salary vs. Rating'!$C$10:$C$14)</f>
        <v>3</v>
      </c>
    </row>
    <row r="89" spans="1:11">
      <c r="A89" t="s">
        <v>94</v>
      </c>
      <c r="B89" t="s">
        <v>15</v>
      </c>
      <c r="C89">
        <v>36</v>
      </c>
      <c r="D89" t="s">
        <v>16</v>
      </c>
      <c r="E89" s="5">
        <v>44333</v>
      </c>
      <c r="F89" t="s">
        <v>21</v>
      </c>
      <c r="G89" s="3">
        <v>71380</v>
      </c>
      <c r="H89" t="s">
        <v>205</v>
      </c>
      <c r="I89" s="6">
        <f ca="1">(TODAY()-Staff[[#This Row],[Date Joined]])/365</f>
        <v>2.2630136986301368</v>
      </c>
      <c r="J89" s="2">
        <f ca="1">IF(Staff[[#This Row],[Tenure]]&gt;3,3%,2%)*Staff[[#This Row],[Salary]]</f>
        <v>1427.6000000000001</v>
      </c>
      <c r="K89">
        <f>_xlfn.XLOOKUP(Staff[[#This Row],[Rating]],'Salary vs. Rating'!$B$10:$B$14,'Salary vs. Rating'!$C$10:$C$14)</f>
        <v>3</v>
      </c>
    </row>
    <row r="90" spans="1:11">
      <c r="A90" t="s">
        <v>114</v>
      </c>
      <c r="B90" t="s">
        <v>15</v>
      </c>
      <c r="C90">
        <v>33</v>
      </c>
      <c r="D90" t="s">
        <v>16</v>
      </c>
      <c r="E90" s="5">
        <v>44324</v>
      </c>
      <c r="F90" t="s">
        <v>19</v>
      </c>
      <c r="G90" s="3">
        <v>74550</v>
      </c>
      <c r="H90" t="s">
        <v>206</v>
      </c>
      <c r="I90" s="6">
        <f ca="1">(TODAY()-Staff[[#This Row],[Date Joined]])/365</f>
        <v>2.2876712328767121</v>
      </c>
      <c r="J90" s="2">
        <f ca="1">IF(Staff[[#This Row],[Tenure]]&gt;3,3%,2%)*Staff[[#This Row],[Salary]]</f>
        <v>1491</v>
      </c>
      <c r="K90">
        <f>_xlfn.XLOOKUP(Staff[[#This Row],[Rating]],'Salary vs. Rating'!$B$10:$B$14,'Salary vs. Rating'!$C$10:$C$14)</f>
        <v>3</v>
      </c>
    </row>
    <row r="91" spans="1:11">
      <c r="A91" t="s">
        <v>18</v>
      </c>
      <c r="B91" t="s">
        <v>15</v>
      </c>
      <c r="C91">
        <v>33</v>
      </c>
      <c r="D91" t="s">
        <v>16</v>
      </c>
      <c r="E91" s="5">
        <v>44385</v>
      </c>
      <c r="F91" t="s">
        <v>19</v>
      </c>
      <c r="G91" s="3">
        <v>74550</v>
      </c>
      <c r="H91" t="s">
        <v>205</v>
      </c>
      <c r="I91" s="6">
        <f ca="1">(TODAY()-Staff[[#This Row],[Date Joined]])/365</f>
        <v>2.1205479452054794</v>
      </c>
      <c r="J91" s="2">
        <f ca="1">IF(Staff[[#This Row],[Tenure]]&gt;3,3%,2%)*Staff[[#This Row],[Salary]]</f>
        <v>1491</v>
      </c>
      <c r="K91">
        <f>_xlfn.XLOOKUP(Staff[[#This Row],[Rating]],'Salary vs. Rating'!$B$10:$B$14,'Salary vs. Rating'!$C$10:$C$14)</f>
        <v>3</v>
      </c>
    </row>
    <row r="92" spans="1:11">
      <c r="A92" t="s">
        <v>110</v>
      </c>
      <c r="B92" t="s">
        <v>8</v>
      </c>
      <c r="C92">
        <v>42</v>
      </c>
      <c r="D92" t="s">
        <v>10</v>
      </c>
      <c r="E92" s="5">
        <v>44718</v>
      </c>
      <c r="F92" t="s">
        <v>9</v>
      </c>
      <c r="G92" s="3">
        <v>75000</v>
      </c>
      <c r="H92" t="s">
        <v>206</v>
      </c>
      <c r="I92" s="6">
        <f ca="1">(TODAY()-Staff[[#This Row],[Date Joined]])/365</f>
        <v>1.2082191780821918</v>
      </c>
      <c r="J92" s="2">
        <f ca="1">IF(Staff[[#This Row],[Tenure]]&gt;3,3%,2%)*Staff[[#This Row],[Salary]]</f>
        <v>1500</v>
      </c>
      <c r="K92">
        <f>_xlfn.XLOOKUP(Staff[[#This Row],[Rating]],'Salary vs. Rating'!$B$10:$B$14,'Salary vs. Rating'!$C$10:$C$14)</f>
        <v>5</v>
      </c>
    </row>
    <row r="93" spans="1:11">
      <c r="A93" t="s">
        <v>7</v>
      </c>
      <c r="B93" t="s">
        <v>8</v>
      </c>
      <c r="C93">
        <v>42</v>
      </c>
      <c r="D93" t="s">
        <v>10</v>
      </c>
      <c r="E93" s="5">
        <v>44779</v>
      </c>
      <c r="F93" t="s">
        <v>9</v>
      </c>
      <c r="G93" s="3">
        <v>75000</v>
      </c>
      <c r="H93" t="s">
        <v>205</v>
      </c>
      <c r="I93" s="6">
        <f ca="1">(TODAY()-Staff[[#This Row],[Date Joined]])/365</f>
        <v>1.0410958904109588</v>
      </c>
      <c r="J93" s="2">
        <f ca="1">IF(Staff[[#This Row],[Tenure]]&gt;3,3%,2%)*Staff[[#This Row],[Salary]]</f>
        <v>1500</v>
      </c>
      <c r="K93">
        <f>_xlfn.XLOOKUP(Staff[[#This Row],[Rating]],'Salary vs. Rating'!$B$10:$B$14,'Salary vs. Rating'!$C$10:$C$14)</f>
        <v>5</v>
      </c>
    </row>
    <row r="94" spans="1:11">
      <c r="A94" t="s">
        <v>187</v>
      </c>
      <c r="B94" t="s">
        <v>8</v>
      </c>
      <c r="C94">
        <v>33</v>
      </c>
      <c r="D94" t="s">
        <v>16</v>
      </c>
      <c r="E94" s="5">
        <v>44253</v>
      </c>
      <c r="F94" t="s">
        <v>12</v>
      </c>
      <c r="G94" s="3">
        <v>75280</v>
      </c>
      <c r="H94" t="s">
        <v>206</v>
      </c>
      <c r="I94" s="6">
        <f ca="1">(TODAY()-Staff[[#This Row],[Date Joined]])/365</f>
        <v>2.4821917808219176</v>
      </c>
      <c r="J94" s="2">
        <f ca="1">IF(Staff[[#This Row],[Tenure]]&gt;3,3%,2%)*Staff[[#This Row],[Salary]]</f>
        <v>1505.6000000000001</v>
      </c>
      <c r="K94">
        <f>_xlfn.XLOOKUP(Staff[[#This Row],[Rating]],'Salary vs. Rating'!$B$10:$B$14,'Salary vs. Rating'!$C$10:$C$14)</f>
        <v>3</v>
      </c>
    </row>
    <row r="95" spans="1:11">
      <c r="A95" t="s">
        <v>95</v>
      </c>
      <c r="B95" t="s">
        <v>8</v>
      </c>
      <c r="C95">
        <v>33</v>
      </c>
      <c r="D95" t="s">
        <v>16</v>
      </c>
      <c r="E95" s="5">
        <v>44312</v>
      </c>
      <c r="F95" t="s">
        <v>12</v>
      </c>
      <c r="G95" s="3">
        <v>75280</v>
      </c>
      <c r="H95" t="s">
        <v>205</v>
      </c>
      <c r="I95" s="6">
        <f ca="1">(TODAY()-Staff[[#This Row],[Date Joined]])/365</f>
        <v>2.3205479452054796</v>
      </c>
      <c r="J95" s="2">
        <f ca="1">IF(Staff[[#This Row],[Tenure]]&gt;3,3%,2%)*Staff[[#This Row],[Salary]]</f>
        <v>1505.6000000000001</v>
      </c>
      <c r="K95">
        <f>_xlfn.XLOOKUP(Staff[[#This Row],[Rating]],'Salary vs. Rating'!$B$10:$B$14,'Salary vs. Rating'!$C$10:$C$14)</f>
        <v>3</v>
      </c>
    </row>
    <row r="96" spans="1:11">
      <c r="A96" t="s">
        <v>134</v>
      </c>
      <c r="B96" t="s">
        <v>8</v>
      </c>
      <c r="C96">
        <v>33</v>
      </c>
      <c r="D96" t="s">
        <v>42</v>
      </c>
      <c r="E96" s="5">
        <v>44313</v>
      </c>
      <c r="F96" t="s">
        <v>12</v>
      </c>
      <c r="G96" s="3">
        <v>75480</v>
      </c>
      <c r="H96" t="s">
        <v>206</v>
      </c>
      <c r="I96" s="6">
        <f ca="1">(TODAY()-Staff[[#This Row],[Date Joined]])/365</f>
        <v>2.3178082191780822</v>
      </c>
      <c r="J96" s="2">
        <f ca="1">IF(Staff[[#This Row],[Tenure]]&gt;3,3%,2%)*Staff[[#This Row],[Salary]]</f>
        <v>1509.6000000000001</v>
      </c>
      <c r="K96">
        <f>_xlfn.XLOOKUP(Staff[[#This Row],[Rating]],'Salary vs. Rating'!$B$10:$B$14,'Salary vs. Rating'!$C$10:$C$14)</f>
        <v>1</v>
      </c>
    </row>
    <row r="97" spans="1:11">
      <c r="A97" t="s">
        <v>41</v>
      </c>
      <c r="B97" t="s">
        <v>8</v>
      </c>
      <c r="C97">
        <v>33</v>
      </c>
      <c r="D97" t="s">
        <v>42</v>
      </c>
      <c r="E97" s="5">
        <v>44374</v>
      </c>
      <c r="F97" t="s">
        <v>12</v>
      </c>
      <c r="G97" s="3">
        <v>75480</v>
      </c>
      <c r="H97" t="s">
        <v>205</v>
      </c>
      <c r="I97" s="6">
        <f ca="1">(TODAY()-Staff[[#This Row],[Date Joined]])/365</f>
        <v>2.1506849315068495</v>
      </c>
      <c r="J97" s="2">
        <f ca="1">IF(Staff[[#This Row],[Tenure]]&gt;3,3%,2%)*Staff[[#This Row],[Salary]]</f>
        <v>1509.6000000000001</v>
      </c>
      <c r="K97">
        <f>_xlfn.XLOOKUP(Staff[[#This Row],[Rating]],'Salary vs. Rating'!$B$10:$B$14,'Salary vs. Rating'!$C$10:$C$14)</f>
        <v>1</v>
      </c>
    </row>
    <row r="98" spans="1:11">
      <c r="A98" t="s">
        <v>169</v>
      </c>
      <c r="B98" t="s">
        <v>15</v>
      </c>
      <c r="C98">
        <v>21</v>
      </c>
      <c r="D98" t="s">
        <v>16</v>
      </c>
      <c r="E98" s="5">
        <v>44180</v>
      </c>
      <c r="F98" t="s">
        <v>56</v>
      </c>
      <c r="G98" s="3">
        <v>75880</v>
      </c>
      <c r="H98" t="s">
        <v>206</v>
      </c>
      <c r="I98" s="6">
        <f ca="1">(TODAY()-Staff[[#This Row],[Date Joined]])/365</f>
        <v>2.6821917808219178</v>
      </c>
      <c r="J98" s="2">
        <f ca="1">IF(Staff[[#This Row],[Tenure]]&gt;3,3%,2%)*Staff[[#This Row],[Salary]]</f>
        <v>1517.6000000000001</v>
      </c>
      <c r="K98">
        <f>_xlfn.XLOOKUP(Staff[[#This Row],[Rating]],'Salary vs. Rating'!$B$10:$B$14,'Salary vs. Rating'!$C$10:$C$14)</f>
        <v>3</v>
      </c>
    </row>
    <row r="99" spans="1:11">
      <c r="A99" t="s">
        <v>78</v>
      </c>
      <c r="B99" t="s">
        <v>15</v>
      </c>
      <c r="C99">
        <v>21</v>
      </c>
      <c r="D99" t="s">
        <v>16</v>
      </c>
      <c r="E99" s="5">
        <v>44242</v>
      </c>
      <c r="F99" t="s">
        <v>56</v>
      </c>
      <c r="G99" s="3">
        <v>75880</v>
      </c>
      <c r="H99" t="s">
        <v>205</v>
      </c>
      <c r="I99" s="6">
        <f ca="1">(TODAY()-Staff[[#This Row],[Date Joined]])/365</f>
        <v>2.5123287671232877</v>
      </c>
      <c r="J99" s="2">
        <f ca="1">IF(Staff[[#This Row],[Tenure]]&gt;3,3%,2%)*Staff[[#This Row],[Salary]]</f>
        <v>1517.6000000000001</v>
      </c>
      <c r="K99">
        <f>_xlfn.XLOOKUP(Staff[[#This Row],[Rating]],'Salary vs. Rating'!$B$10:$B$14,'Salary vs. Rating'!$C$10:$C$14)</f>
        <v>3</v>
      </c>
    </row>
    <row r="100" spans="1:11">
      <c r="A100" t="s">
        <v>128</v>
      </c>
      <c r="B100" t="s">
        <v>8</v>
      </c>
      <c r="C100">
        <v>28</v>
      </c>
      <c r="D100" t="s">
        <v>16</v>
      </c>
      <c r="E100" s="5">
        <v>44124</v>
      </c>
      <c r="F100" t="s">
        <v>21</v>
      </c>
      <c r="G100" s="3">
        <v>75970</v>
      </c>
      <c r="H100" t="s">
        <v>206</v>
      </c>
      <c r="I100" s="6">
        <f ca="1">(TODAY()-Staff[[#This Row],[Date Joined]])/365</f>
        <v>2.8356164383561642</v>
      </c>
      <c r="J100" s="2">
        <f ca="1">IF(Staff[[#This Row],[Tenure]]&gt;3,3%,2%)*Staff[[#This Row],[Salary]]</f>
        <v>1519.4</v>
      </c>
      <c r="K100">
        <f>_xlfn.XLOOKUP(Staff[[#This Row],[Rating]],'Salary vs. Rating'!$B$10:$B$14,'Salary vs. Rating'!$C$10:$C$14)</f>
        <v>3</v>
      </c>
    </row>
    <row r="101" spans="1:11">
      <c r="A101" t="s">
        <v>35</v>
      </c>
      <c r="B101" t="s">
        <v>8</v>
      </c>
      <c r="C101">
        <v>28</v>
      </c>
      <c r="D101" t="s">
        <v>16</v>
      </c>
      <c r="E101" s="5">
        <v>44185</v>
      </c>
      <c r="F101" t="s">
        <v>21</v>
      </c>
      <c r="G101" s="3">
        <v>75970</v>
      </c>
      <c r="H101" t="s">
        <v>205</v>
      </c>
      <c r="I101" s="6">
        <f ca="1">(TODAY()-Staff[[#This Row],[Date Joined]])/365</f>
        <v>2.6684931506849314</v>
      </c>
      <c r="J101" s="2">
        <f ca="1">IF(Staff[[#This Row],[Tenure]]&gt;3,3%,2%)*Staff[[#This Row],[Salary]]</f>
        <v>1519.4</v>
      </c>
      <c r="K101">
        <f>_xlfn.XLOOKUP(Staff[[#This Row],[Rating]],'Salary vs. Rating'!$B$10:$B$14,'Salary vs. Rating'!$C$10:$C$14)</f>
        <v>3</v>
      </c>
    </row>
    <row r="102" spans="1:11">
      <c r="A102" t="s">
        <v>153</v>
      </c>
      <c r="B102" t="s">
        <v>8</v>
      </c>
      <c r="C102">
        <v>22</v>
      </c>
      <c r="D102" t="s">
        <v>13</v>
      </c>
      <c r="E102" s="5">
        <v>44388</v>
      </c>
      <c r="F102" t="s">
        <v>9</v>
      </c>
      <c r="G102" s="3">
        <v>76900</v>
      </c>
      <c r="H102" t="s">
        <v>206</v>
      </c>
      <c r="I102" s="6">
        <f ca="1">(TODAY()-Staff[[#This Row],[Date Joined]])/365</f>
        <v>2.1123287671232878</v>
      </c>
      <c r="J102" s="2">
        <f ca="1">IF(Staff[[#This Row],[Tenure]]&gt;3,3%,2%)*Staff[[#This Row],[Salary]]</f>
        <v>1538</v>
      </c>
      <c r="K102">
        <f>_xlfn.XLOOKUP(Staff[[#This Row],[Rating]],'Salary vs. Rating'!$B$10:$B$14,'Salary vs. Rating'!$C$10:$C$14)</f>
        <v>4</v>
      </c>
    </row>
    <row r="103" spans="1:11">
      <c r="A103" t="s">
        <v>62</v>
      </c>
      <c r="B103" t="s">
        <v>8</v>
      </c>
      <c r="C103">
        <v>22</v>
      </c>
      <c r="D103" t="s">
        <v>13</v>
      </c>
      <c r="E103" s="5">
        <v>44450</v>
      </c>
      <c r="F103" t="s">
        <v>9</v>
      </c>
      <c r="G103" s="3">
        <v>76900</v>
      </c>
      <c r="H103" t="s">
        <v>205</v>
      </c>
      <c r="I103" s="6">
        <f ca="1">(TODAY()-Staff[[#This Row],[Date Joined]])/365</f>
        <v>1.9424657534246574</v>
      </c>
      <c r="J103" s="2">
        <f ca="1">IF(Staff[[#This Row],[Tenure]]&gt;3,3%,2%)*Staff[[#This Row],[Salary]]</f>
        <v>1538</v>
      </c>
      <c r="K103">
        <f>_xlfn.XLOOKUP(Staff[[#This Row],[Rating]],'Salary vs. Rating'!$B$10:$B$14,'Salary vs. Rating'!$C$10:$C$14)</f>
        <v>4</v>
      </c>
    </row>
    <row r="104" spans="1:11">
      <c r="A104" t="s">
        <v>163</v>
      </c>
      <c r="B104" t="s">
        <v>8</v>
      </c>
      <c r="C104">
        <v>36</v>
      </c>
      <c r="D104" t="s">
        <v>16</v>
      </c>
      <c r="E104" s="5">
        <v>44468</v>
      </c>
      <c r="F104" t="s">
        <v>9</v>
      </c>
      <c r="G104" s="3">
        <v>78390</v>
      </c>
      <c r="H104" t="s">
        <v>206</v>
      </c>
      <c r="I104" s="6">
        <f ca="1">(TODAY()-Staff[[#This Row],[Date Joined]])/365</f>
        <v>1.893150684931507</v>
      </c>
      <c r="J104" s="2">
        <f ca="1">IF(Staff[[#This Row],[Tenure]]&gt;3,3%,2%)*Staff[[#This Row],[Salary]]</f>
        <v>1567.8</v>
      </c>
      <c r="K104">
        <f>_xlfn.XLOOKUP(Staff[[#This Row],[Rating]],'Salary vs. Rating'!$B$10:$B$14,'Salary vs. Rating'!$C$10:$C$14)</f>
        <v>3</v>
      </c>
    </row>
    <row r="105" spans="1:11">
      <c r="A105" t="s">
        <v>72</v>
      </c>
      <c r="B105" t="s">
        <v>8</v>
      </c>
      <c r="C105">
        <v>36</v>
      </c>
      <c r="D105" t="s">
        <v>16</v>
      </c>
      <c r="E105" s="5">
        <v>44529</v>
      </c>
      <c r="F105" t="s">
        <v>9</v>
      </c>
      <c r="G105" s="3">
        <v>78390</v>
      </c>
      <c r="H105" t="s">
        <v>205</v>
      </c>
      <c r="I105" s="6">
        <f ca="1">(TODAY()-Staff[[#This Row],[Date Joined]])/365</f>
        <v>1.726027397260274</v>
      </c>
      <c r="J105" s="2">
        <f ca="1">IF(Staff[[#This Row],[Tenure]]&gt;3,3%,2%)*Staff[[#This Row],[Salary]]</f>
        <v>1567.8</v>
      </c>
      <c r="K105">
        <f>_xlfn.XLOOKUP(Staff[[#This Row],[Rating]],'Salary vs. Rating'!$B$10:$B$14,'Salary vs. Rating'!$C$10:$C$14)</f>
        <v>3</v>
      </c>
    </row>
    <row r="106" spans="1:11">
      <c r="A106" t="s">
        <v>140</v>
      </c>
      <c r="B106" t="s">
        <v>8</v>
      </c>
      <c r="C106">
        <v>36</v>
      </c>
      <c r="D106" t="s">
        <v>16</v>
      </c>
      <c r="E106" s="5">
        <v>44433</v>
      </c>
      <c r="F106" t="s">
        <v>19</v>
      </c>
      <c r="G106" s="3">
        <v>78540</v>
      </c>
      <c r="H106" t="s">
        <v>206</v>
      </c>
      <c r="I106" s="6">
        <f ca="1">(TODAY()-Staff[[#This Row],[Date Joined]])/365</f>
        <v>1.989041095890411</v>
      </c>
      <c r="J106" s="2">
        <f ca="1">IF(Staff[[#This Row],[Tenure]]&gt;3,3%,2%)*Staff[[#This Row],[Salary]]</f>
        <v>1570.8</v>
      </c>
      <c r="K106">
        <f>_xlfn.XLOOKUP(Staff[[#This Row],[Rating]],'Salary vs. Rating'!$B$10:$B$14,'Salary vs. Rating'!$C$10:$C$14)</f>
        <v>3</v>
      </c>
    </row>
    <row r="107" spans="1:11">
      <c r="A107" t="s">
        <v>48</v>
      </c>
      <c r="B107" t="s">
        <v>8</v>
      </c>
      <c r="C107">
        <v>36</v>
      </c>
      <c r="D107" t="s">
        <v>16</v>
      </c>
      <c r="E107" s="5">
        <v>44494</v>
      </c>
      <c r="F107" t="s">
        <v>19</v>
      </c>
      <c r="G107" s="3">
        <v>78540</v>
      </c>
      <c r="H107" t="s">
        <v>205</v>
      </c>
      <c r="I107" s="6">
        <f ca="1">(TODAY()-Staff[[#This Row],[Date Joined]])/365</f>
        <v>1.821917808219178</v>
      </c>
      <c r="J107" s="2">
        <f ca="1">IF(Staff[[#This Row],[Tenure]]&gt;3,3%,2%)*Staff[[#This Row],[Salary]]</f>
        <v>1570.8</v>
      </c>
      <c r="K107">
        <f>_xlfn.XLOOKUP(Staff[[#This Row],[Rating]],'Salary vs. Rating'!$B$10:$B$14,'Salary vs. Rating'!$C$10:$C$14)</f>
        <v>3</v>
      </c>
    </row>
    <row r="108" spans="1:11">
      <c r="A108" t="s">
        <v>196</v>
      </c>
      <c r="B108" t="s">
        <v>15</v>
      </c>
      <c r="C108">
        <v>20</v>
      </c>
      <c r="D108" t="s">
        <v>16</v>
      </c>
      <c r="E108" s="5">
        <v>44683</v>
      </c>
      <c r="F108" t="s">
        <v>9</v>
      </c>
      <c r="G108" s="3">
        <v>79570</v>
      </c>
      <c r="H108" t="s">
        <v>206</v>
      </c>
      <c r="I108" s="6">
        <f ca="1">(TODAY()-Staff[[#This Row],[Date Joined]])/365</f>
        <v>1.3041095890410959</v>
      </c>
      <c r="J108" s="2">
        <f ca="1">IF(Staff[[#This Row],[Tenure]]&gt;3,3%,2%)*Staff[[#This Row],[Salary]]</f>
        <v>1591.4</v>
      </c>
      <c r="K108">
        <f>_xlfn.XLOOKUP(Staff[[#This Row],[Rating]],'Salary vs. Rating'!$B$10:$B$14,'Salary vs. Rating'!$C$10:$C$14)</f>
        <v>3</v>
      </c>
    </row>
    <row r="109" spans="1:11">
      <c r="A109" t="s">
        <v>104</v>
      </c>
      <c r="B109" t="s">
        <v>15</v>
      </c>
      <c r="C109">
        <v>20</v>
      </c>
      <c r="D109" t="s">
        <v>16</v>
      </c>
      <c r="E109" s="5">
        <v>44744</v>
      </c>
      <c r="F109" t="s">
        <v>9</v>
      </c>
      <c r="G109" s="3">
        <v>79570</v>
      </c>
      <c r="H109" t="s">
        <v>205</v>
      </c>
      <c r="I109" s="6">
        <f ca="1">(TODAY()-Staff[[#This Row],[Date Joined]])/365</f>
        <v>1.1369863013698631</v>
      </c>
      <c r="J109" s="2">
        <f ca="1">IF(Staff[[#This Row],[Tenure]]&gt;3,3%,2%)*Staff[[#This Row],[Salary]]</f>
        <v>1591.4</v>
      </c>
      <c r="K109">
        <f>_xlfn.XLOOKUP(Staff[[#This Row],[Rating]],'Salary vs. Rating'!$B$10:$B$14,'Salary vs. Rating'!$C$10:$C$14)</f>
        <v>3</v>
      </c>
    </row>
    <row r="110" spans="1:11">
      <c r="A110" t="s">
        <v>132</v>
      </c>
      <c r="B110" t="s">
        <v>8</v>
      </c>
      <c r="C110">
        <v>25</v>
      </c>
      <c r="D110" t="s">
        <v>13</v>
      </c>
      <c r="E110" s="5">
        <v>44633</v>
      </c>
      <c r="F110" t="s">
        <v>12</v>
      </c>
      <c r="G110" s="3">
        <v>80700</v>
      </c>
      <c r="H110" t="s">
        <v>206</v>
      </c>
      <c r="I110" s="6">
        <f ca="1">(TODAY()-Staff[[#This Row],[Date Joined]])/365</f>
        <v>1.441095890410959</v>
      </c>
      <c r="J110" s="2">
        <f ca="1">IF(Staff[[#This Row],[Tenure]]&gt;3,3%,2%)*Staff[[#This Row],[Salary]]</f>
        <v>1614</v>
      </c>
      <c r="K110">
        <f>_xlfn.XLOOKUP(Staff[[#This Row],[Rating]],'Salary vs. Rating'!$B$10:$B$14,'Salary vs. Rating'!$C$10:$C$14)</f>
        <v>4</v>
      </c>
    </row>
    <row r="111" spans="1:11">
      <c r="A111" t="s">
        <v>39</v>
      </c>
      <c r="B111" t="s">
        <v>8</v>
      </c>
      <c r="C111">
        <v>25</v>
      </c>
      <c r="D111" t="s">
        <v>13</v>
      </c>
      <c r="E111" s="5">
        <v>44694</v>
      </c>
      <c r="F111" t="s">
        <v>12</v>
      </c>
      <c r="G111" s="3">
        <v>80700</v>
      </c>
      <c r="H111" t="s">
        <v>205</v>
      </c>
      <c r="I111" s="6">
        <f ca="1">(TODAY()-Staff[[#This Row],[Date Joined]])/365</f>
        <v>1.273972602739726</v>
      </c>
      <c r="J111" s="2">
        <f ca="1">IF(Staff[[#This Row],[Tenure]]&gt;3,3%,2%)*Staff[[#This Row],[Salary]]</f>
        <v>1614</v>
      </c>
      <c r="K111">
        <f>_xlfn.XLOOKUP(Staff[[#This Row],[Rating]],'Salary vs. Rating'!$B$10:$B$14,'Salary vs. Rating'!$C$10:$C$14)</f>
        <v>4</v>
      </c>
    </row>
    <row r="112" spans="1:11">
      <c r="A112" t="s">
        <v>184</v>
      </c>
      <c r="B112" t="s">
        <v>8</v>
      </c>
      <c r="C112">
        <v>27</v>
      </c>
      <c r="D112" t="s">
        <v>16</v>
      </c>
      <c r="E112" s="5">
        <v>44625</v>
      </c>
      <c r="F112" t="s">
        <v>12</v>
      </c>
      <c r="G112" s="3">
        <v>83750</v>
      </c>
      <c r="H112" t="s">
        <v>206</v>
      </c>
      <c r="I112" s="6">
        <f ca="1">(TODAY()-Staff[[#This Row],[Date Joined]])/365</f>
        <v>1.463013698630137</v>
      </c>
      <c r="J112" s="2">
        <f ca="1">IF(Staff[[#This Row],[Tenure]]&gt;3,3%,2%)*Staff[[#This Row],[Salary]]</f>
        <v>1675</v>
      </c>
      <c r="K112">
        <f>_xlfn.XLOOKUP(Staff[[#This Row],[Rating]],'Salary vs. Rating'!$B$10:$B$14,'Salary vs. Rating'!$C$10:$C$14)</f>
        <v>3</v>
      </c>
    </row>
    <row r="113" spans="1:11">
      <c r="A113" t="s">
        <v>92</v>
      </c>
      <c r="B113" t="s">
        <v>8</v>
      </c>
      <c r="C113">
        <v>27</v>
      </c>
      <c r="D113" t="s">
        <v>16</v>
      </c>
      <c r="E113" s="5">
        <v>44686</v>
      </c>
      <c r="F113" t="s">
        <v>12</v>
      </c>
      <c r="G113" s="3">
        <v>83750</v>
      </c>
      <c r="H113" t="s">
        <v>205</v>
      </c>
      <c r="I113" s="6">
        <f ca="1">(TODAY()-Staff[[#This Row],[Date Joined]])/365</f>
        <v>1.295890410958904</v>
      </c>
      <c r="J113" s="2">
        <f ca="1">IF(Staff[[#This Row],[Tenure]]&gt;3,3%,2%)*Staff[[#This Row],[Salary]]</f>
        <v>1675</v>
      </c>
      <c r="K113">
        <f>_xlfn.XLOOKUP(Staff[[#This Row],[Rating]],'Salary vs. Rating'!$B$10:$B$14,'Salary vs. Rating'!$C$10:$C$14)</f>
        <v>3</v>
      </c>
    </row>
    <row r="114" spans="1:11">
      <c r="A114" t="s">
        <v>121</v>
      </c>
      <c r="B114" t="s">
        <v>8</v>
      </c>
      <c r="C114">
        <v>34</v>
      </c>
      <c r="D114" t="s">
        <v>16</v>
      </c>
      <c r="E114" s="5">
        <v>44397</v>
      </c>
      <c r="F114" t="s">
        <v>21</v>
      </c>
      <c r="G114" s="3">
        <v>85000</v>
      </c>
      <c r="H114" t="s">
        <v>206</v>
      </c>
      <c r="I114" s="6">
        <f ca="1">(TODAY()-Staff[[#This Row],[Date Joined]])/365</f>
        <v>2.0876712328767124</v>
      </c>
      <c r="J114" s="2">
        <f ca="1">IF(Staff[[#This Row],[Tenure]]&gt;3,3%,2%)*Staff[[#This Row],[Salary]]</f>
        <v>1700</v>
      </c>
      <c r="K114">
        <f>_xlfn.XLOOKUP(Staff[[#This Row],[Rating]],'Salary vs. Rating'!$B$10:$B$14,'Salary vs. Rating'!$C$10:$C$14)</f>
        <v>3</v>
      </c>
    </row>
    <row r="115" spans="1:11">
      <c r="A115" t="s">
        <v>28</v>
      </c>
      <c r="B115" t="s">
        <v>8</v>
      </c>
      <c r="C115">
        <v>34</v>
      </c>
      <c r="D115" t="s">
        <v>16</v>
      </c>
      <c r="E115" s="5">
        <v>44459</v>
      </c>
      <c r="F115" t="s">
        <v>21</v>
      </c>
      <c r="G115" s="3">
        <v>85000</v>
      </c>
      <c r="H115" t="s">
        <v>205</v>
      </c>
      <c r="I115" s="6">
        <f ca="1">(TODAY()-Staff[[#This Row],[Date Joined]])/365</f>
        <v>1.9178082191780821</v>
      </c>
      <c r="J115" s="2">
        <f ca="1">IF(Staff[[#This Row],[Tenure]]&gt;3,3%,2%)*Staff[[#This Row],[Salary]]</f>
        <v>1700</v>
      </c>
      <c r="K115">
        <f>_xlfn.XLOOKUP(Staff[[#This Row],[Rating]],'Salary vs. Rating'!$B$10:$B$14,'Salary vs. Rating'!$C$10:$C$14)</f>
        <v>3</v>
      </c>
    </row>
    <row r="116" spans="1:11">
      <c r="A116" t="s">
        <v>180</v>
      </c>
      <c r="B116" t="s">
        <v>8</v>
      </c>
      <c r="C116">
        <v>33</v>
      </c>
      <c r="D116" t="s">
        <v>16</v>
      </c>
      <c r="E116" s="5">
        <v>44747</v>
      </c>
      <c r="F116" t="s">
        <v>21</v>
      </c>
      <c r="G116" s="3">
        <v>86570</v>
      </c>
      <c r="H116" t="s">
        <v>206</v>
      </c>
      <c r="I116" s="6">
        <f ca="1">(TODAY()-Staff[[#This Row],[Date Joined]])/365</f>
        <v>1.1287671232876713</v>
      </c>
      <c r="J116" s="2">
        <f ca="1">IF(Staff[[#This Row],[Tenure]]&gt;3,3%,2%)*Staff[[#This Row],[Salary]]</f>
        <v>1731.4</v>
      </c>
      <c r="K116">
        <f>_xlfn.XLOOKUP(Staff[[#This Row],[Rating]],'Salary vs. Rating'!$B$10:$B$14,'Salary vs. Rating'!$C$10:$C$14)</f>
        <v>3</v>
      </c>
    </row>
    <row r="117" spans="1:11">
      <c r="A117" t="s">
        <v>88</v>
      </c>
      <c r="B117" t="s">
        <v>8</v>
      </c>
      <c r="C117">
        <v>33</v>
      </c>
      <c r="D117" t="s">
        <v>16</v>
      </c>
      <c r="E117" s="5">
        <v>44809</v>
      </c>
      <c r="F117" t="s">
        <v>21</v>
      </c>
      <c r="G117" s="3">
        <v>86570</v>
      </c>
      <c r="H117" t="s">
        <v>205</v>
      </c>
      <c r="I117" s="6">
        <f ca="1">(TODAY()-Staff[[#This Row],[Date Joined]])/365</f>
        <v>0.95890410958904104</v>
      </c>
      <c r="J117" s="2">
        <f ca="1">IF(Staff[[#This Row],[Tenure]]&gt;3,3%,2%)*Staff[[#This Row],[Salary]]</f>
        <v>1731.4</v>
      </c>
      <c r="K117">
        <f>_xlfn.XLOOKUP(Staff[[#This Row],[Rating]],'Salary vs. Rating'!$B$10:$B$14,'Salary vs. Rating'!$C$10:$C$14)</f>
        <v>3</v>
      </c>
    </row>
    <row r="118" spans="1:11">
      <c r="A118" t="s">
        <v>165</v>
      </c>
      <c r="B118" t="s">
        <v>8</v>
      </c>
      <c r="C118">
        <v>40</v>
      </c>
      <c r="D118" t="s">
        <v>16</v>
      </c>
      <c r="E118" s="5">
        <v>44276</v>
      </c>
      <c r="F118" t="s">
        <v>12</v>
      </c>
      <c r="G118" s="3">
        <v>87620</v>
      </c>
      <c r="H118" t="s">
        <v>206</v>
      </c>
      <c r="I118" s="6">
        <f ca="1">(TODAY()-Staff[[#This Row],[Date Joined]])/365</f>
        <v>2.419178082191781</v>
      </c>
      <c r="J118" s="2">
        <f ca="1">IF(Staff[[#This Row],[Tenure]]&gt;3,3%,2%)*Staff[[#This Row],[Salary]]</f>
        <v>1752.4</v>
      </c>
      <c r="K118">
        <f>_xlfn.XLOOKUP(Staff[[#This Row],[Rating]],'Salary vs. Rating'!$B$10:$B$14,'Salary vs. Rating'!$C$10:$C$14)</f>
        <v>3</v>
      </c>
    </row>
    <row r="119" spans="1:11">
      <c r="A119" t="s">
        <v>74</v>
      </c>
      <c r="B119" t="s">
        <v>8</v>
      </c>
      <c r="C119">
        <v>40</v>
      </c>
      <c r="D119" t="s">
        <v>16</v>
      </c>
      <c r="E119" s="5">
        <v>44337</v>
      </c>
      <c r="F119" t="s">
        <v>12</v>
      </c>
      <c r="G119" s="3">
        <v>87620</v>
      </c>
      <c r="H119" t="s">
        <v>205</v>
      </c>
      <c r="I119" s="6">
        <f ca="1">(TODAY()-Staff[[#This Row],[Date Joined]])/365</f>
        <v>2.2520547945205478</v>
      </c>
      <c r="J119" s="2">
        <f ca="1">IF(Staff[[#This Row],[Tenure]]&gt;3,3%,2%)*Staff[[#This Row],[Salary]]</f>
        <v>1752.4</v>
      </c>
      <c r="K119">
        <f>_xlfn.XLOOKUP(Staff[[#This Row],[Rating]],'Salary vs. Rating'!$B$10:$B$14,'Salary vs. Rating'!$C$10:$C$14)</f>
        <v>3</v>
      </c>
    </row>
    <row r="120" spans="1:11">
      <c r="A120" t="s">
        <v>117</v>
      </c>
      <c r="B120" t="s">
        <v>15</v>
      </c>
      <c r="C120">
        <v>37</v>
      </c>
      <c r="D120" t="s">
        <v>24</v>
      </c>
      <c r="E120" s="5">
        <v>44277</v>
      </c>
      <c r="F120" t="s">
        <v>12</v>
      </c>
      <c r="G120" s="3">
        <v>88050</v>
      </c>
      <c r="H120" t="s">
        <v>206</v>
      </c>
      <c r="I120" s="6">
        <f ca="1">(TODAY()-Staff[[#This Row],[Date Joined]])/365</f>
        <v>2.4164383561643836</v>
      </c>
      <c r="J120" s="2">
        <f ca="1">IF(Staff[[#This Row],[Tenure]]&gt;3,3%,2%)*Staff[[#This Row],[Salary]]</f>
        <v>1761</v>
      </c>
      <c r="K120">
        <f>_xlfn.XLOOKUP(Staff[[#This Row],[Rating]],'Salary vs. Rating'!$B$10:$B$14,'Salary vs. Rating'!$C$10:$C$14)</f>
        <v>2</v>
      </c>
    </row>
    <row r="121" spans="1:11">
      <c r="A121" t="s">
        <v>23</v>
      </c>
      <c r="B121" t="s">
        <v>15</v>
      </c>
      <c r="C121">
        <v>37</v>
      </c>
      <c r="D121" t="s">
        <v>24</v>
      </c>
      <c r="E121" s="5">
        <v>44338</v>
      </c>
      <c r="F121" t="s">
        <v>12</v>
      </c>
      <c r="G121" s="3">
        <v>88050</v>
      </c>
      <c r="H121" t="s">
        <v>205</v>
      </c>
      <c r="I121" s="6">
        <f ca="1">(TODAY()-Staff[[#This Row],[Date Joined]])/365</f>
        <v>2.2493150684931509</v>
      </c>
      <c r="J121" s="2">
        <f ca="1">IF(Staff[[#This Row],[Tenure]]&gt;3,3%,2%)*Staff[[#This Row],[Salary]]</f>
        <v>1761</v>
      </c>
      <c r="K121">
        <f>_xlfn.XLOOKUP(Staff[[#This Row],[Rating]],'Salary vs. Rating'!$B$10:$B$14,'Salary vs. Rating'!$C$10:$C$14)</f>
        <v>2</v>
      </c>
    </row>
    <row r="122" spans="1:11">
      <c r="A122" t="s">
        <v>111</v>
      </c>
      <c r="B122" t="s">
        <v>204</v>
      </c>
      <c r="C122">
        <v>27</v>
      </c>
      <c r="D122" t="s">
        <v>13</v>
      </c>
      <c r="E122" s="5">
        <v>44212</v>
      </c>
      <c r="F122" t="s">
        <v>12</v>
      </c>
      <c r="G122" s="3">
        <v>90700</v>
      </c>
      <c r="H122" t="s">
        <v>206</v>
      </c>
      <c r="I122" s="6">
        <f ca="1">(TODAY()-Staff[[#This Row],[Date Joined]])/365</f>
        <v>2.5945205479452054</v>
      </c>
      <c r="J122" s="2">
        <f ca="1">IF(Staff[[#This Row],[Tenure]]&gt;3,3%,2%)*Staff[[#This Row],[Salary]]</f>
        <v>1814</v>
      </c>
      <c r="K122">
        <f>_xlfn.XLOOKUP(Staff[[#This Row],[Rating]],'Salary vs. Rating'!$B$10:$B$14,'Salary vs. Rating'!$C$10:$C$14)</f>
        <v>4</v>
      </c>
    </row>
    <row r="123" spans="1:11">
      <c r="A123" t="s">
        <v>11</v>
      </c>
      <c r="B123" t="s">
        <v>204</v>
      </c>
      <c r="C123">
        <v>26</v>
      </c>
      <c r="D123" t="s">
        <v>13</v>
      </c>
      <c r="E123" s="5">
        <v>44271</v>
      </c>
      <c r="F123" t="s">
        <v>12</v>
      </c>
      <c r="G123" s="3">
        <v>90700</v>
      </c>
      <c r="H123" t="s">
        <v>205</v>
      </c>
      <c r="I123" s="6">
        <f ca="1">(TODAY()-Staff[[#This Row],[Date Joined]])/365</f>
        <v>2.4328767123287673</v>
      </c>
      <c r="J123" s="2">
        <f ca="1">IF(Staff[[#This Row],[Tenure]]&gt;3,3%,2%)*Staff[[#This Row],[Salary]]</f>
        <v>1814</v>
      </c>
      <c r="K123">
        <f>_xlfn.XLOOKUP(Staff[[#This Row],[Rating]],'Salary vs. Rating'!$B$10:$B$14,'Salary vs. Rating'!$C$10:$C$14)</f>
        <v>4</v>
      </c>
    </row>
    <row r="124" spans="1:11">
      <c r="A124" t="s">
        <v>144</v>
      </c>
      <c r="B124" t="s">
        <v>204</v>
      </c>
      <c r="C124">
        <v>32</v>
      </c>
      <c r="D124" t="s">
        <v>16</v>
      </c>
      <c r="E124" s="5">
        <v>44713</v>
      </c>
      <c r="F124" t="s">
        <v>12</v>
      </c>
      <c r="G124" s="3">
        <v>91310</v>
      </c>
      <c r="H124" t="s">
        <v>206</v>
      </c>
      <c r="I124" s="6">
        <f ca="1">(TODAY()-Staff[[#This Row],[Date Joined]])/365</f>
        <v>1.2219178082191782</v>
      </c>
      <c r="J124" s="2">
        <f ca="1">IF(Staff[[#This Row],[Tenure]]&gt;3,3%,2%)*Staff[[#This Row],[Salary]]</f>
        <v>1826.2</v>
      </c>
      <c r="K124">
        <f>_xlfn.XLOOKUP(Staff[[#This Row],[Rating]],'Salary vs. Rating'!$B$10:$B$14,'Salary vs. Rating'!$C$10:$C$14)</f>
        <v>3</v>
      </c>
    </row>
    <row r="125" spans="1:11">
      <c r="A125" t="s">
        <v>52</v>
      </c>
      <c r="B125" t="s">
        <v>204</v>
      </c>
      <c r="C125">
        <v>32</v>
      </c>
      <c r="D125" t="s">
        <v>16</v>
      </c>
      <c r="E125" s="5">
        <v>44774</v>
      </c>
      <c r="F125" t="s">
        <v>12</v>
      </c>
      <c r="G125" s="3">
        <v>91310</v>
      </c>
      <c r="H125" t="s">
        <v>205</v>
      </c>
      <c r="I125" s="6">
        <f ca="1">(TODAY()-Staff[[#This Row],[Date Joined]])/365</f>
        <v>1.0547945205479452</v>
      </c>
      <c r="J125" s="2">
        <f ca="1">IF(Staff[[#This Row],[Tenure]]&gt;3,3%,2%)*Staff[[#This Row],[Salary]]</f>
        <v>1826.2</v>
      </c>
      <c r="K125">
        <f>_xlfn.XLOOKUP(Staff[[#This Row],[Rating]],'Salary vs. Rating'!$B$10:$B$14,'Salary vs. Rating'!$C$10:$C$14)</f>
        <v>3</v>
      </c>
    </row>
    <row r="126" spans="1:11">
      <c r="A126" t="s">
        <v>159</v>
      </c>
      <c r="B126" t="s">
        <v>15</v>
      </c>
      <c r="C126">
        <v>27</v>
      </c>
      <c r="D126" t="s">
        <v>13</v>
      </c>
      <c r="E126" s="5">
        <v>44174</v>
      </c>
      <c r="F126" t="s">
        <v>21</v>
      </c>
      <c r="G126" s="3">
        <v>91650</v>
      </c>
      <c r="H126" t="s">
        <v>206</v>
      </c>
      <c r="I126" s="6">
        <f ca="1">(TODAY()-Staff[[#This Row],[Date Joined]])/365</f>
        <v>2.6986301369863015</v>
      </c>
      <c r="J126" s="2">
        <f ca="1">IF(Staff[[#This Row],[Tenure]]&gt;3,3%,2%)*Staff[[#This Row],[Salary]]</f>
        <v>1833</v>
      </c>
      <c r="K126">
        <f>_xlfn.XLOOKUP(Staff[[#This Row],[Rating]],'Salary vs. Rating'!$B$10:$B$14,'Salary vs. Rating'!$C$10:$C$14)</f>
        <v>4</v>
      </c>
    </row>
    <row r="127" spans="1:11">
      <c r="A127" t="s">
        <v>68</v>
      </c>
      <c r="B127" t="s">
        <v>15</v>
      </c>
      <c r="C127">
        <v>27</v>
      </c>
      <c r="D127" t="s">
        <v>13</v>
      </c>
      <c r="E127" s="5">
        <v>44236</v>
      </c>
      <c r="F127" t="s">
        <v>21</v>
      </c>
      <c r="G127" s="3">
        <v>91650</v>
      </c>
      <c r="H127" t="s">
        <v>205</v>
      </c>
      <c r="I127" s="6">
        <f ca="1">(TODAY()-Staff[[#This Row],[Date Joined]])/365</f>
        <v>2.5287671232876714</v>
      </c>
      <c r="J127" s="2">
        <f ca="1">IF(Staff[[#This Row],[Tenure]]&gt;3,3%,2%)*Staff[[#This Row],[Salary]]</f>
        <v>1833</v>
      </c>
      <c r="K127">
        <f>_xlfn.XLOOKUP(Staff[[#This Row],[Rating]],'Salary vs. Rating'!$B$10:$B$14,'Salary vs. Rating'!$C$10:$C$14)</f>
        <v>4</v>
      </c>
    </row>
    <row r="128" spans="1:11">
      <c r="A128" t="s">
        <v>194</v>
      </c>
      <c r="B128" t="s">
        <v>8</v>
      </c>
      <c r="C128">
        <v>34</v>
      </c>
      <c r="D128" t="s">
        <v>16</v>
      </c>
      <c r="E128" s="5">
        <v>44383</v>
      </c>
      <c r="F128" t="s">
        <v>21</v>
      </c>
      <c r="G128" s="3">
        <v>92450</v>
      </c>
      <c r="H128" t="s">
        <v>206</v>
      </c>
      <c r="I128" s="6">
        <f ca="1">(TODAY()-Staff[[#This Row],[Date Joined]])/365</f>
        <v>2.1260273972602741</v>
      </c>
      <c r="J128" s="2">
        <f ca="1">IF(Staff[[#This Row],[Tenure]]&gt;3,3%,2%)*Staff[[#This Row],[Salary]]</f>
        <v>1849</v>
      </c>
      <c r="K128">
        <f>_xlfn.XLOOKUP(Staff[[#This Row],[Rating]],'Salary vs. Rating'!$B$10:$B$14,'Salary vs. Rating'!$C$10:$C$14)</f>
        <v>3</v>
      </c>
    </row>
    <row r="129" spans="1:11">
      <c r="A129" t="s">
        <v>102</v>
      </c>
      <c r="B129" t="s">
        <v>8</v>
      </c>
      <c r="C129">
        <v>34</v>
      </c>
      <c r="D129" t="s">
        <v>16</v>
      </c>
      <c r="E129" s="5">
        <v>44445</v>
      </c>
      <c r="F129" t="s">
        <v>21</v>
      </c>
      <c r="G129" s="3">
        <v>92450</v>
      </c>
      <c r="H129" t="s">
        <v>205</v>
      </c>
      <c r="I129" s="6">
        <f ca="1">(TODAY()-Staff[[#This Row],[Date Joined]])/365</f>
        <v>1.9561643835616438</v>
      </c>
      <c r="J129" s="2">
        <f ca="1">IF(Staff[[#This Row],[Tenure]]&gt;3,3%,2%)*Staff[[#This Row],[Salary]]</f>
        <v>1849</v>
      </c>
      <c r="K129">
        <f>_xlfn.XLOOKUP(Staff[[#This Row],[Rating]],'Salary vs. Rating'!$B$10:$B$14,'Salary vs. Rating'!$C$10:$C$14)</f>
        <v>3</v>
      </c>
    </row>
    <row r="130" spans="1:11">
      <c r="A130" t="s">
        <v>168</v>
      </c>
      <c r="B130" t="s">
        <v>8</v>
      </c>
      <c r="C130">
        <v>25</v>
      </c>
      <c r="D130" t="s">
        <v>16</v>
      </c>
      <c r="E130" s="5">
        <v>44144</v>
      </c>
      <c r="F130" t="s">
        <v>19</v>
      </c>
      <c r="G130" s="3">
        <v>92700</v>
      </c>
      <c r="H130" t="s">
        <v>206</v>
      </c>
      <c r="I130" s="6">
        <f ca="1">(TODAY()-Staff[[#This Row],[Date Joined]])/365</f>
        <v>2.7808219178082192</v>
      </c>
      <c r="J130" s="2">
        <f ca="1">IF(Staff[[#This Row],[Tenure]]&gt;3,3%,2%)*Staff[[#This Row],[Salary]]</f>
        <v>1854</v>
      </c>
      <c r="K130">
        <f>_xlfn.XLOOKUP(Staff[[#This Row],[Rating]],'Salary vs. Rating'!$B$10:$B$14,'Salary vs. Rating'!$C$10:$C$14)</f>
        <v>3</v>
      </c>
    </row>
    <row r="131" spans="1:11">
      <c r="A131" t="s">
        <v>77</v>
      </c>
      <c r="B131" t="s">
        <v>8</v>
      </c>
      <c r="C131">
        <v>25</v>
      </c>
      <c r="D131" t="s">
        <v>16</v>
      </c>
      <c r="E131" s="5">
        <v>44205</v>
      </c>
      <c r="F131" t="s">
        <v>19</v>
      </c>
      <c r="G131" s="3">
        <v>92700</v>
      </c>
      <c r="H131" t="s">
        <v>205</v>
      </c>
      <c r="I131" s="6">
        <f ca="1">(TODAY()-Staff[[#This Row],[Date Joined]])/365</f>
        <v>2.6136986301369864</v>
      </c>
      <c r="J131" s="2">
        <f ca="1">IF(Staff[[#This Row],[Tenure]]&gt;3,3%,2%)*Staff[[#This Row],[Salary]]</f>
        <v>1854</v>
      </c>
      <c r="K131">
        <f>_xlfn.XLOOKUP(Staff[[#This Row],[Rating]],'Salary vs. Rating'!$B$10:$B$14,'Salary vs. Rating'!$C$10:$C$14)</f>
        <v>3</v>
      </c>
    </row>
    <row r="132" spans="1:11">
      <c r="A132" t="s">
        <v>162</v>
      </c>
      <c r="B132" t="s">
        <v>8</v>
      </c>
      <c r="C132">
        <v>33</v>
      </c>
      <c r="D132" t="s">
        <v>16</v>
      </c>
      <c r="E132" s="5">
        <v>44129</v>
      </c>
      <c r="F132" t="s">
        <v>12</v>
      </c>
      <c r="G132" s="3">
        <v>96140</v>
      </c>
      <c r="H132" t="s">
        <v>206</v>
      </c>
      <c r="I132" s="6">
        <f ca="1">(TODAY()-Staff[[#This Row],[Date Joined]])/365</f>
        <v>2.8219178082191783</v>
      </c>
      <c r="J132" s="2">
        <f ca="1">IF(Staff[[#This Row],[Tenure]]&gt;3,3%,2%)*Staff[[#This Row],[Salary]]</f>
        <v>1922.8</v>
      </c>
      <c r="K132">
        <f>_xlfn.XLOOKUP(Staff[[#This Row],[Rating]],'Salary vs. Rating'!$B$10:$B$14,'Salary vs. Rating'!$C$10:$C$14)</f>
        <v>3</v>
      </c>
    </row>
    <row r="133" spans="1:11">
      <c r="A133" t="s">
        <v>71</v>
      </c>
      <c r="B133" t="s">
        <v>8</v>
      </c>
      <c r="C133">
        <v>33</v>
      </c>
      <c r="D133" t="s">
        <v>16</v>
      </c>
      <c r="E133" s="5">
        <v>44190</v>
      </c>
      <c r="F133" t="s">
        <v>12</v>
      </c>
      <c r="G133" s="3">
        <v>96140</v>
      </c>
      <c r="H133" t="s">
        <v>205</v>
      </c>
      <c r="I133" s="6">
        <f ca="1">(TODAY()-Staff[[#This Row],[Date Joined]])/365</f>
        <v>2.6547945205479451</v>
      </c>
      <c r="J133" s="2">
        <f ca="1">IF(Staff[[#This Row],[Tenure]]&gt;3,3%,2%)*Staff[[#This Row],[Salary]]</f>
        <v>1922.8</v>
      </c>
      <c r="K133">
        <f>_xlfn.XLOOKUP(Staff[[#This Row],[Rating]],'Salary vs. Rating'!$B$10:$B$14,'Salary vs. Rating'!$C$10:$C$14)</f>
        <v>3</v>
      </c>
    </row>
    <row r="134" spans="1:11">
      <c r="A134" t="s">
        <v>176</v>
      </c>
      <c r="B134" t="s">
        <v>15</v>
      </c>
      <c r="C134">
        <v>30</v>
      </c>
      <c r="D134" t="s">
        <v>16</v>
      </c>
      <c r="E134" s="5">
        <v>44544</v>
      </c>
      <c r="F134" t="s">
        <v>21</v>
      </c>
      <c r="G134" s="3">
        <v>96800</v>
      </c>
      <c r="H134" t="s">
        <v>206</v>
      </c>
      <c r="I134" s="6">
        <f ca="1">(TODAY()-Staff[[#This Row],[Date Joined]])/365</f>
        <v>1.6849315068493151</v>
      </c>
      <c r="J134" s="2">
        <f ca="1">IF(Staff[[#This Row],[Tenure]]&gt;3,3%,2%)*Staff[[#This Row],[Salary]]</f>
        <v>1936</v>
      </c>
      <c r="K134">
        <f>_xlfn.XLOOKUP(Staff[[#This Row],[Rating]],'Salary vs. Rating'!$B$10:$B$14,'Salary vs. Rating'!$C$10:$C$14)</f>
        <v>3</v>
      </c>
    </row>
    <row r="135" spans="1:11">
      <c r="A135" t="s">
        <v>85</v>
      </c>
      <c r="B135" t="s">
        <v>15</v>
      </c>
      <c r="C135">
        <v>30</v>
      </c>
      <c r="D135" t="s">
        <v>16</v>
      </c>
      <c r="E135" s="5">
        <v>44606</v>
      </c>
      <c r="F135" t="s">
        <v>21</v>
      </c>
      <c r="G135" s="3">
        <v>96800</v>
      </c>
      <c r="H135" t="s">
        <v>205</v>
      </c>
      <c r="I135" s="6">
        <f ca="1">(TODAY()-Staff[[#This Row],[Date Joined]])/365</f>
        <v>1.515068493150685</v>
      </c>
      <c r="J135" s="2">
        <f ca="1">IF(Staff[[#This Row],[Tenure]]&gt;3,3%,2%)*Staff[[#This Row],[Salary]]</f>
        <v>1936</v>
      </c>
      <c r="K135">
        <f>_xlfn.XLOOKUP(Staff[[#This Row],[Rating]],'Salary vs. Rating'!$B$10:$B$14,'Salary vs. Rating'!$C$10:$C$14)</f>
        <v>3</v>
      </c>
    </row>
    <row r="136" spans="1:11">
      <c r="A136" t="s">
        <v>197</v>
      </c>
      <c r="B136" t="s">
        <v>15</v>
      </c>
      <c r="C136">
        <v>40</v>
      </c>
      <c r="D136" t="s">
        <v>16</v>
      </c>
      <c r="E136" s="5">
        <v>44204</v>
      </c>
      <c r="F136" t="s">
        <v>9</v>
      </c>
      <c r="G136" s="3">
        <v>99750</v>
      </c>
      <c r="H136" t="s">
        <v>206</v>
      </c>
      <c r="I136" s="6">
        <f ca="1">(TODAY()-Staff[[#This Row],[Date Joined]])/365</f>
        <v>2.6164383561643834</v>
      </c>
      <c r="J136" s="2">
        <f ca="1">IF(Staff[[#This Row],[Tenure]]&gt;3,3%,2%)*Staff[[#This Row],[Salary]]</f>
        <v>1995</v>
      </c>
      <c r="K136">
        <f>_xlfn.XLOOKUP(Staff[[#This Row],[Rating]],'Salary vs. Rating'!$B$10:$B$14,'Salary vs. Rating'!$C$10:$C$14)</f>
        <v>3</v>
      </c>
    </row>
    <row r="137" spans="1:11">
      <c r="A137" t="s">
        <v>105</v>
      </c>
      <c r="B137" t="s">
        <v>15</v>
      </c>
      <c r="C137">
        <v>40</v>
      </c>
      <c r="D137" t="s">
        <v>16</v>
      </c>
      <c r="E137" s="5">
        <v>44263</v>
      </c>
      <c r="F137" t="s">
        <v>9</v>
      </c>
      <c r="G137" s="3">
        <v>99750</v>
      </c>
      <c r="H137" t="s">
        <v>205</v>
      </c>
      <c r="I137" s="6">
        <f ca="1">(TODAY()-Staff[[#This Row],[Date Joined]])/365</f>
        <v>2.4547945205479453</v>
      </c>
      <c r="J137" s="2">
        <f ca="1">IF(Staff[[#This Row],[Tenure]]&gt;3,3%,2%)*Staff[[#This Row],[Salary]]</f>
        <v>1995</v>
      </c>
      <c r="K137">
        <f>_xlfn.XLOOKUP(Staff[[#This Row],[Rating]],'Salary vs. Rating'!$B$10:$B$14,'Salary vs. Rating'!$C$10:$C$14)</f>
        <v>3</v>
      </c>
    </row>
    <row r="138" spans="1:11">
      <c r="A138" t="s">
        <v>199</v>
      </c>
      <c r="B138" t="s">
        <v>8</v>
      </c>
      <c r="C138">
        <v>28</v>
      </c>
      <c r="D138" t="s">
        <v>16</v>
      </c>
      <c r="E138" s="5">
        <v>44571</v>
      </c>
      <c r="F138" t="s">
        <v>9</v>
      </c>
      <c r="G138" s="3">
        <v>99970</v>
      </c>
      <c r="H138" t="s">
        <v>206</v>
      </c>
      <c r="I138" s="6">
        <f ca="1">(TODAY()-Staff[[#This Row],[Date Joined]])/365</f>
        <v>1.6109589041095891</v>
      </c>
      <c r="J138" s="2">
        <f ca="1">IF(Staff[[#This Row],[Tenure]]&gt;3,3%,2%)*Staff[[#This Row],[Salary]]</f>
        <v>1999.4</v>
      </c>
      <c r="K138">
        <f>_xlfn.XLOOKUP(Staff[[#This Row],[Rating]],'Salary vs. Rating'!$B$10:$B$14,'Salary vs. Rating'!$C$10:$C$14)</f>
        <v>3</v>
      </c>
    </row>
    <row r="139" spans="1:11">
      <c r="A139" t="s">
        <v>107</v>
      </c>
      <c r="B139" t="s">
        <v>8</v>
      </c>
      <c r="C139">
        <v>28</v>
      </c>
      <c r="D139" t="s">
        <v>16</v>
      </c>
      <c r="E139" s="5">
        <v>44630</v>
      </c>
      <c r="F139" t="s">
        <v>9</v>
      </c>
      <c r="G139" s="3">
        <v>99970</v>
      </c>
      <c r="H139" t="s">
        <v>205</v>
      </c>
      <c r="I139" s="6">
        <f ca="1">(TODAY()-Staff[[#This Row],[Date Joined]])/365</f>
        <v>1.4493150684931506</v>
      </c>
      <c r="J139" s="2">
        <f ca="1">IF(Staff[[#This Row],[Tenure]]&gt;3,3%,2%)*Staff[[#This Row],[Salary]]</f>
        <v>1999.4</v>
      </c>
      <c r="K139">
        <f>_xlfn.XLOOKUP(Staff[[#This Row],[Rating]],'Salary vs. Rating'!$B$10:$B$14,'Salary vs. Rating'!$C$10:$C$14)</f>
        <v>3</v>
      </c>
    </row>
    <row r="140" spans="1:11">
      <c r="A140" t="s">
        <v>195</v>
      </c>
      <c r="B140" t="s">
        <v>15</v>
      </c>
      <c r="C140">
        <v>24</v>
      </c>
      <c r="D140" t="s">
        <v>16</v>
      </c>
      <c r="E140" s="5">
        <v>44625</v>
      </c>
      <c r="F140" t="s">
        <v>12</v>
      </c>
      <c r="G140" s="3">
        <v>100420</v>
      </c>
      <c r="H140" t="s">
        <v>206</v>
      </c>
      <c r="I140" s="6">
        <f ca="1">(TODAY()-Staff[[#This Row],[Date Joined]])/365</f>
        <v>1.463013698630137</v>
      </c>
      <c r="J140" s="2">
        <f ca="1">IF(Staff[[#This Row],[Tenure]]&gt;3,3%,2%)*Staff[[#This Row],[Salary]]</f>
        <v>2008.4</v>
      </c>
      <c r="K140">
        <f>_xlfn.XLOOKUP(Staff[[#This Row],[Rating]],'Salary vs. Rating'!$B$10:$B$14,'Salary vs. Rating'!$C$10:$C$14)</f>
        <v>3</v>
      </c>
    </row>
    <row r="141" spans="1:11">
      <c r="A141" t="s">
        <v>103</v>
      </c>
      <c r="B141" t="s">
        <v>15</v>
      </c>
      <c r="C141">
        <v>24</v>
      </c>
      <c r="D141" t="s">
        <v>16</v>
      </c>
      <c r="E141" s="5">
        <v>44686</v>
      </c>
      <c r="F141" t="s">
        <v>12</v>
      </c>
      <c r="G141" s="3">
        <v>100420</v>
      </c>
      <c r="H141" t="s">
        <v>205</v>
      </c>
      <c r="I141" s="6">
        <f ca="1">(TODAY()-Staff[[#This Row],[Date Joined]])/365</f>
        <v>1.295890410958904</v>
      </c>
      <c r="J141" s="2">
        <f ca="1">IF(Staff[[#This Row],[Tenure]]&gt;3,3%,2%)*Staff[[#This Row],[Salary]]</f>
        <v>2008.4</v>
      </c>
      <c r="K141">
        <f>_xlfn.XLOOKUP(Staff[[#This Row],[Rating]],'Salary vs. Rating'!$B$10:$B$14,'Salary vs. Rating'!$C$10:$C$14)</f>
        <v>3</v>
      </c>
    </row>
    <row r="142" spans="1:11">
      <c r="A142" t="s">
        <v>142</v>
      </c>
      <c r="B142" t="s">
        <v>15</v>
      </c>
      <c r="C142">
        <v>31</v>
      </c>
      <c r="D142" t="s">
        <v>16</v>
      </c>
      <c r="E142" s="5">
        <v>44663</v>
      </c>
      <c r="F142" t="s">
        <v>9</v>
      </c>
      <c r="G142" s="3">
        <v>103550</v>
      </c>
      <c r="H142" t="s">
        <v>206</v>
      </c>
      <c r="I142" s="6">
        <f ca="1">(TODAY()-Staff[[#This Row],[Date Joined]])/365</f>
        <v>1.3589041095890411</v>
      </c>
      <c r="J142" s="2">
        <f ca="1">IF(Staff[[#This Row],[Tenure]]&gt;3,3%,2%)*Staff[[#This Row],[Salary]]</f>
        <v>2071</v>
      </c>
      <c r="K142">
        <f>_xlfn.XLOOKUP(Staff[[#This Row],[Rating]],'Salary vs. Rating'!$B$10:$B$14,'Salary vs. Rating'!$C$10:$C$14)</f>
        <v>3</v>
      </c>
    </row>
    <row r="143" spans="1:11">
      <c r="A143" t="s">
        <v>50</v>
      </c>
      <c r="B143" t="s">
        <v>15</v>
      </c>
      <c r="C143">
        <v>31</v>
      </c>
      <c r="D143" t="s">
        <v>16</v>
      </c>
      <c r="E143" s="5">
        <v>44724</v>
      </c>
      <c r="F143" t="s">
        <v>9</v>
      </c>
      <c r="G143" s="3">
        <v>103550</v>
      </c>
      <c r="H143" t="s">
        <v>205</v>
      </c>
      <c r="I143" s="6">
        <f ca="1">(TODAY()-Staff[[#This Row],[Date Joined]])/365</f>
        <v>1.1917808219178083</v>
      </c>
      <c r="J143" s="2">
        <f ca="1">IF(Staff[[#This Row],[Tenure]]&gt;3,3%,2%)*Staff[[#This Row],[Salary]]</f>
        <v>2071</v>
      </c>
      <c r="K143">
        <f>_xlfn.XLOOKUP(Staff[[#This Row],[Rating]],'Salary vs. Rating'!$B$10:$B$14,'Salary vs. Rating'!$C$10:$C$14)</f>
        <v>3</v>
      </c>
    </row>
    <row r="144" spans="1:11">
      <c r="A144" t="s">
        <v>188</v>
      </c>
      <c r="B144" t="s">
        <v>8</v>
      </c>
      <c r="C144">
        <v>28</v>
      </c>
      <c r="D144" t="s">
        <v>16</v>
      </c>
      <c r="E144" s="5">
        <v>44590</v>
      </c>
      <c r="F144" t="s">
        <v>9</v>
      </c>
      <c r="G144" s="3">
        <v>104120</v>
      </c>
      <c r="H144" t="s">
        <v>206</v>
      </c>
      <c r="I144" s="6">
        <f ca="1">(TODAY()-Staff[[#This Row],[Date Joined]])/365</f>
        <v>1.558904109589041</v>
      </c>
      <c r="J144" s="2">
        <f ca="1">IF(Staff[[#This Row],[Tenure]]&gt;3,3%,2%)*Staff[[#This Row],[Salary]]</f>
        <v>2082.4</v>
      </c>
      <c r="K144">
        <f>_xlfn.XLOOKUP(Staff[[#This Row],[Rating]],'Salary vs. Rating'!$B$10:$B$14,'Salary vs. Rating'!$C$10:$C$14)</f>
        <v>3</v>
      </c>
    </row>
    <row r="145" spans="1:11">
      <c r="A145" t="s">
        <v>96</v>
      </c>
      <c r="B145" t="s">
        <v>8</v>
      </c>
      <c r="C145">
        <v>28</v>
      </c>
      <c r="D145" t="s">
        <v>16</v>
      </c>
      <c r="E145" s="5">
        <v>44649</v>
      </c>
      <c r="F145" t="s">
        <v>9</v>
      </c>
      <c r="G145" s="3">
        <v>104120</v>
      </c>
      <c r="H145" t="s">
        <v>205</v>
      </c>
      <c r="I145" s="6">
        <f ca="1">(TODAY()-Staff[[#This Row],[Date Joined]])/365</f>
        <v>1.3972602739726028</v>
      </c>
      <c r="J145" s="2">
        <f ca="1">IF(Staff[[#This Row],[Tenure]]&gt;3,3%,2%)*Staff[[#This Row],[Salary]]</f>
        <v>2082.4</v>
      </c>
      <c r="K145">
        <f>_xlfn.XLOOKUP(Staff[[#This Row],[Rating]],'Salary vs. Rating'!$B$10:$B$14,'Salary vs. Rating'!$C$10:$C$14)</f>
        <v>3</v>
      </c>
    </row>
    <row r="146" spans="1:11">
      <c r="A146" t="s">
        <v>193</v>
      </c>
      <c r="B146" t="s">
        <v>8</v>
      </c>
      <c r="C146">
        <v>40</v>
      </c>
      <c r="D146" t="s">
        <v>16</v>
      </c>
      <c r="E146" s="5">
        <v>44320</v>
      </c>
      <c r="F146" t="s">
        <v>12</v>
      </c>
      <c r="G146" s="3">
        <v>104410</v>
      </c>
      <c r="H146" t="s">
        <v>206</v>
      </c>
      <c r="I146" s="6">
        <f ca="1">(TODAY()-Staff[[#This Row],[Date Joined]])/365</f>
        <v>2.2986301369863016</v>
      </c>
      <c r="J146" s="2">
        <f ca="1">IF(Staff[[#This Row],[Tenure]]&gt;3,3%,2%)*Staff[[#This Row],[Salary]]</f>
        <v>2088.1999999999998</v>
      </c>
      <c r="K146">
        <f>_xlfn.XLOOKUP(Staff[[#This Row],[Rating]],'Salary vs. Rating'!$B$10:$B$14,'Salary vs. Rating'!$C$10:$C$14)</f>
        <v>3</v>
      </c>
    </row>
    <row r="147" spans="1:11">
      <c r="A147" t="s">
        <v>101</v>
      </c>
      <c r="B147" t="s">
        <v>8</v>
      </c>
      <c r="C147">
        <v>40</v>
      </c>
      <c r="D147" t="s">
        <v>16</v>
      </c>
      <c r="E147" s="5">
        <v>44381</v>
      </c>
      <c r="F147" t="s">
        <v>12</v>
      </c>
      <c r="G147" s="3">
        <v>104410</v>
      </c>
      <c r="H147" t="s">
        <v>205</v>
      </c>
      <c r="I147" s="6">
        <f ca="1">(TODAY()-Staff[[#This Row],[Date Joined]])/365</f>
        <v>2.1315068493150684</v>
      </c>
      <c r="J147" s="2">
        <f ca="1">IF(Staff[[#This Row],[Tenure]]&gt;3,3%,2%)*Staff[[#This Row],[Salary]]</f>
        <v>2088.1999999999998</v>
      </c>
      <c r="K147">
        <f>_xlfn.XLOOKUP(Staff[[#This Row],[Rating]],'Salary vs. Rating'!$B$10:$B$14,'Salary vs. Rating'!$C$10:$C$14)</f>
        <v>3</v>
      </c>
    </row>
    <row r="148" spans="1:11">
      <c r="A148" t="s">
        <v>135</v>
      </c>
      <c r="B148" t="s">
        <v>8</v>
      </c>
      <c r="C148">
        <v>28</v>
      </c>
      <c r="D148" t="s">
        <v>16</v>
      </c>
      <c r="E148" s="5">
        <v>44425</v>
      </c>
      <c r="F148" t="s">
        <v>9</v>
      </c>
      <c r="G148" s="3">
        <v>104770</v>
      </c>
      <c r="H148" t="s">
        <v>206</v>
      </c>
      <c r="I148" s="6">
        <f ca="1">(TODAY()-Staff[[#This Row],[Date Joined]])/365</f>
        <v>2.010958904109589</v>
      </c>
      <c r="J148" s="2">
        <f ca="1">IF(Staff[[#This Row],[Tenure]]&gt;3,3%,2%)*Staff[[#This Row],[Salary]]</f>
        <v>2095.4</v>
      </c>
      <c r="K148">
        <f>_xlfn.XLOOKUP(Staff[[#This Row],[Rating]],'Salary vs. Rating'!$B$10:$B$14,'Salary vs. Rating'!$C$10:$C$14)</f>
        <v>3</v>
      </c>
    </row>
    <row r="149" spans="1:11">
      <c r="A149" t="s">
        <v>43</v>
      </c>
      <c r="B149" t="s">
        <v>8</v>
      </c>
      <c r="C149">
        <v>28</v>
      </c>
      <c r="D149" t="s">
        <v>16</v>
      </c>
      <c r="E149" s="5">
        <v>44486</v>
      </c>
      <c r="F149" t="s">
        <v>9</v>
      </c>
      <c r="G149" s="3">
        <v>104770</v>
      </c>
      <c r="H149" t="s">
        <v>205</v>
      </c>
      <c r="I149" s="6">
        <f ca="1">(TODAY()-Staff[[#This Row],[Date Joined]])/365</f>
        <v>1.8438356164383563</v>
      </c>
      <c r="J149" s="2">
        <f ca="1">IF(Staff[[#This Row],[Tenure]]&gt;3,3%,2%)*Staff[[#This Row],[Salary]]</f>
        <v>2095.4</v>
      </c>
      <c r="K149">
        <f>_xlfn.XLOOKUP(Staff[[#This Row],[Rating]],'Salary vs. Rating'!$B$10:$B$14,'Salary vs. Rating'!$C$10:$C$14)</f>
        <v>3</v>
      </c>
    </row>
    <row r="150" spans="1:11">
      <c r="A150" t="s">
        <v>160</v>
      </c>
      <c r="B150" t="s">
        <v>15</v>
      </c>
      <c r="C150">
        <v>23</v>
      </c>
      <c r="D150" t="s">
        <v>16</v>
      </c>
      <c r="E150" s="5">
        <v>44378</v>
      </c>
      <c r="F150" t="s">
        <v>9</v>
      </c>
      <c r="G150" s="3">
        <v>106460</v>
      </c>
      <c r="H150" t="s">
        <v>206</v>
      </c>
      <c r="I150" s="6">
        <f ca="1">(TODAY()-Staff[[#This Row],[Date Joined]])/365</f>
        <v>2.1397260273972605</v>
      </c>
      <c r="J150" s="2">
        <f ca="1">IF(Staff[[#This Row],[Tenure]]&gt;3,3%,2%)*Staff[[#This Row],[Salary]]</f>
        <v>2129.1999999999998</v>
      </c>
      <c r="K150">
        <f>_xlfn.XLOOKUP(Staff[[#This Row],[Rating]],'Salary vs. Rating'!$B$10:$B$14,'Salary vs. Rating'!$C$10:$C$14)</f>
        <v>3</v>
      </c>
    </row>
    <row r="151" spans="1:11">
      <c r="A151" t="s">
        <v>69</v>
      </c>
      <c r="B151" t="s">
        <v>15</v>
      </c>
      <c r="C151">
        <v>23</v>
      </c>
      <c r="D151" t="s">
        <v>16</v>
      </c>
      <c r="E151" s="5">
        <v>44440</v>
      </c>
      <c r="F151" t="s">
        <v>9</v>
      </c>
      <c r="G151" s="3">
        <v>106460</v>
      </c>
      <c r="H151" t="s">
        <v>205</v>
      </c>
      <c r="I151" s="6">
        <f ca="1">(TODAY()-Staff[[#This Row],[Date Joined]])/365</f>
        <v>1.9698630136986301</v>
      </c>
      <c r="J151" s="2">
        <f ca="1">IF(Staff[[#This Row],[Tenure]]&gt;3,3%,2%)*Staff[[#This Row],[Salary]]</f>
        <v>2129.1999999999998</v>
      </c>
      <c r="K151">
        <f>_xlfn.XLOOKUP(Staff[[#This Row],[Rating]],'Salary vs. Rating'!$B$10:$B$14,'Salary vs. Rating'!$C$10:$C$14)</f>
        <v>3</v>
      </c>
    </row>
    <row r="152" spans="1:11">
      <c r="A152" t="s">
        <v>116</v>
      </c>
      <c r="B152" t="s">
        <v>15</v>
      </c>
      <c r="C152">
        <v>20</v>
      </c>
      <c r="D152" t="s">
        <v>16</v>
      </c>
      <c r="E152" s="5">
        <v>44397</v>
      </c>
      <c r="F152" t="s">
        <v>12</v>
      </c>
      <c r="G152" s="3">
        <v>107700</v>
      </c>
      <c r="H152" t="s">
        <v>206</v>
      </c>
      <c r="I152" s="6">
        <f ca="1">(TODAY()-Staff[[#This Row],[Date Joined]])/365</f>
        <v>2.0876712328767124</v>
      </c>
      <c r="J152" s="2">
        <f ca="1">IF(Staff[[#This Row],[Tenure]]&gt;3,3%,2%)*Staff[[#This Row],[Salary]]</f>
        <v>2154</v>
      </c>
      <c r="K152">
        <f>_xlfn.XLOOKUP(Staff[[#This Row],[Rating]],'Salary vs. Rating'!$B$10:$B$14,'Salary vs. Rating'!$C$10:$C$14)</f>
        <v>3</v>
      </c>
    </row>
    <row r="153" spans="1:11">
      <c r="A153" t="s">
        <v>22</v>
      </c>
      <c r="B153" t="s">
        <v>15</v>
      </c>
      <c r="C153">
        <v>20</v>
      </c>
      <c r="D153" t="s">
        <v>16</v>
      </c>
      <c r="E153" s="5">
        <v>44459</v>
      </c>
      <c r="F153" t="s">
        <v>12</v>
      </c>
      <c r="G153" s="3">
        <v>107700</v>
      </c>
      <c r="H153" t="s">
        <v>205</v>
      </c>
      <c r="I153" s="6">
        <f ca="1">(TODAY()-Staff[[#This Row],[Date Joined]])/365</f>
        <v>1.9178082191780821</v>
      </c>
      <c r="J153" s="2">
        <f ca="1">IF(Staff[[#This Row],[Tenure]]&gt;3,3%,2%)*Staff[[#This Row],[Salary]]</f>
        <v>2154</v>
      </c>
      <c r="K153">
        <f>_xlfn.XLOOKUP(Staff[[#This Row],[Rating]],'Salary vs. Rating'!$B$10:$B$14,'Salary vs. Rating'!$C$10:$C$14)</f>
        <v>3</v>
      </c>
    </row>
    <row r="154" spans="1:11">
      <c r="A154" t="s">
        <v>126</v>
      </c>
      <c r="B154" t="s">
        <v>8</v>
      </c>
      <c r="C154">
        <v>38</v>
      </c>
      <c r="D154" t="s">
        <v>10</v>
      </c>
      <c r="E154" s="5">
        <v>44316</v>
      </c>
      <c r="F154" t="s">
        <v>19</v>
      </c>
      <c r="G154" s="3">
        <v>109160</v>
      </c>
      <c r="H154" t="s">
        <v>206</v>
      </c>
      <c r="I154" s="6">
        <f ca="1">(TODAY()-Staff[[#This Row],[Date Joined]])/365</f>
        <v>2.3095890410958906</v>
      </c>
      <c r="J154" s="2">
        <f ca="1">IF(Staff[[#This Row],[Tenure]]&gt;3,3%,2%)*Staff[[#This Row],[Salary]]</f>
        <v>2183.1999999999998</v>
      </c>
      <c r="K154">
        <f>_xlfn.XLOOKUP(Staff[[#This Row],[Rating]],'Salary vs. Rating'!$B$10:$B$14,'Salary vs. Rating'!$C$10:$C$14)</f>
        <v>5</v>
      </c>
    </row>
    <row r="155" spans="1:11">
      <c r="A155" t="s">
        <v>33</v>
      </c>
      <c r="B155" t="s">
        <v>8</v>
      </c>
      <c r="C155">
        <v>38</v>
      </c>
      <c r="D155" t="s">
        <v>10</v>
      </c>
      <c r="E155" s="5">
        <v>44377</v>
      </c>
      <c r="F155" t="s">
        <v>19</v>
      </c>
      <c r="G155" s="3">
        <v>109160</v>
      </c>
      <c r="H155" t="s">
        <v>205</v>
      </c>
      <c r="I155" s="6">
        <f ca="1">(TODAY()-Staff[[#This Row],[Date Joined]])/365</f>
        <v>2.1424657534246574</v>
      </c>
      <c r="J155" s="2">
        <f ca="1">IF(Staff[[#This Row],[Tenure]]&gt;3,3%,2%)*Staff[[#This Row],[Salary]]</f>
        <v>2183.1999999999998</v>
      </c>
      <c r="K155">
        <f>_xlfn.XLOOKUP(Staff[[#This Row],[Rating]],'Salary vs. Rating'!$B$10:$B$14,'Salary vs. Rating'!$C$10:$C$14)</f>
        <v>5</v>
      </c>
    </row>
    <row r="156" spans="1:11">
      <c r="A156" t="s">
        <v>127</v>
      </c>
      <c r="B156" t="s">
        <v>15</v>
      </c>
      <c r="C156">
        <v>25</v>
      </c>
      <c r="D156" t="s">
        <v>13</v>
      </c>
      <c r="E156" s="5">
        <v>44665</v>
      </c>
      <c r="F156" t="s">
        <v>9</v>
      </c>
      <c r="G156" s="3">
        <v>109190</v>
      </c>
      <c r="H156" t="s">
        <v>206</v>
      </c>
      <c r="I156" s="6">
        <f ca="1">(TODAY()-Staff[[#This Row],[Date Joined]])/365</f>
        <v>1.3534246575342466</v>
      </c>
      <c r="J156" s="2">
        <f ca="1">IF(Staff[[#This Row],[Tenure]]&gt;3,3%,2%)*Staff[[#This Row],[Salary]]</f>
        <v>2183.8000000000002</v>
      </c>
      <c r="K156">
        <f>_xlfn.XLOOKUP(Staff[[#This Row],[Rating]],'Salary vs. Rating'!$B$10:$B$14,'Salary vs. Rating'!$C$10:$C$14)</f>
        <v>4</v>
      </c>
    </row>
    <row r="157" spans="1:11">
      <c r="A157" t="s">
        <v>34</v>
      </c>
      <c r="B157" t="s">
        <v>15</v>
      </c>
      <c r="C157">
        <v>25</v>
      </c>
      <c r="D157" t="s">
        <v>13</v>
      </c>
      <c r="E157" s="5">
        <v>44726</v>
      </c>
      <c r="F157" t="s">
        <v>9</v>
      </c>
      <c r="G157" s="3">
        <v>109190</v>
      </c>
      <c r="H157" t="s">
        <v>205</v>
      </c>
      <c r="I157" s="6">
        <f ca="1">(TODAY()-Staff[[#This Row],[Date Joined]])/365</f>
        <v>1.1863013698630136</v>
      </c>
      <c r="J157" s="2">
        <f ca="1">IF(Staff[[#This Row],[Tenure]]&gt;3,3%,2%)*Staff[[#This Row],[Salary]]</f>
        <v>2183.8000000000002</v>
      </c>
      <c r="K157">
        <f>_xlfn.XLOOKUP(Staff[[#This Row],[Rating]],'Salary vs. Rating'!$B$10:$B$14,'Salary vs. Rating'!$C$10:$C$14)</f>
        <v>4</v>
      </c>
    </row>
    <row r="158" spans="1:11">
      <c r="A158" t="s">
        <v>179</v>
      </c>
      <c r="B158" t="s">
        <v>15</v>
      </c>
      <c r="C158">
        <v>29</v>
      </c>
      <c r="D158" t="s">
        <v>24</v>
      </c>
      <c r="E158" s="5">
        <v>44119</v>
      </c>
      <c r="F158" t="s">
        <v>12</v>
      </c>
      <c r="G158" s="3">
        <v>112110</v>
      </c>
      <c r="H158" t="s">
        <v>206</v>
      </c>
      <c r="I158" s="6">
        <f ca="1">(TODAY()-Staff[[#This Row],[Date Joined]])/365</f>
        <v>2.8493150684931505</v>
      </c>
      <c r="J158" s="2">
        <f ca="1">IF(Staff[[#This Row],[Tenure]]&gt;3,3%,2%)*Staff[[#This Row],[Salary]]</f>
        <v>2242.2000000000003</v>
      </c>
      <c r="K158">
        <f>_xlfn.XLOOKUP(Staff[[#This Row],[Rating]],'Salary vs. Rating'!$B$10:$B$14,'Salary vs. Rating'!$C$10:$C$14)</f>
        <v>2</v>
      </c>
    </row>
    <row r="159" spans="1:11">
      <c r="A159" t="s">
        <v>87</v>
      </c>
      <c r="B159" t="s">
        <v>15</v>
      </c>
      <c r="C159">
        <v>29</v>
      </c>
      <c r="D159" t="s">
        <v>24</v>
      </c>
      <c r="E159" s="5">
        <v>44180</v>
      </c>
      <c r="F159" t="s">
        <v>12</v>
      </c>
      <c r="G159" s="3">
        <v>112110</v>
      </c>
      <c r="H159" t="s">
        <v>205</v>
      </c>
      <c r="I159" s="6">
        <f ca="1">(TODAY()-Staff[[#This Row],[Date Joined]])/365</f>
        <v>2.6821917808219178</v>
      </c>
      <c r="J159" s="2">
        <f ca="1">IF(Staff[[#This Row],[Tenure]]&gt;3,3%,2%)*Staff[[#This Row],[Salary]]</f>
        <v>2242.2000000000003</v>
      </c>
      <c r="K159">
        <f>_xlfn.XLOOKUP(Staff[[#This Row],[Rating]],'Salary vs. Rating'!$B$10:$B$14,'Salary vs. Rating'!$C$10:$C$14)</f>
        <v>2</v>
      </c>
    </row>
    <row r="160" spans="1:11">
      <c r="A160" t="s">
        <v>172</v>
      </c>
      <c r="B160" t="s">
        <v>8</v>
      </c>
      <c r="C160">
        <v>30</v>
      </c>
      <c r="D160" t="s">
        <v>16</v>
      </c>
      <c r="E160" s="5">
        <v>44800</v>
      </c>
      <c r="F160" t="s">
        <v>9</v>
      </c>
      <c r="G160" s="3">
        <v>112570</v>
      </c>
      <c r="H160" t="s">
        <v>206</v>
      </c>
      <c r="I160" s="6">
        <f ca="1">(TODAY()-Staff[[#This Row],[Date Joined]])/365</f>
        <v>0.98356164383561639</v>
      </c>
      <c r="J160" s="2">
        <f ca="1">IF(Staff[[#This Row],[Tenure]]&gt;3,3%,2%)*Staff[[#This Row],[Salary]]</f>
        <v>2251.4</v>
      </c>
      <c r="K160">
        <f>_xlfn.XLOOKUP(Staff[[#This Row],[Rating]],'Salary vs. Rating'!$B$10:$B$14,'Salary vs. Rating'!$C$10:$C$14)</f>
        <v>3</v>
      </c>
    </row>
    <row r="161" spans="1:11">
      <c r="A161" t="s">
        <v>81</v>
      </c>
      <c r="B161" t="s">
        <v>8</v>
      </c>
      <c r="C161">
        <v>30</v>
      </c>
      <c r="D161" t="s">
        <v>16</v>
      </c>
      <c r="E161" s="5">
        <v>44861</v>
      </c>
      <c r="F161" t="s">
        <v>9</v>
      </c>
      <c r="G161" s="3">
        <v>112570</v>
      </c>
      <c r="H161" t="s">
        <v>205</v>
      </c>
      <c r="I161" s="6">
        <f ca="1">(TODAY()-Staff[[#This Row],[Date Joined]])/365</f>
        <v>0.81643835616438354</v>
      </c>
      <c r="J161" s="2">
        <f ca="1">IF(Staff[[#This Row],[Tenure]]&gt;3,3%,2%)*Staff[[#This Row],[Salary]]</f>
        <v>2251.4</v>
      </c>
      <c r="K161">
        <f>_xlfn.XLOOKUP(Staff[[#This Row],[Rating]],'Salary vs. Rating'!$B$10:$B$14,'Salary vs. Rating'!$C$10:$C$14)</f>
        <v>3</v>
      </c>
    </row>
    <row r="162" spans="1:11">
      <c r="A162" t="s">
        <v>155</v>
      </c>
      <c r="B162" t="s">
        <v>15</v>
      </c>
      <c r="C162">
        <v>20</v>
      </c>
      <c r="D162" t="s">
        <v>16</v>
      </c>
      <c r="E162" s="5">
        <v>44122</v>
      </c>
      <c r="F162" t="s">
        <v>12</v>
      </c>
      <c r="G162" s="3">
        <v>112650</v>
      </c>
      <c r="H162" t="s">
        <v>206</v>
      </c>
      <c r="I162" s="6">
        <f ca="1">(TODAY()-Staff[[#This Row],[Date Joined]])/365</f>
        <v>2.8410958904109589</v>
      </c>
      <c r="J162" s="2">
        <f ca="1">IF(Staff[[#This Row],[Tenure]]&gt;3,3%,2%)*Staff[[#This Row],[Salary]]</f>
        <v>2253</v>
      </c>
      <c r="K162">
        <f>_xlfn.XLOOKUP(Staff[[#This Row],[Rating]],'Salary vs. Rating'!$B$10:$B$14,'Salary vs. Rating'!$C$10:$C$14)</f>
        <v>3</v>
      </c>
    </row>
    <row r="163" spans="1:11">
      <c r="A163" t="s">
        <v>177</v>
      </c>
      <c r="B163" t="s">
        <v>15</v>
      </c>
      <c r="C163">
        <v>34</v>
      </c>
      <c r="D163" t="s">
        <v>16</v>
      </c>
      <c r="E163" s="5">
        <v>44642</v>
      </c>
      <c r="F163" t="s">
        <v>9</v>
      </c>
      <c r="G163" s="3">
        <v>112650</v>
      </c>
      <c r="H163" t="s">
        <v>206</v>
      </c>
      <c r="I163" s="6">
        <f ca="1">(TODAY()-Staff[[#This Row],[Date Joined]])/365</f>
        <v>1.4164383561643836</v>
      </c>
      <c r="J163" s="2">
        <f ca="1">IF(Staff[[#This Row],[Tenure]]&gt;3,3%,2%)*Staff[[#This Row],[Salary]]</f>
        <v>2253</v>
      </c>
      <c r="K163">
        <f>_xlfn.XLOOKUP(Staff[[#This Row],[Rating]],'Salary vs. Rating'!$B$10:$B$14,'Salary vs. Rating'!$C$10:$C$14)</f>
        <v>3</v>
      </c>
    </row>
    <row r="164" spans="1:11">
      <c r="A164" t="s">
        <v>64</v>
      </c>
      <c r="B164" t="s">
        <v>15</v>
      </c>
      <c r="C164">
        <v>20</v>
      </c>
      <c r="D164" t="s">
        <v>16</v>
      </c>
      <c r="E164" s="5">
        <v>44183</v>
      </c>
      <c r="F164" t="s">
        <v>12</v>
      </c>
      <c r="G164" s="3">
        <v>112650</v>
      </c>
      <c r="H164" t="s">
        <v>205</v>
      </c>
      <c r="I164" s="6">
        <f ca="1">(TODAY()-Staff[[#This Row],[Date Joined]])/365</f>
        <v>2.6739726027397261</v>
      </c>
      <c r="J164" s="2">
        <f ca="1">IF(Staff[[#This Row],[Tenure]]&gt;3,3%,2%)*Staff[[#This Row],[Salary]]</f>
        <v>2253</v>
      </c>
      <c r="K164">
        <f>_xlfn.XLOOKUP(Staff[[#This Row],[Rating]],'Salary vs. Rating'!$B$10:$B$14,'Salary vs. Rating'!$C$10:$C$14)</f>
        <v>3</v>
      </c>
    </row>
    <row r="165" spans="1:11">
      <c r="A165" t="s">
        <v>149</v>
      </c>
      <c r="B165" t="s">
        <v>15</v>
      </c>
      <c r="C165">
        <v>22</v>
      </c>
      <c r="D165" t="s">
        <v>13</v>
      </c>
      <c r="E165" s="5">
        <v>44384</v>
      </c>
      <c r="F165" t="s">
        <v>19</v>
      </c>
      <c r="G165" s="3">
        <v>112780</v>
      </c>
      <c r="H165" t="s">
        <v>206</v>
      </c>
      <c r="I165" s="6">
        <f ca="1">(TODAY()-Staff[[#This Row],[Date Joined]])/365</f>
        <v>2.1232876712328768</v>
      </c>
      <c r="J165" s="2">
        <f ca="1">IF(Staff[[#This Row],[Tenure]]&gt;3,3%,2%)*Staff[[#This Row],[Salary]]</f>
        <v>2255.6</v>
      </c>
      <c r="K165">
        <f>_xlfn.XLOOKUP(Staff[[#This Row],[Rating]],'Salary vs. Rating'!$B$10:$B$14,'Salary vs. Rating'!$C$10:$C$14)</f>
        <v>4</v>
      </c>
    </row>
    <row r="166" spans="1:11">
      <c r="A166" t="s">
        <v>58</v>
      </c>
      <c r="B166" t="s">
        <v>15</v>
      </c>
      <c r="C166">
        <v>22</v>
      </c>
      <c r="D166" t="s">
        <v>13</v>
      </c>
      <c r="E166" s="5">
        <v>44446</v>
      </c>
      <c r="F166" t="s">
        <v>19</v>
      </c>
      <c r="G166" s="3">
        <v>112780</v>
      </c>
      <c r="H166" t="s">
        <v>205</v>
      </c>
      <c r="I166" s="6">
        <f ca="1">(TODAY()-Staff[[#This Row],[Date Joined]])/365</f>
        <v>1.9534246575342467</v>
      </c>
      <c r="J166" s="2">
        <f ca="1">IF(Staff[[#This Row],[Tenure]]&gt;3,3%,2%)*Staff[[#This Row],[Salary]]</f>
        <v>2255.6</v>
      </c>
      <c r="K166">
        <f>_xlfn.XLOOKUP(Staff[[#This Row],[Rating]],'Salary vs. Rating'!$B$10:$B$14,'Salary vs. Rating'!$C$10:$C$14)</f>
        <v>4</v>
      </c>
    </row>
    <row r="167" spans="1:11">
      <c r="A167" t="s">
        <v>190</v>
      </c>
      <c r="B167" t="s">
        <v>15</v>
      </c>
      <c r="C167">
        <v>27</v>
      </c>
      <c r="D167" t="s">
        <v>42</v>
      </c>
      <c r="E167" s="5">
        <v>44547</v>
      </c>
      <c r="F167" t="s">
        <v>9</v>
      </c>
      <c r="G167" s="3">
        <v>113280</v>
      </c>
      <c r="H167" t="s">
        <v>206</v>
      </c>
      <c r="I167" s="6">
        <f ca="1">(TODAY()-Staff[[#This Row],[Date Joined]])/365</f>
        <v>1.6767123287671233</v>
      </c>
      <c r="J167" s="2">
        <f ca="1">IF(Staff[[#This Row],[Tenure]]&gt;3,3%,2%)*Staff[[#This Row],[Salary]]</f>
        <v>2265.6</v>
      </c>
      <c r="K167">
        <f>_xlfn.XLOOKUP(Staff[[#This Row],[Rating]],'Salary vs. Rating'!$B$10:$B$14,'Salary vs. Rating'!$C$10:$C$14)</f>
        <v>1</v>
      </c>
    </row>
    <row r="168" spans="1:11">
      <c r="A168" t="s">
        <v>98</v>
      </c>
      <c r="B168" t="s">
        <v>15</v>
      </c>
      <c r="C168">
        <v>27</v>
      </c>
      <c r="D168" t="s">
        <v>42</v>
      </c>
      <c r="E168" s="5">
        <v>44609</v>
      </c>
      <c r="F168" t="s">
        <v>9</v>
      </c>
      <c r="G168" s="3">
        <v>113280</v>
      </c>
      <c r="H168" t="s">
        <v>205</v>
      </c>
      <c r="I168" s="6">
        <f ca="1">(TODAY()-Staff[[#This Row],[Date Joined]])/365</f>
        <v>1.5068493150684932</v>
      </c>
      <c r="J168" s="2">
        <f ca="1">IF(Staff[[#This Row],[Tenure]]&gt;3,3%,2%)*Staff[[#This Row],[Salary]]</f>
        <v>2265.6</v>
      </c>
      <c r="K168">
        <f>_xlfn.XLOOKUP(Staff[[#This Row],[Rating]],'Salary vs. Rating'!$B$10:$B$14,'Salary vs. Rating'!$C$10:$C$14)</f>
        <v>1</v>
      </c>
    </row>
    <row r="169" spans="1:11">
      <c r="A169" t="s">
        <v>146</v>
      </c>
      <c r="B169" t="s">
        <v>8</v>
      </c>
      <c r="C169">
        <v>30</v>
      </c>
      <c r="D169" t="s">
        <v>16</v>
      </c>
      <c r="E169" s="5">
        <v>44789</v>
      </c>
      <c r="F169" t="s">
        <v>9</v>
      </c>
      <c r="G169" s="3">
        <v>114180</v>
      </c>
      <c r="H169" t="s">
        <v>206</v>
      </c>
      <c r="I169" s="6">
        <f ca="1">(TODAY()-Staff[[#This Row],[Date Joined]])/365</f>
        <v>1.0136986301369864</v>
      </c>
      <c r="J169" s="2">
        <f ca="1">IF(Staff[[#This Row],[Tenure]]&gt;3,3%,2%)*Staff[[#This Row],[Salary]]</f>
        <v>2283.6</v>
      </c>
      <c r="K169">
        <f>_xlfn.XLOOKUP(Staff[[#This Row],[Rating]],'Salary vs. Rating'!$B$10:$B$14,'Salary vs. Rating'!$C$10:$C$14)</f>
        <v>3</v>
      </c>
    </row>
    <row r="170" spans="1:11">
      <c r="A170" t="s">
        <v>54</v>
      </c>
      <c r="B170" t="s">
        <v>8</v>
      </c>
      <c r="C170">
        <v>30</v>
      </c>
      <c r="D170" t="s">
        <v>16</v>
      </c>
      <c r="E170" s="5">
        <v>44850</v>
      </c>
      <c r="F170" t="s">
        <v>9</v>
      </c>
      <c r="G170" s="3">
        <v>114180</v>
      </c>
      <c r="H170" t="s">
        <v>205</v>
      </c>
      <c r="I170" s="6">
        <f ca="1">(TODAY()-Staff[[#This Row],[Date Joined]])/365</f>
        <v>0.84657534246575339</v>
      </c>
      <c r="J170" s="2">
        <f ca="1">IF(Staff[[#This Row],[Tenure]]&gt;3,3%,2%)*Staff[[#This Row],[Salary]]</f>
        <v>2283.6</v>
      </c>
      <c r="K170">
        <f>_xlfn.XLOOKUP(Staff[[#This Row],[Rating]],'Salary vs. Rating'!$B$10:$B$14,'Salary vs. Rating'!$C$10:$C$14)</f>
        <v>3</v>
      </c>
    </row>
    <row r="171" spans="1:11">
      <c r="A171" t="s">
        <v>113</v>
      </c>
      <c r="B171" t="s">
        <v>8</v>
      </c>
      <c r="C171">
        <v>44</v>
      </c>
      <c r="D171" t="s">
        <v>16</v>
      </c>
      <c r="E171" s="5">
        <v>44985</v>
      </c>
      <c r="F171" t="s">
        <v>12</v>
      </c>
      <c r="G171" s="3">
        <v>114870</v>
      </c>
      <c r="H171" t="s">
        <v>206</v>
      </c>
      <c r="I171" s="6">
        <f ca="1">(TODAY()-Staff[[#This Row],[Date Joined]])/365</f>
        <v>0.47671232876712327</v>
      </c>
      <c r="J171" s="2">
        <f ca="1">IF(Staff[[#This Row],[Tenure]]&gt;3,3%,2%)*Staff[[#This Row],[Salary]]</f>
        <v>2297.4</v>
      </c>
      <c r="K171">
        <f>_xlfn.XLOOKUP(Staff[[#This Row],[Rating]],'Salary vs. Rating'!$B$10:$B$14,'Salary vs. Rating'!$C$10:$C$14)</f>
        <v>3</v>
      </c>
    </row>
    <row r="172" spans="1:11">
      <c r="A172" t="s">
        <v>17</v>
      </c>
      <c r="B172" t="s">
        <v>8</v>
      </c>
      <c r="C172">
        <v>43</v>
      </c>
      <c r="D172" t="s">
        <v>16</v>
      </c>
      <c r="E172" s="5">
        <v>45045</v>
      </c>
      <c r="F172" t="s">
        <v>12</v>
      </c>
      <c r="G172" s="3">
        <v>114870</v>
      </c>
      <c r="H172" t="s">
        <v>205</v>
      </c>
      <c r="I172" s="6">
        <f ca="1">(TODAY()-Staff[[#This Row],[Date Joined]])/365</f>
        <v>0.31232876712328766</v>
      </c>
      <c r="J172" s="2">
        <f ca="1">IF(Staff[[#This Row],[Tenure]]&gt;3,3%,2%)*Staff[[#This Row],[Salary]]</f>
        <v>2297.4</v>
      </c>
      <c r="K172">
        <f>_xlfn.XLOOKUP(Staff[[#This Row],[Rating]],'Salary vs. Rating'!$B$10:$B$14,'Salary vs. Rating'!$C$10:$C$14)</f>
        <v>3</v>
      </c>
    </row>
    <row r="173" spans="1:11">
      <c r="A173" t="s">
        <v>174</v>
      </c>
      <c r="B173" t="s">
        <v>8</v>
      </c>
      <c r="C173">
        <v>36</v>
      </c>
      <c r="D173" t="s">
        <v>16</v>
      </c>
      <c r="E173" s="5">
        <v>44023</v>
      </c>
      <c r="F173" t="s">
        <v>9</v>
      </c>
      <c r="G173" s="3">
        <v>114890</v>
      </c>
      <c r="H173" t="s">
        <v>206</v>
      </c>
      <c r="I173" s="6">
        <f ca="1">(TODAY()-Staff[[#This Row],[Date Joined]])/365</f>
        <v>3.1123287671232878</v>
      </c>
      <c r="J173" s="2">
        <f ca="1">IF(Staff[[#This Row],[Tenure]]&gt;3,3%,2%)*Staff[[#This Row],[Salary]]</f>
        <v>3446.7</v>
      </c>
      <c r="K173">
        <f>_xlfn.XLOOKUP(Staff[[#This Row],[Rating]],'Salary vs. Rating'!$B$10:$B$14,'Salary vs. Rating'!$C$10:$C$14)</f>
        <v>3</v>
      </c>
    </row>
    <row r="174" spans="1:11">
      <c r="A174" t="s">
        <v>83</v>
      </c>
      <c r="B174" t="s">
        <v>8</v>
      </c>
      <c r="C174">
        <v>36</v>
      </c>
      <c r="D174" t="s">
        <v>16</v>
      </c>
      <c r="E174" s="5">
        <v>44085</v>
      </c>
      <c r="F174" t="s">
        <v>9</v>
      </c>
      <c r="G174" s="3">
        <v>114890</v>
      </c>
      <c r="H174" t="s">
        <v>205</v>
      </c>
      <c r="I174" s="6">
        <f ca="1">(TODAY()-Staff[[#This Row],[Date Joined]])/365</f>
        <v>2.9424657534246577</v>
      </c>
      <c r="J174" s="2">
        <f ca="1">IF(Staff[[#This Row],[Tenure]]&gt;3,3%,2%)*Staff[[#This Row],[Salary]]</f>
        <v>2297.8000000000002</v>
      </c>
      <c r="K174">
        <f>_xlfn.XLOOKUP(Staff[[#This Row],[Rating]],'Salary vs. Rating'!$B$10:$B$14,'Salary vs. Rating'!$C$10:$C$14)</f>
        <v>3</v>
      </c>
    </row>
    <row r="175" spans="1:11">
      <c r="A175" t="s">
        <v>141</v>
      </c>
      <c r="B175" t="s">
        <v>204</v>
      </c>
      <c r="C175">
        <v>37</v>
      </c>
      <c r="D175" t="s">
        <v>24</v>
      </c>
      <c r="E175" s="5">
        <v>44085</v>
      </c>
      <c r="F175" t="s">
        <v>21</v>
      </c>
      <c r="G175" s="3">
        <v>115440</v>
      </c>
      <c r="H175" t="s">
        <v>206</v>
      </c>
      <c r="I175" s="6">
        <f ca="1">(TODAY()-Staff[[#This Row],[Date Joined]])/365</f>
        <v>2.9424657534246577</v>
      </c>
      <c r="J175" s="2">
        <f ca="1">IF(Staff[[#This Row],[Tenure]]&gt;3,3%,2%)*Staff[[#This Row],[Salary]]</f>
        <v>2308.8000000000002</v>
      </c>
      <c r="K175">
        <f>_xlfn.XLOOKUP(Staff[[#This Row],[Rating]],'Salary vs. Rating'!$B$10:$B$14,'Salary vs. Rating'!$C$10:$C$14)</f>
        <v>2</v>
      </c>
    </row>
    <row r="176" spans="1:11">
      <c r="A176" t="s">
        <v>49</v>
      </c>
      <c r="B176" t="s">
        <v>204</v>
      </c>
      <c r="C176">
        <v>37</v>
      </c>
      <c r="D176" t="s">
        <v>24</v>
      </c>
      <c r="E176" s="5">
        <v>44146</v>
      </c>
      <c r="F176" t="s">
        <v>21</v>
      </c>
      <c r="G176" s="3">
        <v>115440</v>
      </c>
      <c r="H176" t="s">
        <v>205</v>
      </c>
      <c r="I176" s="6">
        <f ca="1">(TODAY()-Staff[[#This Row],[Date Joined]])/365</f>
        <v>2.7753424657534245</v>
      </c>
      <c r="J176" s="2">
        <f ca="1">IF(Staff[[#This Row],[Tenure]]&gt;3,3%,2%)*Staff[[#This Row],[Salary]]</f>
        <v>2308.8000000000002</v>
      </c>
      <c r="K176">
        <f>_xlfn.XLOOKUP(Staff[[#This Row],[Rating]],'Salary vs. Rating'!$B$10:$B$14,'Salary vs. Rating'!$C$10:$C$14)</f>
        <v>2</v>
      </c>
    </row>
    <row r="177" spans="1:11">
      <c r="A177" t="s">
        <v>133</v>
      </c>
      <c r="B177" t="s">
        <v>15</v>
      </c>
      <c r="C177">
        <v>33</v>
      </c>
      <c r="D177" t="s">
        <v>16</v>
      </c>
      <c r="E177" s="5">
        <v>44103</v>
      </c>
      <c r="F177" t="s">
        <v>9</v>
      </c>
      <c r="G177" s="3">
        <v>115920</v>
      </c>
      <c r="H177" t="s">
        <v>206</v>
      </c>
      <c r="I177" s="6">
        <f ca="1">(TODAY()-Staff[[#This Row],[Date Joined]])/365</f>
        <v>2.893150684931507</v>
      </c>
      <c r="J177" s="2">
        <f ca="1">IF(Staff[[#This Row],[Tenure]]&gt;3,3%,2%)*Staff[[#This Row],[Salary]]</f>
        <v>2318.4</v>
      </c>
      <c r="K177">
        <f>_xlfn.XLOOKUP(Staff[[#This Row],[Rating]],'Salary vs. Rating'!$B$10:$B$14,'Salary vs. Rating'!$C$10:$C$14)</f>
        <v>3</v>
      </c>
    </row>
    <row r="178" spans="1:11">
      <c r="A178" t="s">
        <v>40</v>
      </c>
      <c r="B178" t="s">
        <v>15</v>
      </c>
      <c r="C178">
        <v>33</v>
      </c>
      <c r="D178" t="s">
        <v>16</v>
      </c>
      <c r="E178" s="5">
        <v>44164</v>
      </c>
      <c r="F178" t="s">
        <v>9</v>
      </c>
      <c r="G178" s="3">
        <v>115920</v>
      </c>
      <c r="H178" t="s">
        <v>205</v>
      </c>
      <c r="I178" s="6">
        <f ca="1">(TODAY()-Staff[[#This Row],[Date Joined]])/365</f>
        <v>2.7260273972602738</v>
      </c>
      <c r="J178" s="2">
        <f ca="1">IF(Staff[[#This Row],[Tenure]]&gt;3,3%,2%)*Staff[[#This Row],[Salary]]</f>
        <v>2318.4</v>
      </c>
      <c r="K178">
        <f>_xlfn.XLOOKUP(Staff[[#This Row],[Rating]],'Salary vs. Rating'!$B$10:$B$14,'Salary vs. Rating'!$C$10:$C$14)</f>
        <v>3</v>
      </c>
    </row>
    <row r="179" spans="1:11">
      <c r="A179" t="s">
        <v>147</v>
      </c>
      <c r="B179" t="s">
        <v>8</v>
      </c>
      <c r="C179">
        <v>37</v>
      </c>
      <c r="D179" t="s">
        <v>16</v>
      </c>
      <c r="E179" s="5">
        <v>44389</v>
      </c>
      <c r="F179" t="s">
        <v>56</v>
      </c>
      <c r="G179" s="3">
        <v>118100</v>
      </c>
      <c r="H179" t="s">
        <v>206</v>
      </c>
      <c r="I179" s="6">
        <f ca="1">(TODAY()-Staff[[#This Row],[Date Joined]])/365</f>
        <v>2.1095890410958904</v>
      </c>
      <c r="J179" s="2">
        <f ca="1">IF(Staff[[#This Row],[Tenure]]&gt;3,3%,2%)*Staff[[#This Row],[Salary]]</f>
        <v>2362</v>
      </c>
      <c r="K179">
        <f>_xlfn.XLOOKUP(Staff[[#This Row],[Rating]],'Salary vs. Rating'!$B$10:$B$14,'Salary vs. Rating'!$C$10:$C$14)</f>
        <v>3</v>
      </c>
    </row>
    <row r="180" spans="1:11">
      <c r="A180" t="s">
        <v>55</v>
      </c>
      <c r="B180" t="s">
        <v>8</v>
      </c>
      <c r="C180">
        <v>37</v>
      </c>
      <c r="D180" t="s">
        <v>16</v>
      </c>
      <c r="E180" s="5">
        <v>44451</v>
      </c>
      <c r="F180" t="s">
        <v>56</v>
      </c>
      <c r="G180" s="3">
        <v>118100</v>
      </c>
      <c r="H180" t="s">
        <v>205</v>
      </c>
      <c r="I180" s="6">
        <f ca="1">(TODAY()-Staff[[#This Row],[Date Joined]])/365</f>
        <v>1.9397260273972603</v>
      </c>
      <c r="J180" s="2">
        <f ca="1">IF(Staff[[#This Row],[Tenure]]&gt;3,3%,2%)*Staff[[#This Row],[Salary]]</f>
        <v>2362</v>
      </c>
      <c r="K180">
        <f>_xlfn.XLOOKUP(Staff[[#This Row],[Rating]],'Salary vs. Rating'!$B$10:$B$14,'Salary vs. Rating'!$C$10:$C$14)</f>
        <v>3</v>
      </c>
    </row>
    <row r="181" spans="1:11">
      <c r="A181" t="s">
        <v>198</v>
      </c>
      <c r="B181" t="s">
        <v>15</v>
      </c>
      <c r="C181">
        <v>36</v>
      </c>
      <c r="D181" t="s">
        <v>16</v>
      </c>
      <c r="E181" s="5">
        <v>43958</v>
      </c>
      <c r="F181" t="s">
        <v>12</v>
      </c>
      <c r="G181" s="3">
        <v>118840</v>
      </c>
      <c r="H181" t="s">
        <v>206</v>
      </c>
      <c r="I181" s="6">
        <f ca="1">(TODAY()-Staff[[#This Row],[Date Joined]])/365</f>
        <v>3.2904109589041095</v>
      </c>
      <c r="J181" s="2">
        <f ca="1">IF(Staff[[#This Row],[Tenure]]&gt;3,3%,2%)*Staff[[#This Row],[Salary]]</f>
        <v>3565.2</v>
      </c>
      <c r="K181">
        <f>_xlfn.XLOOKUP(Staff[[#This Row],[Rating]],'Salary vs. Rating'!$B$10:$B$14,'Salary vs. Rating'!$C$10:$C$14)</f>
        <v>3</v>
      </c>
    </row>
    <row r="182" spans="1:11">
      <c r="A182" t="s">
        <v>106</v>
      </c>
      <c r="B182" t="s">
        <v>15</v>
      </c>
      <c r="C182">
        <v>36</v>
      </c>
      <c r="D182" t="s">
        <v>16</v>
      </c>
      <c r="E182" s="5">
        <v>44019</v>
      </c>
      <c r="F182" t="s">
        <v>12</v>
      </c>
      <c r="G182" s="3">
        <v>118840</v>
      </c>
      <c r="H182" t="s">
        <v>205</v>
      </c>
      <c r="I182" s="6">
        <f ca="1">(TODAY()-Staff[[#This Row],[Date Joined]])/365</f>
        <v>3.1232876712328768</v>
      </c>
      <c r="J182" s="2">
        <f ca="1">IF(Staff[[#This Row],[Tenure]]&gt;3,3%,2%)*Staff[[#This Row],[Salary]]</f>
        <v>3565.2</v>
      </c>
      <c r="K182">
        <f>_xlfn.XLOOKUP(Staff[[#This Row],[Rating]],'Salary vs. Rating'!$B$10:$B$14,'Salary vs. Rating'!$C$10:$C$14)</f>
        <v>3</v>
      </c>
    </row>
    <row r="183" spans="1:11">
      <c r="A183" t="s">
        <v>151</v>
      </c>
      <c r="B183" t="s">
        <v>8</v>
      </c>
      <c r="C183">
        <v>27</v>
      </c>
      <c r="D183" t="s">
        <v>16</v>
      </c>
      <c r="E183" s="5">
        <v>44061</v>
      </c>
      <c r="F183" t="s">
        <v>56</v>
      </c>
      <c r="G183" s="3">
        <v>119110</v>
      </c>
      <c r="H183" t="s">
        <v>206</v>
      </c>
      <c r="I183" s="6">
        <f ca="1">(TODAY()-Staff[[#This Row],[Date Joined]])/365</f>
        <v>3.0082191780821916</v>
      </c>
      <c r="J183" s="2">
        <f ca="1">IF(Staff[[#This Row],[Tenure]]&gt;3,3%,2%)*Staff[[#This Row],[Salary]]</f>
        <v>3573.2999999999997</v>
      </c>
      <c r="K183">
        <f>_xlfn.XLOOKUP(Staff[[#This Row],[Rating]],'Salary vs. Rating'!$B$10:$B$14,'Salary vs. Rating'!$C$10:$C$14)</f>
        <v>3</v>
      </c>
    </row>
    <row r="184" spans="1:11">
      <c r="A184" t="s">
        <v>60</v>
      </c>
      <c r="B184" t="s">
        <v>8</v>
      </c>
      <c r="C184">
        <v>27</v>
      </c>
      <c r="D184" t="s">
        <v>16</v>
      </c>
      <c r="E184" s="5">
        <v>44122</v>
      </c>
      <c r="F184" t="s">
        <v>56</v>
      </c>
      <c r="G184" s="3">
        <v>119110</v>
      </c>
      <c r="H184" t="s">
        <v>205</v>
      </c>
      <c r="I184" s="6">
        <f ca="1">(TODAY()-Staff[[#This Row],[Date Joined]])/365</f>
        <v>2.8410958904109589</v>
      </c>
      <c r="J184" s="2">
        <f ca="1">IF(Staff[[#This Row],[Tenure]]&gt;3,3%,2%)*Staff[[#This Row],[Salary]]</f>
        <v>2382.2000000000003</v>
      </c>
      <c r="K184">
        <f>_xlfn.XLOOKUP(Staff[[#This Row],[Rating]],'Salary vs. Rating'!$B$10:$B$14,'Salary vs. Rating'!$C$10:$C$14)</f>
        <v>3</v>
      </c>
    </row>
  </sheetData>
  <conditionalFormatting sqref="G1:G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F70F-422D-4363-858A-E0A4FBF68C1E}">
  <sheetPr>
    <tabColor rgb="FF0070C0"/>
  </sheetPr>
  <dimension ref="B2:L7"/>
  <sheetViews>
    <sheetView showGridLines="0" workbookViewId="0">
      <selection activeCell="F29" sqref="F29"/>
    </sheetView>
  </sheetViews>
  <sheetFormatPr defaultRowHeight="15"/>
  <cols>
    <col min="1" max="1" width="7" customWidth="1"/>
    <col min="2" max="2" width="23" customWidth="1"/>
    <col min="3" max="3" width="2.140625" customWidth="1"/>
    <col min="4" max="4" width="18.28515625" customWidth="1"/>
    <col min="5" max="5" width="1.7109375" customWidth="1"/>
    <col min="6" max="6" width="31.28515625" customWidth="1"/>
    <col min="8" max="8" width="23.140625" customWidth="1"/>
    <col min="9" max="9" width="2" customWidth="1"/>
    <col min="10" max="10" width="18.28515625" customWidth="1"/>
    <col min="11" max="11" width="1.7109375" customWidth="1"/>
    <col min="12" max="12" width="35.7109375" customWidth="1"/>
  </cols>
  <sheetData>
    <row r="2" spans="2:12" ht="30" customHeight="1">
      <c r="B2" s="30" t="s">
        <v>246</v>
      </c>
      <c r="C2" s="30"/>
      <c r="D2" s="30"/>
      <c r="E2" s="30"/>
      <c r="F2" s="30"/>
      <c r="H2" s="31" t="s">
        <v>245</v>
      </c>
      <c r="I2" s="31"/>
      <c r="J2" s="31"/>
      <c r="K2" s="31"/>
      <c r="L2" s="31"/>
    </row>
    <row r="4" spans="2:12" ht="41.25" customHeight="1">
      <c r="B4" s="21">
        <f>COUNTIFS(Staff[Country],"NZ")</f>
        <v>91</v>
      </c>
      <c r="D4" s="22">
        <f>COUNTIFS(Staff[Country],"NZ",Staff[Gender],"Female")/B4</f>
        <v>0.47252747252747251</v>
      </c>
      <c r="F4" s="23">
        <f>AVERAGEIFS(Staff[Salary],Staff[Country],"NZ")</f>
        <v>76978.791208791212</v>
      </c>
      <c r="G4" t="s">
        <v>247</v>
      </c>
      <c r="H4" s="24">
        <f>COUNTIFS(Staff[Country],"IND")</f>
        <v>92</v>
      </c>
      <c r="J4" s="25">
        <f>COUNTIFS(Staff[Country],"IND",Staff[Gender],"Female")/H4</f>
        <v>0.46739130434782611</v>
      </c>
      <c r="L4" s="26">
        <f>AVERAGEIFS(Staff[Salary],Staff[Country],"IND")</f>
        <v>77366.521739130432</v>
      </c>
    </row>
    <row r="5" spans="2:12" ht="21" customHeight="1">
      <c r="B5" s="27" t="s">
        <v>248</v>
      </c>
      <c r="D5" s="27" t="s">
        <v>249</v>
      </c>
      <c r="F5" s="27" t="s">
        <v>250</v>
      </c>
      <c r="H5" s="28" t="s">
        <v>248</v>
      </c>
      <c r="J5" s="28" t="s">
        <v>249</v>
      </c>
      <c r="L5" s="28" t="s">
        <v>250</v>
      </c>
    </row>
    <row r="7" spans="2:12" ht="30.75" customHeight="1">
      <c r="B7" s="29" t="s">
        <v>244</v>
      </c>
      <c r="C7" s="29"/>
      <c r="D7" s="29"/>
      <c r="E7" s="29"/>
      <c r="F7" s="29"/>
      <c r="G7" s="29"/>
      <c r="H7" s="29"/>
      <c r="I7" s="29"/>
      <c r="J7" s="29"/>
      <c r="K7" s="29"/>
      <c r="L7" s="29"/>
    </row>
  </sheetData>
  <mergeCells count="3">
    <mergeCell ref="B7:L7"/>
    <mergeCell ref="B2:F2"/>
    <mergeCell ref="H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64CE-B341-4990-9D72-8BABCF86A490}">
  <sheetPr>
    <tabColor theme="7" tint="0.39997558519241921"/>
  </sheetPr>
  <dimension ref="A1"/>
  <sheetViews>
    <sheetView workbookViewId="0">
      <selection activeCell="F30" sqref="F30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0DEA-EF32-40FA-9A94-1C0F78C8ACB9}">
  <sheetPr>
    <tabColor theme="7" tint="0.39997558519241921"/>
  </sheetPr>
  <dimension ref="B2:D14"/>
  <sheetViews>
    <sheetView workbookViewId="0">
      <selection activeCell="G23" sqref="G23"/>
    </sheetView>
  </sheetViews>
  <sheetFormatPr defaultRowHeight="15"/>
  <cols>
    <col min="1" max="2" width="14.28515625" bestFit="1" customWidth="1"/>
    <col min="3" max="3" width="14.42578125" bestFit="1" customWidth="1"/>
    <col min="4" max="4" width="16.42578125" bestFit="1" customWidth="1"/>
  </cols>
  <sheetData>
    <row r="2" spans="2:4">
      <c r="B2" s="15" t="s">
        <v>224</v>
      </c>
      <c r="C2" t="s">
        <v>218</v>
      </c>
      <c r="D2" t="s">
        <v>221</v>
      </c>
    </row>
    <row r="3" spans="2:4">
      <c r="B3" s="8" t="s">
        <v>10</v>
      </c>
      <c r="C3">
        <v>4</v>
      </c>
      <c r="D3" s="3">
        <v>92080</v>
      </c>
    </row>
    <row r="4" spans="2:4">
      <c r="B4" s="8" t="s">
        <v>13</v>
      </c>
      <c r="C4">
        <v>20</v>
      </c>
      <c r="D4" s="3">
        <v>75933</v>
      </c>
    </row>
    <row r="5" spans="2:4">
      <c r="B5" s="8" t="s">
        <v>16</v>
      </c>
      <c r="C5">
        <v>137</v>
      </c>
      <c r="D5" s="3">
        <v>76798.759124087592</v>
      </c>
    </row>
    <row r="6" spans="2:4">
      <c r="B6" s="8" t="s">
        <v>24</v>
      </c>
      <c r="C6">
        <v>16</v>
      </c>
      <c r="D6" s="3">
        <v>78115</v>
      </c>
    </row>
    <row r="7" spans="2:4">
      <c r="B7" s="8" t="s">
        <v>42</v>
      </c>
      <c r="C7">
        <v>6</v>
      </c>
      <c r="D7" s="3">
        <v>77423.333333333328</v>
      </c>
    </row>
    <row r="8" spans="2:4">
      <c r="B8" s="8" t="s">
        <v>225</v>
      </c>
      <c r="C8">
        <v>183</v>
      </c>
      <c r="D8" s="3">
        <v>77173.715846994543</v>
      </c>
    </row>
    <row r="10" spans="2:4">
      <c r="B10" s="8" t="s">
        <v>10</v>
      </c>
      <c r="C10">
        <v>5</v>
      </c>
    </row>
    <row r="11" spans="2:4">
      <c r="B11" s="8" t="s">
        <v>13</v>
      </c>
      <c r="C11">
        <v>4</v>
      </c>
    </row>
    <row r="12" spans="2:4">
      <c r="B12" s="8" t="s">
        <v>16</v>
      </c>
      <c r="C12">
        <v>3</v>
      </c>
    </row>
    <row r="13" spans="2:4">
      <c r="B13" s="8" t="s">
        <v>24</v>
      </c>
      <c r="C13">
        <v>2</v>
      </c>
    </row>
    <row r="14" spans="2:4">
      <c r="B14" s="8" t="s">
        <v>42</v>
      </c>
      <c r="C14">
        <v>1</v>
      </c>
    </row>
  </sheetData>
  <conditionalFormatting pivot="1" sqref="D3:D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{CCF923F5-60B8-430B-AD93-93AF1B7F11B5}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CCF923F5-60B8-430B-AD93-93AF1B7F11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1E6C-E801-43A2-8AAE-BC83EEC24D4D}">
  <sheetPr>
    <tabColor theme="7" tint="0.39997558519241921"/>
  </sheetPr>
  <dimension ref="A2:P39"/>
  <sheetViews>
    <sheetView workbookViewId="0">
      <selection activeCell="A12" sqref="A12"/>
    </sheetView>
  </sheetViews>
  <sheetFormatPr defaultRowHeight="15"/>
  <cols>
    <col min="1" max="1" width="13.140625" bestFit="1" customWidth="1"/>
    <col min="2" max="2" width="14.42578125" style="20" bestFit="1" customWidth="1"/>
    <col min="3" max="3" width="14.42578125" bestFit="1" customWidth="1"/>
    <col min="4" max="4" width="13.28515625" bestFit="1" customWidth="1"/>
    <col min="15" max="15" width="10.85546875" bestFit="1" customWidth="1"/>
    <col min="16" max="16" width="13.28515625" bestFit="1" customWidth="1"/>
  </cols>
  <sheetData>
    <row r="2" spans="1:16">
      <c r="A2" s="15" t="s">
        <v>224</v>
      </c>
      <c r="B2" t="s">
        <v>218</v>
      </c>
      <c r="N2" s="20" t="s">
        <v>241</v>
      </c>
      <c r="O2" t="s">
        <v>242</v>
      </c>
      <c r="P2" t="s">
        <v>243</v>
      </c>
    </row>
    <row r="3" spans="1:16">
      <c r="A3" s="8" t="s">
        <v>227</v>
      </c>
      <c r="B3">
        <v>37</v>
      </c>
      <c r="M3" cm="1">
        <f t="array" ref="M3:M38">_xlfn.SEQUENCE(36)</f>
        <v>1</v>
      </c>
      <c r="N3" s="20" cm="1">
        <f t="array" ref="N3:N38">EDATE(DATE(2020,4,1),_xlfn.ANCHORARRAY(M3)+0)</f>
        <v>43952</v>
      </c>
      <c r="O3">
        <f>COUNTIFS(Staff[Date Joined],"&gt;="&amp;N3,Staff[Date Joined],"&lt;="&amp;EOMONTH(N3,0))</f>
        <v>3</v>
      </c>
      <c r="P3">
        <f>SUM($O$3:O3)</f>
        <v>3</v>
      </c>
    </row>
    <row r="4" spans="1:16">
      <c r="A4" s="19" t="s">
        <v>228</v>
      </c>
      <c r="B4">
        <v>3</v>
      </c>
      <c r="M4">
        <v>2</v>
      </c>
      <c r="N4" s="20">
        <v>43983</v>
      </c>
      <c r="O4">
        <f>COUNTIFS(Staff[Date Joined],"&gt;="&amp;N4,Staff[Date Joined],"&lt;="&amp;EOMONTH(N4,0))</f>
        <v>1</v>
      </c>
      <c r="P4">
        <f>SUM($O$3:O4)</f>
        <v>4</v>
      </c>
    </row>
    <row r="5" spans="1:16">
      <c r="A5" s="19" t="s">
        <v>229</v>
      </c>
      <c r="B5">
        <v>1</v>
      </c>
      <c r="M5">
        <v>3</v>
      </c>
      <c r="N5" s="20">
        <v>44013</v>
      </c>
      <c r="O5">
        <f>COUNTIFS(Staff[Date Joined],"&gt;="&amp;N5,Staff[Date Joined],"&lt;="&amp;EOMONTH(N5,0))</f>
        <v>5</v>
      </c>
      <c r="P5">
        <f>SUM($O$3:O5)</f>
        <v>9</v>
      </c>
    </row>
    <row r="6" spans="1:16">
      <c r="A6" s="19" t="s">
        <v>230</v>
      </c>
      <c r="B6">
        <v>5</v>
      </c>
      <c r="M6">
        <v>4</v>
      </c>
      <c r="N6" s="20">
        <v>44044</v>
      </c>
      <c r="O6">
        <f>COUNTIFS(Staff[Date Joined],"&gt;="&amp;N6,Staff[Date Joined],"&lt;="&amp;EOMONTH(N6,0))</f>
        <v>3</v>
      </c>
      <c r="P6">
        <f>SUM($O$3:O6)</f>
        <v>12</v>
      </c>
    </row>
    <row r="7" spans="1:16">
      <c r="A7" s="19" t="s">
        <v>231</v>
      </c>
      <c r="B7">
        <v>3</v>
      </c>
      <c r="M7">
        <v>5</v>
      </c>
      <c r="N7" s="20">
        <v>44075</v>
      </c>
      <c r="O7">
        <f>COUNTIFS(Staff[Date Joined],"&gt;="&amp;N7,Staff[Date Joined],"&lt;="&amp;EOMONTH(N7,0))</f>
        <v>6</v>
      </c>
      <c r="P7">
        <f>SUM($O$3:O7)</f>
        <v>18</v>
      </c>
    </row>
    <row r="8" spans="1:16">
      <c r="A8" s="19" t="s">
        <v>232</v>
      </c>
      <c r="B8">
        <v>6</v>
      </c>
      <c r="M8">
        <v>6</v>
      </c>
      <c r="N8" s="20">
        <v>44105</v>
      </c>
      <c r="O8">
        <f>COUNTIFS(Staff[Date Joined],"&gt;="&amp;N8,Staff[Date Joined],"&lt;="&amp;EOMONTH(N8,0))</f>
        <v>6</v>
      </c>
      <c r="P8">
        <f>SUM($O$3:O8)</f>
        <v>24</v>
      </c>
    </row>
    <row r="9" spans="1:16">
      <c r="A9" s="19" t="s">
        <v>233</v>
      </c>
      <c r="B9">
        <v>6</v>
      </c>
      <c r="M9">
        <v>7</v>
      </c>
      <c r="N9" s="20">
        <v>44136</v>
      </c>
      <c r="O9">
        <f>COUNTIFS(Staff[Date Joined],"&gt;="&amp;N9,Staff[Date Joined],"&lt;="&amp;EOMONTH(N9,0))</f>
        <v>6</v>
      </c>
      <c r="P9">
        <f>SUM($O$3:O9)</f>
        <v>30</v>
      </c>
    </row>
    <row r="10" spans="1:16">
      <c r="A10" s="19" t="s">
        <v>234</v>
      </c>
      <c r="B10">
        <v>6</v>
      </c>
      <c r="M10">
        <v>8</v>
      </c>
      <c r="N10" s="20">
        <v>44166</v>
      </c>
      <c r="O10">
        <f>COUNTIFS(Staff[Date Joined],"&gt;="&amp;N10,Staff[Date Joined],"&lt;="&amp;EOMONTH(N10,0))</f>
        <v>7</v>
      </c>
      <c r="P10">
        <f>SUM($O$3:O10)</f>
        <v>37</v>
      </c>
    </row>
    <row r="11" spans="1:16">
      <c r="A11" s="19" t="s">
        <v>235</v>
      </c>
      <c r="B11">
        <v>7</v>
      </c>
      <c r="M11">
        <v>9</v>
      </c>
      <c r="N11" s="20">
        <v>44197</v>
      </c>
      <c r="O11">
        <f>COUNTIFS(Staff[Date Joined],"&gt;="&amp;N11,Staff[Date Joined],"&lt;="&amp;EOMONTH(N11,0))</f>
        <v>6</v>
      </c>
      <c r="P11">
        <f>SUM($O$3:O11)</f>
        <v>43</v>
      </c>
    </row>
    <row r="12" spans="1:16">
      <c r="A12" s="8" t="s">
        <v>236</v>
      </c>
      <c r="B12">
        <v>82</v>
      </c>
      <c r="M12">
        <v>10</v>
      </c>
      <c r="N12" s="20">
        <v>44228</v>
      </c>
      <c r="O12">
        <f>COUNTIFS(Staff[Date Joined],"&gt;="&amp;N12,Staff[Date Joined],"&lt;="&amp;EOMONTH(N12,0))</f>
        <v>4</v>
      </c>
      <c r="P12">
        <f>SUM($O$3:O12)</f>
        <v>47</v>
      </c>
    </row>
    <row r="13" spans="1:16">
      <c r="A13" s="8" t="s">
        <v>239</v>
      </c>
      <c r="B13">
        <v>62</v>
      </c>
      <c r="M13">
        <v>11</v>
      </c>
      <c r="N13" s="20">
        <v>44256</v>
      </c>
      <c r="O13">
        <f>COUNTIFS(Staff[Date Joined],"&gt;="&amp;N13,Staff[Date Joined],"&lt;="&amp;EOMONTH(N13,0))</f>
        <v>9</v>
      </c>
      <c r="P13">
        <f>SUM($O$3:O13)</f>
        <v>56</v>
      </c>
    </row>
    <row r="14" spans="1:16">
      <c r="A14" s="8" t="s">
        <v>240</v>
      </c>
      <c r="B14">
        <v>2</v>
      </c>
      <c r="M14">
        <v>12</v>
      </c>
      <c r="N14" s="20">
        <v>44287</v>
      </c>
      <c r="O14">
        <f>COUNTIFS(Staff[Date Joined],"&gt;="&amp;N14,Staff[Date Joined],"&lt;="&amp;EOMONTH(N14,0))</f>
        <v>5</v>
      </c>
      <c r="P14">
        <f>SUM($O$3:O14)</f>
        <v>61</v>
      </c>
    </row>
    <row r="15" spans="1:16">
      <c r="A15" s="19" t="s">
        <v>237</v>
      </c>
      <c r="B15">
        <v>1</v>
      </c>
      <c r="M15">
        <v>13</v>
      </c>
      <c r="N15" s="20">
        <v>44317</v>
      </c>
      <c r="O15">
        <f>COUNTIFS(Staff[Date Joined],"&gt;="&amp;N15,Staff[Date Joined],"&lt;="&amp;EOMONTH(N15,0))</f>
        <v>10</v>
      </c>
      <c r="P15">
        <f>SUM($O$3:O15)</f>
        <v>71</v>
      </c>
    </row>
    <row r="16" spans="1:16">
      <c r="A16" s="19" t="s">
        <v>238</v>
      </c>
      <c r="B16">
        <v>1</v>
      </c>
      <c r="M16">
        <v>14</v>
      </c>
      <c r="N16" s="20">
        <v>44348</v>
      </c>
      <c r="O16">
        <f>COUNTIFS(Staff[Date Joined],"&gt;="&amp;N16,Staff[Date Joined],"&lt;="&amp;EOMONTH(N16,0))</f>
        <v>6</v>
      </c>
      <c r="P16">
        <f>SUM($O$3:O16)</f>
        <v>77</v>
      </c>
    </row>
    <row r="17" spans="1:16">
      <c r="A17" s="8" t="s">
        <v>225</v>
      </c>
      <c r="B17">
        <v>183</v>
      </c>
      <c r="M17">
        <v>15</v>
      </c>
      <c r="N17" s="20">
        <v>44378</v>
      </c>
      <c r="O17">
        <f>COUNTIFS(Staff[Date Joined],"&gt;="&amp;N17,Staff[Date Joined],"&lt;="&amp;EOMONTH(N17,0))</f>
        <v>13</v>
      </c>
      <c r="P17">
        <f>SUM($O$3:O17)</f>
        <v>90</v>
      </c>
    </row>
    <row r="18" spans="1:16">
      <c r="B18"/>
      <c r="M18">
        <v>16</v>
      </c>
      <c r="N18" s="20">
        <v>44409</v>
      </c>
      <c r="O18">
        <f>COUNTIFS(Staff[Date Joined],"&gt;="&amp;N18,Staff[Date Joined],"&lt;="&amp;EOMONTH(N18,0))</f>
        <v>4</v>
      </c>
      <c r="P18">
        <f>SUM($O$3:O18)</f>
        <v>94</v>
      </c>
    </row>
    <row r="19" spans="1:16">
      <c r="B19"/>
      <c r="M19">
        <v>17</v>
      </c>
      <c r="N19" s="20">
        <v>44440</v>
      </c>
      <c r="O19">
        <f>COUNTIFS(Staff[Date Joined],"&gt;="&amp;N19,Staff[Date Joined],"&lt;="&amp;EOMONTH(N19,0))</f>
        <v>11</v>
      </c>
      <c r="P19">
        <f>SUM($O$3:O19)</f>
        <v>105</v>
      </c>
    </row>
    <row r="20" spans="1:16">
      <c r="B20"/>
      <c r="M20">
        <v>18</v>
      </c>
      <c r="N20" s="20">
        <v>44470</v>
      </c>
      <c r="O20">
        <f>COUNTIFS(Staff[Date Joined],"&gt;="&amp;N20,Staff[Date Joined],"&lt;="&amp;EOMONTH(N20,0))</f>
        <v>3</v>
      </c>
      <c r="P20">
        <f>SUM($O$3:O20)</f>
        <v>108</v>
      </c>
    </row>
    <row r="21" spans="1:16">
      <c r="B21"/>
      <c r="M21">
        <v>19</v>
      </c>
      <c r="N21" s="20">
        <v>44501</v>
      </c>
      <c r="O21">
        <f>COUNTIFS(Staff[Date Joined],"&gt;="&amp;N21,Staff[Date Joined],"&lt;="&amp;EOMONTH(N21,0))</f>
        <v>4</v>
      </c>
      <c r="P21">
        <f>SUM($O$3:O21)</f>
        <v>112</v>
      </c>
    </row>
    <row r="22" spans="1:16">
      <c r="B22"/>
      <c r="M22">
        <v>20</v>
      </c>
      <c r="N22" s="20">
        <v>44531</v>
      </c>
      <c r="O22">
        <f>COUNTIFS(Staff[Date Joined],"&gt;="&amp;N22,Staff[Date Joined],"&lt;="&amp;EOMONTH(N22,0))</f>
        <v>7</v>
      </c>
      <c r="P22">
        <f>SUM($O$3:O22)</f>
        <v>119</v>
      </c>
    </row>
    <row r="23" spans="1:16">
      <c r="B23"/>
      <c r="M23">
        <v>21</v>
      </c>
      <c r="N23" s="20">
        <v>44562</v>
      </c>
      <c r="O23">
        <f>COUNTIFS(Staff[Date Joined],"&gt;="&amp;N23,Staff[Date Joined],"&lt;="&amp;EOMONTH(N23,0))</f>
        <v>3</v>
      </c>
      <c r="P23">
        <f>SUM($O$3:O23)</f>
        <v>122</v>
      </c>
    </row>
    <row r="24" spans="1:16">
      <c r="B24"/>
      <c r="M24">
        <v>22</v>
      </c>
      <c r="N24" s="20">
        <v>44593</v>
      </c>
      <c r="O24">
        <f>COUNTIFS(Staff[Date Joined],"&gt;="&amp;N24,Staff[Date Joined],"&lt;="&amp;EOMONTH(N24,0))</f>
        <v>10</v>
      </c>
      <c r="P24">
        <f>SUM($O$3:O24)</f>
        <v>132</v>
      </c>
    </row>
    <row r="25" spans="1:16">
      <c r="B25"/>
      <c r="M25">
        <v>23</v>
      </c>
      <c r="N25" s="20">
        <v>44621</v>
      </c>
      <c r="O25">
        <f>COUNTIFS(Staff[Date Joined],"&gt;="&amp;N25,Staff[Date Joined],"&lt;="&amp;EOMONTH(N25,0))</f>
        <v>9</v>
      </c>
      <c r="P25">
        <f>SUM($O$3:O25)</f>
        <v>141</v>
      </c>
    </row>
    <row r="26" spans="1:16">
      <c r="B26"/>
      <c r="M26">
        <v>24</v>
      </c>
      <c r="N26" s="20">
        <v>44652</v>
      </c>
      <c r="O26">
        <f>COUNTIFS(Staff[Date Joined],"&gt;="&amp;N26,Staff[Date Joined],"&lt;="&amp;EOMONTH(N26,0))</f>
        <v>9</v>
      </c>
      <c r="P26">
        <f>SUM($O$3:O26)</f>
        <v>150</v>
      </c>
    </row>
    <row r="27" spans="1:16">
      <c r="B27"/>
      <c r="M27">
        <v>25</v>
      </c>
      <c r="N27" s="20">
        <v>44682</v>
      </c>
      <c r="O27">
        <f>COUNTIFS(Staff[Date Joined],"&gt;="&amp;N27,Staff[Date Joined],"&lt;="&amp;EOMONTH(N27,0))</f>
        <v>9</v>
      </c>
      <c r="P27">
        <f>SUM($O$3:O27)</f>
        <v>159</v>
      </c>
    </row>
    <row r="28" spans="1:16">
      <c r="B28"/>
      <c r="M28">
        <v>26</v>
      </c>
      <c r="N28" s="20">
        <v>44713</v>
      </c>
      <c r="O28">
        <f>COUNTIFS(Staff[Date Joined],"&gt;="&amp;N28,Staff[Date Joined],"&lt;="&amp;EOMONTH(N28,0))</f>
        <v>7</v>
      </c>
      <c r="P28">
        <f>SUM($O$3:O28)</f>
        <v>166</v>
      </c>
    </row>
    <row r="29" spans="1:16">
      <c r="B29"/>
      <c r="M29">
        <v>27</v>
      </c>
      <c r="N29" s="20">
        <v>44743</v>
      </c>
      <c r="O29">
        <f>COUNTIFS(Staff[Date Joined],"&gt;="&amp;N29,Staff[Date Joined],"&lt;="&amp;EOMONTH(N29,0))</f>
        <v>5</v>
      </c>
      <c r="P29">
        <f>SUM($O$3:O29)</f>
        <v>171</v>
      </c>
    </row>
    <row r="30" spans="1:16">
      <c r="B30"/>
      <c r="M30">
        <v>28</v>
      </c>
      <c r="N30" s="20">
        <v>44774</v>
      </c>
      <c r="O30">
        <f>COUNTIFS(Staff[Date Joined],"&gt;="&amp;N30,Staff[Date Joined],"&lt;="&amp;EOMONTH(N30,0))</f>
        <v>5</v>
      </c>
      <c r="P30">
        <f>SUM($O$3:O30)</f>
        <v>176</v>
      </c>
    </row>
    <row r="31" spans="1:16">
      <c r="B31"/>
      <c r="M31">
        <v>29</v>
      </c>
      <c r="N31" s="20">
        <v>44805</v>
      </c>
      <c r="O31">
        <f>COUNTIFS(Staff[Date Joined],"&gt;="&amp;N31,Staff[Date Joined],"&lt;="&amp;EOMONTH(N31,0))</f>
        <v>2</v>
      </c>
      <c r="P31">
        <f>SUM($O$3:O31)</f>
        <v>178</v>
      </c>
    </row>
    <row r="32" spans="1:16">
      <c r="B32"/>
      <c r="M32">
        <v>30</v>
      </c>
      <c r="N32" s="20">
        <v>44835</v>
      </c>
      <c r="O32">
        <f>COUNTIFS(Staff[Date Joined],"&gt;="&amp;N32,Staff[Date Joined],"&lt;="&amp;EOMONTH(N32,0))</f>
        <v>3</v>
      </c>
      <c r="P32">
        <f>SUM($O$3:O32)</f>
        <v>181</v>
      </c>
    </row>
    <row r="33" spans="2:16">
      <c r="B33"/>
      <c r="M33">
        <v>31</v>
      </c>
      <c r="N33" s="20">
        <v>44866</v>
      </c>
      <c r="O33">
        <f>COUNTIFS(Staff[Date Joined],"&gt;="&amp;N33,Staff[Date Joined],"&lt;="&amp;EOMONTH(N33,0))</f>
        <v>0</v>
      </c>
      <c r="P33">
        <f>SUM($O$3:O33)</f>
        <v>181</v>
      </c>
    </row>
    <row r="34" spans="2:16">
      <c r="B34"/>
      <c r="M34">
        <v>32</v>
      </c>
      <c r="N34" s="20">
        <v>44896</v>
      </c>
      <c r="O34">
        <f>COUNTIFS(Staff[Date Joined],"&gt;="&amp;N34,Staff[Date Joined],"&lt;="&amp;EOMONTH(N34,0))</f>
        <v>0</v>
      </c>
      <c r="P34">
        <f>SUM($O$3:O34)</f>
        <v>181</v>
      </c>
    </row>
    <row r="35" spans="2:16">
      <c r="B35"/>
      <c r="M35">
        <v>33</v>
      </c>
      <c r="N35" s="20">
        <v>44927</v>
      </c>
      <c r="O35">
        <f>COUNTIFS(Staff[Date Joined],"&gt;="&amp;N35,Staff[Date Joined],"&lt;="&amp;EOMONTH(N35,0))</f>
        <v>0</v>
      </c>
      <c r="P35">
        <f>SUM($O$3:O35)</f>
        <v>181</v>
      </c>
    </row>
    <row r="36" spans="2:16">
      <c r="B36"/>
      <c r="M36">
        <v>34</v>
      </c>
      <c r="N36" s="20">
        <v>44958</v>
      </c>
      <c r="O36">
        <f>COUNTIFS(Staff[Date Joined],"&gt;="&amp;N36,Staff[Date Joined],"&lt;="&amp;EOMONTH(N36,0))</f>
        <v>1</v>
      </c>
      <c r="P36">
        <f>SUM($O$3:O36)</f>
        <v>182</v>
      </c>
    </row>
    <row r="37" spans="2:16">
      <c r="B37"/>
      <c r="M37">
        <v>35</v>
      </c>
      <c r="N37" s="20">
        <v>44986</v>
      </c>
      <c r="O37">
        <f>COUNTIFS(Staff[Date Joined],"&gt;="&amp;N37,Staff[Date Joined],"&lt;="&amp;EOMONTH(N37,0))</f>
        <v>0</v>
      </c>
      <c r="P37">
        <f>SUM($O$3:O37)</f>
        <v>182</v>
      </c>
    </row>
    <row r="38" spans="2:16">
      <c r="B38"/>
      <c r="M38">
        <v>36</v>
      </c>
      <c r="N38" s="20">
        <v>45017</v>
      </c>
      <c r="O38">
        <f>COUNTIFS(Staff[Date Joined],"&gt;="&amp;N38,Staff[Date Joined],"&lt;="&amp;EOMONTH(N38,0))</f>
        <v>1</v>
      </c>
      <c r="P38">
        <f>SUM($O$3:O38)</f>
        <v>183</v>
      </c>
    </row>
    <row r="39" spans="2:16">
      <c r="B39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BE4F-182A-4C2B-BC60-ACCCFC98A841}">
  <sheetPr>
    <tabColor theme="7" tint="0.39997558519241921"/>
  </sheetPr>
  <dimension ref="A2:C7"/>
  <sheetViews>
    <sheetView workbookViewId="0">
      <selection activeCell="B6" sqref="B6"/>
    </sheetView>
  </sheetViews>
  <sheetFormatPr defaultRowHeight="15"/>
  <cols>
    <col min="1" max="1" width="17.5703125" bestFit="1" customWidth="1"/>
    <col min="2" max="2" width="16.28515625" bestFit="1" customWidth="1"/>
    <col min="3" max="3" width="10.85546875" bestFit="1" customWidth="1"/>
    <col min="4" max="4" width="11.28515625" bestFit="1" customWidth="1"/>
    <col min="5" max="5" width="13.7109375" bestFit="1" customWidth="1"/>
    <col min="6" max="6" width="16.28515625" bestFit="1" customWidth="1"/>
    <col min="7" max="7" width="19.42578125" bestFit="1" customWidth="1"/>
    <col min="8" max="8" width="19.5703125" bestFit="1" customWidth="1"/>
  </cols>
  <sheetData>
    <row r="2" spans="1:3">
      <c r="B2" s="15" t="s">
        <v>217</v>
      </c>
    </row>
    <row r="3" spans="1:3">
      <c r="A3" s="15" t="s">
        <v>220</v>
      </c>
      <c r="B3" t="s">
        <v>8</v>
      </c>
      <c r="C3" t="s">
        <v>15</v>
      </c>
    </row>
    <row r="4" spans="1:3">
      <c r="A4" s="8" t="s">
        <v>218</v>
      </c>
      <c r="B4">
        <v>86</v>
      </c>
      <c r="C4">
        <v>89</v>
      </c>
    </row>
    <row r="5" spans="1:3">
      <c r="A5" s="8" t="s">
        <v>219</v>
      </c>
      <c r="B5" s="6">
        <v>31.406976744186046</v>
      </c>
      <c r="C5" s="6">
        <v>29.393258426966291</v>
      </c>
    </row>
    <row r="6" spans="1:3">
      <c r="A6" s="8" t="s">
        <v>221</v>
      </c>
      <c r="B6" s="2">
        <v>78284.186046511633</v>
      </c>
      <c r="C6" s="2">
        <v>74915.168539325838</v>
      </c>
    </row>
    <row r="7" spans="1:3">
      <c r="A7" s="8" t="s">
        <v>222</v>
      </c>
      <c r="B7" s="6">
        <v>1.9805670595731126</v>
      </c>
      <c r="C7" s="6">
        <v>1.9714637525011551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A32E-0D1D-4D1E-BC88-D68500F5D81E}">
  <sheetPr>
    <tabColor theme="9" tint="-0.249977111117893"/>
  </sheetPr>
  <dimension ref="C4:I105"/>
  <sheetViews>
    <sheetView showGridLines="0" topLeftCell="A16" workbookViewId="0">
      <selection activeCell="P22" sqref="P22"/>
    </sheetView>
  </sheetViews>
  <sheetFormatPr defaultRowHeight="15"/>
  <cols>
    <col min="1" max="1" width="1.7109375" customWidth="1"/>
    <col min="2" max="2" width="3.7109375" customWidth="1"/>
    <col min="3" max="3" width="21.42578125" bestFit="1" customWidth="1"/>
    <col min="4" max="4" width="7.5703125" bestFit="1" customWidth="1"/>
    <col min="5" max="5" width="12.5703125" bestFit="1" customWidth="1"/>
    <col min="6" max="6" width="7.28515625" style="4" customWidth="1"/>
    <col min="7" max="7" width="10.140625" bestFit="1" customWidth="1"/>
    <col min="8" max="8" width="11.85546875" bestFit="1" customWidth="1"/>
    <col min="9" max="9" width="14.28515625" bestFit="1" customWidth="1"/>
  </cols>
  <sheetData>
    <row r="4" spans="3:9">
      <c r="C4" t="s">
        <v>0</v>
      </c>
      <c r="D4" t="s">
        <v>1</v>
      </c>
      <c r="E4" t="s">
        <v>2</v>
      </c>
      <c r="F4" s="4" t="s">
        <v>3</v>
      </c>
      <c r="G4" s="1" t="s">
        <v>4</v>
      </c>
      <c r="H4" s="3" t="s">
        <v>5</v>
      </c>
      <c r="I4" t="s">
        <v>6</v>
      </c>
    </row>
    <row r="5" spans="3:9">
      <c r="C5" t="s">
        <v>58</v>
      </c>
      <c r="D5" t="s">
        <v>15</v>
      </c>
      <c r="E5" t="s">
        <v>19</v>
      </c>
      <c r="F5" s="4">
        <v>22</v>
      </c>
      <c r="G5" s="1">
        <v>44446</v>
      </c>
      <c r="H5" s="3">
        <v>112780</v>
      </c>
      <c r="I5" t="s">
        <v>13</v>
      </c>
    </row>
    <row r="6" spans="3:9">
      <c r="C6" t="s">
        <v>70</v>
      </c>
      <c r="D6" t="s">
        <v>15</v>
      </c>
      <c r="E6" t="s">
        <v>9</v>
      </c>
      <c r="F6" s="4">
        <v>46</v>
      </c>
      <c r="G6" s="1">
        <v>44758</v>
      </c>
      <c r="H6" s="3">
        <v>70610</v>
      </c>
      <c r="I6" t="s">
        <v>16</v>
      </c>
    </row>
    <row r="7" spans="3:9">
      <c r="C7" t="s">
        <v>75</v>
      </c>
      <c r="D7" t="s">
        <v>8</v>
      </c>
      <c r="E7" t="s">
        <v>19</v>
      </c>
      <c r="F7" s="4">
        <v>28</v>
      </c>
      <c r="G7" s="1">
        <v>44357</v>
      </c>
      <c r="H7" s="3">
        <v>53240</v>
      </c>
      <c r="I7" t="s">
        <v>16</v>
      </c>
    </row>
    <row r="8" spans="3:9">
      <c r="C8" t="s">
        <v>49</v>
      </c>
      <c r="E8" t="s">
        <v>21</v>
      </c>
      <c r="F8" s="4">
        <v>37</v>
      </c>
      <c r="G8" s="1">
        <v>44146</v>
      </c>
      <c r="H8" s="3">
        <v>115440</v>
      </c>
      <c r="I8" t="s">
        <v>24</v>
      </c>
    </row>
    <row r="9" spans="3:9">
      <c r="C9" t="s">
        <v>65</v>
      </c>
      <c r="D9" t="s">
        <v>15</v>
      </c>
      <c r="E9" t="s">
        <v>19</v>
      </c>
      <c r="F9" s="4">
        <v>32</v>
      </c>
      <c r="G9" s="1">
        <v>44465</v>
      </c>
      <c r="H9" s="3">
        <v>53540</v>
      </c>
      <c r="I9" t="s">
        <v>16</v>
      </c>
    </row>
    <row r="10" spans="3:9">
      <c r="C10" t="s">
        <v>81</v>
      </c>
      <c r="D10" t="s">
        <v>8</v>
      </c>
      <c r="E10" t="s">
        <v>9</v>
      </c>
      <c r="F10" s="4">
        <v>30</v>
      </c>
      <c r="G10" s="1">
        <v>44861</v>
      </c>
      <c r="H10" s="3">
        <v>112570</v>
      </c>
      <c r="I10" t="s">
        <v>16</v>
      </c>
    </row>
    <row r="11" spans="3:9">
      <c r="C11" t="s">
        <v>51</v>
      </c>
      <c r="D11" t="s">
        <v>15</v>
      </c>
      <c r="E11" t="s">
        <v>9</v>
      </c>
      <c r="F11" s="4">
        <v>33</v>
      </c>
      <c r="G11" s="1">
        <v>44701</v>
      </c>
      <c r="H11" s="3">
        <v>48530</v>
      </c>
      <c r="I11" t="s">
        <v>13</v>
      </c>
    </row>
    <row r="12" spans="3:9">
      <c r="C12" t="s">
        <v>61</v>
      </c>
      <c r="D12" t="s">
        <v>8</v>
      </c>
      <c r="E12" t="s">
        <v>12</v>
      </c>
      <c r="F12" s="4">
        <v>24</v>
      </c>
      <c r="G12" s="1">
        <v>44148</v>
      </c>
      <c r="H12" s="3">
        <v>62780</v>
      </c>
      <c r="I12" t="s">
        <v>16</v>
      </c>
    </row>
    <row r="13" spans="3:9">
      <c r="C13" t="s">
        <v>82</v>
      </c>
      <c r="D13" t="s">
        <v>15</v>
      </c>
      <c r="E13" t="s">
        <v>12</v>
      </c>
      <c r="F13" s="4">
        <v>33</v>
      </c>
      <c r="G13" s="1">
        <v>44509</v>
      </c>
      <c r="H13" s="3">
        <v>53870</v>
      </c>
      <c r="I13" t="s">
        <v>16</v>
      </c>
    </row>
    <row r="14" spans="3:9">
      <c r="C14" t="s">
        <v>60</v>
      </c>
      <c r="D14" t="s">
        <v>8</v>
      </c>
      <c r="E14" t="s">
        <v>56</v>
      </c>
      <c r="F14" s="4">
        <v>27</v>
      </c>
      <c r="G14" s="1">
        <v>44122</v>
      </c>
      <c r="H14" s="3">
        <v>119110</v>
      </c>
      <c r="I14" t="s">
        <v>16</v>
      </c>
    </row>
    <row r="15" spans="3:9">
      <c r="C15" t="s">
        <v>87</v>
      </c>
      <c r="D15" t="s">
        <v>15</v>
      </c>
      <c r="E15" t="s">
        <v>12</v>
      </c>
      <c r="F15" s="4">
        <v>29</v>
      </c>
      <c r="G15" s="1">
        <v>44180</v>
      </c>
      <c r="H15" s="3">
        <v>112110</v>
      </c>
      <c r="I15" t="s">
        <v>24</v>
      </c>
    </row>
    <row r="16" spans="3:9">
      <c r="C16" t="s">
        <v>76</v>
      </c>
      <c r="D16" t="s">
        <v>15</v>
      </c>
      <c r="E16" t="s">
        <v>19</v>
      </c>
      <c r="F16" s="4">
        <v>25</v>
      </c>
      <c r="G16" s="1">
        <v>44383</v>
      </c>
      <c r="H16" s="3">
        <v>65700</v>
      </c>
      <c r="I16" t="s">
        <v>16</v>
      </c>
    </row>
    <row r="17" spans="3:9">
      <c r="C17" t="s">
        <v>97</v>
      </c>
      <c r="D17" t="s">
        <v>15</v>
      </c>
      <c r="E17" t="s">
        <v>12</v>
      </c>
      <c r="F17" s="4">
        <v>37</v>
      </c>
      <c r="G17" s="1">
        <v>44701</v>
      </c>
      <c r="H17" s="3">
        <v>69070</v>
      </c>
      <c r="I17" t="s">
        <v>16</v>
      </c>
    </row>
    <row r="18" spans="3:9">
      <c r="C18" t="s">
        <v>22</v>
      </c>
      <c r="D18" t="s">
        <v>15</v>
      </c>
      <c r="E18" t="s">
        <v>12</v>
      </c>
      <c r="F18" s="4">
        <v>20</v>
      </c>
      <c r="G18" s="1">
        <v>44459</v>
      </c>
      <c r="H18" s="3">
        <v>107700</v>
      </c>
      <c r="I18" t="s">
        <v>16</v>
      </c>
    </row>
    <row r="19" spans="3:9">
      <c r="C19" t="s">
        <v>84</v>
      </c>
      <c r="D19" t="s">
        <v>8</v>
      </c>
      <c r="E19" t="s">
        <v>12</v>
      </c>
      <c r="F19" s="4">
        <v>32</v>
      </c>
      <c r="G19" s="1">
        <v>44354</v>
      </c>
      <c r="H19" s="3">
        <v>43840</v>
      </c>
      <c r="I19" t="s">
        <v>13</v>
      </c>
    </row>
    <row r="20" spans="3:9">
      <c r="C20" t="s">
        <v>105</v>
      </c>
      <c r="D20" t="s">
        <v>15</v>
      </c>
      <c r="E20" t="s">
        <v>9</v>
      </c>
      <c r="F20" s="4">
        <v>40</v>
      </c>
      <c r="G20" s="1">
        <v>44263</v>
      </c>
      <c r="H20" s="3">
        <v>99750</v>
      </c>
      <c r="I20" t="s">
        <v>16</v>
      </c>
    </row>
    <row r="21" spans="3:9">
      <c r="C21" t="s">
        <v>47</v>
      </c>
      <c r="D21" t="s">
        <v>15</v>
      </c>
      <c r="E21" t="s">
        <v>9</v>
      </c>
      <c r="F21" s="4">
        <v>21</v>
      </c>
      <c r="G21" s="1">
        <v>44104</v>
      </c>
      <c r="H21" s="3">
        <v>37920</v>
      </c>
      <c r="I21" t="s">
        <v>16</v>
      </c>
    </row>
    <row r="22" spans="3:9">
      <c r="C22" t="s">
        <v>31</v>
      </c>
      <c r="D22" t="s">
        <v>15</v>
      </c>
      <c r="E22" t="s">
        <v>9</v>
      </c>
      <c r="F22" s="4">
        <v>21</v>
      </c>
      <c r="G22" s="1">
        <v>44762</v>
      </c>
      <c r="H22" s="3">
        <v>57090</v>
      </c>
      <c r="I22" t="s">
        <v>16</v>
      </c>
    </row>
    <row r="23" spans="3:9">
      <c r="C23" t="s">
        <v>30</v>
      </c>
      <c r="D23" t="s">
        <v>8</v>
      </c>
      <c r="E23" t="s">
        <v>12</v>
      </c>
      <c r="F23" s="4">
        <v>31</v>
      </c>
      <c r="G23" s="1">
        <v>44145</v>
      </c>
      <c r="H23" s="3">
        <v>41980</v>
      </c>
      <c r="I23" t="s">
        <v>16</v>
      </c>
    </row>
    <row r="24" spans="3:9">
      <c r="C24" t="s">
        <v>78</v>
      </c>
      <c r="D24" t="s">
        <v>15</v>
      </c>
      <c r="E24" t="s">
        <v>56</v>
      </c>
      <c r="F24" s="4">
        <v>21</v>
      </c>
      <c r="G24" s="1">
        <v>44242</v>
      </c>
      <c r="H24" s="3">
        <v>75880</v>
      </c>
      <c r="I24" t="s">
        <v>16</v>
      </c>
    </row>
    <row r="25" spans="3:9">
      <c r="C25" t="s">
        <v>36</v>
      </c>
      <c r="D25" t="s">
        <v>8</v>
      </c>
      <c r="E25" t="s">
        <v>21</v>
      </c>
      <c r="F25" s="4">
        <v>34</v>
      </c>
      <c r="G25" s="1">
        <v>44653</v>
      </c>
      <c r="H25" s="3">
        <v>58940</v>
      </c>
      <c r="I25" t="s">
        <v>16</v>
      </c>
    </row>
    <row r="26" spans="3:9">
      <c r="C26" t="s">
        <v>27</v>
      </c>
      <c r="D26" t="s">
        <v>8</v>
      </c>
      <c r="E26" t="s">
        <v>21</v>
      </c>
      <c r="F26" s="4">
        <v>30</v>
      </c>
      <c r="G26" s="1">
        <v>44389</v>
      </c>
      <c r="H26" s="3">
        <v>67910</v>
      </c>
      <c r="I26" t="s">
        <v>24</v>
      </c>
    </row>
    <row r="27" spans="3:9">
      <c r="C27" t="s">
        <v>26</v>
      </c>
      <c r="D27" t="s">
        <v>8</v>
      </c>
      <c r="E27" t="s">
        <v>12</v>
      </c>
      <c r="F27" s="4">
        <v>31</v>
      </c>
      <c r="G27" s="1">
        <v>44663</v>
      </c>
      <c r="H27" s="3">
        <v>58100</v>
      </c>
      <c r="I27" t="s">
        <v>16</v>
      </c>
    </row>
    <row r="28" spans="3:9">
      <c r="C28" t="s">
        <v>53</v>
      </c>
      <c r="D28" t="s">
        <v>15</v>
      </c>
      <c r="E28" t="s">
        <v>21</v>
      </c>
      <c r="F28" s="4">
        <v>27</v>
      </c>
      <c r="G28" s="1">
        <v>44567</v>
      </c>
      <c r="H28" s="3">
        <v>48980</v>
      </c>
      <c r="I28" t="s">
        <v>16</v>
      </c>
    </row>
    <row r="29" spans="3:9">
      <c r="C29" t="s">
        <v>20</v>
      </c>
      <c r="E29" t="s">
        <v>21</v>
      </c>
      <c r="F29" s="4">
        <v>30</v>
      </c>
      <c r="G29" s="1">
        <v>44597</v>
      </c>
      <c r="H29" s="3">
        <v>64000</v>
      </c>
      <c r="I29" t="s">
        <v>16</v>
      </c>
    </row>
    <row r="30" spans="3:9">
      <c r="C30" t="s">
        <v>7</v>
      </c>
      <c r="D30" t="s">
        <v>8</v>
      </c>
      <c r="E30" t="s">
        <v>9</v>
      </c>
      <c r="F30" s="4">
        <v>42</v>
      </c>
      <c r="G30" s="1">
        <v>44779</v>
      </c>
      <c r="H30" s="3">
        <v>75000</v>
      </c>
      <c r="I30" t="s">
        <v>10</v>
      </c>
    </row>
    <row r="31" spans="3:9">
      <c r="C31" t="s">
        <v>74</v>
      </c>
      <c r="D31" t="s">
        <v>8</v>
      </c>
      <c r="E31" t="s">
        <v>12</v>
      </c>
      <c r="F31" s="4">
        <v>40</v>
      </c>
      <c r="G31" s="1">
        <v>44337</v>
      </c>
      <c r="H31" s="3">
        <v>87620</v>
      </c>
      <c r="I31" t="s">
        <v>16</v>
      </c>
    </row>
    <row r="32" spans="3:9">
      <c r="C32" t="s">
        <v>44</v>
      </c>
      <c r="D32" t="s">
        <v>8</v>
      </c>
      <c r="E32" t="s">
        <v>12</v>
      </c>
      <c r="F32" s="4">
        <v>29</v>
      </c>
      <c r="G32" s="1">
        <v>44023</v>
      </c>
      <c r="H32" s="3">
        <v>34980</v>
      </c>
      <c r="I32" t="s">
        <v>16</v>
      </c>
    </row>
    <row r="33" spans="3:9">
      <c r="C33" t="s">
        <v>35</v>
      </c>
      <c r="D33" t="s">
        <v>8</v>
      </c>
      <c r="E33" t="s">
        <v>21</v>
      </c>
      <c r="F33" s="4">
        <v>28</v>
      </c>
      <c r="G33" s="1">
        <v>44185</v>
      </c>
      <c r="H33" s="3">
        <v>75970</v>
      </c>
      <c r="I33" t="s">
        <v>16</v>
      </c>
    </row>
    <row r="34" spans="3:9">
      <c r="C34" t="s">
        <v>38</v>
      </c>
      <c r="D34" t="s">
        <v>8</v>
      </c>
      <c r="E34" t="s">
        <v>21</v>
      </c>
      <c r="F34" s="4">
        <v>34</v>
      </c>
      <c r="G34" s="1">
        <v>44612</v>
      </c>
      <c r="H34" s="3">
        <v>60130</v>
      </c>
      <c r="I34" t="s">
        <v>16</v>
      </c>
    </row>
    <row r="35" spans="3:9">
      <c r="C35" t="s">
        <v>41</v>
      </c>
      <c r="D35" t="s">
        <v>8</v>
      </c>
      <c r="E35" t="s">
        <v>12</v>
      </c>
      <c r="F35" s="4">
        <v>33</v>
      </c>
      <c r="G35" s="1">
        <v>44374</v>
      </c>
      <c r="H35" s="3">
        <v>75480</v>
      </c>
      <c r="I35" t="s">
        <v>42</v>
      </c>
    </row>
    <row r="36" spans="3:9">
      <c r="C36" t="s">
        <v>40</v>
      </c>
      <c r="D36" t="s">
        <v>15</v>
      </c>
      <c r="E36" t="s">
        <v>9</v>
      </c>
      <c r="F36" s="4">
        <v>33</v>
      </c>
      <c r="G36" s="1">
        <v>44164</v>
      </c>
      <c r="H36" s="3">
        <v>115920</v>
      </c>
      <c r="I36" t="s">
        <v>16</v>
      </c>
    </row>
    <row r="37" spans="3:9">
      <c r="C37" t="s">
        <v>48</v>
      </c>
      <c r="D37" t="s">
        <v>8</v>
      </c>
      <c r="E37" t="s">
        <v>19</v>
      </c>
      <c r="F37" s="4">
        <v>36</v>
      </c>
      <c r="G37" s="1">
        <v>44494</v>
      </c>
      <c r="H37" s="3">
        <v>78540</v>
      </c>
      <c r="I37" t="s">
        <v>16</v>
      </c>
    </row>
    <row r="38" spans="3:9">
      <c r="C38" t="s">
        <v>34</v>
      </c>
      <c r="D38" t="s">
        <v>15</v>
      </c>
      <c r="E38" t="s">
        <v>9</v>
      </c>
      <c r="F38" s="4">
        <v>25</v>
      </c>
      <c r="G38" s="1">
        <v>44726</v>
      </c>
      <c r="H38" s="3">
        <v>109190</v>
      </c>
      <c r="I38" t="s">
        <v>13</v>
      </c>
    </row>
    <row r="39" spans="3:9">
      <c r="C39" t="s">
        <v>73</v>
      </c>
      <c r="D39" t="s">
        <v>8</v>
      </c>
      <c r="E39" t="s">
        <v>19</v>
      </c>
      <c r="F39" s="4">
        <v>34</v>
      </c>
      <c r="G39" s="1">
        <v>44721</v>
      </c>
      <c r="H39" s="3">
        <v>49630</v>
      </c>
      <c r="I39" t="s">
        <v>24</v>
      </c>
    </row>
    <row r="40" spans="3:9">
      <c r="C40" t="s">
        <v>107</v>
      </c>
      <c r="D40" t="s">
        <v>8</v>
      </c>
      <c r="E40" t="s">
        <v>9</v>
      </c>
      <c r="F40" s="4">
        <v>28</v>
      </c>
      <c r="G40" s="1">
        <v>44630</v>
      </c>
      <c r="H40" s="3">
        <v>99970</v>
      </c>
      <c r="I40" t="s">
        <v>16</v>
      </c>
    </row>
    <row r="41" spans="3:9">
      <c r="C41" t="s">
        <v>71</v>
      </c>
      <c r="D41" t="s">
        <v>8</v>
      </c>
      <c r="E41" t="s">
        <v>12</v>
      </c>
      <c r="F41" s="4">
        <v>33</v>
      </c>
      <c r="G41" s="1">
        <v>44190</v>
      </c>
      <c r="H41" s="3">
        <v>96140</v>
      </c>
      <c r="I41" t="s">
        <v>16</v>
      </c>
    </row>
    <row r="42" spans="3:9">
      <c r="C42" t="s">
        <v>50</v>
      </c>
      <c r="D42" t="s">
        <v>15</v>
      </c>
      <c r="E42" t="s">
        <v>9</v>
      </c>
      <c r="F42" s="4">
        <v>31</v>
      </c>
      <c r="G42" s="1">
        <v>44724</v>
      </c>
      <c r="H42" s="3">
        <v>103550</v>
      </c>
      <c r="I42" t="s">
        <v>16</v>
      </c>
    </row>
    <row r="43" spans="3:9">
      <c r="C43" t="s">
        <v>14</v>
      </c>
      <c r="D43" t="s">
        <v>15</v>
      </c>
      <c r="E43" t="s">
        <v>12</v>
      </c>
      <c r="F43" s="4">
        <v>31</v>
      </c>
      <c r="G43" s="1">
        <v>44511</v>
      </c>
      <c r="H43" s="3">
        <v>48950</v>
      </c>
      <c r="I43" t="s">
        <v>16</v>
      </c>
    </row>
    <row r="44" spans="3:9">
      <c r="C44" t="s">
        <v>63</v>
      </c>
      <c r="D44" t="s">
        <v>15</v>
      </c>
      <c r="E44" t="s">
        <v>21</v>
      </c>
      <c r="F44" s="4">
        <v>24</v>
      </c>
      <c r="G44" s="1">
        <v>44436</v>
      </c>
      <c r="H44" s="3">
        <v>52610</v>
      </c>
      <c r="I44" t="s">
        <v>24</v>
      </c>
    </row>
    <row r="45" spans="3:9">
      <c r="C45" t="s">
        <v>72</v>
      </c>
      <c r="D45" t="s">
        <v>8</v>
      </c>
      <c r="E45" t="s">
        <v>9</v>
      </c>
      <c r="F45" s="4">
        <v>36</v>
      </c>
      <c r="G45" s="1">
        <v>44529</v>
      </c>
      <c r="H45" s="3">
        <v>78390</v>
      </c>
      <c r="I45" t="s">
        <v>16</v>
      </c>
    </row>
    <row r="46" spans="3:9">
      <c r="C46" t="s">
        <v>88</v>
      </c>
      <c r="D46" t="s">
        <v>8</v>
      </c>
      <c r="E46" t="s">
        <v>21</v>
      </c>
      <c r="F46" s="4">
        <v>33</v>
      </c>
      <c r="G46" s="1">
        <v>44809</v>
      </c>
      <c r="H46" s="3">
        <v>86570</v>
      </c>
      <c r="I46" t="s">
        <v>16</v>
      </c>
    </row>
    <row r="47" spans="3:9">
      <c r="C47" t="s">
        <v>92</v>
      </c>
      <c r="D47" t="s">
        <v>8</v>
      </c>
      <c r="E47" t="s">
        <v>12</v>
      </c>
      <c r="F47" s="4">
        <v>27</v>
      </c>
      <c r="G47" s="1">
        <v>44686</v>
      </c>
      <c r="H47" s="3">
        <v>83750</v>
      </c>
      <c r="I47" t="s">
        <v>16</v>
      </c>
    </row>
    <row r="48" spans="3:9">
      <c r="C48" t="s">
        <v>102</v>
      </c>
      <c r="D48" t="s">
        <v>8</v>
      </c>
      <c r="E48" t="s">
        <v>21</v>
      </c>
      <c r="F48" s="4">
        <v>34</v>
      </c>
      <c r="G48" s="1">
        <v>44445</v>
      </c>
      <c r="H48" s="3">
        <v>92450</v>
      </c>
      <c r="I48" t="s">
        <v>16</v>
      </c>
    </row>
    <row r="49" spans="3:9">
      <c r="C49" t="s">
        <v>64</v>
      </c>
      <c r="D49" t="s">
        <v>15</v>
      </c>
      <c r="E49" t="s">
        <v>12</v>
      </c>
      <c r="F49" s="4">
        <v>20</v>
      </c>
      <c r="G49" s="1">
        <v>44183</v>
      </c>
      <c r="H49" s="3">
        <v>112650</v>
      </c>
      <c r="I49" t="s">
        <v>16</v>
      </c>
    </row>
    <row r="50" spans="3:9">
      <c r="C50" t="s">
        <v>104</v>
      </c>
      <c r="D50" t="s">
        <v>15</v>
      </c>
      <c r="E50" t="s">
        <v>9</v>
      </c>
      <c r="F50" s="4">
        <v>20</v>
      </c>
      <c r="G50" s="1">
        <v>44744</v>
      </c>
      <c r="H50" s="3">
        <v>79570</v>
      </c>
      <c r="I50" t="s">
        <v>16</v>
      </c>
    </row>
    <row r="51" spans="3:9">
      <c r="C51" t="s">
        <v>91</v>
      </c>
      <c r="D51" t="s">
        <v>8</v>
      </c>
      <c r="E51" t="s">
        <v>19</v>
      </c>
      <c r="F51" s="4">
        <v>20</v>
      </c>
      <c r="G51" s="1">
        <v>44537</v>
      </c>
      <c r="H51" s="3">
        <v>68900</v>
      </c>
      <c r="I51" t="s">
        <v>24</v>
      </c>
    </row>
    <row r="52" spans="3:9">
      <c r="C52" t="s">
        <v>39</v>
      </c>
      <c r="D52" t="s">
        <v>8</v>
      </c>
      <c r="E52" t="s">
        <v>12</v>
      </c>
      <c r="F52" s="4">
        <v>25</v>
      </c>
      <c r="G52" s="1">
        <v>44694</v>
      </c>
      <c r="H52" s="3">
        <v>80700</v>
      </c>
      <c r="I52" t="s">
        <v>13</v>
      </c>
    </row>
    <row r="53" spans="3:9">
      <c r="C53" t="s">
        <v>100</v>
      </c>
      <c r="D53" t="s">
        <v>15</v>
      </c>
      <c r="E53" t="s">
        <v>9</v>
      </c>
      <c r="F53" s="4">
        <v>19</v>
      </c>
      <c r="G53" s="1">
        <v>44277</v>
      </c>
      <c r="H53" s="3">
        <v>58960</v>
      </c>
      <c r="I53" t="s">
        <v>16</v>
      </c>
    </row>
    <row r="54" spans="3:9">
      <c r="C54" t="s">
        <v>106</v>
      </c>
      <c r="D54" t="s">
        <v>15</v>
      </c>
      <c r="E54" t="s">
        <v>12</v>
      </c>
      <c r="F54" s="4">
        <v>36</v>
      </c>
      <c r="G54" s="1">
        <v>44019</v>
      </c>
      <c r="H54" s="3">
        <v>118840</v>
      </c>
      <c r="I54" t="s">
        <v>16</v>
      </c>
    </row>
    <row r="55" spans="3:9">
      <c r="C55" t="s">
        <v>29</v>
      </c>
      <c r="D55" t="s">
        <v>15</v>
      </c>
      <c r="E55" t="s">
        <v>21</v>
      </c>
      <c r="F55" s="4">
        <v>28</v>
      </c>
      <c r="G55" s="1">
        <v>44041</v>
      </c>
      <c r="H55" s="3">
        <v>48170</v>
      </c>
      <c r="I55" t="s">
        <v>13</v>
      </c>
    </row>
    <row r="56" spans="3:9">
      <c r="C56" t="s">
        <v>108</v>
      </c>
      <c r="D56" t="s">
        <v>8</v>
      </c>
      <c r="E56" t="s">
        <v>56</v>
      </c>
      <c r="F56" s="4">
        <v>32</v>
      </c>
      <c r="G56" s="1">
        <v>44400</v>
      </c>
      <c r="H56" s="3">
        <v>45510</v>
      </c>
      <c r="I56" t="s">
        <v>16</v>
      </c>
    </row>
    <row r="57" spans="3:9">
      <c r="C57" t="s">
        <v>64</v>
      </c>
      <c r="D57" t="s">
        <v>15</v>
      </c>
      <c r="E57" t="s">
        <v>9</v>
      </c>
      <c r="F57" s="4">
        <v>34</v>
      </c>
      <c r="G57" s="1">
        <v>44703</v>
      </c>
      <c r="H57" s="3">
        <v>112650</v>
      </c>
      <c r="I57" t="s">
        <v>16</v>
      </c>
    </row>
    <row r="58" spans="3:9">
      <c r="C58" t="s">
        <v>83</v>
      </c>
      <c r="D58" t="s">
        <v>8</v>
      </c>
      <c r="E58" t="s">
        <v>9</v>
      </c>
      <c r="F58" s="4">
        <v>36</v>
      </c>
      <c r="G58" s="1">
        <v>44085</v>
      </c>
      <c r="H58" s="3">
        <v>114890</v>
      </c>
      <c r="I58" t="s">
        <v>16</v>
      </c>
    </row>
    <row r="59" spans="3:9">
      <c r="C59" t="s">
        <v>67</v>
      </c>
      <c r="D59" t="s">
        <v>15</v>
      </c>
      <c r="E59" t="s">
        <v>12</v>
      </c>
      <c r="F59" s="4">
        <v>30</v>
      </c>
      <c r="G59" s="1">
        <v>44850</v>
      </c>
      <c r="H59" s="3">
        <v>69710</v>
      </c>
      <c r="I59" t="s">
        <v>16</v>
      </c>
    </row>
    <row r="60" spans="3:9">
      <c r="C60" t="s">
        <v>94</v>
      </c>
      <c r="D60" t="s">
        <v>15</v>
      </c>
      <c r="E60" t="s">
        <v>21</v>
      </c>
      <c r="F60" s="4">
        <v>36</v>
      </c>
      <c r="G60" s="1">
        <v>44333</v>
      </c>
      <c r="H60" s="3">
        <v>71380</v>
      </c>
      <c r="I60" t="s">
        <v>16</v>
      </c>
    </row>
    <row r="61" spans="3:9">
      <c r="C61" t="s">
        <v>33</v>
      </c>
      <c r="D61" t="s">
        <v>8</v>
      </c>
      <c r="E61" t="s">
        <v>19</v>
      </c>
      <c r="F61" s="4">
        <v>38</v>
      </c>
      <c r="G61" s="1">
        <v>44377</v>
      </c>
      <c r="H61" s="3">
        <v>109160</v>
      </c>
      <c r="I61" t="s">
        <v>10</v>
      </c>
    </row>
    <row r="62" spans="3:9">
      <c r="C62" t="s">
        <v>98</v>
      </c>
      <c r="D62" t="s">
        <v>15</v>
      </c>
      <c r="E62" t="s">
        <v>9</v>
      </c>
      <c r="F62" s="4">
        <v>27</v>
      </c>
      <c r="G62" s="1">
        <v>44609</v>
      </c>
      <c r="H62" s="3">
        <v>113280</v>
      </c>
      <c r="I62" t="s">
        <v>42</v>
      </c>
    </row>
    <row r="63" spans="3:9">
      <c r="C63" t="s">
        <v>25</v>
      </c>
      <c r="D63" t="s">
        <v>15</v>
      </c>
      <c r="E63" t="s">
        <v>12</v>
      </c>
      <c r="F63" s="4">
        <v>30</v>
      </c>
      <c r="G63" s="1">
        <v>44273</v>
      </c>
      <c r="H63" s="3">
        <v>69120</v>
      </c>
      <c r="I63" t="s">
        <v>16</v>
      </c>
    </row>
    <row r="64" spans="3:9">
      <c r="C64" t="s">
        <v>55</v>
      </c>
      <c r="D64" t="s">
        <v>8</v>
      </c>
      <c r="E64" t="s">
        <v>56</v>
      </c>
      <c r="F64" s="4">
        <v>37</v>
      </c>
      <c r="G64" s="1">
        <v>44451</v>
      </c>
      <c r="H64" s="3">
        <v>118100</v>
      </c>
      <c r="I64" t="s">
        <v>16</v>
      </c>
    </row>
    <row r="65" spans="3:9">
      <c r="C65" t="s">
        <v>62</v>
      </c>
      <c r="D65" t="s">
        <v>8</v>
      </c>
      <c r="E65" t="s">
        <v>9</v>
      </c>
      <c r="F65" s="4">
        <v>22</v>
      </c>
      <c r="G65" s="1">
        <v>44450</v>
      </c>
      <c r="H65" s="3">
        <v>76900</v>
      </c>
      <c r="I65" t="s">
        <v>13</v>
      </c>
    </row>
    <row r="66" spans="3:9">
      <c r="C66" t="s">
        <v>17</v>
      </c>
      <c r="D66" t="s">
        <v>8</v>
      </c>
      <c r="E66" t="s">
        <v>12</v>
      </c>
      <c r="F66" s="4">
        <v>43</v>
      </c>
      <c r="G66" s="1">
        <v>45045</v>
      </c>
      <c r="H66" s="3">
        <v>114870</v>
      </c>
      <c r="I66" t="s">
        <v>16</v>
      </c>
    </row>
    <row r="67" spans="3:9">
      <c r="C67" t="s">
        <v>52</v>
      </c>
      <c r="E67" t="s">
        <v>12</v>
      </c>
      <c r="F67" s="4">
        <v>32</v>
      </c>
      <c r="G67" s="1">
        <v>44774</v>
      </c>
      <c r="H67" s="3">
        <v>91310</v>
      </c>
      <c r="I67" t="s">
        <v>16</v>
      </c>
    </row>
    <row r="68" spans="3:9">
      <c r="C68" t="s">
        <v>43</v>
      </c>
      <c r="D68" t="s">
        <v>8</v>
      </c>
      <c r="E68" t="s">
        <v>9</v>
      </c>
      <c r="F68" s="4">
        <v>28</v>
      </c>
      <c r="G68" s="1">
        <v>44486</v>
      </c>
      <c r="H68" s="3">
        <v>104770</v>
      </c>
      <c r="I68" t="s">
        <v>16</v>
      </c>
    </row>
    <row r="69" spans="3:9">
      <c r="C69" t="s">
        <v>89</v>
      </c>
      <c r="D69" t="s">
        <v>15</v>
      </c>
      <c r="E69" t="s">
        <v>19</v>
      </c>
      <c r="F69" s="4">
        <v>27</v>
      </c>
      <c r="G69" s="1">
        <v>44134</v>
      </c>
      <c r="H69" s="3">
        <v>54970</v>
      </c>
      <c r="I69" t="s">
        <v>16</v>
      </c>
    </row>
    <row r="70" spans="3:9">
      <c r="C70" t="s">
        <v>11</v>
      </c>
      <c r="E70" t="s">
        <v>12</v>
      </c>
      <c r="F70" s="4">
        <v>26</v>
      </c>
      <c r="G70" s="1">
        <v>44271</v>
      </c>
      <c r="H70" s="3">
        <v>90700</v>
      </c>
      <c r="I70" t="s">
        <v>13</v>
      </c>
    </row>
    <row r="71" spans="3:9">
      <c r="C71" t="s">
        <v>109</v>
      </c>
      <c r="D71" t="s">
        <v>8</v>
      </c>
      <c r="E71" t="s">
        <v>19</v>
      </c>
      <c r="F71" s="4">
        <v>38</v>
      </c>
      <c r="G71" s="1">
        <v>44329</v>
      </c>
      <c r="H71" s="3">
        <v>56870</v>
      </c>
      <c r="I71" t="s">
        <v>13</v>
      </c>
    </row>
    <row r="72" spans="3:9">
      <c r="C72" t="s">
        <v>77</v>
      </c>
      <c r="D72" t="s">
        <v>8</v>
      </c>
      <c r="E72" t="s">
        <v>19</v>
      </c>
      <c r="F72" s="4">
        <v>25</v>
      </c>
      <c r="G72" s="1">
        <v>44205</v>
      </c>
      <c r="H72" s="3">
        <v>92700</v>
      </c>
      <c r="I72" t="s">
        <v>16</v>
      </c>
    </row>
    <row r="73" spans="3:9">
      <c r="C73" t="s">
        <v>32</v>
      </c>
      <c r="D73" t="s">
        <v>8</v>
      </c>
      <c r="E73" t="s">
        <v>21</v>
      </c>
      <c r="F73" s="4">
        <v>21</v>
      </c>
      <c r="G73" s="1">
        <v>44317</v>
      </c>
      <c r="H73" s="3">
        <v>65920</v>
      </c>
      <c r="I73" t="s">
        <v>16</v>
      </c>
    </row>
    <row r="74" spans="3:9">
      <c r="C74" t="s">
        <v>59</v>
      </c>
      <c r="D74" t="s">
        <v>15</v>
      </c>
      <c r="E74" t="s">
        <v>9</v>
      </c>
      <c r="F74" s="4">
        <v>26</v>
      </c>
      <c r="G74" s="1">
        <v>44225</v>
      </c>
      <c r="H74" s="3">
        <v>47360</v>
      </c>
      <c r="I74" t="s">
        <v>16</v>
      </c>
    </row>
    <row r="75" spans="3:9">
      <c r="C75" t="s">
        <v>37</v>
      </c>
      <c r="D75" t="s">
        <v>15</v>
      </c>
      <c r="E75" t="s">
        <v>9</v>
      </c>
      <c r="F75" s="4">
        <v>30</v>
      </c>
      <c r="G75" s="1">
        <v>44666</v>
      </c>
      <c r="H75" s="3">
        <v>60570</v>
      </c>
      <c r="I75" t="s">
        <v>16</v>
      </c>
    </row>
    <row r="76" spans="3:9">
      <c r="C76" t="s">
        <v>96</v>
      </c>
      <c r="D76" t="s">
        <v>8</v>
      </c>
      <c r="E76" t="s">
        <v>9</v>
      </c>
      <c r="F76" s="4">
        <v>28</v>
      </c>
      <c r="G76" s="1">
        <v>44649</v>
      </c>
      <c r="H76" s="3">
        <v>104120</v>
      </c>
      <c r="I76" t="s">
        <v>16</v>
      </c>
    </row>
    <row r="77" spans="3:9">
      <c r="C77" t="s">
        <v>23</v>
      </c>
      <c r="D77" t="s">
        <v>15</v>
      </c>
      <c r="E77" t="s">
        <v>12</v>
      </c>
      <c r="F77" s="4">
        <v>37</v>
      </c>
      <c r="G77" s="1">
        <v>44338</v>
      </c>
      <c r="H77" s="3">
        <v>88050</v>
      </c>
      <c r="I77" t="s">
        <v>24</v>
      </c>
    </row>
    <row r="78" spans="3:9">
      <c r="C78" t="s">
        <v>103</v>
      </c>
      <c r="D78" t="s">
        <v>15</v>
      </c>
      <c r="E78" t="s">
        <v>12</v>
      </c>
      <c r="F78" s="4">
        <v>24</v>
      </c>
      <c r="G78" s="1">
        <v>44686</v>
      </c>
      <c r="H78" s="3">
        <v>100420</v>
      </c>
      <c r="I78" t="s">
        <v>16</v>
      </c>
    </row>
    <row r="79" spans="3:9">
      <c r="C79" t="s">
        <v>54</v>
      </c>
      <c r="D79" t="s">
        <v>8</v>
      </c>
      <c r="E79" t="s">
        <v>9</v>
      </c>
      <c r="F79" s="4">
        <v>30</v>
      </c>
      <c r="G79" s="1">
        <v>44850</v>
      </c>
      <c r="H79" s="3">
        <v>114180</v>
      </c>
      <c r="I79" t="s">
        <v>16</v>
      </c>
    </row>
    <row r="80" spans="3:9">
      <c r="C80" t="s">
        <v>86</v>
      </c>
      <c r="D80" t="s">
        <v>8</v>
      </c>
      <c r="E80" t="s">
        <v>12</v>
      </c>
      <c r="F80" s="4">
        <v>21</v>
      </c>
      <c r="G80" s="1">
        <v>44678</v>
      </c>
      <c r="H80" s="3">
        <v>33920</v>
      </c>
      <c r="I80" t="s">
        <v>16</v>
      </c>
    </row>
    <row r="81" spans="3:9">
      <c r="C81" t="s">
        <v>69</v>
      </c>
      <c r="D81" t="s">
        <v>15</v>
      </c>
      <c r="E81" t="s">
        <v>9</v>
      </c>
      <c r="F81" s="4">
        <v>23</v>
      </c>
      <c r="G81" s="1">
        <v>44440</v>
      </c>
      <c r="H81" s="3">
        <v>106460</v>
      </c>
      <c r="I81" t="s">
        <v>16</v>
      </c>
    </row>
    <row r="82" spans="3:9">
      <c r="C82" t="s">
        <v>57</v>
      </c>
      <c r="D82" t="s">
        <v>15</v>
      </c>
      <c r="E82" t="s">
        <v>9</v>
      </c>
      <c r="F82" s="4">
        <v>35</v>
      </c>
      <c r="G82" s="1">
        <v>44727</v>
      </c>
      <c r="H82" s="3">
        <v>40400</v>
      </c>
      <c r="I82" t="s">
        <v>16</v>
      </c>
    </row>
    <row r="83" spans="3:9">
      <c r="C83" t="s">
        <v>68</v>
      </c>
      <c r="D83" t="s">
        <v>15</v>
      </c>
      <c r="E83" t="s">
        <v>21</v>
      </c>
      <c r="F83" s="4">
        <v>27</v>
      </c>
      <c r="G83" s="1">
        <v>44236</v>
      </c>
      <c r="H83" s="3">
        <v>91650</v>
      </c>
      <c r="I83" t="s">
        <v>13</v>
      </c>
    </row>
    <row r="84" spans="3:9">
      <c r="C84" t="s">
        <v>99</v>
      </c>
      <c r="D84" t="s">
        <v>15</v>
      </c>
      <c r="E84" t="s">
        <v>19</v>
      </c>
      <c r="F84" s="4">
        <v>43</v>
      </c>
      <c r="G84" s="1">
        <v>44620</v>
      </c>
      <c r="H84" s="3">
        <v>36040</v>
      </c>
      <c r="I84" t="s">
        <v>16</v>
      </c>
    </row>
    <row r="85" spans="3:9">
      <c r="C85" t="s">
        <v>101</v>
      </c>
      <c r="D85" t="s">
        <v>8</v>
      </c>
      <c r="E85" t="s">
        <v>12</v>
      </c>
      <c r="F85" s="4">
        <v>40</v>
      </c>
      <c r="G85" s="1">
        <v>44381</v>
      </c>
      <c r="H85" s="3">
        <v>104410</v>
      </c>
      <c r="I85" t="s">
        <v>16</v>
      </c>
    </row>
    <row r="86" spans="3:9">
      <c r="C86" t="s">
        <v>85</v>
      </c>
      <c r="D86" t="s">
        <v>15</v>
      </c>
      <c r="E86" t="s">
        <v>21</v>
      </c>
      <c r="F86" s="4">
        <v>30</v>
      </c>
      <c r="G86" s="1">
        <v>44606</v>
      </c>
      <c r="H86" s="3">
        <v>96800</v>
      </c>
      <c r="I86" t="s">
        <v>16</v>
      </c>
    </row>
    <row r="87" spans="3:9">
      <c r="C87" t="s">
        <v>28</v>
      </c>
      <c r="D87" t="s">
        <v>8</v>
      </c>
      <c r="E87" t="s">
        <v>21</v>
      </c>
      <c r="F87" s="4">
        <v>34</v>
      </c>
      <c r="G87" s="1">
        <v>44459</v>
      </c>
      <c r="H87" s="3">
        <v>85000</v>
      </c>
      <c r="I87" t="s">
        <v>16</v>
      </c>
    </row>
    <row r="88" spans="3:9">
      <c r="C88" t="s">
        <v>80</v>
      </c>
      <c r="D88" t="s">
        <v>15</v>
      </c>
      <c r="E88" t="s">
        <v>19</v>
      </c>
      <c r="F88" s="4">
        <v>28</v>
      </c>
      <c r="G88" s="1">
        <v>44820</v>
      </c>
      <c r="H88" s="3">
        <v>43510</v>
      </c>
      <c r="I88" t="s">
        <v>42</v>
      </c>
    </row>
    <row r="89" spans="3:9">
      <c r="C89" t="s">
        <v>79</v>
      </c>
      <c r="D89" t="s">
        <v>15</v>
      </c>
      <c r="E89" t="s">
        <v>21</v>
      </c>
      <c r="F89" s="4">
        <v>33</v>
      </c>
      <c r="G89" s="1">
        <v>44243</v>
      </c>
      <c r="H89" s="3">
        <v>59430</v>
      </c>
      <c r="I89" t="s">
        <v>16</v>
      </c>
    </row>
    <row r="90" spans="3:9">
      <c r="C90" t="s">
        <v>93</v>
      </c>
      <c r="D90" t="s">
        <v>8</v>
      </c>
      <c r="E90" t="s">
        <v>21</v>
      </c>
      <c r="F90" s="4">
        <v>33</v>
      </c>
      <c r="G90" s="1">
        <v>44067</v>
      </c>
      <c r="H90" s="3">
        <v>65360</v>
      </c>
      <c r="I90" t="s">
        <v>16</v>
      </c>
    </row>
    <row r="91" spans="3:9">
      <c r="C91" t="s">
        <v>66</v>
      </c>
      <c r="D91" t="s">
        <v>8</v>
      </c>
      <c r="E91" t="s">
        <v>9</v>
      </c>
      <c r="F91" s="4">
        <v>32</v>
      </c>
      <c r="G91" s="1">
        <v>44611</v>
      </c>
      <c r="H91" s="3">
        <v>41570</v>
      </c>
      <c r="I91" t="s">
        <v>16</v>
      </c>
    </row>
    <row r="92" spans="3:9">
      <c r="C92" t="s">
        <v>95</v>
      </c>
      <c r="D92" t="s">
        <v>8</v>
      </c>
      <c r="E92" t="s">
        <v>12</v>
      </c>
      <c r="F92" s="4">
        <v>33</v>
      </c>
      <c r="G92" s="1">
        <v>44312</v>
      </c>
      <c r="H92" s="3">
        <v>75280</v>
      </c>
      <c r="I92" t="s">
        <v>16</v>
      </c>
    </row>
    <row r="93" spans="3:9">
      <c r="C93" t="s">
        <v>18</v>
      </c>
      <c r="D93" t="s">
        <v>15</v>
      </c>
      <c r="E93" t="s">
        <v>19</v>
      </c>
      <c r="F93" s="4">
        <v>33</v>
      </c>
      <c r="G93" s="1">
        <v>44385</v>
      </c>
      <c r="H93" s="3">
        <v>74550</v>
      </c>
      <c r="I93" t="s">
        <v>16</v>
      </c>
    </row>
    <row r="94" spans="3:9">
      <c r="C94" t="s">
        <v>45</v>
      </c>
      <c r="D94" t="s">
        <v>15</v>
      </c>
      <c r="E94" t="s">
        <v>9</v>
      </c>
      <c r="F94" s="4">
        <v>30</v>
      </c>
      <c r="G94" s="1">
        <v>44701</v>
      </c>
      <c r="H94" s="3">
        <v>67950</v>
      </c>
      <c r="I94" t="s">
        <v>16</v>
      </c>
    </row>
    <row r="95" spans="3:9">
      <c r="C95" t="s">
        <v>90</v>
      </c>
      <c r="D95" t="s">
        <v>15</v>
      </c>
      <c r="E95" t="s">
        <v>21</v>
      </c>
      <c r="F95" s="4">
        <v>42</v>
      </c>
      <c r="G95" s="1">
        <v>44731</v>
      </c>
      <c r="H95" s="3">
        <v>70270</v>
      </c>
      <c r="I95" t="s">
        <v>24</v>
      </c>
    </row>
    <row r="96" spans="3:9">
      <c r="C96" t="s">
        <v>46</v>
      </c>
      <c r="D96" t="s">
        <v>15</v>
      </c>
      <c r="E96" t="s">
        <v>9</v>
      </c>
      <c r="F96" s="4">
        <v>26</v>
      </c>
      <c r="G96" s="1">
        <v>44411</v>
      </c>
      <c r="H96" s="3">
        <v>53540</v>
      </c>
      <c r="I96" t="s">
        <v>16</v>
      </c>
    </row>
    <row r="97" spans="3:9">
      <c r="C97" t="s">
        <v>58</v>
      </c>
      <c r="D97" t="s">
        <v>15</v>
      </c>
      <c r="E97" t="s">
        <v>19</v>
      </c>
      <c r="F97" s="4">
        <v>22</v>
      </c>
      <c r="G97" s="1">
        <v>44446</v>
      </c>
      <c r="H97" s="3">
        <v>112780</v>
      </c>
      <c r="I97" t="s">
        <v>13</v>
      </c>
    </row>
    <row r="98" spans="3:9">
      <c r="C98" t="s">
        <v>70</v>
      </c>
      <c r="D98" t="s">
        <v>15</v>
      </c>
      <c r="E98" t="s">
        <v>9</v>
      </c>
      <c r="F98" s="4">
        <v>46</v>
      </c>
      <c r="G98" s="1">
        <v>44758</v>
      </c>
      <c r="H98" s="3">
        <v>70610</v>
      </c>
      <c r="I98" t="s">
        <v>16</v>
      </c>
    </row>
    <row r="99" spans="3:9">
      <c r="C99" t="s">
        <v>75</v>
      </c>
      <c r="D99" t="s">
        <v>8</v>
      </c>
      <c r="E99" t="s">
        <v>19</v>
      </c>
      <c r="F99" s="4">
        <v>28</v>
      </c>
      <c r="G99" s="1">
        <v>44357</v>
      </c>
      <c r="H99" s="3">
        <v>53240</v>
      </c>
      <c r="I99" t="s">
        <v>16</v>
      </c>
    </row>
    <row r="100" spans="3:9">
      <c r="C100" t="s">
        <v>49</v>
      </c>
      <c r="E100" t="s">
        <v>21</v>
      </c>
      <c r="F100" s="4">
        <v>37</v>
      </c>
      <c r="G100" s="1">
        <v>44146</v>
      </c>
      <c r="H100" s="3">
        <v>115440</v>
      </c>
      <c r="I100" t="s">
        <v>24</v>
      </c>
    </row>
    <row r="101" spans="3:9">
      <c r="C101" t="s">
        <v>65</v>
      </c>
      <c r="D101" t="s">
        <v>15</v>
      </c>
      <c r="E101" t="s">
        <v>19</v>
      </c>
      <c r="F101" s="4">
        <v>32</v>
      </c>
      <c r="G101" s="1">
        <v>44465</v>
      </c>
      <c r="H101" s="3">
        <v>53540</v>
      </c>
      <c r="I101" t="s">
        <v>16</v>
      </c>
    </row>
    <row r="102" spans="3:9">
      <c r="C102" t="s">
        <v>81</v>
      </c>
      <c r="D102" t="s">
        <v>8</v>
      </c>
      <c r="E102" t="s">
        <v>9</v>
      </c>
      <c r="F102" s="4">
        <v>30</v>
      </c>
      <c r="G102" s="1">
        <v>44861</v>
      </c>
      <c r="H102" s="3">
        <v>112570</v>
      </c>
      <c r="I102" t="s">
        <v>16</v>
      </c>
    </row>
    <row r="103" spans="3:9">
      <c r="C103" t="s">
        <v>51</v>
      </c>
      <c r="D103" t="s">
        <v>15</v>
      </c>
      <c r="E103" t="s">
        <v>9</v>
      </c>
      <c r="F103" s="4">
        <v>33</v>
      </c>
      <c r="G103" s="1">
        <v>44701</v>
      </c>
      <c r="H103" s="3">
        <v>48530</v>
      </c>
      <c r="I103" t="s">
        <v>13</v>
      </c>
    </row>
    <row r="104" spans="3:9">
      <c r="C104" t="s">
        <v>61</v>
      </c>
      <c r="D104" t="s">
        <v>8</v>
      </c>
      <c r="E104" t="s">
        <v>12</v>
      </c>
      <c r="F104" s="4">
        <v>24</v>
      </c>
      <c r="G104" s="1">
        <v>44148</v>
      </c>
      <c r="H104" s="3">
        <v>62780</v>
      </c>
      <c r="I104" t="s">
        <v>16</v>
      </c>
    </row>
    <row r="105" spans="3:9">
      <c r="C105" t="s">
        <v>202</v>
      </c>
      <c r="F105" s="4">
        <f>SUBTOTAL(101,New_Zealand_Staff[Age])</f>
        <v>30.52</v>
      </c>
      <c r="H105" s="3">
        <f>SUBTOTAL(101,New_Zealand_Staff[Salary])</f>
        <v>77472.100000000006</v>
      </c>
      <c r="I105">
        <f>SUBTOTAL(103,New_Zealand_Staff[Rating])</f>
        <v>100</v>
      </c>
    </row>
  </sheetData>
  <conditionalFormatting sqref="C1:C1048576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sheetPr>
    <tabColor theme="5" tint="0.39997558519241921"/>
  </sheetPr>
  <dimension ref="B2:H115"/>
  <sheetViews>
    <sheetView tabSelected="1" topLeftCell="A85" workbookViewId="0">
      <selection activeCell="K96" sqref="K96"/>
    </sheetView>
  </sheetViews>
  <sheetFormatPr defaultRowHeight="15"/>
  <cols>
    <col min="2" max="2" width="30" bestFit="1" customWidth="1"/>
    <col min="3" max="3" width="9.85546875" customWidth="1"/>
    <col min="4" max="4" width="6.5703125" customWidth="1"/>
    <col min="5" max="5" width="14.28515625" bestFit="1" customWidth="1"/>
    <col min="6" max="6" width="13.5703125" customWidth="1"/>
    <col min="7" max="7" width="13.85546875" customWidth="1"/>
    <col min="8" max="8" width="8.42578125" customWidth="1"/>
  </cols>
  <sheetData>
    <row r="2" spans="2:8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>
      <c r="B3" t="s">
        <v>155</v>
      </c>
      <c r="C3" t="s">
        <v>15</v>
      </c>
      <c r="D3">
        <v>20</v>
      </c>
      <c r="E3" t="s">
        <v>16</v>
      </c>
      <c r="F3" s="1">
        <v>44122</v>
      </c>
      <c r="G3" t="s">
        <v>12</v>
      </c>
      <c r="H3">
        <v>112650</v>
      </c>
    </row>
    <row r="4" spans="2:8">
      <c r="B4" t="s">
        <v>175</v>
      </c>
      <c r="C4" t="s">
        <v>8</v>
      </c>
      <c r="D4">
        <v>32</v>
      </c>
      <c r="E4" t="s">
        <v>13</v>
      </c>
      <c r="F4" s="1">
        <v>44293</v>
      </c>
      <c r="G4" t="s">
        <v>12</v>
      </c>
      <c r="H4">
        <v>43840</v>
      </c>
    </row>
    <row r="5" spans="2:8">
      <c r="B5" t="s">
        <v>142</v>
      </c>
      <c r="C5" t="s">
        <v>15</v>
      </c>
      <c r="D5">
        <v>31</v>
      </c>
      <c r="E5" t="s">
        <v>16</v>
      </c>
      <c r="F5" s="1">
        <v>44663</v>
      </c>
      <c r="G5" t="s">
        <v>9</v>
      </c>
      <c r="H5">
        <v>103550</v>
      </c>
    </row>
    <row r="6" spans="2:8">
      <c r="B6" t="s">
        <v>200</v>
      </c>
      <c r="C6" t="s">
        <v>8</v>
      </c>
      <c r="D6">
        <v>32</v>
      </c>
      <c r="E6" t="s">
        <v>16</v>
      </c>
      <c r="F6" s="1">
        <v>44339</v>
      </c>
      <c r="G6" t="s">
        <v>56</v>
      </c>
      <c r="H6">
        <v>45510</v>
      </c>
    </row>
    <row r="7" spans="2:8">
      <c r="B7" t="s">
        <v>141</v>
      </c>
      <c r="D7">
        <v>37</v>
      </c>
      <c r="E7" t="s">
        <v>24</v>
      </c>
      <c r="F7" s="1">
        <v>44085</v>
      </c>
      <c r="G7" t="s">
        <v>21</v>
      </c>
      <c r="H7">
        <v>115440</v>
      </c>
    </row>
    <row r="8" spans="2:8">
      <c r="B8" t="s">
        <v>201</v>
      </c>
      <c r="C8" t="s">
        <v>8</v>
      </c>
      <c r="D8">
        <v>38</v>
      </c>
      <c r="E8" t="s">
        <v>13</v>
      </c>
      <c r="F8" s="1">
        <v>44268</v>
      </c>
      <c r="G8" t="s">
        <v>19</v>
      </c>
      <c r="H8">
        <v>56870</v>
      </c>
    </row>
    <row r="9" spans="2:8">
      <c r="B9" t="s">
        <v>168</v>
      </c>
      <c r="C9" t="s">
        <v>8</v>
      </c>
      <c r="D9">
        <v>25</v>
      </c>
      <c r="E9" t="s">
        <v>16</v>
      </c>
      <c r="F9" s="1">
        <v>44144</v>
      </c>
      <c r="G9" t="s">
        <v>19</v>
      </c>
      <c r="H9">
        <v>92700</v>
      </c>
    </row>
    <row r="10" spans="2:8">
      <c r="B10" t="s">
        <v>144</v>
      </c>
      <c r="D10">
        <v>32</v>
      </c>
      <c r="E10" t="s">
        <v>16</v>
      </c>
      <c r="F10" s="1">
        <v>44713</v>
      </c>
      <c r="G10" t="s">
        <v>12</v>
      </c>
      <c r="H10">
        <v>91310</v>
      </c>
    </row>
    <row r="11" spans="2:8">
      <c r="B11" t="s">
        <v>114</v>
      </c>
      <c r="C11" t="s">
        <v>15</v>
      </c>
      <c r="D11">
        <v>33</v>
      </c>
      <c r="E11" t="s">
        <v>16</v>
      </c>
      <c r="F11" s="1">
        <v>44324</v>
      </c>
      <c r="G11" t="s">
        <v>19</v>
      </c>
      <c r="H11">
        <v>74550</v>
      </c>
    </row>
    <row r="12" spans="2:8">
      <c r="B12" t="s">
        <v>127</v>
      </c>
      <c r="C12" t="s">
        <v>15</v>
      </c>
      <c r="D12">
        <v>25</v>
      </c>
      <c r="E12" t="s">
        <v>13</v>
      </c>
      <c r="F12" s="1">
        <v>44665</v>
      </c>
      <c r="G12" t="s">
        <v>9</v>
      </c>
      <c r="H12">
        <v>109190</v>
      </c>
    </row>
    <row r="13" spans="2:8">
      <c r="B13" t="s">
        <v>193</v>
      </c>
      <c r="C13" t="s">
        <v>8</v>
      </c>
      <c r="D13">
        <v>40</v>
      </c>
      <c r="E13" t="s">
        <v>16</v>
      </c>
      <c r="F13" s="1">
        <v>44320</v>
      </c>
      <c r="G13" t="s">
        <v>12</v>
      </c>
      <c r="H13">
        <v>104410</v>
      </c>
    </row>
    <row r="14" spans="2:8">
      <c r="B14" t="s">
        <v>176</v>
      </c>
      <c r="C14" t="s">
        <v>15</v>
      </c>
      <c r="D14">
        <v>30</v>
      </c>
      <c r="E14" t="s">
        <v>16</v>
      </c>
      <c r="F14" s="1">
        <v>44544</v>
      </c>
      <c r="G14" t="s">
        <v>21</v>
      </c>
      <c r="H14">
        <v>96800</v>
      </c>
    </row>
    <row r="15" spans="2:8">
      <c r="B15" t="s">
        <v>122</v>
      </c>
      <c r="C15" t="s">
        <v>15</v>
      </c>
      <c r="D15">
        <v>28</v>
      </c>
      <c r="E15" t="s">
        <v>13</v>
      </c>
      <c r="F15" s="1">
        <v>43980</v>
      </c>
      <c r="G15" t="s">
        <v>21</v>
      </c>
      <c r="H15">
        <v>48170</v>
      </c>
    </row>
    <row r="16" spans="2:8">
      <c r="B16" t="s">
        <v>139</v>
      </c>
      <c r="C16" t="s">
        <v>15</v>
      </c>
      <c r="D16">
        <v>21</v>
      </c>
      <c r="E16" t="s">
        <v>16</v>
      </c>
      <c r="F16" s="1">
        <v>44042</v>
      </c>
      <c r="G16" t="s">
        <v>9</v>
      </c>
      <c r="H16">
        <v>37920</v>
      </c>
    </row>
    <row r="17" spans="2:8">
      <c r="B17" t="s">
        <v>177</v>
      </c>
      <c r="C17" t="s">
        <v>15</v>
      </c>
      <c r="D17">
        <v>34</v>
      </c>
      <c r="E17" t="s">
        <v>16</v>
      </c>
      <c r="F17" s="1">
        <v>44642</v>
      </c>
      <c r="G17" t="s">
        <v>9</v>
      </c>
      <c r="H17">
        <v>112650</v>
      </c>
    </row>
    <row r="18" spans="2:8">
      <c r="B18" t="s">
        <v>164</v>
      </c>
      <c r="C18" t="s">
        <v>8</v>
      </c>
      <c r="D18">
        <v>34</v>
      </c>
      <c r="E18" t="s">
        <v>24</v>
      </c>
      <c r="F18" s="1">
        <v>44660</v>
      </c>
      <c r="G18" t="s">
        <v>19</v>
      </c>
      <c r="H18">
        <v>49630</v>
      </c>
    </row>
    <row r="19" spans="2:8">
      <c r="B19" t="s">
        <v>198</v>
      </c>
      <c r="C19" t="s">
        <v>15</v>
      </c>
      <c r="D19">
        <v>36</v>
      </c>
      <c r="E19" t="s">
        <v>16</v>
      </c>
      <c r="F19" s="1">
        <v>43958</v>
      </c>
      <c r="G19" t="s">
        <v>12</v>
      </c>
      <c r="H19">
        <v>118840</v>
      </c>
    </row>
    <row r="20" spans="2:8">
      <c r="B20" t="s">
        <v>158</v>
      </c>
      <c r="C20" t="s">
        <v>15</v>
      </c>
      <c r="D20">
        <v>30</v>
      </c>
      <c r="E20" t="s">
        <v>16</v>
      </c>
      <c r="F20" s="1">
        <v>44789</v>
      </c>
      <c r="G20" t="s">
        <v>12</v>
      </c>
      <c r="H20">
        <v>69710</v>
      </c>
    </row>
    <row r="21" spans="2:8">
      <c r="B21" t="s">
        <v>196</v>
      </c>
      <c r="C21" t="s">
        <v>15</v>
      </c>
      <c r="D21">
        <v>20</v>
      </c>
      <c r="E21" t="s">
        <v>16</v>
      </c>
      <c r="F21" s="1">
        <v>44683</v>
      </c>
      <c r="G21" t="s">
        <v>9</v>
      </c>
      <c r="H21">
        <v>79570</v>
      </c>
    </row>
    <row r="22" spans="2:8">
      <c r="B22" t="s">
        <v>153</v>
      </c>
      <c r="C22" t="s">
        <v>8</v>
      </c>
      <c r="D22">
        <v>22</v>
      </c>
      <c r="E22" t="s">
        <v>13</v>
      </c>
      <c r="F22" s="1">
        <v>44388</v>
      </c>
      <c r="G22" t="s">
        <v>9</v>
      </c>
      <c r="H22">
        <v>76900</v>
      </c>
    </row>
    <row r="23" spans="2:8">
      <c r="B23" t="s">
        <v>181</v>
      </c>
      <c r="C23" t="s">
        <v>15</v>
      </c>
      <c r="D23">
        <v>27</v>
      </c>
      <c r="E23" t="s">
        <v>16</v>
      </c>
      <c r="F23" s="1">
        <v>44073</v>
      </c>
      <c r="G23" t="s">
        <v>19</v>
      </c>
      <c r="H23">
        <v>54970</v>
      </c>
    </row>
    <row r="24" spans="2:8">
      <c r="B24" t="s">
        <v>117</v>
      </c>
      <c r="C24" t="s">
        <v>15</v>
      </c>
      <c r="D24">
        <v>37</v>
      </c>
      <c r="E24" t="s">
        <v>24</v>
      </c>
      <c r="F24" s="1">
        <v>44277</v>
      </c>
      <c r="G24" t="s">
        <v>12</v>
      </c>
      <c r="H24">
        <v>88050</v>
      </c>
    </row>
    <row r="25" spans="2:8">
      <c r="B25" t="s">
        <v>191</v>
      </c>
      <c r="C25" t="s">
        <v>15</v>
      </c>
      <c r="D25">
        <v>43</v>
      </c>
      <c r="E25" t="s">
        <v>16</v>
      </c>
      <c r="F25" s="1">
        <v>44558</v>
      </c>
      <c r="G25" t="s">
        <v>19</v>
      </c>
      <c r="H25">
        <v>36040</v>
      </c>
    </row>
    <row r="26" spans="2:8">
      <c r="B26" t="s">
        <v>110</v>
      </c>
      <c r="C26" t="s">
        <v>8</v>
      </c>
      <c r="D26">
        <v>42</v>
      </c>
      <c r="E26" t="s">
        <v>10</v>
      </c>
      <c r="F26" s="1">
        <v>44718</v>
      </c>
      <c r="G26" t="s">
        <v>9</v>
      </c>
      <c r="H26">
        <v>75000</v>
      </c>
    </row>
    <row r="27" spans="2:8">
      <c r="B27" t="s">
        <v>148</v>
      </c>
      <c r="C27" t="s">
        <v>15</v>
      </c>
      <c r="D27">
        <v>35</v>
      </c>
      <c r="E27" t="s">
        <v>16</v>
      </c>
      <c r="F27" s="1">
        <v>44666</v>
      </c>
      <c r="G27" t="s">
        <v>9</v>
      </c>
      <c r="H27">
        <v>40400</v>
      </c>
    </row>
    <row r="28" spans="2:8">
      <c r="B28" t="s">
        <v>195</v>
      </c>
      <c r="C28" t="s">
        <v>15</v>
      </c>
      <c r="D28">
        <v>24</v>
      </c>
      <c r="E28" t="s">
        <v>16</v>
      </c>
      <c r="F28" s="1">
        <v>44625</v>
      </c>
      <c r="G28" t="s">
        <v>12</v>
      </c>
      <c r="H28">
        <v>100420</v>
      </c>
    </row>
    <row r="29" spans="2:8">
      <c r="B29" t="s">
        <v>119</v>
      </c>
      <c r="C29" t="s">
        <v>8</v>
      </c>
      <c r="D29">
        <v>31</v>
      </c>
      <c r="E29" t="s">
        <v>16</v>
      </c>
      <c r="F29" s="1">
        <v>44604</v>
      </c>
      <c r="G29" t="s">
        <v>12</v>
      </c>
      <c r="H29">
        <v>58100</v>
      </c>
    </row>
    <row r="30" spans="2:8">
      <c r="B30" t="s">
        <v>113</v>
      </c>
      <c r="C30" t="s">
        <v>8</v>
      </c>
      <c r="D30">
        <v>44</v>
      </c>
      <c r="E30" t="s">
        <v>16</v>
      </c>
      <c r="F30" s="1">
        <v>44985</v>
      </c>
      <c r="G30" t="s">
        <v>12</v>
      </c>
      <c r="H30">
        <v>114870</v>
      </c>
    </row>
    <row r="31" spans="2:8">
      <c r="B31" t="s">
        <v>157</v>
      </c>
      <c r="C31" t="s">
        <v>8</v>
      </c>
      <c r="D31">
        <v>32</v>
      </c>
      <c r="E31" t="s">
        <v>16</v>
      </c>
      <c r="F31" s="1">
        <v>44549</v>
      </c>
      <c r="G31" t="s">
        <v>9</v>
      </c>
      <c r="H31">
        <v>41570</v>
      </c>
    </row>
    <row r="32" spans="2:8">
      <c r="B32" t="s">
        <v>172</v>
      </c>
      <c r="C32" t="s">
        <v>8</v>
      </c>
      <c r="D32">
        <v>30</v>
      </c>
      <c r="E32" t="s">
        <v>16</v>
      </c>
      <c r="F32" s="1">
        <v>44800</v>
      </c>
      <c r="G32" t="s">
        <v>9</v>
      </c>
      <c r="H32">
        <v>112570</v>
      </c>
    </row>
    <row r="33" spans="2:8">
      <c r="B33" t="s">
        <v>150</v>
      </c>
      <c r="C33" t="s">
        <v>15</v>
      </c>
      <c r="D33">
        <v>26</v>
      </c>
      <c r="E33" t="s">
        <v>16</v>
      </c>
      <c r="F33" s="1">
        <v>44164</v>
      </c>
      <c r="G33" t="s">
        <v>9</v>
      </c>
      <c r="H33">
        <v>47360</v>
      </c>
    </row>
    <row r="34" spans="2:8">
      <c r="B34" t="s">
        <v>125</v>
      </c>
      <c r="C34" t="s">
        <v>8</v>
      </c>
      <c r="D34">
        <v>21</v>
      </c>
      <c r="E34" t="s">
        <v>16</v>
      </c>
      <c r="F34" s="1">
        <v>44256</v>
      </c>
      <c r="G34" t="s">
        <v>21</v>
      </c>
      <c r="H34">
        <v>65920</v>
      </c>
    </row>
    <row r="35" spans="2:8">
      <c r="B35" t="s">
        <v>199</v>
      </c>
      <c r="C35" t="s">
        <v>8</v>
      </c>
      <c r="D35">
        <v>28</v>
      </c>
      <c r="E35" t="s">
        <v>16</v>
      </c>
      <c r="F35" s="1">
        <v>44571</v>
      </c>
      <c r="G35" t="s">
        <v>9</v>
      </c>
      <c r="H35">
        <v>99970</v>
      </c>
    </row>
    <row r="36" spans="2:8">
      <c r="B36" t="s">
        <v>132</v>
      </c>
      <c r="C36" t="s">
        <v>8</v>
      </c>
      <c r="D36">
        <v>25</v>
      </c>
      <c r="E36" t="s">
        <v>13</v>
      </c>
      <c r="F36" s="1">
        <v>44633</v>
      </c>
      <c r="G36" t="s">
        <v>12</v>
      </c>
      <c r="H36">
        <v>80700</v>
      </c>
    </row>
    <row r="37" spans="2:8">
      <c r="B37" t="s">
        <v>154</v>
      </c>
      <c r="C37" t="s">
        <v>15</v>
      </c>
      <c r="D37">
        <v>24</v>
      </c>
      <c r="E37" t="s">
        <v>24</v>
      </c>
      <c r="F37" s="1">
        <v>44375</v>
      </c>
      <c r="G37" t="s">
        <v>21</v>
      </c>
      <c r="H37">
        <v>52610</v>
      </c>
    </row>
    <row r="38" spans="2:8">
      <c r="B38" t="s">
        <v>179</v>
      </c>
      <c r="C38" t="s">
        <v>15</v>
      </c>
      <c r="D38">
        <v>29</v>
      </c>
      <c r="E38" t="s">
        <v>24</v>
      </c>
      <c r="F38" s="1">
        <v>44119</v>
      </c>
      <c r="G38" t="s">
        <v>12</v>
      </c>
      <c r="H38">
        <v>112110</v>
      </c>
    </row>
    <row r="39" spans="2:8">
      <c r="B39" t="s">
        <v>151</v>
      </c>
      <c r="C39" t="s">
        <v>8</v>
      </c>
      <c r="D39">
        <v>27</v>
      </c>
      <c r="E39" t="s">
        <v>16</v>
      </c>
      <c r="F39" s="1">
        <v>44061</v>
      </c>
      <c r="G39" t="s">
        <v>56</v>
      </c>
      <c r="H39">
        <v>119110</v>
      </c>
    </row>
    <row r="40" spans="2:8">
      <c r="B40" t="s">
        <v>149</v>
      </c>
      <c r="C40" t="s">
        <v>15</v>
      </c>
      <c r="D40">
        <v>22</v>
      </c>
      <c r="E40" t="s">
        <v>13</v>
      </c>
      <c r="F40" s="1">
        <v>44384</v>
      </c>
      <c r="G40" t="s">
        <v>19</v>
      </c>
      <c r="H40">
        <v>112780</v>
      </c>
    </row>
    <row r="41" spans="2:8">
      <c r="B41" t="s">
        <v>174</v>
      </c>
      <c r="C41" t="s">
        <v>8</v>
      </c>
      <c r="D41">
        <v>36</v>
      </c>
      <c r="E41" t="s">
        <v>16</v>
      </c>
      <c r="F41" s="1">
        <v>44023</v>
      </c>
      <c r="G41" t="s">
        <v>9</v>
      </c>
      <c r="H41">
        <v>114890</v>
      </c>
    </row>
    <row r="42" spans="2:8">
      <c r="B42" t="s">
        <v>145</v>
      </c>
      <c r="C42" t="s">
        <v>15</v>
      </c>
      <c r="D42">
        <v>27</v>
      </c>
      <c r="E42" t="s">
        <v>16</v>
      </c>
      <c r="F42" s="1">
        <v>44506</v>
      </c>
      <c r="G42" t="s">
        <v>21</v>
      </c>
      <c r="H42">
        <v>48980</v>
      </c>
    </row>
    <row r="43" spans="2:8">
      <c r="B43" t="s">
        <v>169</v>
      </c>
      <c r="C43" t="s">
        <v>15</v>
      </c>
      <c r="D43">
        <v>21</v>
      </c>
      <c r="E43" t="s">
        <v>16</v>
      </c>
      <c r="F43" s="1">
        <v>44180</v>
      </c>
      <c r="G43" t="s">
        <v>56</v>
      </c>
      <c r="H43">
        <v>75880</v>
      </c>
    </row>
    <row r="44" spans="2:8">
      <c r="B44" t="s">
        <v>166</v>
      </c>
      <c r="C44" t="s">
        <v>8</v>
      </c>
      <c r="D44">
        <v>28</v>
      </c>
      <c r="E44" t="s">
        <v>16</v>
      </c>
      <c r="F44" s="1">
        <v>44296</v>
      </c>
      <c r="G44" t="s">
        <v>19</v>
      </c>
      <c r="H44">
        <v>53240</v>
      </c>
    </row>
    <row r="45" spans="2:8">
      <c r="B45" t="s">
        <v>121</v>
      </c>
      <c r="C45" t="s">
        <v>8</v>
      </c>
      <c r="D45">
        <v>34</v>
      </c>
      <c r="E45" t="s">
        <v>16</v>
      </c>
      <c r="F45" s="1">
        <v>44397</v>
      </c>
      <c r="G45" t="s">
        <v>21</v>
      </c>
      <c r="H45">
        <v>85000</v>
      </c>
    </row>
    <row r="46" spans="2:8">
      <c r="B46" t="s">
        <v>178</v>
      </c>
      <c r="C46" t="s">
        <v>8</v>
      </c>
      <c r="D46">
        <v>21</v>
      </c>
      <c r="E46" t="s">
        <v>16</v>
      </c>
      <c r="F46" s="1">
        <v>44619</v>
      </c>
      <c r="G46" t="s">
        <v>12</v>
      </c>
      <c r="H46">
        <v>33920</v>
      </c>
    </row>
    <row r="47" spans="2:8">
      <c r="B47" t="s">
        <v>187</v>
      </c>
      <c r="C47" t="s">
        <v>8</v>
      </c>
      <c r="D47">
        <v>33</v>
      </c>
      <c r="E47" t="s">
        <v>16</v>
      </c>
      <c r="F47" s="1">
        <v>44253</v>
      </c>
      <c r="G47" t="s">
        <v>12</v>
      </c>
      <c r="H47">
        <v>75280</v>
      </c>
    </row>
    <row r="48" spans="2:8">
      <c r="B48" t="s">
        <v>129</v>
      </c>
      <c r="C48" t="s">
        <v>8</v>
      </c>
      <c r="D48">
        <v>34</v>
      </c>
      <c r="E48" t="s">
        <v>16</v>
      </c>
      <c r="F48" s="1">
        <v>44594</v>
      </c>
      <c r="G48" t="s">
        <v>21</v>
      </c>
      <c r="H48">
        <v>58940</v>
      </c>
    </row>
    <row r="49" spans="2:8">
      <c r="B49" t="s">
        <v>135</v>
      </c>
      <c r="C49" t="s">
        <v>8</v>
      </c>
      <c r="D49">
        <v>28</v>
      </c>
      <c r="E49" t="s">
        <v>16</v>
      </c>
      <c r="F49" s="1">
        <v>44425</v>
      </c>
      <c r="G49" t="s">
        <v>9</v>
      </c>
      <c r="H49">
        <v>104770</v>
      </c>
    </row>
    <row r="50" spans="2:8">
      <c r="B50" t="s">
        <v>124</v>
      </c>
      <c r="C50" t="s">
        <v>15</v>
      </c>
      <c r="D50">
        <v>21</v>
      </c>
      <c r="E50" t="s">
        <v>16</v>
      </c>
      <c r="F50" s="1">
        <v>44701</v>
      </c>
      <c r="G50" t="s">
        <v>9</v>
      </c>
      <c r="H50">
        <v>57090</v>
      </c>
    </row>
    <row r="51" spans="2:8">
      <c r="B51" t="s">
        <v>159</v>
      </c>
      <c r="C51" t="s">
        <v>15</v>
      </c>
      <c r="D51">
        <v>27</v>
      </c>
      <c r="E51" t="s">
        <v>13</v>
      </c>
      <c r="F51" s="1">
        <v>44174</v>
      </c>
      <c r="G51" t="s">
        <v>21</v>
      </c>
      <c r="H51">
        <v>91650</v>
      </c>
    </row>
    <row r="52" spans="2:8">
      <c r="B52" t="s">
        <v>182</v>
      </c>
      <c r="C52" t="s">
        <v>15</v>
      </c>
      <c r="D52">
        <v>42</v>
      </c>
      <c r="E52" t="s">
        <v>24</v>
      </c>
      <c r="F52" s="1">
        <v>44670</v>
      </c>
      <c r="G52" t="s">
        <v>21</v>
      </c>
      <c r="H52">
        <v>70270</v>
      </c>
    </row>
    <row r="53" spans="2:8">
      <c r="B53" t="s">
        <v>128</v>
      </c>
      <c r="C53" t="s">
        <v>8</v>
      </c>
      <c r="D53">
        <v>28</v>
      </c>
      <c r="E53" t="s">
        <v>16</v>
      </c>
      <c r="F53" s="1">
        <v>44124</v>
      </c>
      <c r="G53" t="s">
        <v>21</v>
      </c>
      <c r="H53">
        <v>75970</v>
      </c>
    </row>
    <row r="54" spans="2:8">
      <c r="B54" t="s">
        <v>111</v>
      </c>
      <c r="D54">
        <v>27</v>
      </c>
      <c r="E54" t="s">
        <v>13</v>
      </c>
      <c r="F54" s="1">
        <v>44212</v>
      </c>
      <c r="G54" t="s">
        <v>12</v>
      </c>
      <c r="H54">
        <v>90700</v>
      </c>
    </row>
    <row r="55" spans="2:8">
      <c r="B55" t="s">
        <v>130</v>
      </c>
      <c r="C55" t="s">
        <v>15</v>
      </c>
      <c r="D55">
        <v>30</v>
      </c>
      <c r="E55" t="s">
        <v>16</v>
      </c>
      <c r="F55" s="1">
        <v>44607</v>
      </c>
      <c r="G55" t="s">
        <v>9</v>
      </c>
      <c r="H55">
        <v>60570</v>
      </c>
    </row>
    <row r="56" spans="2:8">
      <c r="B56" t="s">
        <v>133</v>
      </c>
      <c r="C56" t="s">
        <v>15</v>
      </c>
      <c r="D56">
        <v>33</v>
      </c>
      <c r="E56" t="s">
        <v>16</v>
      </c>
      <c r="F56" s="1">
        <v>44103</v>
      </c>
      <c r="G56" t="s">
        <v>9</v>
      </c>
      <c r="H56">
        <v>115920</v>
      </c>
    </row>
    <row r="57" spans="2:8">
      <c r="B57" t="s">
        <v>185</v>
      </c>
      <c r="C57" t="s">
        <v>8</v>
      </c>
      <c r="D57">
        <v>33</v>
      </c>
      <c r="E57" t="s">
        <v>16</v>
      </c>
      <c r="F57" s="1">
        <v>44006</v>
      </c>
      <c r="G57" t="s">
        <v>21</v>
      </c>
      <c r="H57">
        <v>65360</v>
      </c>
    </row>
    <row r="58" spans="2:8">
      <c r="B58" t="s">
        <v>115</v>
      </c>
      <c r="D58">
        <v>30</v>
      </c>
      <c r="E58" t="s">
        <v>16</v>
      </c>
      <c r="F58" s="1">
        <v>44535</v>
      </c>
      <c r="G58" t="s">
        <v>21</v>
      </c>
      <c r="H58">
        <v>64000</v>
      </c>
    </row>
    <row r="59" spans="2:8">
      <c r="B59" t="s">
        <v>194</v>
      </c>
      <c r="C59" t="s">
        <v>8</v>
      </c>
      <c r="D59">
        <v>34</v>
      </c>
      <c r="E59" t="s">
        <v>16</v>
      </c>
      <c r="F59" s="1">
        <v>44383</v>
      </c>
      <c r="G59" t="s">
        <v>21</v>
      </c>
      <c r="H59">
        <v>92450</v>
      </c>
    </row>
    <row r="60" spans="2:8">
      <c r="B60" t="s">
        <v>112</v>
      </c>
      <c r="C60" t="s">
        <v>15</v>
      </c>
      <c r="D60">
        <v>31</v>
      </c>
      <c r="E60" t="s">
        <v>16</v>
      </c>
      <c r="F60" s="1">
        <v>44450</v>
      </c>
      <c r="G60" t="s">
        <v>12</v>
      </c>
      <c r="H60">
        <v>48950</v>
      </c>
    </row>
    <row r="61" spans="2:8">
      <c r="B61" t="s">
        <v>184</v>
      </c>
      <c r="C61" t="s">
        <v>8</v>
      </c>
      <c r="D61">
        <v>27</v>
      </c>
      <c r="E61" t="s">
        <v>16</v>
      </c>
      <c r="F61" s="1">
        <v>44625</v>
      </c>
      <c r="G61" t="s">
        <v>12</v>
      </c>
      <c r="H61">
        <v>83750</v>
      </c>
    </row>
    <row r="62" spans="2:8">
      <c r="B62" t="s">
        <v>165</v>
      </c>
      <c r="C62" t="s">
        <v>8</v>
      </c>
      <c r="D62">
        <v>40</v>
      </c>
      <c r="E62" t="s">
        <v>16</v>
      </c>
      <c r="F62" s="1">
        <v>44276</v>
      </c>
      <c r="G62" t="s">
        <v>12</v>
      </c>
      <c r="H62">
        <v>87620</v>
      </c>
    </row>
    <row r="63" spans="2:8">
      <c r="B63" t="s">
        <v>183</v>
      </c>
      <c r="C63" t="s">
        <v>8</v>
      </c>
      <c r="D63">
        <v>20</v>
      </c>
      <c r="E63" t="s">
        <v>24</v>
      </c>
      <c r="F63" s="1">
        <v>44476</v>
      </c>
      <c r="G63" t="s">
        <v>19</v>
      </c>
      <c r="H63">
        <v>68900</v>
      </c>
    </row>
    <row r="64" spans="2:8">
      <c r="B64" t="s">
        <v>156</v>
      </c>
      <c r="C64" t="s">
        <v>15</v>
      </c>
      <c r="D64">
        <v>32</v>
      </c>
      <c r="E64" t="s">
        <v>16</v>
      </c>
      <c r="F64" s="1">
        <v>44403</v>
      </c>
      <c r="G64" t="s">
        <v>19</v>
      </c>
      <c r="H64">
        <v>53540</v>
      </c>
    </row>
    <row r="65" spans="2:8">
      <c r="B65" t="s">
        <v>171</v>
      </c>
      <c r="C65" t="s">
        <v>15</v>
      </c>
      <c r="D65">
        <v>28</v>
      </c>
      <c r="E65" t="s">
        <v>42</v>
      </c>
      <c r="F65" s="1">
        <v>44758</v>
      </c>
      <c r="G65" t="s">
        <v>19</v>
      </c>
      <c r="H65">
        <v>43510</v>
      </c>
    </row>
    <row r="66" spans="2:8">
      <c r="B66" t="s">
        <v>126</v>
      </c>
      <c r="C66" t="s">
        <v>8</v>
      </c>
      <c r="D66">
        <v>38</v>
      </c>
      <c r="E66" t="s">
        <v>10</v>
      </c>
      <c r="F66" s="1">
        <v>44316</v>
      </c>
      <c r="G66" t="s">
        <v>19</v>
      </c>
      <c r="H66">
        <v>109160</v>
      </c>
    </row>
    <row r="67" spans="2:8">
      <c r="B67" t="s">
        <v>197</v>
      </c>
      <c r="C67" t="s">
        <v>15</v>
      </c>
      <c r="D67">
        <v>40</v>
      </c>
      <c r="E67" t="s">
        <v>16</v>
      </c>
      <c r="F67" s="1">
        <v>44204</v>
      </c>
      <c r="G67" t="s">
        <v>9</v>
      </c>
      <c r="H67">
        <v>99750</v>
      </c>
    </row>
    <row r="68" spans="2:8">
      <c r="B68" t="s">
        <v>123</v>
      </c>
      <c r="C68" t="s">
        <v>8</v>
      </c>
      <c r="D68">
        <v>31</v>
      </c>
      <c r="E68" t="s">
        <v>16</v>
      </c>
      <c r="F68" s="1">
        <v>44084</v>
      </c>
      <c r="G68" t="s">
        <v>12</v>
      </c>
      <c r="H68">
        <v>41980</v>
      </c>
    </row>
    <row r="69" spans="2:8">
      <c r="B69" t="s">
        <v>186</v>
      </c>
      <c r="C69" t="s">
        <v>15</v>
      </c>
      <c r="D69">
        <v>36</v>
      </c>
      <c r="E69" t="s">
        <v>16</v>
      </c>
      <c r="F69" s="1">
        <v>44272</v>
      </c>
      <c r="G69" t="s">
        <v>21</v>
      </c>
      <c r="H69">
        <v>71380</v>
      </c>
    </row>
    <row r="70" spans="2:8">
      <c r="B70" t="s">
        <v>190</v>
      </c>
      <c r="C70" t="s">
        <v>15</v>
      </c>
      <c r="D70">
        <v>27</v>
      </c>
      <c r="E70" t="s">
        <v>42</v>
      </c>
      <c r="F70" s="1">
        <v>44547</v>
      </c>
      <c r="G70" t="s">
        <v>9</v>
      </c>
      <c r="H70">
        <v>113280</v>
      </c>
    </row>
    <row r="71" spans="2:8">
      <c r="B71" t="s">
        <v>180</v>
      </c>
      <c r="C71" t="s">
        <v>8</v>
      </c>
      <c r="D71">
        <v>33</v>
      </c>
      <c r="E71" t="s">
        <v>16</v>
      </c>
      <c r="F71" s="1">
        <v>44747</v>
      </c>
      <c r="G71" t="s">
        <v>21</v>
      </c>
      <c r="H71">
        <v>86570</v>
      </c>
    </row>
    <row r="72" spans="2:8">
      <c r="B72" t="s">
        <v>138</v>
      </c>
      <c r="C72" t="s">
        <v>15</v>
      </c>
      <c r="D72">
        <v>26</v>
      </c>
      <c r="E72" t="s">
        <v>16</v>
      </c>
      <c r="F72" s="1">
        <v>44350</v>
      </c>
      <c r="G72" t="s">
        <v>9</v>
      </c>
      <c r="H72">
        <v>53540</v>
      </c>
    </row>
    <row r="73" spans="2:8">
      <c r="B73" t="s">
        <v>189</v>
      </c>
      <c r="C73" t="s">
        <v>15</v>
      </c>
      <c r="D73">
        <v>37</v>
      </c>
      <c r="E73" t="s">
        <v>16</v>
      </c>
      <c r="F73" s="1">
        <v>44640</v>
      </c>
      <c r="G73" t="s">
        <v>12</v>
      </c>
      <c r="H73">
        <v>69070</v>
      </c>
    </row>
    <row r="74" spans="2:8">
      <c r="B74" t="s">
        <v>120</v>
      </c>
      <c r="C74" t="s">
        <v>8</v>
      </c>
      <c r="D74">
        <v>30</v>
      </c>
      <c r="E74" t="s">
        <v>24</v>
      </c>
      <c r="F74" s="1">
        <v>44328</v>
      </c>
      <c r="G74" t="s">
        <v>21</v>
      </c>
      <c r="H74">
        <v>67910</v>
      </c>
    </row>
    <row r="75" spans="2:8">
      <c r="B75" t="s">
        <v>118</v>
      </c>
      <c r="C75" t="s">
        <v>15</v>
      </c>
      <c r="D75">
        <v>30</v>
      </c>
      <c r="E75" t="s">
        <v>16</v>
      </c>
      <c r="F75" s="1">
        <v>44214</v>
      </c>
      <c r="G75" t="s">
        <v>12</v>
      </c>
      <c r="H75">
        <v>69120</v>
      </c>
    </row>
    <row r="76" spans="2:8">
      <c r="B76" t="s">
        <v>131</v>
      </c>
      <c r="C76" t="s">
        <v>8</v>
      </c>
      <c r="D76">
        <v>34</v>
      </c>
      <c r="E76" t="s">
        <v>16</v>
      </c>
      <c r="F76" s="1">
        <v>44550</v>
      </c>
      <c r="G76" t="s">
        <v>21</v>
      </c>
      <c r="H76">
        <v>60130</v>
      </c>
    </row>
    <row r="77" spans="2:8">
      <c r="B77" t="s">
        <v>160</v>
      </c>
      <c r="C77" t="s">
        <v>15</v>
      </c>
      <c r="D77">
        <v>23</v>
      </c>
      <c r="E77" t="s">
        <v>16</v>
      </c>
      <c r="F77" s="1">
        <v>44378</v>
      </c>
      <c r="G77" t="s">
        <v>9</v>
      </c>
      <c r="H77">
        <v>106460</v>
      </c>
    </row>
    <row r="78" spans="2:8">
      <c r="B78" t="s">
        <v>147</v>
      </c>
      <c r="C78" t="s">
        <v>8</v>
      </c>
      <c r="D78">
        <v>37</v>
      </c>
      <c r="E78" t="s">
        <v>16</v>
      </c>
      <c r="F78" s="1">
        <v>44389</v>
      </c>
      <c r="G78" t="s">
        <v>56</v>
      </c>
      <c r="H78">
        <v>118100</v>
      </c>
    </row>
    <row r="79" spans="2:8">
      <c r="B79" t="s">
        <v>163</v>
      </c>
      <c r="C79" t="s">
        <v>8</v>
      </c>
      <c r="D79">
        <v>36</v>
      </c>
      <c r="E79" t="s">
        <v>16</v>
      </c>
      <c r="F79" s="1">
        <v>44468</v>
      </c>
      <c r="G79" t="s">
        <v>9</v>
      </c>
      <c r="H79">
        <v>78390</v>
      </c>
    </row>
    <row r="80" spans="2:8">
      <c r="B80" t="s">
        <v>146</v>
      </c>
      <c r="C80" t="s">
        <v>8</v>
      </c>
      <c r="D80">
        <v>30</v>
      </c>
      <c r="E80" t="s">
        <v>16</v>
      </c>
      <c r="F80" s="1">
        <v>44789</v>
      </c>
      <c r="G80" t="s">
        <v>9</v>
      </c>
      <c r="H80">
        <v>114180</v>
      </c>
    </row>
    <row r="81" spans="2:8">
      <c r="B81" t="s">
        <v>188</v>
      </c>
      <c r="C81" t="s">
        <v>8</v>
      </c>
      <c r="D81">
        <v>28</v>
      </c>
      <c r="E81" t="s">
        <v>16</v>
      </c>
      <c r="F81" s="1">
        <v>44590</v>
      </c>
      <c r="G81" t="s">
        <v>9</v>
      </c>
      <c r="H81">
        <v>104120</v>
      </c>
    </row>
    <row r="82" spans="2:8">
      <c r="B82" t="s">
        <v>137</v>
      </c>
      <c r="C82" t="s">
        <v>15</v>
      </c>
      <c r="D82">
        <v>30</v>
      </c>
      <c r="E82" t="s">
        <v>16</v>
      </c>
      <c r="F82" s="1">
        <v>44640</v>
      </c>
      <c r="G82" t="s">
        <v>9</v>
      </c>
      <c r="H82">
        <v>67950</v>
      </c>
    </row>
    <row r="83" spans="2:8">
      <c r="B83" t="s">
        <v>136</v>
      </c>
      <c r="C83" t="s">
        <v>8</v>
      </c>
      <c r="D83">
        <v>29</v>
      </c>
      <c r="E83" t="s">
        <v>16</v>
      </c>
      <c r="F83" s="1">
        <v>43962</v>
      </c>
      <c r="G83" t="s">
        <v>12</v>
      </c>
      <c r="H83">
        <v>34980</v>
      </c>
    </row>
    <row r="84" spans="2:8">
      <c r="B84" t="s">
        <v>152</v>
      </c>
      <c r="C84" t="s">
        <v>8</v>
      </c>
      <c r="D84">
        <v>24</v>
      </c>
      <c r="E84" t="s">
        <v>16</v>
      </c>
      <c r="F84" s="1">
        <v>44087</v>
      </c>
      <c r="G84" t="s">
        <v>12</v>
      </c>
      <c r="H84">
        <v>62780</v>
      </c>
    </row>
    <row r="85" spans="2:8">
      <c r="B85" t="s">
        <v>116</v>
      </c>
      <c r="C85" t="s">
        <v>15</v>
      </c>
      <c r="D85">
        <v>20</v>
      </c>
      <c r="E85" t="s">
        <v>16</v>
      </c>
      <c r="F85" s="1">
        <v>44397</v>
      </c>
      <c r="G85" t="s">
        <v>12</v>
      </c>
      <c r="H85">
        <v>107700</v>
      </c>
    </row>
    <row r="86" spans="2:8">
      <c r="B86" t="s">
        <v>167</v>
      </c>
      <c r="C86" t="s">
        <v>15</v>
      </c>
      <c r="D86">
        <v>25</v>
      </c>
      <c r="E86" t="s">
        <v>16</v>
      </c>
      <c r="F86" s="1">
        <v>44322</v>
      </c>
      <c r="G86" t="s">
        <v>19</v>
      </c>
      <c r="H86">
        <v>65700</v>
      </c>
    </row>
    <row r="87" spans="2:8">
      <c r="B87" t="s">
        <v>134</v>
      </c>
      <c r="C87" t="s">
        <v>8</v>
      </c>
      <c r="D87">
        <v>33</v>
      </c>
      <c r="E87" t="s">
        <v>42</v>
      </c>
      <c r="F87" s="1">
        <v>44313</v>
      </c>
      <c r="G87" t="s">
        <v>12</v>
      </c>
      <c r="H87">
        <v>75480</v>
      </c>
    </row>
    <row r="88" spans="2:8">
      <c r="B88" t="s">
        <v>173</v>
      </c>
      <c r="C88" t="s">
        <v>15</v>
      </c>
      <c r="D88">
        <v>33</v>
      </c>
      <c r="E88" t="s">
        <v>16</v>
      </c>
      <c r="F88" s="1">
        <v>44448</v>
      </c>
      <c r="G88" t="s">
        <v>12</v>
      </c>
      <c r="H88">
        <v>53870</v>
      </c>
    </row>
    <row r="89" spans="2:8">
      <c r="B89" t="s">
        <v>140</v>
      </c>
      <c r="C89" t="s">
        <v>8</v>
      </c>
      <c r="D89">
        <v>36</v>
      </c>
      <c r="E89" t="s">
        <v>16</v>
      </c>
      <c r="F89" s="1">
        <v>44433</v>
      </c>
      <c r="G89" t="s">
        <v>19</v>
      </c>
      <c r="H89">
        <v>78540</v>
      </c>
    </row>
    <row r="90" spans="2:8">
      <c r="B90" t="s">
        <v>192</v>
      </c>
      <c r="C90" t="s">
        <v>15</v>
      </c>
      <c r="D90">
        <v>19</v>
      </c>
      <c r="E90" t="s">
        <v>16</v>
      </c>
      <c r="F90" s="1">
        <v>44218</v>
      </c>
      <c r="G90" t="s">
        <v>9</v>
      </c>
      <c r="H90">
        <v>58960</v>
      </c>
    </row>
    <row r="91" spans="2:8">
      <c r="B91" t="s">
        <v>161</v>
      </c>
      <c r="C91" t="s">
        <v>15</v>
      </c>
      <c r="D91">
        <v>46</v>
      </c>
      <c r="E91" t="s">
        <v>16</v>
      </c>
      <c r="F91" s="1">
        <v>44697</v>
      </c>
      <c r="G91" t="s">
        <v>9</v>
      </c>
      <c r="H91">
        <v>70610</v>
      </c>
    </row>
    <row r="92" spans="2:8">
      <c r="B92" t="s">
        <v>170</v>
      </c>
      <c r="C92" t="s">
        <v>15</v>
      </c>
      <c r="D92">
        <v>33</v>
      </c>
      <c r="E92" t="s">
        <v>16</v>
      </c>
      <c r="F92" s="1">
        <v>44181</v>
      </c>
      <c r="G92" t="s">
        <v>21</v>
      </c>
      <c r="H92">
        <v>59430</v>
      </c>
    </row>
    <row r="93" spans="2:8">
      <c r="B93" t="s">
        <v>143</v>
      </c>
      <c r="C93" t="s">
        <v>15</v>
      </c>
      <c r="D93">
        <v>33</v>
      </c>
      <c r="E93" t="s">
        <v>13</v>
      </c>
      <c r="F93" s="1">
        <v>44640</v>
      </c>
      <c r="G93" t="s">
        <v>9</v>
      </c>
      <c r="H93">
        <v>48530</v>
      </c>
    </row>
    <row r="94" spans="2:8">
      <c r="B94" t="s">
        <v>162</v>
      </c>
      <c r="C94" t="s">
        <v>8</v>
      </c>
      <c r="D94">
        <v>33</v>
      </c>
      <c r="E94" t="s">
        <v>16</v>
      </c>
      <c r="F94" s="1">
        <v>44129</v>
      </c>
      <c r="G94" t="s">
        <v>12</v>
      </c>
      <c r="H94">
        <v>96140</v>
      </c>
    </row>
    <row r="95" spans="2:8">
      <c r="B95" t="s">
        <v>155</v>
      </c>
      <c r="C95" t="s">
        <v>15</v>
      </c>
      <c r="D95">
        <v>20</v>
      </c>
      <c r="E95" t="s">
        <v>16</v>
      </c>
      <c r="F95" s="1">
        <v>44122</v>
      </c>
      <c r="G95" t="s">
        <v>12</v>
      </c>
      <c r="H95">
        <v>112650</v>
      </c>
    </row>
    <row r="96" spans="2:8">
      <c r="B96" t="s">
        <v>175</v>
      </c>
      <c r="C96" t="s">
        <v>8</v>
      </c>
      <c r="D96">
        <v>32</v>
      </c>
      <c r="E96" t="s">
        <v>13</v>
      </c>
      <c r="F96" s="1">
        <v>44293</v>
      </c>
      <c r="G96" t="s">
        <v>12</v>
      </c>
      <c r="H96">
        <v>43840</v>
      </c>
    </row>
    <row r="97" spans="2:8">
      <c r="B97" t="s">
        <v>142</v>
      </c>
      <c r="C97" t="s">
        <v>15</v>
      </c>
      <c r="D97">
        <v>31</v>
      </c>
      <c r="E97" t="s">
        <v>16</v>
      </c>
      <c r="F97" s="1">
        <v>44663</v>
      </c>
      <c r="G97" t="s">
        <v>9</v>
      </c>
      <c r="H97">
        <v>103550</v>
      </c>
    </row>
    <row r="98" spans="2:8">
      <c r="B98" t="s">
        <v>200</v>
      </c>
      <c r="C98" t="s">
        <v>8</v>
      </c>
      <c r="D98">
        <v>32</v>
      </c>
      <c r="E98" t="s">
        <v>16</v>
      </c>
      <c r="F98" s="1">
        <v>44339</v>
      </c>
      <c r="G98" t="s">
        <v>56</v>
      </c>
      <c r="H98">
        <v>45510</v>
      </c>
    </row>
    <row r="99" spans="2:8">
      <c r="B99" t="s">
        <v>141</v>
      </c>
      <c r="D99">
        <v>37</v>
      </c>
      <c r="E99" t="s">
        <v>24</v>
      </c>
      <c r="F99" s="1">
        <v>44085</v>
      </c>
      <c r="G99" t="s">
        <v>21</v>
      </c>
      <c r="H99">
        <v>115440</v>
      </c>
    </row>
    <row r="100" spans="2:8">
      <c r="B100" t="s">
        <v>201</v>
      </c>
      <c r="C100" t="s">
        <v>8</v>
      </c>
      <c r="D100">
        <v>38</v>
      </c>
      <c r="E100" t="s">
        <v>13</v>
      </c>
      <c r="F100" s="1">
        <v>44268</v>
      </c>
      <c r="G100" t="s">
        <v>19</v>
      </c>
      <c r="H100">
        <v>56870</v>
      </c>
    </row>
    <row r="101" spans="2:8">
      <c r="B101" t="s">
        <v>168</v>
      </c>
      <c r="C101" t="s">
        <v>8</v>
      </c>
      <c r="D101">
        <v>25</v>
      </c>
      <c r="E101" t="s">
        <v>16</v>
      </c>
      <c r="F101" s="1">
        <v>44144</v>
      </c>
      <c r="G101" t="s">
        <v>19</v>
      </c>
      <c r="H101">
        <v>92700</v>
      </c>
    </row>
    <row r="102" spans="2:8">
      <c r="B102" t="s">
        <v>144</v>
      </c>
      <c r="D102">
        <v>32</v>
      </c>
      <c r="E102" t="s">
        <v>16</v>
      </c>
      <c r="F102" s="1">
        <v>44713</v>
      </c>
      <c r="G102" t="s">
        <v>12</v>
      </c>
      <c r="H102">
        <v>91310</v>
      </c>
    </row>
    <row r="103" spans="2:8">
      <c r="B103" t="s">
        <v>114</v>
      </c>
      <c r="C103" t="s">
        <v>15</v>
      </c>
      <c r="D103">
        <v>33</v>
      </c>
      <c r="E103" t="s">
        <v>16</v>
      </c>
      <c r="F103" s="1">
        <v>44324</v>
      </c>
      <c r="G103" t="s">
        <v>19</v>
      </c>
      <c r="H103">
        <v>74550</v>
      </c>
    </row>
    <row r="104" spans="2:8">
      <c r="B104" t="s">
        <v>127</v>
      </c>
      <c r="C104" t="s">
        <v>15</v>
      </c>
      <c r="D104">
        <v>25</v>
      </c>
      <c r="E104" t="s">
        <v>13</v>
      </c>
      <c r="F104" s="1">
        <v>44665</v>
      </c>
      <c r="G104" t="s">
        <v>9</v>
      </c>
      <c r="H104">
        <v>109190</v>
      </c>
    </row>
    <row r="105" spans="2:8">
      <c r="B105" t="s">
        <v>193</v>
      </c>
      <c r="C105" t="s">
        <v>8</v>
      </c>
      <c r="D105">
        <v>40</v>
      </c>
      <c r="E105" t="s">
        <v>16</v>
      </c>
      <c r="F105" s="1">
        <v>44320</v>
      </c>
      <c r="G105" t="s">
        <v>12</v>
      </c>
      <c r="H105">
        <v>104410</v>
      </c>
    </row>
    <row r="106" spans="2:8">
      <c r="B106" t="s">
        <v>176</v>
      </c>
      <c r="C106" t="s">
        <v>15</v>
      </c>
      <c r="D106">
        <v>30</v>
      </c>
      <c r="E106" t="s">
        <v>16</v>
      </c>
      <c r="F106" s="1">
        <v>44544</v>
      </c>
      <c r="G106" t="s">
        <v>21</v>
      </c>
      <c r="H106">
        <v>96800</v>
      </c>
    </row>
    <row r="107" spans="2:8">
      <c r="B107" t="s">
        <v>122</v>
      </c>
      <c r="C107" t="s">
        <v>15</v>
      </c>
      <c r="D107">
        <v>28</v>
      </c>
      <c r="E107" t="s">
        <v>13</v>
      </c>
      <c r="F107" s="1">
        <v>43980</v>
      </c>
      <c r="G107" t="s">
        <v>21</v>
      </c>
      <c r="H107">
        <v>48170</v>
      </c>
    </row>
    <row r="108" spans="2:8">
      <c r="B108" t="s">
        <v>139</v>
      </c>
      <c r="C108" t="s">
        <v>15</v>
      </c>
      <c r="D108">
        <v>21</v>
      </c>
      <c r="E108" t="s">
        <v>16</v>
      </c>
      <c r="F108" s="1">
        <v>44042</v>
      </c>
      <c r="G108" t="s">
        <v>9</v>
      </c>
      <c r="H108">
        <v>37920</v>
      </c>
    </row>
    <row r="109" spans="2:8">
      <c r="B109" t="s">
        <v>177</v>
      </c>
      <c r="C109" t="s">
        <v>15</v>
      </c>
      <c r="D109">
        <v>34</v>
      </c>
      <c r="E109" t="s">
        <v>16</v>
      </c>
      <c r="F109" s="1">
        <v>44642</v>
      </c>
      <c r="G109" t="s">
        <v>9</v>
      </c>
      <c r="H109">
        <v>112650</v>
      </c>
    </row>
    <row r="110" spans="2:8">
      <c r="B110" t="s">
        <v>164</v>
      </c>
      <c r="C110" t="s">
        <v>8</v>
      </c>
      <c r="D110">
        <v>34</v>
      </c>
      <c r="E110" t="s">
        <v>24</v>
      </c>
      <c r="F110" s="1">
        <v>44660</v>
      </c>
      <c r="G110" t="s">
        <v>19</v>
      </c>
      <c r="H110">
        <v>49630</v>
      </c>
    </row>
    <row r="111" spans="2:8">
      <c r="B111" t="s">
        <v>198</v>
      </c>
      <c r="C111" t="s">
        <v>15</v>
      </c>
      <c r="D111">
        <v>36</v>
      </c>
      <c r="E111" t="s">
        <v>16</v>
      </c>
      <c r="F111" s="1">
        <v>43958</v>
      </c>
      <c r="G111" t="s">
        <v>12</v>
      </c>
      <c r="H111">
        <v>118840</v>
      </c>
    </row>
    <row r="112" spans="2:8">
      <c r="B112" t="s">
        <v>158</v>
      </c>
      <c r="C112" t="s">
        <v>15</v>
      </c>
      <c r="D112">
        <v>30</v>
      </c>
      <c r="E112" t="s">
        <v>16</v>
      </c>
      <c r="F112" s="1">
        <v>44789</v>
      </c>
      <c r="G112" t="s">
        <v>12</v>
      </c>
      <c r="H112">
        <v>69710</v>
      </c>
    </row>
    <row r="113" spans="2:8">
      <c r="B113" t="s">
        <v>196</v>
      </c>
      <c r="C113" t="s">
        <v>15</v>
      </c>
      <c r="D113">
        <v>20</v>
      </c>
      <c r="E113" t="s">
        <v>16</v>
      </c>
      <c r="F113" s="1">
        <v>44683</v>
      </c>
      <c r="G113" t="s">
        <v>9</v>
      </c>
      <c r="H113">
        <v>79570</v>
      </c>
    </row>
    <row r="114" spans="2:8">
      <c r="B114" t="s">
        <v>153</v>
      </c>
      <c r="C114" t="s">
        <v>8</v>
      </c>
      <c r="D114">
        <v>22</v>
      </c>
      <c r="E114" t="s">
        <v>13</v>
      </c>
      <c r="F114" s="1">
        <v>44388</v>
      </c>
      <c r="G114" t="s">
        <v>9</v>
      </c>
      <c r="H114">
        <v>76900</v>
      </c>
    </row>
    <row r="115" spans="2:8">
      <c r="B115" t="s">
        <v>202</v>
      </c>
      <c r="C115">
        <f>SUBTOTAL(103,India_Staff[Gender])</f>
        <v>106</v>
      </c>
      <c r="H115">
        <f>SUBTOTAL(109,India_Staff[Salary])</f>
        <v>8757930</v>
      </c>
    </row>
  </sheetData>
  <conditionalFormatting sqref="B1:B114 B116:B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4:I104"/>
  <sheetViews>
    <sheetView showGridLines="0" workbookViewId="0">
      <selection activeCell="A4" sqref="A4"/>
    </sheetView>
  </sheetViews>
  <sheetFormatPr defaultRowHeight="15"/>
  <cols>
    <col min="1" max="1" width="1.7109375" customWidth="1"/>
    <col min="2" max="2" width="3.7109375" customWidth="1"/>
    <col min="7" max="7" width="10.140625" bestFit="1" customWidth="1"/>
  </cols>
  <sheetData>
    <row r="4" spans="3:9">
      <c r="C4" t="s">
        <v>0</v>
      </c>
      <c r="D4" t="s">
        <v>1</v>
      </c>
      <c r="E4" t="s">
        <v>2</v>
      </c>
      <c r="F4" t="s">
        <v>3</v>
      </c>
      <c r="G4" s="1" t="s">
        <v>4</v>
      </c>
      <c r="H4" t="s">
        <v>5</v>
      </c>
      <c r="I4" t="s">
        <v>6</v>
      </c>
    </row>
    <row r="5" spans="3:9">
      <c r="C5" t="s">
        <v>58</v>
      </c>
      <c r="D5" t="s">
        <v>15</v>
      </c>
      <c r="E5" t="s">
        <v>19</v>
      </c>
      <c r="F5">
        <v>22</v>
      </c>
      <c r="G5" s="1">
        <v>44446</v>
      </c>
      <c r="H5">
        <v>112780</v>
      </c>
      <c r="I5" t="s">
        <v>13</v>
      </c>
    </row>
    <row r="6" spans="3:9">
      <c r="C6" t="s">
        <v>70</v>
      </c>
      <c r="D6" t="s">
        <v>15</v>
      </c>
      <c r="E6" t="s">
        <v>9</v>
      </c>
      <c r="F6">
        <v>46</v>
      </c>
      <c r="G6" s="1">
        <v>44758</v>
      </c>
      <c r="H6">
        <v>70610</v>
      </c>
      <c r="I6" t="s">
        <v>16</v>
      </c>
    </row>
    <row r="7" spans="3:9">
      <c r="C7" t="s">
        <v>75</v>
      </c>
      <c r="D7" t="s">
        <v>8</v>
      </c>
      <c r="E7" t="s">
        <v>19</v>
      </c>
      <c r="F7">
        <v>28</v>
      </c>
      <c r="G7" s="1">
        <v>44357</v>
      </c>
      <c r="H7">
        <v>53240</v>
      </c>
      <c r="I7" t="s">
        <v>16</v>
      </c>
    </row>
    <row r="8" spans="3:9">
      <c r="C8" t="s">
        <v>49</v>
      </c>
      <c r="E8" t="s">
        <v>21</v>
      </c>
      <c r="F8">
        <v>37</v>
      </c>
      <c r="G8" s="1">
        <v>44146</v>
      </c>
      <c r="H8">
        <v>115440</v>
      </c>
      <c r="I8" t="s">
        <v>24</v>
      </c>
    </row>
    <row r="9" spans="3:9">
      <c r="C9" t="s">
        <v>65</v>
      </c>
      <c r="D9" t="s">
        <v>15</v>
      </c>
      <c r="E9" t="s">
        <v>19</v>
      </c>
      <c r="F9">
        <v>32</v>
      </c>
      <c r="G9" s="1">
        <v>44465</v>
      </c>
      <c r="H9">
        <v>53540</v>
      </c>
      <c r="I9" t="s">
        <v>16</v>
      </c>
    </row>
    <row r="10" spans="3:9">
      <c r="C10" t="s">
        <v>81</v>
      </c>
      <c r="D10" t="s">
        <v>8</v>
      </c>
      <c r="E10" t="s">
        <v>9</v>
      </c>
      <c r="F10">
        <v>30</v>
      </c>
      <c r="G10" s="1">
        <v>44861</v>
      </c>
      <c r="H10">
        <v>112570</v>
      </c>
      <c r="I10" t="s">
        <v>16</v>
      </c>
    </row>
    <row r="11" spans="3:9">
      <c r="C11" t="s">
        <v>51</v>
      </c>
      <c r="D11" t="s">
        <v>15</v>
      </c>
      <c r="E11" t="s">
        <v>9</v>
      </c>
      <c r="F11">
        <v>33</v>
      </c>
      <c r="G11" s="1">
        <v>44701</v>
      </c>
      <c r="H11">
        <v>48530</v>
      </c>
      <c r="I11" t="s">
        <v>13</v>
      </c>
    </row>
    <row r="12" spans="3:9">
      <c r="C12" t="s">
        <v>61</v>
      </c>
      <c r="D12" t="s">
        <v>8</v>
      </c>
      <c r="E12" t="s">
        <v>12</v>
      </c>
      <c r="F12">
        <v>24</v>
      </c>
      <c r="G12" s="1">
        <v>44148</v>
      </c>
      <c r="H12">
        <v>62780</v>
      </c>
      <c r="I12" t="s">
        <v>16</v>
      </c>
    </row>
    <row r="13" spans="3:9">
      <c r="C13" t="s">
        <v>82</v>
      </c>
      <c r="D13" t="s">
        <v>15</v>
      </c>
      <c r="E13" t="s">
        <v>12</v>
      </c>
      <c r="F13">
        <v>33</v>
      </c>
      <c r="G13" s="1">
        <v>44509</v>
      </c>
      <c r="H13">
        <v>53870</v>
      </c>
      <c r="I13" t="s">
        <v>16</v>
      </c>
    </row>
    <row r="14" spans="3:9">
      <c r="C14" t="s">
        <v>60</v>
      </c>
      <c r="D14" t="s">
        <v>8</v>
      </c>
      <c r="E14" t="s">
        <v>56</v>
      </c>
      <c r="F14">
        <v>27</v>
      </c>
      <c r="G14" s="1">
        <v>44122</v>
      </c>
      <c r="H14">
        <v>119110</v>
      </c>
      <c r="I14" t="s">
        <v>16</v>
      </c>
    </row>
    <row r="15" spans="3:9">
      <c r="C15" t="s">
        <v>87</v>
      </c>
      <c r="D15" t="s">
        <v>15</v>
      </c>
      <c r="E15" t="s">
        <v>12</v>
      </c>
      <c r="F15">
        <v>29</v>
      </c>
      <c r="G15" s="1">
        <v>44180</v>
      </c>
      <c r="H15">
        <v>112110</v>
      </c>
      <c r="I15" t="s">
        <v>24</v>
      </c>
    </row>
    <row r="16" spans="3:9">
      <c r="C16" t="s">
        <v>76</v>
      </c>
      <c r="D16" t="s">
        <v>15</v>
      </c>
      <c r="E16" t="s">
        <v>19</v>
      </c>
      <c r="F16">
        <v>25</v>
      </c>
      <c r="G16" s="1">
        <v>44383</v>
      </c>
      <c r="H16">
        <v>65700</v>
      </c>
      <c r="I16" t="s">
        <v>16</v>
      </c>
    </row>
    <row r="17" spans="3:9">
      <c r="C17" t="s">
        <v>97</v>
      </c>
      <c r="D17" t="s">
        <v>15</v>
      </c>
      <c r="E17" t="s">
        <v>12</v>
      </c>
      <c r="F17">
        <v>37</v>
      </c>
      <c r="G17" s="1">
        <v>44701</v>
      </c>
      <c r="H17">
        <v>69070</v>
      </c>
      <c r="I17" t="s">
        <v>16</v>
      </c>
    </row>
    <row r="18" spans="3:9">
      <c r="C18" t="s">
        <v>22</v>
      </c>
      <c r="D18" t="s">
        <v>15</v>
      </c>
      <c r="E18" t="s">
        <v>12</v>
      </c>
      <c r="F18">
        <v>20</v>
      </c>
      <c r="G18" s="1">
        <v>44459</v>
      </c>
      <c r="H18">
        <v>107700</v>
      </c>
      <c r="I18" t="s">
        <v>16</v>
      </c>
    </row>
    <row r="19" spans="3:9">
      <c r="C19" t="s">
        <v>84</v>
      </c>
      <c r="D19" t="s">
        <v>8</v>
      </c>
      <c r="E19" t="s">
        <v>12</v>
      </c>
      <c r="F19">
        <v>32</v>
      </c>
      <c r="G19" s="1">
        <v>44354</v>
      </c>
      <c r="H19">
        <v>43840</v>
      </c>
      <c r="I19" t="s">
        <v>13</v>
      </c>
    </row>
    <row r="20" spans="3:9">
      <c r="C20" t="s">
        <v>105</v>
      </c>
      <c r="D20" t="s">
        <v>15</v>
      </c>
      <c r="E20" t="s">
        <v>9</v>
      </c>
      <c r="F20">
        <v>40</v>
      </c>
      <c r="G20" s="1">
        <v>44263</v>
      </c>
      <c r="H20">
        <v>99750</v>
      </c>
      <c r="I20" t="s">
        <v>16</v>
      </c>
    </row>
    <row r="21" spans="3:9">
      <c r="C21" t="s">
        <v>47</v>
      </c>
      <c r="D21" t="s">
        <v>15</v>
      </c>
      <c r="E21" t="s">
        <v>9</v>
      </c>
      <c r="F21">
        <v>21</v>
      </c>
      <c r="G21" s="1">
        <v>44104</v>
      </c>
      <c r="H21">
        <v>37920</v>
      </c>
      <c r="I21" t="s">
        <v>16</v>
      </c>
    </row>
    <row r="22" spans="3:9">
      <c r="C22" t="s">
        <v>31</v>
      </c>
      <c r="D22" t="s">
        <v>15</v>
      </c>
      <c r="E22" t="s">
        <v>9</v>
      </c>
      <c r="F22">
        <v>21</v>
      </c>
      <c r="G22" s="1">
        <v>44762</v>
      </c>
      <c r="H22">
        <v>57090</v>
      </c>
      <c r="I22" t="s">
        <v>16</v>
      </c>
    </row>
    <row r="23" spans="3:9">
      <c r="C23" t="s">
        <v>30</v>
      </c>
      <c r="D23" t="s">
        <v>8</v>
      </c>
      <c r="E23" t="s">
        <v>12</v>
      </c>
      <c r="F23">
        <v>31</v>
      </c>
      <c r="G23" s="1">
        <v>44145</v>
      </c>
      <c r="H23">
        <v>41980</v>
      </c>
      <c r="I23" t="s">
        <v>16</v>
      </c>
    </row>
    <row r="24" spans="3:9">
      <c r="C24" t="s">
        <v>78</v>
      </c>
      <c r="D24" t="s">
        <v>15</v>
      </c>
      <c r="E24" t="s">
        <v>56</v>
      </c>
      <c r="F24">
        <v>21</v>
      </c>
      <c r="G24" s="1">
        <v>44242</v>
      </c>
      <c r="H24">
        <v>75880</v>
      </c>
      <c r="I24" t="s">
        <v>16</v>
      </c>
    </row>
    <row r="25" spans="3:9">
      <c r="C25" t="s">
        <v>36</v>
      </c>
      <c r="D25" t="s">
        <v>8</v>
      </c>
      <c r="E25" t="s">
        <v>21</v>
      </c>
      <c r="F25">
        <v>34</v>
      </c>
      <c r="G25" s="1">
        <v>44653</v>
      </c>
      <c r="H25">
        <v>58940</v>
      </c>
      <c r="I25" t="s">
        <v>16</v>
      </c>
    </row>
    <row r="26" spans="3:9">
      <c r="C26" t="s">
        <v>27</v>
      </c>
      <c r="D26" t="s">
        <v>8</v>
      </c>
      <c r="E26" t="s">
        <v>21</v>
      </c>
      <c r="F26">
        <v>30</v>
      </c>
      <c r="G26" s="1">
        <v>44389</v>
      </c>
      <c r="H26">
        <v>67910</v>
      </c>
      <c r="I26" t="s">
        <v>24</v>
      </c>
    </row>
    <row r="27" spans="3:9">
      <c r="C27" t="s">
        <v>26</v>
      </c>
      <c r="D27" t="s">
        <v>8</v>
      </c>
      <c r="E27" t="s">
        <v>12</v>
      </c>
      <c r="F27">
        <v>31</v>
      </c>
      <c r="G27" s="1">
        <v>44663</v>
      </c>
      <c r="H27">
        <v>58100</v>
      </c>
      <c r="I27" t="s">
        <v>16</v>
      </c>
    </row>
    <row r="28" spans="3:9">
      <c r="C28" t="s">
        <v>53</v>
      </c>
      <c r="D28" t="s">
        <v>15</v>
      </c>
      <c r="E28" t="s">
        <v>21</v>
      </c>
      <c r="F28">
        <v>27</v>
      </c>
      <c r="G28" s="1">
        <v>44567</v>
      </c>
      <c r="H28">
        <v>48980</v>
      </c>
      <c r="I28" t="s">
        <v>16</v>
      </c>
    </row>
    <row r="29" spans="3:9">
      <c r="C29" t="s">
        <v>20</v>
      </c>
      <c r="E29" t="s">
        <v>21</v>
      </c>
      <c r="F29">
        <v>30</v>
      </c>
      <c r="G29" s="1">
        <v>44597</v>
      </c>
      <c r="H29">
        <v>64000</v>
      </c>
      <c r="I29" t="s">
        <v>16</v>
      </c>
    </row>
    <row r="30" spans="3:9">
      <c r="C30" t="s">
        <v>7</v>
      </c>
      <c r="D30" t="s">
        <v>8</v>
      </c>
      <c r="E30" t="s">
        <v>9</v>
      </c>
      <c r="F30">
        <v>42</v>
      </c>
      <c r="G30" s="1">
        <v>44779</v>
      </c>
      <c r="H30">
        <v>75000</v>
      </c>
      <c r="I30" t="s">
        <v>10</v>
      </c>
    </row>
    <row r="31" spans="3:9">
      <c r="C31" t="s">
        <v>74</v>
      </c>
      <c r="D31" t="s">
        <v>8</v>
      </c>
      <c r="E31" t="s">
        <v>12</v>
      </c>
      <c r="F31">
        <v>40</v>
      </c>
      <c r="G31" s="1">
        <v>44337</v>
      </c>
      <c r="H31">
        <v>87620</v>
      </c>
      <c r="I31" t="s">
        <v>16</v>
      </c>
    </row>
    <row r="32" spans="3:9">
      <c r="C32" t="s">
        <v>44</v>
      </c>
      <c r="D32" t="s">
        <v>8</v>
      </c>
      <c r="E32" t="s">
        <v>12</v>
      </c>
      <c r="F32">
        <v>29</v>
      </c>
      <c r="G32" s="1">
        <v>44023</v>
      </c>
      <c r="H32">
        <v>34980</v>
      </c>
      <c r="I32" t="s">
        <v>16</v>
      </c>
    </row>
    <row r="33" spans="3:9">
      <c r="C33" t="s">
        <v>35</v>
      </c>
      <c r="D33" t="s">
        <v>8</v>
      </c>
      <c r="E33" t="s">
        <v>21</v>
      </c>
      <c r="F33">
        <v>28</v>
      </c>
      <c r="G33" s="1">
        <v>44185</v>
      </c>
      <c r="H33">
        <v>75970</v>
      </c>
      <c r="I33" t="s">
        <v>16</v>
      </c>
    </row>
    <row r="34" spans="3:9">
      <c r="C34" t="s">
        <v>38</v>
      </c>
      <c r="D34" t="s">
        <v>8</v>
      </c>
      <c r="E34" t="s">
        <v>21</v>
      </c>
      <c r="F34">
        <v>34</v>
      </c>
      <c r="G34" s="1">
        <v>44612</v>
      </c>
      <c r="H34">
        <v>60130</v>
      </c>
      <c r="I34" t="s">
        <v>16</v>
      </c>
    </row>
    <row r="35" spans="3:9">
      <c r="C35" t="s">
        <v>41</v>
      </c>
      <c r="D35" t="s">
        <v>8</v>
      </c>
      <c r="E35" t="s">
        <v>12</v>
      </c>
      <c r="F35">
        <v>33</v>
      </c>
      <c r="G35" s="1">
        <v>44374</v>
      </c>
      <c r="H35">
        <v>75480</v>
      </c>
      <c r="I35" t="s">
        <v>42</v>
      </c>
    </row>
    <row r="36" spans="3:9">
      <c r="C36" t="s">
        <v>40</v>
      </c>
      <c r="D36" t="s">
        <v>15</v>
      </c>
      <c r="E36" t="s">
        <v>9</v>
      </c>
      <c r="F36">
        <v>33</v>
      </c>
      <c r="G36" s="1">
        <v>44164</v>
      </c>
      <c r="H36">
        <v>115920</v>
      </c>
      <c r="I36" t="s">
        <v>16</v>
      </c>
    </row>
    <row r="37" spans="3:9">
      <c r="C37" t="s">
        <v>48</v>
      </c>
      <c r="D37" t="s">
        <v>8</v>
      </c>
      <c r="E37" t="s">
        <v>19</v>
      </c>
      <c r="F37">
        <v>36</v>
      </c>
      <c r="G37" s="1">
        <v>44494</v>
      </c>
      <c r="H37">
        <v>78540</v>
      </c>
      <c r="I37" t="s">
        <v>16</v>
      </c>
    </row>
    <row r="38" spans="3:9">
      <c r="C38" t="s">
        <v>34</v>
      </c>
      <c r="D38" t="s">
        <v>15</v>
      </c>
      <c r="E38" t="s">
        <v>9</v>
      </c>
      <c r="F38">
        <v>25</v>
      </c>
      <c r="G38" s="1">
        <v>44726</v>
      </c>
      <c r="H38">
        <v>109190</v>
      </c>
      <c r="I38" t="s">
        <v>13</v>
      </c>
    </row>
    <row r="39" spans="3:9">
      <c r="C39" t="s">
        <v>73</v>
      </c>
      <c r="D39" t="s">
        <v>8</v>
      </c>
      <c r="E39" t="s">
        <v>19</v>
      </c>
      <c r="F39">
        <v>34</v>
      </c>
      <c r="G39" s="1">
        <v>44721</v>
      </c>
      <c r="H39">
        <v>49630</v>
      </c>
      <c r="I39" t="s">
        <v>24</v>
      </c>
    </row>
    <row r="40" spans="3:9">
      <c r="C40" t="s">
        <v>107</v>
      </c>
      <c r="D40" t="s">
        <v>8</v>
      </c>
      <c r="E40" t="s">
        <v>9</v>
      </c>
      <c r="F40">
        <v>28</v>
      </c>
      <c r="G40" s="1">
        <v>44630</v>
      </c>
      <c r="H40">
        <v>99970</v>
      </c>
      <c r="I40" t="s">
        <v>16</v>
      </c>
    </row>
    <row r="41" spans="3:9">
      <c r="C41" t="s">
        <v>71</v>
      </c>
      <c r="D41" t="s">
        <v>8</v>
      </c>
      <c r="E41" t="s">
        <v>12</v>
      </c>
      <c r="F41">
        <v>33</v>
      </c>
      <c r="G41" s="1">
        <v>44190</v>
      </c>
      <c r="H41">
        <v>96140</v>
      </c>
      <c r="I41" t="s">
        <v>16</v>
      </c>
    </row>
    <row r="42" spans="3:9">
      <c r="C42" t="s">
        <v>50</v>
      </c>
      <c r="D42" t="s">
        <v>15</v>
      </c>
      <c r="E42" t="s">
        <v>9</v>
      </c>
      <c r="F42">
        <v>31</v>
      </c>
      <c r="G42" s="1">
        <v>44724</v>
      </c>
      <c r="H42">
        <v>103550</v>
      </c>
      <c r="I42" t="s">
        <v>16</v>
      </c>
    </row>
    <row r="43" spans="3:9">
      <c r="C43" t="s">
        <v>14</v>
      </c>
      <c r="D43" t="s">
        <v>15</v>
      </c>
      <c r="E43" t="s">
        <v>12</v>
      </c>
      <c r="F43">
        <v>31</v>
      </c>
      <c r="G43" s="1">
        <v>44511</v>
      </c>
      <c r="H43">
        <v>48950</v>
      </c>
      <c r="I43" t="s">
        <v>16</v>
      </c>
    </row>
    <row r="44" spans="3:9">
      <c r="C44" t="s">
        <v>63</v>
      </c>
      <c r="D44" t="s">
        <v>15</v>
      </c>
      <c r="E44" t="s">
        <v>21</v>
      </c>
      <c r="F44">
        <v>24</v>
      </c>
      <c r="G44" s="1">
        <v>44436</v>
      </c>
      <c r="H44">
        <v>52610</v>
      </c>
      <c r="I44" t="s">
        <v>24</v>
      </c>
    </row>
    <row r="45" spans="3:9">
      <c r="C45" t="s">
        <v>72</v>
      </c>
      <c r="D45" t="s">
        <v>8</v>
      </c>
      <c r="E45" t="s">
        <v>9</v>
      </c>
      <c r="F45">
        <v>36</v>
      </c>
      <c r="G45" s="1">
        <v>44529</v>
      </c>
      <c r="H45">
        <v>78390</v>
      </c>
      <c r="I45" t="s">
        <v>16</v>
      </c>
    </row>
    <row r="46" spans="3:9">
      <c r="C46" t="s">
        <v>88</v>
      </c>
      <c r="D46" t="s">
        <v>8</v>
      </c>
      <c r="E46" t="s">
        <v>21</v>
      </c>
      <c r="F46">
        <v>33</v>
      </c>
      <c r="G46" s="1">
        <v>44809</v>
      </c>
      <c r="H46">
        <v>86570</v>
      </c>
      <c r="I46" t="s">
        <v>16</v>
      </c>
    </row>
    <row r="47" spans="3:9">
      <c r="C47" t="s">
        <v>92</v>
      </c>
      <c r="D47" t="s">
        <v>8</v>
      </c>
      <c r="E47" t="s">
        <v>12</v>
      </c>
      <c r="F47">
        <v>27</v>
      </c>
      <c r="G47" s="1">
        <v>44686</v>
      </c>
      <c r="H47">
        <v>83750</v>
      </c>
      <c r="I47" t="s">
        <v>16</v>
      </c>
    </row>
    <row r="48" spans="3:9">
      <c r="C48" t="s">
        <v>102</v>
      </c>
      <c r="D48" t="s">
        <v>8</v>
      </c>
      <c r="E48" t="s">
        <v>21</v>
      </c>
      <c r="F48">
        <v>34</v>
      </c>
      <c r="G48" s="1">
        <v>44445</v>
      </c>
      <c r="H48">
        <v>92450</v>
      </c>
      <c r="I48" t="s">
        <v>16</v>
      </c>
    </row>
    <row r="49" spans="3:9">
      <c r="C49" t="s">
        <v>64</v>
      </c>
      <c r="D49" t="s">
        <v>15</v>
      </c>
      <c r="E49" t="s">
        <v>12</v>
      </c>
      <c r="F49">
        <v>20</v>
      </c>
      <c r="G49" s="1">
        <v>44183</v>
      </c>
      <c r="H49">
        <v>112650</v>
      </c>
      <c r="I49" t="s">
        <v>16</v>
      </c>
    </row>
    <row r="50" spans="3:9">
      <c r="C50" t="s">
        <v>104</v>
      </c>
      <c r="D50" t="s">
        <v>15</v>
      </c>
      <c r="E50" t="s">
        <v>9</v>
      </c>
      <c r="F50">
        <v>20</v>
      </c>
      <c r="G50" s="1">
        <v>44744</v>
      </c>
      <c r="H50">
        <v>79570</v>
      </c>
      <c r="I50" t="s">
        <v>16</v>
      </c>
    </row>
    <row r="51" spans="3:9">
      <c r="C51" t="s">
        <v>91</v>
      </c>
      <c r="D51" t="s">
        <v>8</v>
      </c>
      <c r="E51" t="s">
        <v>19</v>
      </c>
      <c r="F51">
        <v>20</v>
      </c>
      <c r="G51" s="1">
        <v>44537</v>
      </c>
      <c r="H51">
        <v>68900</v>
      </c>
      <c r="I51" t="s">
        <v>24</v>
      </c>
    </row>
    <row r="52" spans="3:9">
      <c r="C52" t="s">
        <v>39</v>
      </c>
      <c r="D52" t="s">
        <v>8</v>
      </c>
      <c r="E52" t="s">
        <v>12</v>
      </c>
      <c r="F52">
        <v>25</v>
      </c>
      <c r="G52" s="1">
        <v>44694</v>
      </c>
      <c r="H52">
        <v>80700</v>
      </c>
      <c r="I52" t="s">
        <v>13</v>
      </c>
    </row>
    <row r="53" spans="3:9">
      <c r="C53" t="s">
        <v>100</v>
      </c>
      <c r="D53" t="s">
        <v>15</v>
      </c>
      <c r="E53" t="s">
        <v>9</v>
      </c>
      <c r="F53">
        <v>19</v>
      </c>
      <c r="G53" s="1">
        <v>44277</v>
      </c>
      <c r="H53">
        <v>58960</v>
      </c>
      <c r="I53" t="s">
        <v>16</v>
      </c>
    </row>
    <row r="54" spans="3:9">
      <c r="C54" t="s">
        <v>106</v>
      </c>
      <c r="D54" t="s">
        <v>15</v>
      </c>
      <c r="E54" t="s">
        <v>12</v>
      </c>
      <c r="F54">
        <v>36</v>
      </c>
      <c r="G54" s="1">
        <v>44019</v>
      </c>
      <c r="H54">
        <v>118840</v>
      </c>
      <c r="I54" t="s">
        <v>16</v>
      </c>
    </row>
    <row r="55" spans="3:9">
      <c r="C55" t="s">
        <v>29</v>
      </c>
      <c r="D55" t="s">
        <v>15</v>
      </c>
      <c r="E55" t="s">
        <v>21</v>
      </c>
      <c r="F55">
        <v>28</v>
      </c>
      <c r="G55" s="1">
        <v>44041</v>
      </c>
      <c r="H55">
        <v>48170</v>
      </c>
      <c r="I55" t="s">
        <v>13</v>
      </c>
    </row>
    <row r="56" spans="3:9">
      <c r="C56" t="s">
        <v>108</v>
      </c>
      <c r="D56" t="s">
        <v>8</v>
      </c>
      <c r="E56" t="s">
        <v>56</v>
      </c>
      <c r="F56">
        <v>32</v>
      </c>
      <c r="G56" s="1">
        <v>44400</v>
      </c>
      <c r="H56">
        <v>45510</v>
      </c>
      <c r="I56" t="s">
        <v>16</v>
      </c>
    </row>
    <row r="57" spans="3:9">
      <c r="C57" t="s">
        <v>64</v>
      </c>
      <c r="D57" t="s">
        <v>15</v>
      </c>
      <c r="E57" t="s">
        <v>9</v>
      </c>
      <c r="F57">
        <v>34</v>
      </c>
      <c r="G57" s="1">
        <v>44703</v>
      </c>
      <c r="H57">
        <v>112650</v>
      </c>
      <c r="I57" t="s">
        <v>16</v>
      </c>
    </row>
    <row r="58" spans="3:9">
      <c r="C58" t="s">
        <v>83</v>
      </c>
      <c r="D58" t="s">
        <v>8</v>
      </c>
      <c r="E58" t="s">
        <v>9</v>
      </c>
      <c r="F58">
        <v>36</v>
      </c>
      <c r="G58" s="1">
        <v>44085</v>
      </c>
      <c r="H58">
        <v>114890</v>
      </c>
      <c r="I58" t="s">
        <v>16</v>
      </c>
    </row>
    <row r="59" spans="3:9">
      <c r="C59" t="s">
        <v>67</v>
      </c>
      <c r="D59" t="s">
        <v>15</v>
      </c>
      <c r="E59" t="s">
        <v>12</v>
      </c>
      <c r="F59">
        <v>30</v>
      </c>
      <c r="G59" s="1">
        <v>44850</v>
      </c>
      <c r="H59">
        <v>69710</v>
      </c>
      <c r="I59" t="s">
        <v>16</v>
      </c>
    </row>
    <row r="60" spans="3:9">
      <c r="C60" t="s">
        <v>94</v>
      </c>
      <c r="D60" t="s">
        <v>15</v>
      </c>
      <c r="E60" t="s">
        <v>21</v>
      </c>
      <c r="F60">
        <v>36</v>
      </c>
      <c r="G60" s="1">
        <v>44333</v>
      </c>
      <c r="H60">
        <v>71380</v>
      </c>
      <c r="I60" t="s">
        <v>16</v>
      </c>
    </row>
    <row r="61" spans="3:9">
      <c r="C61" t="s">
        <v>33</v>
      </c>
      <c r="D61" t="s">
        <v>8</v>
      </c>
      <c r="E61" t="s">
        <v>19</v>
      </c>
      <c r="F61">
        <v>38</v>
      </c>
      <c r="G61" s="1">
        <v>44377</v>
      </c>
      <c r="H61">
        <v>109160</v>
      </c>
      <c r="I61" t="s">
        <v>10</v>
      </c>
    </row>
    <row r="62" spans="3:9">
      <c r="C62" t="s">
        <v>98</v>
      </c>
      <c r="D62" t="s">
        <v>15</v>
      </c>
      <c r="E62" t="s">
        <v>9</v>
      </c>
      <c r="F62">
        <v>27</v>
      </c>
      <c r="G62" s="1">
        <v>44609</v>
      </c>
      <c r="H62">
        <v>113280</v>
      </c>
      <c r="I62" t="s">
        <v>42</v>
      </c>
    </row>
    <row r="63" spans="3:9">
      <c r="C63" t="s">
        <v>25</v>
      </c>
      <c r="D63" t="s">
        <v>15</v>
      </c>
      <c r="E63" t="s">
        <v>12</v>
      </c>
      <c r="F63">
        <v>30</v>
      </c>
      <c r="G63" s="1">
        <v>44273</v>
      </c>
      <c r="H63">
        <v>69120</v>
      </c>
      <c r="I63" t="s">
        <v>16</v>
      </c>
    </row>
    <row r="64" spans="3:9">
      <c r="C64" t="s">
        <v>55</v>
      </c>
      <c r="D64" t="s">
        <v>8</v>
      </c>
      <c r="E64" t="s">
        <v>56</v>
      </c>
      <c r="F64">
        <v>37</v>
      </c>
      <c r="G64" s="1">
        <v>44451</v>
      </c>
      <c r="H64">
        <v>118100</v>
      </c>
      <c r="I64" t="s">
        <v>16</v>
      </c>
    </row>
    <row r="65" spans="3:9">
      <c r="C65" t="s">
        <v>62</v>
      </c>
      <c r="D65" t="s">
        <v>8</v>
      </c>
      <c r="E65" t="s">
        <v>9</v>
      </c>
      <c r="F65">
        <v>22</v>
      </c>
      <c r="G65" s="1">
        <v>44450</v>
      </c>
      <c r="H65">
        <v>76900</v>
      </c>
      <c r="I65" t="s">
        <v>13</v>
      </c>
    </row>
    <row r="66" spans="3:9">
      <c r="C66" t="s">
        <v>17</v>
      </c>
      <c r="D66" t="s">
        <v>8</v>
      </c>
      <c r="E66" t="s">
        <v>12</v>
      </c>
      <c r="F66">
        <v>43</v>
      </c>
      <c r="G66" s="1">
        <v>45045</v>
      </c>
      <c r="H66">
        <v>114870</v>
      </c>
      <c r="I66" t="s">
        <v>16</v>
      </c>
    </row>
    <row r="67" spans="3:9">
      <c r="C67" t="s">
        <v>52</v>
      </c>
      <c r="E67" t="s">
        <v>12</v>
      </c>
      <c r="F67">
        <v>32</v>
      </c>
      <c r="G67" s="1">
        <v>44774</v>
      </c>
      <c r="H67">
        <v>91310</v>
      </c>
      <c r="I67" t="s">
        <v>16</v>
      </c>
    </row>
    <row r="68" spans="3:9">
      <c r="C68" t="s">
        <v>43</v>
      </c>
      <c r="D68" t="s">
        <v>8</v>
      </c>
      <c r="E68" t="s">
        <v>9</v>
      </c>
      <c r="F68">
        <v>28</v>
      </c>
      <c r="G68" s="1">
        <v>44486</v>
      </c>
      <c r="H68">
        <v>104770</v>
      </c>
      <c r="I68" t="s">
        <v>16</v>
      </c>
    </row>
    <row r="69" spans="3:9">
      <c r="C69" t="s">
        <v>89</v>
      </c>
      <c r="D69" t="s">
        <v>15</v>
      </c>
      <c r="E69" t="s">
        <v>19</v>
      </c>
      <c r="F69">
        <v>27</v>
      </c>
      <c r="G69" s="1">
        <v>44134</v>
      </c>
      <c r="H69">
        <v>54970</v>
      </c>
      <c r="I69" t="s">
        <v>16</v>
      </c>
    </row>
    <row r="70" spans="3:9">
      <c r="C70" t="s">
        <v>11</v>
      </c>
      <c r="E70" t="s">
        <v>12</v>
      </c>
      <c r="F70">
        <v>26</v>
      </c>
      <c r="G70" s="1">
        <v>44271</v>
      </c>
      <c r="H70">
        <v>90700</v>
      </c>
      <c r="I70" t="s">
        <v>13</v>
      </c>
    </row>
    <row r="71" spans="3:9">
      <c r="C71" t="s">
        <v>109</v>
      </c>
      <c r="D71" t="s">
        <v>8</v>
      </c>
      <c r="E71" t="s">
        <v>19</v>
      </c>
      <c r="F71">
        <v>38</v>
      </c>
      <c r="G71" s="1">
        <v>44329</v>
      </c>
      <c r="H71">
        <v>56870</v>
      </c>
      <c r="I71" t="s">
        <v>13</v>
      </c>
    </row>
    <row r="72" spans="3:9">
      <c r="C72" t="s">
        <v>77</v>
      </c>
      <c r="D72" t="s">
        <v>8</v>
      </c>
      <c r="E72" t="s">
        <v>19</v>
      </c>
      <c r="F72">
        <v>25</v>
      </c>
      <c r="G72" s="1">
        <v>44205</v>
      </c>
      <c r="H72">
        <v>92700</v>
      </c>
      <c r="I72" t="s">
        <v>16</v>
      </c>
    </row>
    <row r="73" spans="3:9">
      <c r="C73" t="s">
        <v>32</v>
      </c>
      <c r="D73" t="s">
        <v>8</v>
      </c>
      <c r="E73" t="s">
        <v>21</v>
      </c>
      <c r="F73">
        <v>21</v>
      </c>
      <c r="G73" s="1">
        <v>44317</v>
      </c>
      <c r="H73">
        <v>65920</v>
      </c>
      <c r="I73" t="s">
        <v>16</v>
      </c>
    </row>
    <row r="74" spans="3:9">
      <c r="C74" t="s">
        <v>59</v>
      </c>
      <c r="D74" t="s">
        <v>15</v>
      </c>
      <c r="E74" t="s">
        <v>9</v>
      </c>
      <c r="F74">
        <v>26</v>
      </c>
      <c r="G74" s="1">
        <v>44225</v>
      </c>
      <c r="H74">
        <v>47360</v>
      </c>
      <c r="I74" t="s">
        <v>16</v>
      </c>
    </row>
    <row r="75" spans="3:9">
      <c r="C75" t="s">
        <v>37</v>
      </c>
      <c r="D75" t="s">
        <v>15</v>
      </c>
      <c r="E75" t="s">
        <v>9</v>
      </c>
      <c r="F75">
        <v>30</v>
      </c>
      <c r="G75" s="1">
        <v>44666</v>
      </c>
      <c r="H75">
        <v>60570</v>
      </c>
      <c r="I75" t="s">
        <v>16</v>
      </c>
    </row>
    <row r="76" spans="3:9">
      <c r="C76" t="s">
        <v>96</v>
      </c>
      <c r="D76" t="s">
        <v>8</v>
      </c>
      <c r="E76" t="s">
        <v>9</v>
      </c>
      <c r="F76">
        <v>28</v>
      </c>
      <c r="G76" s="1">
        <v>44649</v>
      </c>
      <c r="H76">
        <v>104120</v>
      </c>
      <c r="I76" t="s">
        <v>16</v>
      </c>
    </row>
    <row r="77" spans="3:9">
      <c r="C77" t="s">
        <v>23</v>
      </c>
      <c r="D77" t="s">
        <v>15</v>
      </c>
      <c r="E77" t="s">
        <v>12</v>
      </c>
      <c r="F77">
        <v>37</v>
      </c>
      <c r="G77" s="1">
        <v>44338</v>
      </c>
      <c r="H77">
        <v>88050</v>
      </c>
      <c r="I77" t="s">
        <v>24</v>
      </c>
    </row>
    <row r="78" spans="3:9">
      <c r="C78" t="s">
        <v>103</v>
      </c>
      <c r="D78" t="s">
        <v>15</v>
      </c>
      <c r="E78" t="s">
        <v>12</v>
      </c>
      <c r="F78">
        <v>24</v>
      </c>
      <c r="G78" s="1">
        <v>44686</v>
      </c>
      <c r="H78">
        <v>100420</v>
      </c>
      <c r="I78" t="s">
        <v>16</v>
      </c>
    </row>
    <row r="79" spans="3:9">
      <c r="C79" t="s">
        <v>54</v>
      </c>
      <c r="D79" t="s">
        <v>8</v>
      </c>
      <c r="E79" t="s">
        <v>9</v>
      </c>
      <c r="F79">
        <v>30</v>
      </c>
      <c r="G79" s="1">
        <v>44850</v>
      </c>
      <c r="H79">
        <v>114180</v>
      </c>
      <c r="I79" t="s">
        <v>16</v>
      </c>
    </row>
    <row r="80" spans="3:9">
      <c r="C80" t="s">
        <v>86</v>
      </c>
      <c r="D80" t="s">
        <v>8</v>
      </c>
      <c r="E80" t="s">
        <v>12</v>
      </c>
      <c r="F80">
        <v>21</v>
      </c>
      <c r="G80" s="1">
        <v>44678</v>
      </c>
      <c r="H80">
        <v>33920</v>
      </c>
      <c r="I80" t="s">
        <v>16</v>
      </c>
    </row>
    <row r="81" spans="3:9">
      <c r="C81" t="s">
        <v>69</v>
      </c>
      <c r="D81" t="s">
        <v>15</v>
      </c>
      <c r="E81" t="s">
        <v>9</v>
      </c>
      <c r="F81">
        <v>23</v>
      </c>
      <c r="G81" s="1">
        <v>44440</v>
      </c>
      <c r="H81">
        <v>106460</v>
      </c>
      <c r="I81" t="s">
        <v>16</v>
      </c>
    </row>
    <row r="82" spans="3:9">
      <c r="C82" t="s">
        <v>57</v>
      </c>
      <c r="D82" t="s">
        <v>15</v>
      </c>
      <c r="E82" t="s">
        <v>9</v>
      </c>
      <c r="F82">
        <v>35</v>
      </c>
      <c r="G82" s="1">
        <v>44727</v>
      </c>
      <c r="H82">
        <v>40400</v>
      </c>
      <c r="I82" t="s">
        <v>16</v>
      </c>
    </row>
    <row r="83" spans="3:9">
      <c r="C83" t="s">
        <v>68</v>
      </c>
      <c r="D83" t="s">
        <v>15</v>
      </c>
      <c r="E83" t="s">
        <v>21</v>
      </c>
      <c r="F83">
        <v>27</v>
      </c>
      <c r="G83" s="1">
        <v>44236</v>
      </c>
      <c r="H83">
        <v>91650</v>
      </c>
      <c r="I83" t="s">
        <v>13</v>
      </c>
    </row>
    <row r="84" spans="3:9">
      <c r="C84" t="s">
        <v>99</v>
      </c>
      <c r="D84" t="s">
        <v>15</v>
      </c>
      <c r="E84" t="s">
        <v>19</v>
      </c>
      <c r="F84">
        <v>43</v>
      </c>
      <c r="G84" s="1">
        <v>44620</v>
      </c>
      <c r="H84">
        <v>36040</v>
      </c>
      <c r="I84" t="s">
        <v>16</v>
      </c>
    </row>
    <row r="85" spans="3:9">
      <c r="C85" t="s">
        <v>101</v>
      </c>
      <c r="D85" t="s">
        <v>8</v>
      </c>
      <c r="E85" t="s">
        <v>12</v>
      </c>
      <c r="F85">
        <v>40</v>
      </c>
      <c r="G85" s="1">
        <v>44381</v>
      </c>
      <c r="H85">
        <v>104410</v>
      </c>
      <c r="I85" t="s">
        <v>16</v>
      </c>
    </row>
    <row r="86" spans="3:9">
      <c r="C86" t="s">
        <v>85</v>
      </c>
      <c r="D86" t="s">
        <v>15</v>
      </c>
      <c r="E86" t="s">
        <v>21</v>
      </c>
      <c r="F86">
        <v>30</v>
      </c>
      <c r="G86" s="1">
        <v>44606</v>
      </c>
      <c r="H86">
        <v>96800</v>
      </c>
      <c r="I86" t="s">
        <v>16</v>
      </c>
    </row>
    <row r="87" spans="3:9">
      <c r="C87" t="s">
        <v>28</v>
      </c>
      <c r="D87" t="s">
        <v>8</v>
      </c>
      <c r="E87" t="s">
        <v>21</v>
      </c>
      <c r="F87">
        <v>34</v>
      </c>
      <c r="G87" s="1">
        <v>44459</v>
      </c>
      <c r="H87">
        <v>85000</v>
      </c>
      <c r="I87" t="s">
        <v>16</v>
      </c>
    </row>
    <row r="88" spans="3:9">
      <c r="C88" t="s">
        <v>80</v>
      </c>
      <c r="D88" t="s">
        <v>15</v>
      </c>
      <c r="E88" t="s">
        <v>19</v>
      </c>
      <c r="F88">
        <v>28</v>
      </c>
      <c r="G88" s="1">
        <v>44820</v>
      </c>
      <c r="H88">
        <v>43510</v>
      </c>
      <c r="I88" t="s">
        <v>42</v>
      </c>
    </row>
    <row r="89" spans="3:9">
      <c r="C89" t="s">
        <v>79</v>
      </c>
      <c r="D89" t="s">
        <v>15</v>
      </c>
      <c r="E89" t="s">
        <v>21</v>
      </c>
      <c r="F89">
        <v>33</v>
      </c>
      <c r="G89" s="1">
        <v>44243</v>
      </c>
      <c r="H89">
        <v>59430</v>
      </c>
      <c r="I89" t="s">
        <v>16</v>
      </c>
    </row>
    <row r="90" spans="3:9">
      <c r="C90" t="s">
        <v>93</v>
      </c>
      <c r="D90" t="s">
        <v>8</v>
      </c>
      <c r="E90" t="s">
        <v>21</v>
      </c>
      <c r="F90">
        <v>33</v>
      </c>
      <c r="G90" s="1">
        <v>44067</v>
      </c>
      <c r="H90">
        <v>65360</v>
      </c>
      <c r="I90" t="s">
        <v>16</v>
      </c>
    </row>
    <row r="91" spans="3:9">
      <c r="C91" t="s">
        <v>66</v>
      </c>
      <c r="D91" t="s">
        <v>8</v>
      </c>
      <c r="E91" t="s">
        <v>9</v>
      </c>
      <c r="F91">
        <v>32</v>
      </c>
      <c r="G91" s="1">
        <v>44611</v>
      </c>
      <c r="H91">
        <v>41570</v>
      </c>
      <c r="I91" t="s">
        <v>16</v>
      </c>
    </row>
    <row r="92" spans="3:9">
      <c r="C92" t="s">
        <v>95</v>
      </c>
      <c r="D92" t="s">
        <v>8</v>
      </c>
      <c r="E92" t="s">
        <v>12</v>
      </c>
      <c r="F92">
        <v>33</v>
      </c>
      <c r="G92" s="1">
        <v>44312</v>
      </c>
      <c r="H92">
        <v>75280</v>
      </c>
      <c r="I92" t="s">
        <v>16</v>
      </c>
    </row>
    <row r="93" spans="3:9">
      <c r="C93" t="s">
        <v>18</v>
      </c>
      <c r="D93" t="s">
        <v>15</v>
      </c>
      <c r="E93" t="s">
        <v>19</v>
      </c>
      <c r="F93">
        <v>33</v>
      </c>
      <c r="G93" s="1">
        <v>44385</v>
      </c>
      <c r="H93">
        <v>74550</v>
      </c>
      <c r="I93" t="s">
        <v>16</v>
      </c>
    </row>
    <row r="94" spans="3:9">
      <c r="C94" t="s">
        <v>45</v>
      </c>
      <c r="D94" t="s">
        <v>15</v>
      </c>
      <c r="E94" t="s">
        <v>9</v>
      </c>
      <c r="F94">
        <v>30</v>
      </c>
      <c r="G94" s="1">
        <v>44701</v>
      </c>
      <c r="H94">
        <v>67950</v>
      </c>
      <c r="I94" t="s">
        <v>16</v>
      </c>
    </row>
    <row r="95" spans="3:9">
      <c r="C95" t="s">
        <v>90</v>
      </c>
      <c r="D95" t="s">
        <v>15</v>
      </c>
      <c r="E95" t="s">
        <v>21</v>
      </c>
      <c r="F95">
        <v>42</v>
      </c>
      <c r="G95" s="1">
        <v>44731</v>
      </c>
      <c r="H95">
        <v>70270</v>
      </c>
      <c r="I95" t="s">
        <v>24</v>
      </c>
    </row>
    <row r="96" spans="3:9">
      <c r="C96" t="s">
        <v>46</v>
      </c>
      <c r="D96" t="s">
        <v>15</v>
      </c>
      <c r="E96" t="s">
        <v>9</v>
      </c>
      <c r="F96">
        <v>26</v>
      </c>
      <c r="G96" s="1">
        <v>44411</v>
      </c>
      <c r="H96">
        <v>53540</v>
      </c>
      <c r="I96" t="s">
        <v>16</v>
      </c>
    </row>
    <row r="97" spans="3:9">
      <c r="C97" t="s">
        <v>58</v>
      </c>
      <c r="D97" t="s">
        <v>15</v>
      </c>
      <c r="E97" t="s">
        <v>19</v>
      </c>
      <c r="F97">
        <v>22</v>
      </c>
      <c r="G97">
        <v>44446</v>
      </c>
      <c r="H97">
        <v>112780</v>
      </c>
      <c r="I97" t="s">
        <v>13</v>
      </c>
    </row>
    <row r="98" spans="3:9">
      <c r="C98" t="s">
        <v>70</v>
      </c>
      <c r="D98" t="s">
        <v>15</v>
      </c>
      <c r="E98" t="s">
        <v>9</v>
      </c>
      <c r="F98">
        <v>46</v>
      </c>
      <c r="G98">
        <v>44758</v>
      </c>
      <c r="H98">
        <v>70610</v>
      </c>
      <c r="I98" t="s">
        <v>16</v>
      </c>
    </row>
    <row r="99" spans="3:9">
      <c r="C99" t="s">
        <v>75</v>
      </c>
      <c r="D99" t="s">
        <v>8</v>
      </c>
      <c r="E99" t="s">
        <v>19</v>
      </c>
      <c r="F99">
        <v>28</v>
      </c>
      <c r="G99">
        <v>44357</v>
      </c>
      <c r="H99">
        <v>53240</v>
      </c>
      <c r="I99" t="s">
        <v>16</v>
      </c>
    </row>
    <row r="100" spans="3:9">
      <c r="C100" t="s">
        <v>49</v>
      </c>
      <c r="E100" t="s">
        <v>21</v>
      </c>
      <c r="F100">
        <v>37</v>
      </c>
      <c r="G100">
        <v>44146</v>
      </c>
      <c r="H100">
        <v>115440</v>
      </c>
      <c r="I100" t="s">
        <v>24</v>
      </c>
    </row>
    <row r="101" spans="3:9">
      <c r="C101" t="s">
        <v>65</v>
      </c>
      <c r="D101" t="s">
        <v>15</v>
      </c>
      <c r="E101" t="s">
        <v>19</v>
      </c>
      <c r="F101">
        <v>32</v>
      </c>
      <c r="G101">
        <v>44465</v>
      </c>
      <c r="H101">
        <v>53540</v>
      </c>
      <c r="I101" t="s">
        <v>16</v>
      </c>
    </row>
    <row r="102" spans="3:9">
      <c r="C102" t="s">
        <v>81</v>
      </c>
      <c r="D102" t="s">
        <v>8</v>
      </c>
      <c r="E102" t="s">
        <v>9</v>
      </c>
      <c r="F102">
        <v>30</v>
      </c>
      <c r="G102">
        <v>44861</v>
      </c>
      <c r="H102">
        <v>112570</v>
      </c>
      <c r="I102" t="s">
        <v>16</v>
      </c>
    </row>
    <row r="103" spans="3:9">
      <c r="C103" t="s">
        <v>51</v>
      </c>
      <c r="D103" t="s">
        <v>15</v>
      </c>
      <c r="E103" t="s">
        <v>9</v>
      </c>
      <c r="F103">
        <v>33</v>
      </c>
      <c r="G103">
        <v>44701</v>
      </c>
      <c r="H103">
        <v>48530</v>
      </c>
      <c r="I103" t="s">
        <v>13</v>
      </c>
    </row>
    <row r="104" spans="3:9">
      <c r="C104" t="s">
        <v>61</v>
      </c>
      <c r="D104" t="s">
        <v>8</v>
      </c>
      <c r="E104" t="s">
        <v>12</v>
      </c>
      <c r="F104">
        <v>24</v>
      </c>
      <c r="G104">
        <v>44148</v>
      </c>
      <c r="H104">
        <v>62780</v>
      </c>
      <c r="I104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08E5-5D16-4C96-ACFA-92F2DC4D1306}">
  <dimension ref="B2:H114"/>
  <sheetViews>
    <sheetView workbookViewId="0">
      <selection activeCell="J9" sqref="J9"/>
    </sheetView>
  </sheetViews>
  <sheetFormatPr defaultRowHeight="15"/>
  <cols>
    <col min="2" max="8" width="9.42578125" customWidth="1"/>
  </cols>
  <sheetData>
    <row r="2" spans="2:8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>
      <c r="B3" t="s">
        <v>155</v>
      </c>
      <c r="C3" t="s">
        <v>15</v>
      </c>
      <c r="D3">
        <v>20</v>
      </c>
      <c r="E3" t="s">
        <v>16</v>
      </c>
      <c r="F3" s="1">
        <v>44122</v>
      </c>
      <c r="G3" t="s">
        <v>12</v>
      </c>
      <c r="H3">
        <v>112650</v>
      </c>
    </row>
    <row r="4" spans="2:8">
      <c r="B4" t="s">
        <v>175</v>
      </c>
      <c r="C4" t="s">
        <v>8</v>
      </c>
      <c r="D4">
        <v>32</v>
      </c>
      <c r="E4" t="s">
        <v>13</v>
      </c>
      <c r="F4" s="1">
        <v>44293</v>
      </c>
      <c r="G4" t="s">
        <v>12</v>
      </c>
      <c r="H4">
        <v>43840</v>
      </c>
    </row>
    <row r="5" spans="2:8">
      <c r="B5" t="s">
        <v>142</v>
      </c>
      <c r="C5" t="s">
        <v>15</v>
      </c>
      <c r="D5">
        <v>31</v>
      </c>
      <c r="E5" t="s">
        <v>16</v>
      </c>
      <c r="F5" s="1">
        <v>44663</v>
      </c>
      <c r="G5" t="s">
        <v>9</v>
      </c>
      <c r="H5">
        <v>103550</v>
      </c>
    </row>
    <row r="6" spans="2:8">
      <c r="B6" t="s">
        <v>200</v>
      </c>
      <c r="C6" t="s">
        <v>8</v>
      </c>
      <c r="D6">
        <v>32</v>
      </c>
      <c r="E6" t="s">
        <v>16</v>
      </c>
      <c r="F6" s="1">
        <v>44339</v>
      </c>
      <c r="G6" t="s">
        <v>56</v>
      </c>
      <c r="H6">
        <v>45510</v>
      </c>
    </row>
    <row r="7" spans="2:8">
      <c r="B7" t="s">
        <v>141</v>
      </c>
      <c r="D7">
        <v>37</v>
      </c>
      <c r="E7" t="s">
        <v>24</v>
      </c>
      <c r="F7" s="1">
        <v>44085</v>
      </c>
      <c r="G7" t="s">
        <v>21</v>
      </c>
      <c r="H7">
        <v>115440</v>
      </c>
    </row>
    <row r="8" spans="2:8">
      <c r="B8" t="s">
        <v>201</v>
      </c>
      <c r="C8" t="s">
        <v>8</v>
      </c>
      <c r="D8">
        <v>38</v>
      </c>
      <c r="E8" t="s">
        <v>13</v>
      </c>
      <c r="F8" s="1">
        <v>44268</v>
      </c>
      <c r="G8" t="s">
        <v>19</v>
      </c>
      <c r="H8">
        <v>56870</v>
      </c>
    </row>
    <row r="9" spans="2:8">
      <c r="B9" t="s">
        <v>168</v>
      </c>
      <c r="C9" t="s">
        <v>8</v>
      </c>
      <c r="D9">
        <v>25</v>
      </c>
      <c r="E9" t="s">
        <v>16</v>
      </c>
      <c r="F9" s="1">
        <v>44144</v>
      </c>
      <c r="G9" t="s">
        <v>19</v>
      </c>
      <c r="H9">
        <v>92700</v>
      </c>
    </row>
    <row r="10" spans="2:8">
      <c r="B10" t="s">
        <v>144</v>
      </c>
      <c r="D10">
        <v>32</v>
      </c>
      <c r="E10" t="s">
        <v>16</v>
      </c>
      <c r="F10" s="1">
        <v>44713</v>
      </c>
      <c r="G10" t="s">
        <v>12</v>
      </c>
      <c r="H10">
        <v>91310</v>
      </c>
    </row>
    <row r="11" spans="2:8">
      <c r="B11" t="s">
        <v>114</v>
      </c>
      <c r="C11" t="s">
        <v>15</v>
      </c>
      <c r="D11">
        <v>33</v>
      </c>
      <c r="E11" t="s">
        <v>16</v>
      </c>
      <c r="F11" s="1">
        <v>44324</v>
      </c>
      <c r="G11" t="s">
        <v>19</v>
      </c>
      <c r="H11">
        <v>74550</v>
      </c>
    </row>
    <row r="12" spans="2:8">
      <c r="B12" t="s">
        <v>127</v>
      </c>
      <c r="C12" t="s">
        <v>15</v>
      </c>
      <c r="D12">
        <v>25</v>
      </c>
      <c r="E12" t="s">
        <v>13</v>
      </c>
      <c r="F12" s="1">
        <v>44665</v>
      </c>
      <c r="G12" t="s">
        <v>9</v>
      </c>
      <c r="H12">
        <v>109190</v>
      </c>
    </row>
    <row r="13" spans="2:8">
      <c r="B13" t="s">
        <v>193</v>
      </c>
      <c r="C13" t="s">
        <v>8</v>
      </c>
      <c r="D13">
        <v>40</v>
      </c>
      <c r="E13" t="s">
        <v>16</v>
      </c>
      <c r="F13" s="1">
        <v>44320</v>
      </c>
      <c r="G13" t="s">
        <v>12</v>
      </c>
      <c r="H13">
        <v>104410</v>
      </c>
    </row>
    <row r="14" spans="2:8">
      <c r="B14" t="s">
        <v>176</v>
      </c>
      <c r="C14" t="s">
        <v>15</v>
      </c>
      <c r="D14">
        <v>30</v>
      </c>
      <c r="E14" t="s">
        <v>16</v>
      </c>
      <c r="F14" s="1">
        <v>44544</v>
      </c>
      <c r="G14" t="s">
        <v>21</v>
      </c>
      <c r="H14">
        <v>96800</v>
      </c>
    </row>
    <row r="15" spans="2:8">
      <c r="B15" t="s">
        <v>122</v>
      </c>
      <c r="C15" t="s">
        <v>15</v>
      </c>
      <c r="D15">
        <v>28</v>
      </c>
      <c r="E15" t="s">
        <v>13</v>
      </c>
      <c r="F15" s="1">
        <v>43980</v>
      </c>
      <c r="G15" t="s">
        <v>21</v>
      </c>
      <c r="H15">
        <v>48170</v>
      </c>
    </row>
    <row r="16" spans="2:8">
      <c r="B16" t="s">
        <v>139</v>
      </c>
      <c r="C16" t="s">
        <v>15</v>
      </c>
      <c r="D16">
        <v>21</v>
      </c>
      <c r="E16" t="s">
        <v>16</v>
      </c>
      <c r="F16" s="1">
        <v>44042</v>
      </c>
      <c r="G16" t="s">
        <v>9</v>
      </c>
      <c r="H16">
        <v>37920</v>
      </c>
    </row>
    <row r="17" spans="2:8">
      <c r="B17" t="s">
        <v>177</v>
      </c>
      <c r="C17" t="s">
        <v>15</v>
      </c>
      <c r="D17">
        <v>34</v>
      </c>
      <c r="E17" t="s">
        <v>16</v>
      </c>
      <c r="F17" s="1">
        <v>44642</v>
      </c>
      <c r="G17" t="s">
        <v>9</v>
      </c>
      <c r="H17">
        <v>112650</v>
      </c>
    </row>
    <row r="18" spans="2:8">
      <c r="B18" t="s">
        <v>164</v>
      </c>
      <c r="C18" t="s">
        <v>8</v>
      </c>
      <c r="D18">
        <v>34</v>
      </c>
      <c r="E18" t="s">
        <v>24</v>
      </c>
      <c r="F18" s="1">
        <v>44660</v>
      </c>
      <c r="G18" t="s">
        <v>19</v>
      </c>
      <c r="H18">
        <v>49630</v>
      </c>
    </row>
    <row r="19" spans="2:8">
      <c r="B19" t="s">
        <v>198</v>
      </c>
      <c r="C19" t="s">
        <v>15</v>
      </c>
      <c r="D19">
        <v>36</v>
      </c>
      <c r="E19" t="s">
        <v>16</v>
      </c>
      <c r="F19" s="1">
        <v>43958</v>
      </c>
      <c r="G19" t="s">
        <v>12</v>
      </c>
      <c r="H19">
        <v>118840</v>
      </c>
    </row>
    <row r="20" spans="2:8">
      <c r="B20" t="s">
        <v>158</v>
      </c>
      <c r="C20" t="s">
        <v>15</v>
      </c>
      <c r="D20">
        <v>30</v>
      </c>
      <c r="E20" t="s">
        <v>16</v>
      </c>
      <c r="F20" s="1">
        <v>44789</v>
      </c>
      <c r="G20" t="s">
        <v>12</v>
      </c>
      <c r="H20">
        <v>69710</v>
      </c>
    </row>
    <row r="21" spans="2:8">
      <c r="B21" t="s">
        <v>196</v>
      </c>
      <c r="C21" t="s">
        <v>15</v>
      </c>
      <c r="D21">
        <v>20</v>
      </c>
      <c r="E21" t="s">
        <v>16</v>
      </c>
      <c r="F21" s="1">
        <v>44683</v>
      </c>
      <c r="G21" t="s">
        <v>9</v>
      </c>
      <c r="H21">
        <v>79570</v>
      </c>
    </row>
    <row r="22" spans="2:8">
      <c r="B22" t="s">
        <v>153</v>
      </c>
      <c r="C22" t="s">
        <v>8</v>
      </c>
      <c r="D22">
        <v>22</v>
      </c>
      <c r="E22" t="s">
        <v>13</v>
      </c>
      <c r="F22" s="1">
        <v>44388</v>
      </c>
      <c r="G22" t="s">
        <v>9</v>
      </c>
      <c r="H22">
        <v>76900</v>
      </c>
    </row>
    <row r="23" spans="2:8">
      <c r="B23" t="s">
        <v>181</v>
      </c>
      <c r="C23" t="s">
        <v>15</v>
      </c>
      <c r="D23">
        <v>27</v>
      </c>
      <c r="E23" t="s">
        <v>16</v>
      </c>
      <c r="F23" s="1">
        <v>44073</v>
      </c>
      <c r="G23" t="s">
        <v>19</v>
      </c>
      <c r="H23">
        <v>54970</v>
      </c>
    </row>
    <row r="24" spans="2:8">
      <c r="B24" t="s">
        <v>117</v>
      </c>
      <c r="C24" t="s">
        <v>15</v>
      </c>
      <c r="D24">
        <v>37</v>
      </c>
      <c r="E24" t="s">
        <v>24</v>
      </c>
      <c r="F24" s="1">
        <v>44277</v>
      </c>
      <c r="G24" t="s">
        <v>12</v>
      </c>
      <c r="H24">
        <v>88050</v>
      </c>
    </row>
    <row r="25" spans="2:8">
      <c r="B25" t="s">
        <v>191</v>
      </c>
      <c r="C25" t="s">
        <v>15</v>
      </c>
      <c r="D25">
        <v>43</v>
      </c>
      <c r="E25" t="s">
        <v>16</v>
      </c>
      <c r="F25" s="1">
        <v>44558</v>
      </c>
      <c r="G25" t="s">
        <v>19</v>
      </c>
      <c r="H25">
        <v>36040</v>
      </c>
    </row>
    <row r="26" spans="2:8">
      <c r="B26" t="s">
        <v>110</v>
      </c>
      <c r="C26" t="s">
        <v>8</v>
      </c>
      <c r="D26">
        <v>42</v>
      </c>
      <c r="E26" t="s">
        <v>10</v>
      </c>
      <c r="F26" s="1">
        <v>44718</v>
      </c>
      <c r="G26" t="s">
        <v>9</v>
      </c>
      <c r="H26">
        <v>75000</v>
      </c>
    </row>
    <row r="27" spans="2:8">
      <c r="B27" t="s">
        <v>148</v>
      </c>
      <c r="C27" t="s">
        <v>15</v>
      </c>
      <c r="D27">
        <v>35</v>
      </c>
      <c r="E27" t="s">
        <v>16</v>
      </c>
      <c r="F27" s="1">
        <v>44666</v>
      </c>
      <c r="G27" t="s">
        <v>9</v>
      </c>
      <c r="H27">
        <v>40400</v>
      </c>
    </row>
    <row r="28" spans="2:8">
      <c r="B28" t="s">
        <v>195</v>
      </c>
      <c r="C28" t="s">
        <v>15</v>
      </c>
      <c r="D28">
        <v>24</v>
      </c>
      <c r="E28" t="s">
        <v>16</v>
      </c>
      <c r="F28" s="1">
        <v>44625</v>
      </c>
      <c r="G28" t="s">
        <v>12</v>
      </c>
      <c r="H28">
        <v>100420</v>
      </c>
    </row>
    <row r="29" spans="2:8">
      <c r="B29" t="s">
        <v>119</v>
      </c>
      <c r="C29" t="s">
        <v>8</v>
      </c>
      <c r="D29">
        <v>31</v>
      </c>
      <c r="E29" t="s">
        <v>16</v>
      </c>
      <c r="F29" s="1">
        <v>44604</v>
      </c>
      <c r="G29" t="s">
        <v>12</v>
      </c>
      <c r="H29">
        <v>58100</v>
      </c>
    </row>
    <row r="30" spans="2:8">
      <c r="B30" t="s">
        <v>113</v>
      </c>
      <c r="C30" t="s">
        <v>8</v>
      </c>
      <c r="D30">
        <v>44</v>
      </c>
      <c r="E30" t="s">
        <v>16</v>
      </c>
      <c r="F30" s="1">
        <v>44985</v>
      </c>
      <c r="G30" t="s">
        <v>12</v>
      </c>
      <c r="H30">
        <v>114870</v>
      </c>
    </row>
    <row r="31" spans="2:8">
      <c r="B31" t="s">
        <v>157</v>
      </c>
      <c r="C31" t="s">
        <v>8</v>
      </c>
      <c r="D31">
        <v>32</v>
      </c>
      <c r="E31" t="s">
        <v>16</v>
      </c>
      <c r="F31" s="1">
        <v>44549</v>
      </c>
      <c r="G31" t="s">
        <v>9</v>
      </c>
      <c r="H31">
        <v>41570</v>
      </c>
    </row>
    <row r="32" spans="2:8">
      <c r="B32" t="s">
        <v>172</v>
      </c>
      <c r="C32" t="s">
        <v>8</v>
      </c>
      <c r="D32">
        <v>30</v>
      </c>
      <c r="E32" t="s">
        <v>16</v>
      </c>
      <c r="F32" s="1">
        <v>44800</v>
      </c>
      <c r="G32" t="s">
        <v>9</v>
      </c>
      <c r="H32">
        <v>112570</v>
      </c>
    </row>
    <row r="33" spans="2:8">
      <c r="B33" t="s">
        <v>150</v>
      </c>
      <c r="C33" t="s">
        <v>15</v>
      </c>
      <c r="D33">
        <v>26</v>
      </c>
      <c r="E33" t="s">
        <v>16</v>
      </c>
      <c r="F33" s="1">
        <v>44164</v>
      </c>
      <c r="G33" t="s">
        <v>9</v>
      </c>
      <c r="H33">
        <v>47360</v>
      </c>
    </row>
    <row r="34" spans="2:8">
      <c r="B34" t="s">
        <v>125</v>
      </c>
      <c r="C34" t="s">
        <v>8</v>
      </c>
      <c r="D34">
        <v>21</v>
      </c>
      <c r="E34" t="s">
        <v>16</v>
      </c>
      <c r="F34" s="1">
        <v>44256</v>
      </c>
      <c r="G34" t="s">
        <v>21</v>
      </c>
      <c r="H34">
        <v>65920</v>
      </c>
    </row>
    <row r="35" spans="2:8">
      <c r="B35" t="s">
        <v>199</v>
      </c>
      <c r="C35" t="s">
        <v>8</v>
      </c>
      <c r="D35">
        <v>28</v>
      </c>
      <c r="E35" t="s">
        <v>16</v>
      </c>
      <c r="F35" s="1">
        <v>44571</v>
      </c>
      <c r="G35" t="s">
        <v>9</v>
      </c>
      <c r="H35">
        <v>99970</v>
      </c>
    </row>
    <row r="36" spans="2:8">
      <c r="B36" t="s">
        <v>132</v>
      </c>
      <c r="C36" t="s">
        <v>8</v>
      </c>
      <c r="D36">
        <v>25</v>
      </c>
      <c r="E36" t="s">
        <v>13</v>
      </c>
      <c r="F36" s="1">
        <v>44633</v>
      </c>
      <c r="G36" t="s">
        <v>12</v>
      </c>
      <c r="H36">
        <v>80700</v>
      </c>
    </row>
    <row r="37" spans="2:8">
      <c r="B37" t="s">
        <v>154</v>
      </c>
      <c r="C37" t="s">
        <v>15</v>
      </c>
      <c r="D37">
        <v>24</v>
      </c>
      <c r="E37" t="s">
        <v>24</v>
      </c>
      <c r="F37" s="1">
        <v>44375</v>
      </c>
      <c r="G37" t="s">
        <v>21</v>
      </c>
      <c r="H37">
        <v>52610</v>
      </c>
    </row>
    <row r="38" spans="2:8">
      <c r="B38" t="s">
        <v>179</v>
      </c>
      <c r="C38" t="s">
        <v>15</v>
      </c>
      <c r="D38">
        <v>29</v>
      </c>
      <c r="E38" t="s">
        <v>24</v>
      </c>
      <c r="F38" s="1">
        <v>44119</v>
      </c>
      <c r="G38" t="s">
        <v>12</v>
      </c>
      <c r="H38">
        <v>112110</v>
      </c>
    </row>
    <row r="39" spans="2:8">
      <c r="B39" t="s">
        <v>151</v>
      </c>
      <c r="C39" t="s">
        <v>8</v>
      </c>
      <c r="D39">
        <v>27</v>
      </c>
      <c r="E39" t="s">
        <v>16</v>
      </c>
      <c r="F39" s="1">
        <v>44061</v>
      </c>
      <c r="G39" t="s">
        <v>56</v>
      </c>
      <c r="H39">
        <v>119110</v>
      </c>
    </row>
    <row r="40" spans="2:8">
      <c r="B40" t="s">
        <v>149</v>
      </c>
      <c r="C40" t="s">
        <v>15</v>
      </c>
      <c r="D40">
        <v>22</v>
      </c>
      <c r="E40" t="s">
        <v>13</v>
      </c>
      <c r="F40" s="1">
        <v>44384</v>
      </c>
      <c r="G40" t="s">
        <v>19</v>
      </c>
      <c r="H40">
        <v>112780</v>
      </c>
    </row>
    <row r="41" spans="2:8">
      <c r="B41" t="s">
        <v>174</v>
      </c>
      <c r="C41" t="s">
        <v>8</v>
      </c>
      <c r="D41">
        <v>36</v>
      </c>
      <c r="E41" t="s">
        <v>16</v>
      </c>
      <c r="F41" s="1">
        <v>44023</v>
      </c>
      <c r="G41" t="s">
        <v>9</v>
      </c>
      <c r="H41">
        <v>114890</v>
      </c>
    </row>
    <row r="42" spans="2:8">
      <c r="B42" t="s">
        <v>145</v>
      </c>
      <c r="C42" t="s">
        <v>15</v>
      </c>
      <c r="D42">
        <v>27</v>
      </c>
      <c r="E42" t="s">
        <v>16</v>
      </c>
      <c r="F42" s="1">
        <v>44506</v>
      </c>
      <c r="G42" t="s">
        <v>21</v>
      </c>
      <c r="H42">
        <v>48980</v>
      </c>
    </row>
    <row r="43" spans="2:8">
      <c r="B43" t="s">
        <v>169</v>
      </c>
      <c r="C43" t="s">
        <v>15</v>
      </c>
      <c r="D43">
        <v>21</v>
      </c>
      <c r="E43" t="s">
        <v>16</v>
      </c>
      <c r="F43" s="1">
        <v>44180</v>
      </c>
      <c r="G43" t="s">
        <v>56</v>
      </c>
      <c r="H43">
        <v>75880</v>
      </c>
    </row>
    <row r="44" spans="2:8">
      <c r="B44" t="s">
        <v>166</v>
      </c>
      <c r="C44" t="s">
        <v>8</v>
      </c>
      <c r="D44">
        <v>28</v>
      </c>
      <c r="E44" t="s">
        <v>16</v>
      </c>
      <c r="F44" s="1">
        <v>44296</v>
      </c>
      <c r="G44" t="s">
        <v>19</v>
      </c>
      <c r="H44">
        <v>53240</v>
      </c>
    </row>
    <row r="45" spans="2:8">
      <c r="B45" t="s">
        <v>121</v>
      </c>
      <c r="C45" t="s">
        <v>8</v>
      </c>
      <c r="D45">
        <v>34</v>
      </c>
      <c r="E45" t="s">
        <v>16</v>
      </c>
      <c r="F45" s="1">
        <v>44397</v>
      </c>
      <c r="G45" t="s">
        <v>21</v>
      </c>
      <c r="H45">
        <v>85000</v>
      </c>
    </row>
    <row r="46" spans="2:8">
      <c r="B46" t="s">
        <v>178</v>
      </c>
      <c r="C46" t="s">
        <v>8</v>
      </c>
      <c r="D46">
        <v>21</v>
      </c>
      <c r="E46" t="s">
        <v>16</v>
      </c>
      <c r="F46" s="1">
        <v>44619</v>
      </c>
      <c r="G46" t="s">
        <v>12</v>
      </c>
      <c r="H46">
        <v>33920</v>
      </c>
    </row>
    <row r="47" spans="2:8">
      <c r="B47" t="s">
        <v>187</v>
      </c>
      <c r="C47" t="s">
        <v>8</v>
      </c>
      <c r="D47">
        <v>33</v>
      </c>
      <c r="E47" t="s">
        <v>16</v>
      </c>
      <c r="F47" s="1">
        <v>44253</v>
      </c>
      <c r="G47" t="s">
        <v>12</v>
      </c>
      <c r="H47">
        <v>75280</v>
      </c>
    </row>
    <row r="48" spans="2:8">
      <c r="B48" t="s">
        <v>129</v>
      </c>
      <c r="C48" t="s">
        <v>8</v>
      </c>
      <c r="D48">
        <v>34</v>
      </c>
      <c r="E48" t="s">
        <v>16</v>
      </c>
      <c r="F48" s="1">
        <v>44594</v>
      </c>
      <c r="G48" t="s">
        <v>21</v>
      </c>
      <c r="H48">
        <v>58940</v>
      </c>
    </row>
    <row r="49" spans="2:8">
      <c r="B49" t="s">
        <v>135</v>
      </c>
      <c r="C49" t="s">
        <v>8</v>
      </c>
      <c r="D49">
        <v>28</v>
      </c>
      <c r="E49" t="s">
        <v>16</v>
      </c>
      <c r="F49" s="1">
        <v>44425</v>
      </c>
      <c r="G49" t="s">
        <v>9</v>
      </c>
      <c r="H49">
        <v>104770</v>
      </c>
    </row>
    <row r="50" spans="2:8">
      <c r="B50" t="s">
        <v>124</v>
      </c>
      <c r="C50" t="s">
        <v>15</v>
      </c>
      <c r="D50">
        <v>21</v>
      </c>
      <c r="E50" t="s">
        <v>16</v>
      </c>
      <c r="F50" s="1">
        <v>44701</v>
      </c>
      <c r="G50" t="s">
        <v>9</v>
      </c>
      <c r="H50">
        <v>57090</v>
      </c>
    </row>
    <row r="51" spans="2:8">
      <c r="B51" t="s">
        <v>159</v>
      </c>
      <c r="C51" t="s">
        <v>15</v>
      </c>
      <c r="D51">
        <v>27</v>
      </c>
      <c r="E51" t="s">
        <v>13</v>
      </c>
      <c r="F51" s="1">
        <v>44174</v>
      </c>
      <c r="G51" t="s">
        <v>21</v>
      </c>
      <c r="H51">
        <v>91650</v>
      </c>
    </row>
    <row r="52" spans="2:8">
      <c r="B52" t="s">
        <v>182</v>
      </c>
      <c r="C52" t="s">
        <v>15</v>
      </c>
      <c r="D52">
        <v>42</v>
      </c>
      <c r="E52" t="s">
        <v>24</v>
      </c>
      <c r="F52" s="1">
        <v>44670</v>
      </c>
      <c r="G52" t="s">
        <v>21</v>
      </c>
      <c r="H52">
        <v>70270</v>
      </c>
    </row>
    <row r="53" spans="2:8">
      <c r="B53" t="s">
        <v>128</v>
      </c>
      <c r="C53" t="s">
        <v>8</v>
      </c>
      <c r="D53">
        <v>28</v>
      </c>
      <c r="E53" t="s">
        <v>16</v>
      </c>
      <c r="F53" s="1">
        <v>44124</v>
      </c>
      <c r="G53" t="s">
        <v>21</v>
      </c>
      <c r="H53">
        <v>75970</v>
      </c>
    </row>
    <row r="54" spans="2:8">
      <c r="B54" t="s">
        <v>111</v>
      </c>
      <c r="D54">
        <v>27</v>
      </c>
      <c r="E54" t="s">
        <v>13</v>
      </c>
      <c r="F54" s="1">
        <v>44212</v>
      </c>
      <c r="G54" t="s">
        <v>12</v>
      </c>
      <c r="H54">
        <v>90700</v>
      </c>
    </row>
    <row r="55" spans="2:8">
      <c r="B55" t="s">
        <v>130</v>
      </c>
      <c r="C55" t="s">
        <v>15</v>
      </c>
      <c r="D55">
        <v>30</v>
      </c>
      <c r="E55" t="s">
        <v>16</v>
      </c>
      <c r="F55" s="1">
        <v>44607</v>
      </c>
      <c r="G55" t="s">
        <v>9</v>
      </c>
      <c r="H55">
        <v>60570</v>
      </c>
    </row>
    <row r="56" spans="2:8">
      <c r="B56" t="s">
        <v>133</v>
      </c>
      <c r="C56" t="s">
        <v>15</v>
      </c>
      <c r="D56">
        <v>33</v>
      </c>
      <c r="E56" t="s">
        <v>16</v>
      </c>
      <c r="F56" s="1">
        <v>44103</v>
      </c>
      <c r="G56" t="s">
        <v>9</v>
      </c>
      <c r="H56">
        <v>115920</v>
      </c>
    </row>
    <row r="57" spans="2:8">
      <c r="B57" t="s">
        <v>185</v>
      </c>
      <c r="C57" t="s">
        <v>8</v>
      </c>
      <c r="D57">
        <v>33</v>
      </c>
      <c r="E57" t="s">
        <v>16</v>
      </c>
      <c r="F57" s="1">
        <v>44006</v>
      </c>
      <c r="G57" t="s">
        <v>21</v>
      </c>
      <c r="H57">
        <v>65360</v>
      </c>
    </row>
    <row r="58" spans="2:8">
      <c r="B58" t="s">
        <v>115</v>
      </c>
      <c r="D58">
        <v>30</v>
      </c>
      <c r="E58" t="s">
        <v>16</v>
      </c>
      <c r="F58" s="1">
        <v>44535</v>
      </c>
      <c r="G58" t="s">
        <v>21</v>
      </c>
      <c r="H58">
        <v>64000</v>
      </c>
    </row>
    <row r="59" spans="2:8">
      <c r="B59" t="s">
        <v>194</v>
      </c>
      <c r="C59" t="s">
        <v>8</v>
      </c>
      <c r="D59">
        <v>34</v>
      </c>
      <c r="E59" t="s">
        <v>16</v>
      </c>
      <c r="F59" s="1">
        <v>44383</v>
      </c>
      <c r="G59" t="s">
        <v>21</v>
      </c>
      <c r="H59">
        <v>92450</v>
      </c>
    </row>
    <row r="60" spans="2:8">
      <c r="B60" t="s">
        <v>112</v>
      </c>
      <c r="C60" t="s">
        <v>15</v>
      </c>
      <c r="D60">
        <v>31</v>
      </c>
      <c r="E60" t="s">
        <v>16</v>
      </c>
      <c r="F60" s="1">
        <v>44450</v>
      </c>
      <c r="G60" t="s">
        <v>12</v>
      </c>
      <c r="H60">
        <v>48950</v>
      </c>
    </row>
    <row r="61" spans="2:8">
      <c r="B61" t="s">
        <v>184</v>
      </c>
      <c r="C61" t="s">
        <v>8</v>
      </c>
      <c r="D61">
        <v>27</v>
      </c>
      <c r="E61" t="s">
        <v>16</v>
      </c>
      <c r="F61" s="1">
        <v>44625</v>
      </c>
      <c r="G61" t="s">
        <v>12</v>
      </c>
      <c r="H61">
        <v>83750</v>
      </c>
    </row>
    <row r="62" spans="2:8">
      <c r="B62" t="s">
        <v>165</v>
      </c>
      <c r="C62" t="s">
        <v>8</v>
      </c>
      <c r="D62">
        <v>40</v>
      </c>
      <c r="E62" t="s">
        <v>16</v>
      </c>
      <c r="F62" s="1">
        <v>44276</v>
      </c>
      <c r="G62" t="s">
        <v>12</v>
      </c>
      <c r="H62">
        <v>87620</v>
      </c>
    </row>
    <row r="63" spans="2:8">
      <c r="B63" t="s">
        <v>183</v>
      </c>
      <c r="C63" t="s">
        <v>8</v>
      </c>
      <c r="D63">
        <v>20</v>
      </c>
      <c r="E63" t="s">
        <v>24</v>
      </c>
      <c r="F63" s="1">
        <v>44476</v>
      </c>
      <c r="G63" t="s">
        <v>19</v>
      </c>
      <c r="H63">
        <v>68900</v>
      </c>
    </row>
    <row r="64" spans="2:8">
      <c r="B64" t="s">
        <v>156</v>
      </c>
      <c r="C64" t="s">
        <v>15</v>
      </c>
      <c r="D64">
        <v>32</v>
      </c>
      <c r="E64" t="s">
        <v>16</v>
      </c>
      <c r="F64" s="1">
        <v>44403</v>
      </c>
      <c r="G64" t="s">
        <v>19</v>
      </c>
      <c r="H64">
        <v>53540</v>
      </c>
    </row>
    <row r="65" spans="2:8">
      <c r="B65" t="s">
        <v>171</v>
      </c>
      <c r="C65" t="s">
        <v>15</v>
      </c>
      <c r="D65">
        <v>28</v>
      </c>
      <c r="E65" t="s">
        <v>42</v>
      </c>
      <c r="F65" s="1">
        <v>44758</v>
      </c>
      <c r="G65" t="s">
        <v>19</v>
      </c>
      <c r="H65">
        <v>43510</v>
      </c>
    </row>
    <row r="66" spans="2:8">
      <c r="B66" t="s">
        <v>126</v>
      </c>
      <c r="C66" t="s">
        <v>8</v>
      </c>
      <c r="D66">
        <v>38</v>
      </c>
      <c r="E66" t="s">
        <v>10</v>
      </c>
      <c r="F66" s="1">
        <v>44316</v>
      </c>
      <c r="G66" t="s">
        <v>19</v>
      </c>
      <c r="H66">
        <v>109160</v>
      </c>
    </row>
    <row r="67" spans="2:8">
      <c r="B67" t="s">
        <v>197</v>
      </c>
      <c r="C67" t="s">
        <v>15</v>
      </c>
      <c r="D67">
        <v>40</v>
      </c>
      <c r="E67" t="s">
        <v>16</v>
      </c>
      <c r="F67" s="1">
        <v>44204</v>
      </c>
      <c r="G67" t="s">
        <v>9</v>
      </c>
      <c r="H67">
        <v>99750</v>
      </c>
    </row>
    <row r="68" spans="2:8">
      <c r="B68" t="s">
        <v>123</v>
      </c>
      <c r="C68" t="s">
        <v>8</v>
      </c>
      <c r="D68">
        <v>31</v>
      </c>
      <c r="E68" t="s">
        <v>16</v>
      </c>
      <c r="F68" s="1">
        <v>44084</v>
      </c>
      <c r="G68" t="s">
        <v>12</v>
      </c>
      <c r="H68">
        <v>41980</v>
      </c>
    </row>
    <row r="69" spans="2:8">
      <c r="B69" t="s">
        <v>186</v>
      </c>
      <c r="C69" t="s">
        <v>15</v>
      </c>
      <c r="D69">
        <v>36</v>
      </c>
      <c r="E69" t="s">
        <v>16</v>
      </c>
      <c r="F69" s="1">
        <v>44272</v>
      </c>
      <c r="G69" t="s">
        <v>21</v>
      </c>
      <c r="H69">
        <v>71380</v>
      </c>
    </row>
    <row r="70" spans="2:8">
      <c r="B70" t="s">
        <v>190</v>
      </c>
      <c r="C70" t="s">
        <v>15</v>
      </c>
      <c r="D70">
        <v>27</v>
      </c>
      <c r="E70" t="s">
        <v>42</v>
      </c>
      <c r="F70" s="1">
        <v>44547</v>
      </c>
      <c r="G70" t="s">
        <v>9</v>
      </c>
      <c r="H70">
        <v>113280</v>
      </c>
    </row>
    <row r="71" spans="2:8">
      <c r="B71" t="s">
        <v>180</v>
      </c>
      <c r="C71" t="s">
        <v>8</v>
      </c>
      <c r="D71">
        <v>33</v>
      </c>
      <c r="E71" t="s">
        <v>16</v>
      </c>
      <c r="F71" s="1">
        <v>44747</v>
      </c>
      <c r="G71" t="s">
        <v>21</v>
      </c>
      <c r="H71">
        <v>86570</v>
      </c>
    </row>
    <row r="72" spans="2:8">
      <c r="B72" t="s">
        <v>138</v>
      </c>
      <c r="C72" t="s">
        <v>15</v>
      </c>
      <c r="D72">
        <v>26</v>
      </c>
      <c r="E72" t="s">
        <v>16</v>
      </c>
      <c r="F72" s="1">
        <v>44350</v>
      </c>
      <c r="G72" t="s">
        <v>9</v>
      </c>
      <c r="H72">
        <v>53540</v>
      </c>
    </row>
    <row r="73" spans="2:8">
      <c r="B73" t="s">
        <v>189</v>
      </c>
      <c r="C73" t="s">
        <v>15</v>
      </c>
      <c r="D73">
        <v>37</v>
      </c>
      <c r="E73" t="s">
        <v>16</v>
      </c>
      <c r="F73" s="1">
        <v>44640</v>
      </c>
      <c r="G73" t="s">
        <v>12</v>
      </c>
      <c r="H73">
        <v>69070</v>
      </c>
    </row>
    <row r="74" spans="2:8">
      <c r="B74" t="s">
        <v>120</v>
      </c>
      <c r="C74" t="s">
        <v>8</v>
      </c>
      <c r="D74">
        <v>30</v>
      </c>
      <c r="E74" t="s">
        <v>24</v>
      </c>
      <c r="F74" s="1">
        <v>44328</v>
      </c>
      <c r="G74" t="s">
        <v>21</v>
      </c>
      <c r="H74">
        <v>67910</v>
      </c>
    </row>
    <row r="75" spans="2:8">
      <c r="B75" t="s">
        <v>118</v>
      </c>
      <c r="C75" t="s">
        <v>15</v>
      </c>
      <c r="D75">
        <v>30</v>
      </c>
      <c r="E75" t="s">
        <v>16</v>
      </c>
      <c r="F75" s="1">
        <v>44214</v>
      </c>
      <c r="G75" t="s">
        <v>12</v>
      </c>
      <c r="H75">
        <v>69120</v>
      </c>
    </row>
    <row r="76" spans="2:8">
      <c r="B76" t="s">
        <v>131</v>
      </c>
      <c r="C76" t="s">
        <v>8</v>
      </c>
      <c r="D76">
        <v>34</v>
      </c>
      <c r="E76" t="s">
        <v>16</v>
      </c>
      <c r="F76" s="1">
        <v>44550</v>
      </c>
      <c r="G76" t="s">
        <v>21</v>
      </c>
      <c r="H76">
        <v>60130</v>
      </c>
    </row>
    <row r="77" spans="2:8">
      <c r="B77" t="s">
        <v>160</v>
      </c>
      <c r="C77" t="s">
        <v>15</v>
      </c>
      <c r="D77">
        <v>23</v>
      </c>
      <c r="E77" t="s">
        <v>16</v>
      </c>
      <c r="F77" s="1">
        <v>44378</v>
      </c>
      <c r="G77" t="s">
        <v>9</v>
      </c>
      <c r="H77">
        <v>106460</v>
      </c>
    </row>
    <row r="78" spans="2:8">
      <c r="B78" t="s">
        <v>147</v>
      </c>
      <c r="C78" t="s">
        <v>8</v>
      </c>
      <c r="D78">
        <v>37</v>
      </c>
      <c r="E78" t="s">
        <v>16</v>
      </c>
      <c r="F78" s="1">
        <v>44389</v>
      </c>
      <c r="G78" t="s">
        <v>56</v>
      </c>
      <c r="H78">
        <v>118100</v>
      </c>
    </row>
    <row r="79" spans="2:8">
      <c r="B79" t="s">
        <v>163</v>
      </c>
      <c r="C79" t="s">
        <v>8</v>
      </c>
      <c r="D79">
        <v>36</v>
      </c>
      <c r="E79" t="s">
        <v>16</v>
      </c>
      <c r="F79" s="1">
        <v>44468</v>
      </c>
      <c r="G79" t="s">
        <v>9</v>
      </c>
      <c r="H79">
        <v>78390</v>
      </c>
    </row>
    <row r="80" spans="2:8">
      <c r="B80" t="s">
        <v>146</v>
      </c>
      <c r="C80" t="s">
        <v>8</v>
      </c>
      <c r="D80">
        <v>30</v>
      </c>
      <c r="E80" t="s">
        <v>16</v>
      </c>
      <c r="F80" s="1">
        <v>44789</v>
      </c>
      <c r="G80" t="s">
        <v>9</v>
      </c>
      <c r="H80">
        <v>114180</v>
      </c>
    </row>
    <row r="81" spans="2:8">
      <c r="B81" t="s">
        <v>188</v>
      </c>
      <c r="C81" t="s">
        <v>8</v>
      </c>
      <c r="D81">
        <v>28</v>
      </c>
      <c r="E81" t="s">
        <v>16</v>
      </c>
      <c r="F81" s="1">
        <v>44590</v>
      </c>
      <c r="G81" t="s">
        <v>9</v>
      </c>
      <c r="H81">
        <v>104120</v>
      </c>
    </row>
    <row r="82" spans="2:8">
      <c r="B82" t="s">
        <v>137</v>
      </c>
      <c r="C82" t="s">
        <v>15</v>
      </c>
      <c r="D82">
        <v>30</v>
      </c>
      <c r="E82" t="s">
        <v>16</v>
      </c>
      <c r="F82" s="1">
        <v>44640</v>
      </c>
      <c r="G82" t="s">
        <v>9</v>
      </c>
      <c r="H82">
        <v>67950</v>
      </c>
    </row>
    <row r="83" spans="2:8">
      <c r="B83" t="s">
        <v>136</v>
      </c>
      <c r="C83" t="s">
        <v>8</v>
      </c>
      <c r="D83">
        <v>29</v>
      </c>
      <c r="E83" t="s">
        <v>16</v>
      </c>
      <c r="F83" s="1">
        <v>43962</v>
      </c>
      <c r="G83" t="s">
        <v>12</v>
      </c>
      <c r="H83">
        <v>34980</v>
      </c>
    </row>
    <row r="84" spans="2:8">
      <c r="B84" t="s">
        <v>152</v>
      </c>
      <c r="C84" t="s">
        <v>8</v>
      </c>
      <c r="D84">
        <v>24</v>
      </c>
      <c r="E84" t="s">
        <v>16</v>
      </c>
      <c r="F84" s="1">
        <v>44087</v>
      </c>
      <c r="G84" t="s">
        <v>12</v>
      </c>
      <c r="H84">
        <v>62780</v>
      </c>
    </row>
    <row r="85" spans="2:8">
      <c r="B85" t="s">
        <v>116</v>
      </c>
      <c r="C85" t="s">
        <v>15</v>
      </c>
      <c r="D85">
        <v>20</v>
      </c>
      <c r="E85" t="s">
        <v>16</v>
      </c>
      <c r="F85" s="1">
        <v>44397</v>
      </c>
      <c r="G85" t="s">
        <v>12</v>
      </c>
      <c r="H85">
        <v>107700</v>
      </c>
    </row>
    <row r="86" spans="2:8">
      <c r="B86" t="s">
        <v>167</v>
      </c>
      <c r="C86" t="s">
        <v>15</v>
      </c>
      <c r="D86">
        <v>25</v>
      </c>
      <c r="E86" t="s">
        <v>16</v>
      </c>
      <c r="F86" s="1">
        <v>44322</v>
      </c>
      <c r="G86" t="s">
        <v>19</v>
      </c>
      <c r="H86">
        <v>65700</v>
      </c>
    </row>
    <row r="87" spans="2:8">
      <c r="B87" t="s">
        <v>134</v>
      </c>
      <c r="C87" t="s">
        <v>8</v>
      </c>
      <c r="D87">
        <v>33</v>
      </c>
      <c r="E87" t="s">
        <v>42</v>
      </c>
      <c r="F87" s="1">
        <v>44313</v>
      </c>
      <c r="G87" t="s">
        <v>12</v>
      </c>
      <c r="H87">
        <v>75480</v>
      </c>
    </row>
    <row r="88" spans="2:8">
      <c r="B88" t="s">
        <v>173</v>
      </c>
      <c r="C88" t="s">
        <v>15</v>
      </c>
      <c r="D88">
        <v>33</v>
      </c>
      <c r="E88" t="s">
        <v>16</v>
      </c>
      <c r="F88" s="1">
        <v>44448</v>
      </c>
      <c r="G88" t="s">
        <v>12</v>
      </c>
      <c r="H88">
        <v>53870</v>
      </c>
    </row>
    <row r="89" spans="2:8">
      <c r="B89" t="s">
        <v>140</v>
      </c>
      <c r="C89" t="s">
        <v>8</v>
      </c>
      <c r="D89">
        <v>36</v>
      </c>
      <c r="E89" t="s">
        <v>16</v>
      </c>
      <c r="F89" s="1">
        <v>44433</v>
      </c>
      <c r="G89" t="s">
        <v>19</v>
      </c>
      <c r="H89">
        <v>78540</v>
      </c>
    </row>
    <row r="90" spans="2:8">
      <c r="B90" t="s">
        <v>192</v>
      </c>
      <c r="C90" t="s">
        <v>15</v>
      </c>
      <c r="D90">
        <v>19</v>
      </c>
      <c r="E90" t="s">
        <v>16</v>
      </c>
      <c r="F90" s="1">
        <v>44218</v>
      </c>
      <c r="G90" t="s">
        <v>9</v>
      </c>
      <c r="H90">
        <v>58960</v>
      </c>
    </row>
    <row r="91" spans="2:8">
      <c r="B91" t="s">
        <v>161</v>
      </c>
      <c r="C91" t="s">
        <v>15</v>
      </c>
      <c r="D91">
        <v>46</v>
      </c>
      <c r="E91" t="s">
        <v>16</v>
      </c>
      <c r="F91" s="1">
        <v>44697</v>
      </c>
      <c r="G91" t="s">
        <v>9</v>
      </c>
      <c r="H91">
        <v>70610</v>
      </c>
    </row>
    <row r="92" spans="2:8">
      <c r="B92" t="s">
        <v>170</v>
      </c>
      <c r="C92" t="s">
        <v>15</v>
      </c>
      <c r="D92">
        <v>33</v>
      </c>
      <c r="E92" t="s">
        <v>16</v>
      </c>
      <c r="F92" s="1">
        <v>44181</v>
      </c>
      <c r="G92" t="s">
        <v>21</v>
      </c>
      <c r="H92">
        <v>59430</v>
      </c>
    </row>
    <row r="93" spans="2:8">
      <c r="B93" t="s">
        <v>143</v>
      </c>
      <c r="C93" t="s">
        <v>15</v>
      </c>
      <c r="D93">
        <v>33</v>
      </c>
      <c r="E93" t="s">
        <v>13</v>
      </c>
      <c r="F93" s="1">
        <v>44640</v>
      </c>
      <c r="G93" t="s">
        <v>9</v>
      </c>
      <c r="H93">
        <v>48530</v>
      </c>
    </row>
    <row r="94" spans="2:8">
      <c r="B94" t="s">
        <v>162</v>
      </c>
      <c r="C94" t="s">
        <v>8</v>
      </c>
      <c r="D94">
        <v>33</v>
      </c>
      <c r="E94" t="s">
        <v>16</v>
      </c>
      <c r="F94" s="1">
        <v>44129</v>
      </c>
      <c r="G94" t="s">
        <v>12</v>
      </c>
      <c r="H94">
        <v>96140</v>
      </c>
    </row>
    <row r="95" spans="2:8">
      <c r="B95" t="s">
        <v>155</v>
      </c>
      <c r="C95" t="s">
        <v>15</v>
      </c>
      <c r="D95">
        <v>20</v>
      </c>
      <c r="E95" t="s">
        <v>16</v>
      </c>
      <c r="F95" s="1">
        <v>44122</v>
      </c>
      <c r="G95" t="s">
        <v>12</v>
      </c>
      <c r="H95">
        <v>112650</v>
      </c>
    </row>
    <row r="96" spans="2:8">
      <c r="B96" t="s">
        <v>175</v>
      </c>
      <c r="C96" t="s">
        <v>8</v>
      </c>
      <c r="D96">
        <v>32</v>
      </c>
      <c r="E96" t="s">
        <v>13</v>
      </c>
      <c r="F96" s="1">
        <v>44293</v>
      </c>
      <c r="G96" t="s">
        <v>12</v>
      </c>
      <c r="H96">
        <v>43840</v>
      </c>
    </row>
    <row r="97" spans="2:8">
      <c r="B97" t="s">
        <v>142</v>
      </c>
      <c r="C97" t="s">
        <v>15</v>
      </c>
      <c r="D97">
        <v>31</v>
      </c>
      <c r="E97" t="s">
        <v>16</v>
      </c>
      <c r="F97" s="1">
        <v>44663</v>
      </c>
      <c r="G97" t="s">
        <v>9</v>
      </c>
      <c r="H97">
        <v>103550</v>
      </c>
    </row>
    <row r="98" spans="2:8">
      <c r="B98" t="s">
        <v>200</v>
      </c>
      <c r="C98" t="s">
        <v>8</v>
      </c>
      <c r="D98">
        <v>32</v>
      </c>
      <c r="E98" t="s">
        <v>16</v>
      </c>
      <c r="F98" s="1">
        <v>44339</v>
      </c>
      <c r="G98" t="s">
        <v>56</v>
      </c>
      <c r="H98">
        <v>45510</v>
      </c>
    </row>
    <row r="99" spans="2:8">
      <c r="B99" t="s">
        <v>141</v>
      </c>
      <c r="D99">
        <v>37</v>
      </c>
      <c r="E99" t="s">
        <v>24</v>
      </c>
      <c r="F99" s="1">
        <v>44085</v>
      </c>
      <c r="G99" t="s">
        <v>21</v>
      </c>
      <c r="H99">
        <v>115440</v>
      </c>
    </row>
    <row r="100" spans="2:8">
      <c r="B100" t="s">
        <v>201</v>
      </c>
      <c r="C100" t="s">
        <v>8</v>
      </c>
      <c r="D100">
        <v>38</v>
      </c>
      <c r="E100" t="s">
        <v>13</v>
      </c>
      <c r="F100" s="1">
        <v>44268</v>
      </c>
      <c r="G100" t="s">
        <v>19</v>
      </c>
      <c r="H100">
        <v>56870</v>
      </c>
    </row>
    <row r="101" spans="2:8">
      <c r="B101" t="s">
        <v>168</v>
      </c>
      <c r="C101" t="s">
        <v>8</v>
      </c>
      <c r="D101">
        <v>25</v>
      </c>
      <c r="E101" t="s">
        <v>16</v>
      </c>
      <c r="F101" s="1">
        <v>44144</v>
      </c>
      <c r="G101" t="s">
        <v>19</v>
      </c>
      <c r="H101">
        <v>92700</v>
      </c>
    </row>
    <row r="102" spans="2:8">
      <c r="B102" t="s">
        <v>144</v>
      </c>
      <c r="D102">
        <v>32</v>
      </c>
      <c r="E102" t="s">
        <v>16</v>
      </c>
      <c r="F102" s="1">
        <v>44713</v>
      </c>
      <c r="G102" t="s">
        <v>12</v>
      </c>
      <c r="H102">
        <v>91310</v>
      </c>
    </row>
    <row r="103" spans="2:8">
      <c r="B103" t="s">
        <v>114</v>
      </c>
      <c r="C103" t="s">
        <v>15</v>
      </c>
      <c r="D103">
        <v>33</v>
      </c>
      <c r="E103" t="s">
        <v>16</v>
      </c>
      <c r="F103" s="1">
        <v>44324</v>
      </c>
      <c r="G103" t="s">
        <v>19</v>
      </c>
      <c r="H103">
        <v>74550</v>
      </c>
    </row>
    <row r="104" spans="2:8">
      <c r="B104" t="s">
        <v>127</v>
      </c>
      <c r="C104" t="s">
        <v>15</v>
      </c>
      <c r="D104">
        <v>25</v>
      </c>
      <c r="E104" t="s">
        <v>13</v>
      </c>
      <c r="F104" s="1">
        <v>44665</v>
      </c>
      <c r="G104" t="s">
        <v>9</v>
      </c>
      <c r="H104">
        <v>109190</v>
      </c>
    </row>
    <row r="105" spans="2:8">
      <c r="B105" t="s">
        <v>193</v>
      </c>
      <c r="C105" t="s">
        <v>8</v>
      </c>
      <c r="D105">
        <v>40</v>
      </c>
      <c r="E105" t="s">
        <v>16</v>
      </c>
      <c r="F105" s="1">
        <v>44320</v>
      </c>
      <c r="G105" t="s">
        <v>12</v>
      </c>
      <c r="H105">
        <v>104410</v>
      </c>
    </row>
    <row r="106" spans="2:8">
      <c r="B106" t="s">
        <v>176</v>
      </c>
      <c r="C106" t="s">
        <v>15</v>
      </c>
      <c r="D106">
        <v>30</v>
      </c>
      <c r="E106" t="s">
        <v>16</v>
      </c>
      <c r="F106" s="1">
        <v>44544</v>
      </c>
      <c r="G106" t="s">
        <v>21</v>
      </c>
      <c r="H106">
        <v>96800</v>
      </c>
    </row>
    <row r="107" spans="2:8">
      <c r="B107" t="s">
        <v>122</v>
      </c>
      <c r="C107" t="s">
        <v>15</v>
      </c>
      <c r="D107">
        <v>28</v>
      </c>
      <c r="E107" t="s">
        <v>13</v>
      </c>
      <c r="F107" s="1">
        <v>43980</v>
      </c>
      <c r="G107" t="s">
        <v>21</v>
      </c>
      <c r="H107">
        <v>48170</v>
      </c>
    </row>
    <row r="108" spans="2:8">
      <c r="B108" t="s">
        <v>139</v>
      </c>
      <c r="C108" t="s">
        <v>15</v>
      </c>
      <c r="D108">
        <v>21</v>
      </c>
      <c r="E108" t="s">
        <v>16</v>
      </c>
      <c r="F108" s="1">
        <v>44042</v>
      </c>
      <c r="G108" t="s">
        <v>9</v>
      </c>
      <c r="H108">
        <v>37920</v>
      </c>
    </row>
    <row r="109" spans="2:8">
      <c r="B109" t="s">
        <v>177</v>
      </c>
      <c r="C109" t="s">
        <v>15</v>
      </c>
      <c r="D109">
        <v>34</v>
      </c>
      <c r="E109" t="s">
        <v>16</v>
      </c>
      <c r="F109" s="1">
        <v>44642</v>
      </c>
      <c r="G109" t="s">
        <v>9</v>
      </c>
      <c r="H109">
        <v>112650</v>
      </c>
    </row>
    <row r="110" spans="2:8">
      <c r="B110" t="s">
        <v>164</v>
      </c>
      <c r="C110" t="s">
        <v>8</v>
      </c>
      <c r="D110">
        <v>34</v>
      </c>
      <c r="E110" t="s">
        <v>24</v>
      </c>
      <c r="F110" s="1">
        <v>44660</v>
      </c>
      <c r="G110" t="s">
        <v>19</v>
      </c>
      <c r="H110">
        <v>49630</v>
      </c>
    </row>
    <row r="111" spans="2:8">
      <c r="B111" t="s">
        <v>198</v>
      </c>
      <c r="C111" t="s">
        <v>15</v>
      </c>
      <c r="D111">
        <v>36</v>
      </c>
      <c r="E111" t="s">
        <v>16</v>
      </c>
      <c r="F111" s="1">
        <v>43958</v>
      </c>
      <c r="G111" t="s">
        <v>12</v>
      </c>
      <c r="H111">
        <v>118840</v>
      </c>
    </row>
    <row r="112" spans="2:8">
      <c r="B112" t="s">
        <v>158</v>
      </c>
      <c r="C112" t="s">
        <v>15</v>
      </c>
      <c r="D112">
        <v>30</v>
      </c>
      <c r="E112" t="s">
        <v>16</v>
      </c>
      <c r="F112" s="1">
        <v>44789</v>
      </c>
      <c r="G112" t="s">
        <v>12</v>
      </c>
      <c r="H112">
        <v>69710</v>
      </c>
    </row>
    <row r="113" spans="2:8">
      <c r="B113" t="s">
        <v>196</v>
      </c>
      <c r="C113" t="s">
        <v>15</v>
      </c>
      <c r="D113">
        <v>20</v>
      </c>
      <c r="E113" t="s">
        <v>16</v>
      </c>
      <c r="F113" s="1">
        <v>44683</v>
      </c>
      <c r="G113" t="s">
        <v>9</v>
      </c>
      <c r="H113">
        <v>79570</v>
      </c>
    </row>
    <row r="114" spans="2:8">
      <c r="B114" t="s">
        <v>153</v>
      </c>
      <c r="C114" t="s">
        <v>8</v>
      </c>
      <c r="D114">
        <v>22</v>
      </c>
      <c r="E114" t="s">
        <v>13</v>
      </c>
      <c r="F114" s="1">
        <v>44388</v>
      </c>
      <c r="G114" t="s">
        <v>9</v>
      </c>
      <c r="H114">
        <v>76900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BFCC5-6710-488D-966C-5D164CD17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All_Staff</vt:lpstr>
      <vt:lpstr>Employee per Country</vt:lpstr>
      <vt:lpstr>Salary_Spead</vt:lpstr>
      <vt:lpstr>Salary vs. Rating</vt:lpstr>
      <vt:lpstr>Employee_trend</vt:lpstr>
      <vt:lpstr>Males vs. Female</vt:lpstr>
      <vt:lpstr>NewZealand_Staff</vt:lpstr>
      <vt:lpstr>India_Staff</vt:lpstr>
      <vt:lpstr>Data_BKP</vt:lpstr>
      <vt:lpstr>India_BKP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Cang Nguyen Song</cp:lastModifiedBy>
  <dcterms:created xsi:type="dcterms:W3CDTF">2021-03-14T20:21:32Z</dcterms:created>
  <dcterms:modified xsi:type="dcterms:W3CDTF">2023-08-21T12:23:57Z</dcterms:modified>
</cp:coreProperties>
</file>