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/Downloads/"/>
    </mc:Choice>
  </mc:AlternateContent>
  <xr:revisionPtr revIDLastSave="0" documentId="13_ncr:1_{5EB6479F-95C6-3941-A1C3-178971EA8F36}" xr6:coauthVersionLast="36" xr6:coauthVersionMax="36" xr10:uidLastSave="{00000000-0000-0000-0000-000000000000}"/>
  <bookViews>
    <workbookView xWindow="1300" yWindow="1160" windowWidth="26040" windowHeight="13920" activeTab="5" xr2:uid="{23A47A4B-9F12-1E4C-AECF-C8D7FE1D5B8B}"/>
  </bookViews>
  <sheets>
    <sheet name="Match Scheduling" sheetId="4" r:id="rId1"/>
    <sheet name="Match Schedule" sheetId="5" r:id="rId2"/>
    <sheet name="Updated Match Scheduling" sheetId="6" r:id="rId3"/>
    <sheet name="Updated Match Schedule" sheetId="7" r:id="rId4"/>
    <sheet name="Revenue Forecast" sheetId="3" r:id="rId5"/>
    <sheet name=" Pricing Strategy (Time)" sheetId="1" r:id="rId6"/>
    <sheet name="Data table" sheetId="2" r:id="rId7"/>
  </sheets>
  <externalReferences>
    <externalReference r:id="rId8"/>
    <externalReference r:id="rId9"/>
  </externalReferences>
  <definedNames>
    <definedName name="CB_0053fa9c4d3b446d8978156a83fb652a" localSheetId="4" hidden="1">'Revenue Forecast'!$O$53</definedName>
    <definedName name="CB_00644a0343b74b4b87bdaa59f3d9dd5d" localSheetId="4" hidden="1">'Revenue Forecast'!$O$6</definedName>
    <definedName name="CB_01ff2396b3a24bae97a2e4235a3302ea" localSheetId="4" hidden="1">'Revenue Forecast'!$O$27</definedName>
    <definedName name="CB_0321e1aaaed24722b4f8bcdca77f5ee4" localSheetId="5" hidden="1">' Pricing Strategy (Time)'!$S$19</definedName>
    <definedName name="CB_03edb55d39584a4d8ca071e16e02adea" localSheetId="4" hidden="1">'Revenue Forecast'!$O$52</definedName>
    <definedName name="CB_04841d63264d42e9af3d764a35b68257" localSheetId="4" hidden="1">'Revenue Forecast'!$O$87</definedName>
    <definedName name="CB_062366f95e7c41d794a3332aa9acf98b" localSheetId="4" hidden="1">'Revenue Forecast'!$O$4</definedName>
    <definedName name="CB_06995f075c1246a7b94dcf6163b10378" localSheetId="5" hidden="1">' Pricing Strategy (Time)'!$S$3</definedName>
    <definedName name="CB_06c25dd46ad8464891876f1cb90c5803" localSheetId="5" hidden="1">' Pricing Strategy (Time)'!$S$18</definedName>
    <definedName name="CB_08a60fa7a203478684ad77c567c325b7" localSheetId="4" hidden="1">'Revenue Forecast'!$O$73</definedName>
    <definedName name="CB_098d86ce2a374f55ab074b466ad5bcfe" localSheetId="5" hidden="1">' Pricing Strategy (Time)'!$S$20</definedName>
    <definedName name="CB_0ae493dbe4b543e19d240ea6199edd5a" localSheetId="5" hidden="1">' Pricing Strategy (Time)'!$S$29</definedName>
    <definedName name="CB_0d61179fc5594732bddb29c46a4bcf17" localSheetId="4" hidden="1">'Revenue Forecast'!$Z$5</definedName>
    <definedName name="CB_0df9893724064d08aed008c69c4632b9" localSheetId="5" hidden="1">' Pricing Strategy (Time)'!$S$33</definedName>
    <definedName name="CB_10a3ed8ed3c2497ba64f7ed4b9f7e7eb" localSheetId="4" hidden="1">'Revenue Forecast'!$O$96</definedName>
    <definedName name="CB_14a8314bdb2b4dbd8b082e33ac5ba443" localSheetId="5" hidden="1">' Pricing Strategy (Time)'!$P$26</definedName>
    <definedName name="CB_1537d4919d0c4a54bcdd7931f4bf1703" localSheetId="5" hidden="1">' Pricing Strategy (Time)'!$S$28</definedName>
    <definedName name="CB_154dc0536b314c0caa01d4714d92b8fe" localSheetId="4" hidden="1">'Revenue Forecast'!$O$9</definedName>
    <definedName name="CB_1657dcbecb114b0eba656205152250ee" localSheetId="5" hidden="1">' Pricing Strategy (Time)'!$P$4</definedName>
    <definedName name="CB_16c82679f3e34dae92c0341bc8f614fc" localSheetId="4" hidden="1">'Revenue Forecast'!$O$34</definedName>
    <definedName name="CB_17c0f84c911140d69bb90e5a2d68331d" localSheetId="5" hidden="1">' Pricing Strategy (Time)'!$AC$11</definedName>
    <definedName name="CB_18e46151521040aeaeb73d789adcb535" localSheetId="4" hidden="1">'Revenue Forecast'!$O$75</definedName>
    <definedName name="CB_19a5b87f480f4b3c90a88863f01e6ff4" localSheetId="4" hidden="1">'Revenue Forecast'!$O$91</definedName>
    <definedName name="CB_1a2b2e9edcd14b4caf347ca0b8860a0c" localSheetId="4" hidden="1">'Revenue Forecast'!$W$10</definedName>
    <definedName name="CB_1c01e882cc41474bab0ad166ae63d1ad" localSheetId="4" hidden="1">'Revenue Forecast'!$O$32</definedName>
    <definedName name="CB_1c5ebc79f38b4f3dbfd86d8ce05b445c" localSheetId="5" hidden="1">' Pricing Strategy (Time)'!$AC$8</definedName>
    <definedName name="CB_1c943e8645cf4c8a869eabf27558f46d" localSheetId="5" hidden="1">' Pricing Strategy (Time)'!$S$35</definedName>
    <definedName name="CB_1e15615367c84770b990fd288b387e8a" localSheetId="4" hidden="1">'Revenue Forecast'!$O$60</definedName>
    <definedName name="CB_1fd6ff3217154f02bbca8dbbe1fc8517" localSheetId="4" hidden="1">'Revenue Forecast'!$O$63</definedName>
    <definedName name="CB_2045a43859a04ef6bebc5c4daf7726a7" localSheetId="4" hidden="1">'Revenue Forecast'!$O$70</definedName>
    <definedName name="CB_20a53d3f66db4730b865f296b1e7eefd" localSheetId="5" hidden="1">' Pricing Strategy (Time)'!$P$37</definedName>
    <definedName name="CB_2142fb452cb14d4aa244a8601a547d62" localSheetId="4" hidden="1">'Revenue Forecast'!$O$57</definedName>
    <definedName name="CB_2187a493c17642d3b0f990b197b78f83" localSheetId="5" hidden="1">' Pricing Strategy (Time)'!$P$30</definedName>
    <definedName name="CB_2221cb5a31b040bc900efdf79c6b2aac" localSheetId="4" hidden="1">'Revenue Forecast'!$O$49</definedName>
    <definedName name="CB_25dd114cc6cc48a9b21df0c41389435a" localSheetId="4" hidden="1">'Revenue Forecast'!$O$98</definedName>
    <definedName name="CB_264187ba91f44acab46d5a5b8c082a35" localSheetId="4" hidden="1">'Revenue Forecast'!$O$67</definedName>
    <definedName name="CB_2943fefb196d4eb89067241fce5d5790" localSheetId="4" hidden="1">'Revenue Forecast'!$Z$4</definedName>
    <definedName name="CB_2a1014cb9dfb450aa27d7289de7873a6" localSheetId="5" hidden="1">' Pricing Strategy (Time)'!$P$22</definedName>
    <definedName name="CB_2a90a2cef496471f94afe41d873112c4" localSheetId="4" hidden="1">'Revenue Forecast'!$O$97</definedName>
    <definedName name="CB_30b62e83bb1a40a3b4f474a19b9713ae" localSheetId="5" hidden="1">' Pricing Strategy (Time)'!$AC$14</definedName>
    <definedName name="CB_324cd2be842c45708894d1856e6af9d7" localSheetId="4" hidden="1">'Revenue Forecast'!$O$59</definedName>
    <definedName name="CB_324da1518345476cab969e12df819280" localSheetId="4" hidden="1">'Revenue Forecast'!$W$5</definedName>
    <definedName name="CB_3380fc7e022746cd8cd966f733adba19" localSheetId="4" hidden="1">'Revenue Forecast'!$Z$14</definedName>
    <definedName name="CB_3610ee973c7a41d7845f212bbefeab08" localSheetId="5" hidden="1">' Pricing Strategy (Time)'!$S$8</definedName>
    <definedName name="CB_36f20342bdff4165b6d841e3510337c1" localSheetId="5" hidden="1">' Pricing Strategy (Time)'!$P$11</definedName>
    <definedName name="CB_3b50933361124bafbd2265f5246ccad8" localSheetId="5" hidden="1">' Pricing Strategy (Time)'!$P$31</definedName>
    <definedName name="CB_3d605937a3954ecabdd0673fe407c33f" localSheetId="5" hidden="1">' Pricing Strategy (Time)'!$S$5</definedName>
    <definedName name="CB_3eddec6680ab48028583560ad28b877d" localSheetId="5" hidden="1">' Pricing Strategy (Time)'!$P$8</definedName>
    <definedName name="CB_3f7430707dec434a839ed1aedbbfa91f" localSheetId="4" hidden="1">'Revenue Forecast'!$W$9</definedName>
    <definedName name="CB_3f77dc51c57641c6bebfab5577a1d5ec" localSheetId="5" hidden="1">' Pricing Strategy (Time)'!$S$16</definedName>
    <definedName name="CB_4079bab8b2e94621adfa72e73df55a82" localSheetId="5" hidden="1">' Pricing Strategy (Time)'!$S$34</definedName>
    <definedName name="CB_40ec58ecceaa4c0f826267f39cfea233" localSheetId="4" hidden="1">'Revenue Forecast'!$W$13</definedName>
    <definedName name="CB_4202b417186d4b3d8a781d5b7748432b" localSheetId="5" hidden="1">' Pricing Strategy (Time)'!$AC$10</definedName>
    <definedName name="CB_4280ef9d4fd540e899f0e19b702e2e54" localSheetId="5" hidden="1">' Pricing Strategy (Time)'!$AC$6</definedName>
    <definedName name="CB_4608e2fcd5884d8ab8bcda775855607d" localSheetId="4" hidden="1">'Revenue Forecast'!$O$90</definedName>
    <definedName name="CB_47b5b24a78294a458066a3341e05e008" localSheetId="4" hidden="1">'Revenue Forecast'!$O$102</definedName>
    <definedName name="CB_48d76822d842470a82a46b3d1c760a04" localSheetId="4" hidden="1">'Revenue Forecast'!$O$46</definedName>
    <definedName name="CB_4a58a0bd2d2e4d8d9e02eddae818db28" localSheetId="5" hidden="1">' Pricing Strategy (Time)'!$P$15</definedName>
    <definedName name="CB_4a6d5c414c0d42918435ec49a49f84e1" localSheetId="5" hidden="1">' Pricing Strategy (Time)'!$S$31</definedName>
    <definedName name="CB_4b0ba9186c474f0388ac9cc314c8b334" localSheetId="4" hidden="1">'Revenue Forecast'!$O$93</definedName>
    <definedName name="CB_4b8b766918fe4ba7bf2ff5229641c621" localSheetId="4" hidden="1">'Revenue Forecast'!$O$89</definedName>
    <definedName name="CB_5074a66e94964c339d0f980044720127" localSheetId="5" hidden="1">' Pricing Strategy (Time)'!$P$36</definedName>
    <definedName name="CB_523bdf9577f344b48775c5d8ab5701ce" localSheetId="5" hidden="1">' Pricing Strategy (Time)'!$P$21</definedName>
    <definedName name="CB_523c7e48e1a44d6eb2947e6fc324093e" localSheetId="4" hidden="1">'Revenue Forecast'!$O$88</definedName>
    <definedName name="CB_569fc3790ceb4e5da46509b278430aaf" localSheetId="5" hidden="1">' Pricing Strategy (Time)'!$P$25</definedName>
    <definedName name="CB_58947a74d73240cfa8e7827f0bb733d1" localSheetId="4" hidden="1">'Revenue Forecast'!$O$110</definedName>
    <definedName name="CB_59612b04188946069e470457c0d22f1e" localSheetId="5" hidden="1">' Pricing Strategy (Time)'!$S$13</definedName>
    <definedName name="CB_59c119e0ecb6459c9aaf8a67b9115582" localSheetId="4" hidden="1">'Revenue Forecast'!$O$11</definedName>
    <definedName name="CB_59f84833648f466a9e6149580dbb25c9" localSheetId="4" hidden="1">'Revenue Forecast'!$Z$10</definedName>
    <definedName name="CB_5c309f46b021404387a5f21cb0fc5dfb" localSheetId="5" hidden="1">' Pricing Strategy (Time)'!$P$5</definedName>
    <definedName name="CB_5ccfee65a42b40af806fe714f15cc8c1" localSheetId="4" hidden="1">'Revenue Forecast'!$O$85</definedName>
    <definedName name="CB_5fbcc31b411f4f378bb356f2bf06e7ff" localSheetId="5" hidden="1">' Pricing Strategy (Time)'!$S$25</definedName>
    <definedName name="CB_6016d5bc720c401985dba92a5f0d374b" localSheetId="5" hidden="1">' Pricing Strategy (Time)'!$P$16</definedName>
    <definedName name="CB_60a2b810a6df4d759c9ffc7fab4637f7" localSheetId="4" hidden="1">'Revenue Forecast'!$O$80</definedName>
    <definedName name="CB_60cf6a5fa14242b4b5589b09095d6976" localSheetId="4" hidden="1">'Revenue Forecast'!$W$14</definedName>
    <definedName name="CB_6165398301ef4920aaa9570f591b9e6a" localSheetId="4" hidden="1">'Revenue Forecast'!$O$68</definedName>
    <definedName name="CB_65b2977fcc224dd6a4f2fc8b760a5bee" localSheetId="5" hidden="1">' Pricing Strategy (Time)'!$S$26</definedName>
    <definedName name="CB_65f4233f1de5474890d519f5048dc076" localSheetId="5" hidden="1">' Pricing Strategy (Time)'!$P$27</definedName>
    <definedName name="CB_66630bbcf0264799a7c5a21fe989fe05" localSheetId="4" hidden="1">'Revenue Forecast'!$W$11</definedName>
    <definedName name="CB_67fa1b8d922548feace4877a7cfc0c2d" localSheetId="4" hidden="1">'Revenue Forecast'!$O$107</definedName>
    <definedName name="CB_6962384a5d574eaea15d57542f690e7e" localSheetId="4" hidden="1">'Revenue Forecast'!$O$58</definedName>
    <definedName name="CB_6c459adf761947f3973c7157d0a2cfba" localSheetId="4" hidden="1">'Revenue Forecast'!$O$83</definedName>
    <definedName name="CB_6c497aec51bd4bf9a7d696375e223b50" localSheetId="4" hidden="1">'Revenue Forecast'!$O$33</definedName>
    <definedName name="CB_6c4ddb3ad02242e0ad70cc55c9eb7597" localSheetId="4" hidden="1">'Revenue Forecast'!$O$99</definedName>
    <definedName name="CB_6deab8d3bf144e6e8a9f0765aa27af1a" localSheetId="5" hidden="1">' Pricing Strategy (Time)'!$P$3</definedName>
    <definedName name="CB_6ea10a41b4ca4abcb0306499725ba7d4" localSheetId="4" hidden="1">'Revenue Forecast'!$O$10</definedName>
    <definedName name="CB_6ef4450ccb7f4d8ba875052b184e0abc" localSheetId="5" hidden="1">' Pricing Strategy (Time)'!$S$12</definedName>
    <definedName name="CB_6f1e0165ef5143d8b430b65377a13332" localSheetId="5" hidden="1">' Pricing Strategy (Time)'!$P$9</definedName>
    <definedName name="CB_7171757b9926464db14d7014f182cdf4" localSheetId="4" hidden="1">'Revenue Forecast'!$O$16</definedName>
    <definedName name="CB_7297b17ce9974a229f964159f5c30d5c" localSheetId="4" hidden="1">'Revenue Forecast'!$O$65</definedName>
    <definedName name="CB_74514e7ba0bf4820ae8fc0954d5cc000" localSheetId="5" hidden="1">' Pricing Strategy (Time)'!$S$24</definedName>
    <definedName name="CB_754f0d646ea649e985de2bfad6bc1030" localSheetId="4" hidden="1">'Revenue Forecast'!$O$31</definedName>
    <definedName name="CB_75f98fe13cb0419d85973c590fd8d00b" localSheetId="4" hidden="1">'Revenue Forecast'!$Z$9</definedName>
    <definedName name="CB_77146adfcb494d11bf3f79c57bbee0fe" localSheetId="4" hidden="1">'Revenue Forecast'!$O$71</definedName>
    <definedName name="CB_7721ac4fafb34c6880e5ea8ba0c96801" localSheetId="4" hidden="1">'Revenue Forecast'!$O$21</definedName>
    <definedName name="CB_7841cff14fb6435485d009a686c5f8b4" localSheetId="4" hidden="1">'Revenue Forecast'!$O$43</definedName>
    <definedName name="CB_7be0512e0e254990ab49eb7a5d66a433" localSheetId="4" hidden="1">'Revenue Forecast'!$W$8</definedName>
    <definedName name="CB_7d8f1ee02ab54f76b69618fb5629aa92" localSheetId="4" hidden="1">'Revenue Forecast'!$O$48</definedName>
    <definedName name="CB_7dbe2dd5e95f4c53bc6b9f12ad08df6e" localSheetId="4" hidden="1">'Revenue Forecast'!$W$12</definedName>
    <definedName name="CB_7ef61272bc604559b408d824a25a7849" localSheetId="4" hidden="1">'Revenue Forecast'!$O$55</definedName>
    <definedName name="CB_7f8f62b2bfa34d4e842814f2124c83ba" localSheetId="5" hidden="1">' Pricing Strategy (Time)'!$AA$3</definedName>
    <definedName name="CB_8002f84c1c874ed9a0c0cab3158889b2" localSheetId="4" hidden="1">'Revenue Forecast'!$O$29</definedName>
    <definedName name="CB_81e77b0d5c9d4ded9cf401591d9ee785" localSheetId="5" hidden="1">' Pricing Strategy (Time)'!$P$29</definedName>
    <definedName name="CB_820b5e89ef1443cea03add4ce69e5b23" localSheetId="4" hidden="1">'Revenue Forecast'!$O$23</definedName>
    <definedName name="CB_820bf97984454ed3a50c1f69562956e7" localSheetId="4" hidden="1">'Revenue Forecast'!$O$45</definedName>
    <definedName name="CB_827b481d8e3a4d7f8c820248370d3fd3" localSheetId="4" hidden="1">'Revenue Forecast'!$O$74</definedName>
    <definedName name="CB_851efd338dc547a4980e459a94cef783" localSheetId="5" hidden="1">' Pricing Strategy (Time)'!$AC$4</definedName>
    <definedName name="CB_85c3378452d742319cb20113938e9505" localSheetId="4" hidden="1">'Revenue Forecast'!$Z$8</definedName>
    <definedName name="CB_889457147ee94a1cb729b80039b6a1c6" localSheetId="4" hidden="1">'Revenue Forecast'!$O$109</definedName>
    <definedName name="CB_88c18372bc1047bdb44032d4601afa19" localSheetId="5" hidden="1">' Pricing Strategy (Time)'!$G$9</definedName>
    <definedName name="CB_8c201a8d0b0c478abe8f63d8d9f52f3f" localSheetId="4" hidden="1">'Revenue Forecast'!$O$108</definedName>
    <definedName name="CB_8ca8c051a7d042f790191c81f3e1c7e4" localSheetId="4" hidden="1">'Revenue Forecast'!$O$41</definedName>
    <definedName name="CB_8d123ef17e8845fca79c05edd0e9b481" localSheetId="4" hidden="1">'Revenue Forecast'!$Z$7</definedName>
    <definedName name="CB_8eccaf1bff944df8bdbc908b40383551" localSheetId="5" hidden="1">' Pricing Strategy (Time)'!$S$7</definedName>
    <definedName name="CB_8f949cdaa5b244478bbde2ef8cddb548" localSheetId="5" hidden="1">' Pricing Strategy (Time)'!$AC$7</definedName>
    <definedName name="CB_8ff1e99c2a2b41c48fe5f0e087a3f367" localSheetId="5" hidden="1">' Pricing Strategy (Time)'!$P$38</definedName>
    <definedName name="CB_94804d03377249c38bd22643e75b1b62" localSheetId="5" hidden="1">' Pricing Strategy (Time)'!$P$35</definedName>
    <definedName name="CB_99d9b745427f41619038a6edfd2f4498" localSheetId="5" hidden="1">' Pricing Strategy (Time)'!$S$9</definedName>
    <definedName name="CB_9aa224a0961641f88dbd6d582f2bc8ee" localSheetId="5" hidden="1">' Pricing Strategy (Time)'!$P$28</definedName>
    <definedName name="CB_9aa295e2b75f4d50aca43de01ed9c7c6" localSheetId="5" hidden="1">' Pricing Strategy (Time)'!$P$32</definedName>
    <definedName name="CB_9bdbb07768d648ff864977c816a485b3" localSheetId="5" hidden="1">' Pricing Strategy (Time)'!$P$20</definedName>
    <definedName name="CB_9cceb7a861a6400baab92f8cfed985b6" localSheetId="4" hidden="1">'Revenue Forecast'!$O$86</definedName>
    <definedName name="CB_9e3448fc2ec9461fb162d311f5f4d0dc" localSheetId="4" hidden="1">'Revenue Forecast'!$O$77</definedName>
    <definedName name="CB_9ef8bb25ec9941f9a9d903177f08b41a" localSheetId="5" hidden="1">' Pricing Strategy (Time)'!$P$24</definedName>
    <definedName name="CB_a18dd384b99244748dbdef99a2c4432f" localSheetId="4" hidden="1">'Revenue Forecast'!$O$7</definedName>
    <definedName name="CB_a3ee6129f79046a6ad4addeb0d7ccb57" localSheetId="5" hidden="1">' Pricing Strategy (Time)'!$P$14</definedName>
    <definedName name="CB_a4de40759ee34c258da389d87871b50f" localSheetId="5" hidden="1">' Pricing Strategy (Time)'!$S$36</definedName>
    <definedName name="CB_a5254efffc4f4658836d2cca7f48a6c4" localSheetId="4" hidden="1">'Revenue Forecast'!$O$104</definedName>
    <definedName name="CB_a5327d401f7c42e1af1e83577652cd57" localSheetId="4" hidden="1">'Revenue Forecast'!$O$17</definedName>
    <definedName name="CB_a6c77831b2b94af28e418a32671cce77" localSheetId="4" hidden="1">'Revenue Forecast'!$W$4</definedName>
    <definedName name="CB_a6d1f10a1dcd44b6a58e81cac80a6522" localSheetId="4" hidden="1">'Revenue Forecast'!$O$42</definedName>
    <definedName name="CB_a77f57fab6194fc784c677aa1f3ecd83" localSheetId="5" hidden="1">' Pricing Strategy (Time)'!$S$15</definedName>
    <definedName name="CB_a9b67b01078d4f5e81955117c7bc3785" localSheetId="4" hidden="1">'Revenue Forecast'!$O$15</definedName>
    <definedName name="CB_aabe3ead6dad46e2ba440562c9bfb68f" localSheetId="4" hidden="1">'Revenue Forecast'!$O$22</definedName>
    <definedName name="CB_ab33f526a1b14eef8cc419a1e338dfca" localSheetId="5" hidden="1">' Pricing Strategy (Time)'!$AC$9</definedName>
    <definedName name="CB_ab845d8f31214af9bbcc905044be13e9" localSheetId="4" hidden="1">'Revenue Forecast'!$O$35</definedName>
    <definedName name="CB_abd6404091124a66adf9497f349e06ca" localSheetId="5" hidden="1">' Pricing Strategy (Time)'!$P$7</definedName>
    <definedName name="CB_ac297e725e38465580a361ef1c787fed" localSheetId="4" hidden="1">'Revenue Forecast'!$O$26</definedName>
    <definedName name="CB_ac531c3f967f450b83d5e5109b3fb245" localSheetId="5" hidden="1">' Pricing Strategy (Time)'!$S$11</definedName>
    <definedName name="CB_ac7bc10ecfe54bac82a1c0bb68d61573" localSheetId="4" hidden="1">'Revenue Forecast'!$O$5</definedName>
    <definedName name="CB_ac961a219739438bb77c347f40ba7041" localSheetId="4" hidden="1">'Revenue Forecast'!$U$3</definedName>
    <definedName name="CB_b125d79fd6864e7ebcdc0b33e48d8bed" localSheetId="4" hidden="1">'Revenue Forecast'!$Z$6</definedName>
    <definedName name="CB_b127006edc394fec886ca798155ab60e" localSheetId="4" hidden="1">'Revenue Forecast'!$O$47</definedName>
    <definedName name="CB_b14b7ecad1d74a11a7d0fcc3f0618ff1" localSheetId="5" hidden="1">' Pricing Strategy (Time)'!$AC$13</definedName>
    <definedName name="CB_b1b690d83e314c368c4e2aa24106005c" localSheetId="5" hidden="1">' Pricing Strategy (Time)'!$S$37</definedName>
    <definedName name="CB_b1c35c6d9c3c4e808b141992470ebc2b" localSheetId="4" hidden="1">'Revenue Forecast'!$Z$12</definedName>
    <definedName name="CB_b37db65edef24fb4b532e2f0e313e552" localSheetId="4" hidden="1">'Revenue Forecast'!$O$20</definedName>
    <definedName name="CB_b69929a74a564cf5a95f46f9155fdaf2" localSheetId="4" hidden="1">'Revenue Forecast'!$O$56</definedName>
    <definedName name="CB_b6d9298a70264aceb6b2f1e12bd75b77" localSheetId="4" hidden="1">'Revenue Forecast'!$O$69</definedName>
    <definedName name="CB_b702fdd88a134fc3b6a4c260c6cc388c" localSheetId="4" hidden="1">'Revenue Forecast'!$Z$13</definedName>
    <definedName name="CB_b83f18a855114aeda385daa66278ec2e" localSheetId="4" hidden="1">'Revenue Forecast'!$O$82</definedName>
    <definedName name="CB_b87b5534bc0749e0a3688c60911b5df6" localSheetId="4" hidden="1">'Revenue Forecast'!$O$3</definedName>
    <definedName name="CB_b87e999e17cb48e592c31c7f3b5cd992" localSheetId="4" hidden="1">'Revenue Forecast'!$W$7</definedName>
    <definedName name="CB_b8dccb00364e4235869bc061ee71ddce" localSheetId="5" hidden="1">' Pricing Strategy (Time)'!$S$21</definedName>
    <definedName name="CB_b9e91f2d452d48c3a25fdc3b528975a6" localSheetId="5" hidden="1">' Pricing Strategy (Time)'!$S$27</definedName>
    <definedName name="CB_bbf9da3b03894f22bc78f8e0fa124767" localSheetId="4" hidden="1">'Revenue Forecast'!$O$105</definedName>
    <definedName name="CB_bc09cd309e7e45749ffcdac7707a793d" localSheetId="4" hidden="1">'Revenue Forecast'!$O$54</definedName>
    <definedName name="CB_bd9c8a9a53a34a22a28a8f215390be57" localSheetId="4" hidden="1">'Revenue Forecast'!$O$13</definedName>
    <definedName name="CB_bf3acfb7a58d4f04b4447d1e66ce7304" localSheetId="4" hidden="1">'Revenue Forecast'!$O$8</definedName>
    <definedName name="CB_bf652419630e4883b0cc6185b18308ca" localSheetId="4" hidden="1">'Revenue Forecast'!$O$14</definedName>
    <definedName name="CB_Block_00000000000000000000000000000000" localSheetId="5" hidden="1">"'7.0.0.0"</definedName>
    <definedName name="CB_Block_00000000000000000000000000000000" localSheetId="4" hidden="1">"'7.0.0.0"</definedName>
    <definedName name="CB_Block_00000000000000000000000000000001" localSheetId="5" hidden="1">"'637432358511608994"</definedName>
    <definedName name="CB_Block_00000000000000000000000000000001" localSheetId="4" hidden="1">"'637432361069058316"</definedName>
    <definedName name="CB_Block_00000000000000000000000000000003" localSheetId="5" hidden="1">"'11.1.4716.0"</definedName>
    <definedName name="CB_Block_00000000000000000000000000000003" localSheetId="4" hidden="1">"'11.1.4716.0"</definedName>
    <definedName name="CB_BlockExt_00000000000000000000000000000003" localSheetId="5" hidden="1">"'11.1.2.4.850"</definedName>
    <definedName name="CB_BlockExt_00000000000000000000000000000003" localSheetId="4" hidden="1">"'11.1.2.4.850"</definedName>
    <definedName name="CB_c0ae7f66644b4ee5b8013df9b390df54" localSheetId="5" hidden="1">' Pricing Strategy (Time)'!$P$13</definedName>
    <definedName name="CB_c37c5d17371342a0b3325a461ee63b00" localSheetId="4" hidden="1">'Revenue Forecast'!$O$94</definedName>
    <definedName name="CB_c42158f5c4124d3ab99acaea768b0dd9" localSheetId="4" hidden="1">'Revenue Forecast'!$Z$11</definedName>
    <definedName name="CB_c50928e47f844012b42effa048e6a501" localSheetId="4" hidden="1">'Revenue Forecast'!$O$64</definedName>
    <definedName name="CB_c53e986af1c040a688c583bbf2004cc4" localSheetId="4" hidden="1">'Revenue Forecast'!$O$12</definedName>
    <definedName name="CB_c6c02b681f544a37970dfa1c7c38e855" localSheetId="5" hidden="1">' Pricing Strategy (Time)'!$P$19</definedName>
    <definedName name="CB_c6ffa9cc08c14a6585a95cb789f73e91" localSheetId="4" hidden="1">'Revenue Forecast'!$O$38</definedName>
    <definedName name="CB_c8d45094d595419f915599ff7832b7f4" localSheetId="5" hidden="1">' Pricing Strategy (Time)'!$S$6</definedName>
    <definedName name="CB_c94dbc1a2fac49b481e874b3b5e97194" localSheetId="4" hidden="1">'Revenue Forecast'!$O$62</definedName>
    <definedName name="CB_c9b8ec92c4514f14af7fa6c1e407d966" localSheetId="5" hidden="1">' Pricing Strategy (Time)'!$S$23</definedName>
    <definedName name="CB_ca6e507b6c2f44f7a08d2f011ce948b5" localSheetId="5" hidden="1">' Pricing Strategy (Time)'!$P$33</definedName>
    <definedName name="CB_cb73da3f652a4a69b9d2c18a2129c4a9" localSheetId="4" hidden="1">'Revenue Forecast'!$W$6</definedName>
    <definedName name="CB_cdda449bd3a34763977b0805262c48d4" localSheetId="4" hidden="1">'Revenue Forecast'!$O$92</definedName>
    <definedName name="CB_cee9fbe81b934334bc363bd9a1918bfd" localSheetId="4" hidden="1">'Revenue Forecast'!$O$51</definedName>
    <definedName name="CB_cf7e6c48d42e4726bcd3aff364e83097" localSheetId="5" hidden="1">' Pricing Strategy (Time)'!$S$32</definedName>
    <definedName name="CB_cfdcadb714b646ceacc2acea82a787d4" localSheetId="4" hidden="1">'Revenue Forecast'!$O$40</definedName>
    <definedName name="CB_cff787398b9b49c8b03219277281442b" localSheetId="5" hidden="1">' Pricing Strategy (Time)'!$P$23</definedName>
    <definedName name="CB_d086b0d2f19a4b49ba04260feabd6ba4" localSheetId="5" hidden="1">' Pricing Strategy (Time)'!$S$22</definedName>
    <definedName name="CB_d67c70562de547b18f4c99379cf5729d" localSheetId="5" hidden="1">' Pricing Strategy (Time)'!$P$34</definedName>
    <definedName name="CB_d7717ddc5e4747eaa881cd11a3fdcb13" localSheetId="4" hidden="1">'Revenue Forecast'!$O$78</definedName>
    <definedName name="CB_d8a65460539649a3bd0d372f61197727" localSheetId="4" hidden="1">'Revenue Forecast'!$O$39</definedName>
    <definedName name="CB_d9b386d1345f4b8a8e0b5939330c7302" localSheetId="5" hidden="1">' Pricing Strategy (Time)'!$G$10</definedName>
    <definedName name="CB_db6f902c274b47d9a0f36678a99c0af1" localSheetId="4" hidden="1">'Revenue Forecast'!$O$84</definedName>
    <definedName name="CB_dbb3bbe699b24285bdbe22dbe03a19e8" localSheetId="5" hidden="1">' Pricing Strategy (Time)'!$S$17</definedName>
    <definedName name="CB_dbf869fd7d834ee8b75d1a9a690bca83" localSheetId="4" hidden="1">'Revenue Forecast'!$O$66</definedName>
    <definedName name="CB_dcf924d391d84d4d910e55db546da399" localSheetId="4" hidden="1">'Revenue Forecast'!$O$18</definedName>
    <definedName name="CB_ddc8bf49d7a64d909141ee91b89c1495" localSheetId="4" hidden="1">'Revenue Forecast'!$O$24</definedName>
    <definedName name="CB_de212f78e8ef468a9589b6f1ca972ab7" localSheetId="5" hidden="1">' Pricing Strategy (Time)'!$S$38</definedName>
    <definedName name="CB_df37aeb0cb7f4576932399235c867b19" localSheetId="4" hidden="1">'Revenue Forecast'!$O$101</definedName>
    <definedName name="CB_df6801f2f0e8494b9373ad94c1837cd5" localSheetId="5" hidden="1">' Pricing Strategy (Time)'!$P$12</definedName>
    <definedName name="CB_dfc40e23cfbd4eb18d012ba84bc3ce7e" localSheetId="5" hidden="1">' Pricing Strategy (Time)'!$AC$5</definedName>
    <definedName name="CB_e139a70dd9ab44718bb8490b4c3bb165" localSheetId="5" hidden="1">' Pricing Strategy (Time)'!$S$14</definedName>
    <definedName name="CB_e2ce29d1bc97414cb3e6008a346acc88" localSheetId="5" hidden="1">' Pricing Strategy (Time)'!$AC$12</definedName>
    <definedName name="CB_e348240e51704554843377e4e1d714e8" localSheetId="5" hidden="1">' Pricing Strategy (Time)'!$S$30</definedName>
    <definedName name="CB_e3b33a638e4c44ddaf25c8520fb680ce" localSheetId="4" hidden="1">'Revenue Forecast'!$O$106</definedName>
    <definedName name="CB_e483ed0f4f3a444b9fbb552eb23dd688" localSheetId="5" hidden="1">' Pricing Strategy (Time)'!$S$10</definedName>
    <definedName name="CB_e553c490e40c4551925906f7cf03275f" localSheetId="4" hidden="1">'Revenue Forecast'!$O$30</definedName>
    <definedName name="CB_e57b784450874a66bd60192cb00c26bb" localSheetId="4" hidden="1">'Revenue Forecast'!$O$50</definedName>
    <definedName name="CB_e6d35fdcfec04022abac4190358bd248" localSheetId="5" hidden="1">' Pricing Strategy (Time)'!$P$10</definedName>
    <definedName name="CB_e6fcb47c98a646d191c0c97fce7ec98d" localSheetId="4" hidden="1">'Revenue Forecast'!$O$72</definedName>
    <definedName name="CB_e7d2588de5334ea8be9f8021a909ceb3" localSheetId="4" hidden="1">'Revenue Forecast'!$O$76</definedName>
    <definedName name="CB_e8845ede14df4925bbce4a790f9e0c21" localSheetId="4" hidden="1">'Revenue Forecast'!$O$19</definedName>
    <definedName name="CB_e9025ad4c86e42e1b9ffa3ba56b097be" localSheetId="4" hidden="1">'Revenue Forecast'!$O$61</definedName>
    <definedName name="CB_e924d4f818a8478fb11a214233effded" localSheetId="4" hidden="1">'Revenue Forecast'!$O$95</definedName>
    <definedName name="CB_e9aeff2f922146208b8afe3859019936" localSheetId="5" hidden="1">' Pricing Strategy (Time)'!$P$18</definedName>
    <definedName name="CB_ea34e350222f4f6cb30890b003054d5d" localSheetId="4" hidden="1">'Revenue Forecast'!$O$36</definedName>
    <definedName name="CB_ea9e783caca7451dad16335d2ee8c006" localSheetId="5" hidden="1">' Pricing Strategy (Time)'!$P$6</definedName>
    <definedName name="CB_ef5c9a445ee84a279a8b92ecce8cef7e" localSheetId="4" hidden="1">'Revenue Forecast'!$O$25</definedName>
    <definedName name="CB_efa4393afea34db8b2dd8fac269effeb" localSheetId="5" hidden="1">' Pricing Strategy (Time)'!$P$17</definedName>
    <definedName name="CB_f008070014a644819ab846230de16b95" localSheetId="4" hidden="1">'Revenue Forecast'!$O$103</definedName>
    <definedName name="CB_f147548cf77248c4b1f14286297ec04c" localSheetId="4" hidden="1">'Revenue Forecast'!$Z$3</definedName>
    <definedName name="CB_f2dea8489b9847d98a547831ab70b674" localSheetId="4" hidden="1">'Revenue Forecast'!$O$44</definedName>
    <definedName name="CB_f375c950c9094990997aac43fc4e52e1" localSheetId="5" hidden="1">' Pricing Strategy (Time)'!$AC$3</definedName>
    <definedName name="CB_f37dbf66f57b478289e0da6b4035b5af" localSheetId="4" hidden="1">'Revenue Forecast'!$O$28</definedName>
    <definedName name="CB_f52bad0a74234b55b2c236b348764e4d" localSheetId="4" hidden="1">'Revenue Forecast'!$O$79</definedName>
    <definedName name="CB_f8e76ba6dd204c1cb4ca35b77dd11326" localSheetId="4" hidden="1">'Revenue Forecast'!$O$100</definedName>
    <definedName name="CB_f962751ebe624c06a5777ab598a2eec2" localSheetId="4" hidden="1">'Revenue Forecast'!$O$81</definedName>
    <definedName name="CB_fad62c2bf6884ee9a161c5b0e58b8151" localSheetId="4" hidden="1">'Revenue Forecast'!$W$3</definedName>
    <definedName name="CB_faf6aec16f7e471b9bc3c2ab351603a7" localSheetId="5" hidden="1">' Pricing Strategy (Time)'!$S$4</definedName>
    <definedName name="CB_fb9706d0b444495eadd1ac9379f647a7" localSheetId="4" hidden="1">'Revenue Forecast'!$O$37</definedName>
    <definedName name="CB_fbc3bd5a758742c1819c59c710933f72" localSheetId="5" hidden="1">' Pricing Strategy (Time)'!$S$41</definedName>
    <definedName name="CBCR_006ea44d51a841edbb0208dc08091a36" localSheetId="4" hidden="1">'Revenue Forecast'!$D$24</definedName>
    <definedName name="CBCR_00c8be70c94544818a2de57af461b111" localSheetId="5" hidden="1">' Pricing Strategy (Time)'!$I$15</definedName>
    <definedName name="CBCR_00fc3e7f2d9240fa9d68f1e8ad9595cf" localSheetId="4" hidden="1">'Revenue Forecast'!$D$23</definedName>
    <definedName name="CBCR_02df1d36d0934b96bda8d3fb9814573a" localSheetId="4" hidden="1">'Revenue Forecast'!$F$26</definedName>
    <definedName name="CBCR_04515beed8324ddaa840b08a5548a7fb" localSheetId="4" hidden="1">'Revenue Forecast'!$F$19</definedName>
    <definedName name="CBCR_0487a54e051c4e0aa1d22d6c045624a3" localSheetId="5" hidden="1">' Pricing Strategy (Time)'!$E$15</definedName>
    <definedName name="CBCR_053494ef73d04c339c4215c045432de4" localSheetId="5" hidden="1">' Pricing Strategy (Time)'!$I$15</definedName>
    <definedName name="CBCR_065b2a1e2741418fbe34693a075da1fa" localSheetId="5" hidden="1">' Pricing Strategy (Time)'!$C$14</definedName>
    <definedName name="CBCR_06a8162ae205461b8d25a51292ca1039" localSheetId="4" hidden="1">'Revenue Forecast'!$F$25</definedName>
    <definedName name="CBCR_07b3a60634f74ed5aa7af9620eef606c" localSheetId="4" hidden="1">'Revenue Forecast'!$D$19</definedName>
    <definedName name="CBCR_083d35e3323f4c11afe5484a4e1b70af" localSheetId="4" hidden="1">'Revenue Forecast'!$F$26</definedName>
    <definedName name="CBCR_08be6832355e4bfb8d82b55c3062c4f9" localSheetId="4" hidden="1">'Revenue Forecast'!$D$26</definedName>
    <definedName name="CBCR_099eca848c1845928ea90d18a0730f6d" localSheetId="4" hidden="1">'Revenue Forecast'!$D$21</definedName>
    <definedName name="CBCR_09b357d306a742da98f5f18e9f2ca1cd" localSheetId="5" hidden="1">' Pricing Strategy (Time)'!$AD$24</definedName>
    <definedName name="CBCR_0a1888f1173c434aa2608c6613410f12" localSheetId="5" hidden="1">' Pricing Strategy (Time)'!$I$13</definedName>
    <definedName name="CBCR_0adf91a7ca854b0a8ea297ff2d7e20e0" localSheetId="4" hidden="1">'Revenue Forecast'!$F$26</definedName>
    <definedName name="CBCR_0b13d71e7ed34947a87a6d4abb3e4175" localSheetId="5" hidden="1">' Pricing Strategy (Time)'!$C$13</definedName>
    <definedName name="CBCR_0b3ef065c51546578c9b48f9b3554893" localSheetId="5" hidden="1">' Pricing Strategy (Time)'!$I$15</definedName>
    <definedName name="CBCR_0b85bd3f2d5a464bab353728aec6ed78" localSheetId="5" hidden="1">' Pricing Strategy (Time)'!$E$13</definedName>
    <definedName name="CBCR_0b88a57ff0a44216880e3d0442e7af3c" localSheetId="5" hidden="1">' Pricing Strategy (Time)'!$E$14</definedName>
    <definedName name="CBCR_0ba3c68fa2c649899aaa6b87e02515c4" localSheetId="5" hidden="1">' Pricing Strategy (Time)'!$AD$15</definedName>
    <definedName name="CBCR_0c0974bd65b84c7fbd08d468409b891f" localSheetId="5" hidden="1">' Pricing Strategy (Time)'!$AD$5</definedName>
    <definedName name="CBCR_0d5a64e3264e4beaa8a8370461cde10d" localSheetId="5" hidden="1">' Pricing Strategy (Time)'!$I$14</definedName>
    <definedName name="CBCR_0da01308582947039ff75a616ff07ed2" localSheetId="4" hidden="1">'Revenue Forecast'!$D$20</definedName>
    <definedName name="CBCR_0db7a68afb4c4bd18faafa04a03fde09" localSheetId="5" hidden="1">' Pricing Strategy (Time)'!$C$13</definedName>
    <definedName name="CBCR_0e30ab66cb4a49a396fa8e066e50a459" localSheetId="4" hidden="1">'Revenue Forecast'!$F$50</definedName>
    <definedName name="CBCR_0f249da84c8f4fdcac0ce1c59aa2e7fa" localSheetId="5" hidden="1">' Pricing Strategy (Time)'!$I$13</definedName>
    <definedName name="CBCR_108b2d54cd3b4902abe20f12bbc95064" localSheetId="4" hidden="1">'Revenue Forecast'!$H$51</definedName>
    <definedName name="CBCR_10d59d5896284f4aa7e252e7e00577d1" localSheetId="5" hidden="1">' Pricing Strategy (Time)'!$AD$26</definedName>
    <definedName name="CBCR_13445c82ae2244cd9fbdeba4fe3ebba1" localSheetId="5" hidden="1">' Pricing Strategy (Time)'!$AD$38</definedName>
    <definedName name="CBCR_13fb14c20bb04cc89c78b0ac7483c5c4" localSheetId="4" hidden="1">'Revenue Forecast'!$F$19</definedName>
    <definedName name="CBCR_14f8ee185e004667a2e7350c1c4bb6cb" localSheetId="5" hidden="1">' Pricing Strategy (Time)'!$C$13</definedName>
    <definedName name="CBCR_154fa9e794a14585a73509b148e67d6f" localSheetId="5" hidden="1">' Pricing Strategy (Time)'!$E$15</definedName>
    <definedName name="CBCR_1594cd5b79b24e9184cc70418caee13f" localSheetId="5" hidden="1">' Pricing Strategy (Time)'!$E$13</definedName>
    <definedName name="CBCR_163d923d9b60451098f0b4ea3723b029" localSheetId="5" hidden="1">' Pricing Strategy (Time)'!$E$26</definedName>
    <definedName name="CBCR_180b7937259148e18e86a6d3ee4ba831" localSheetId="4" hidden="1">'Revenue Forecast'!$F$23</definedName>
    <definedName name="CBCR_18351cc492484090b86b42e13917cd94" localSheetId="5" hidden="1">' Pricing Strategy (Time)'!$AD$3</definedName>
    <definedName name="CBCR_184ecb6ee1fb4f3c996df7cc35ea4e45" localSheetId="4" hidden="1">'Revenue Forecast'!$H$51</definedName>
    <definedName name="CBCR_196a1edf846947999f2a24ea1b383010" localSheetId="5" hidden="1">' Pricing Strategy (Time)'!$I$14</definedName>
    <definedName name="CBCR_19cefa16b74647d89272a03cc18d9dab" localSheetId="4" hidden="1">'Revenue Forecast'!$D$23</definedName>
    <definedName name="CBCR_1b0de05b283f461f850df2e690c72d45" localSheetId="5" hidden="1">' Pricing Strategy (Time)'!$I$14</definedName>
    <definedName name="CBCR_1bdb5695f79e4a6c8d1db717dec0b72f" localSheetId="4" hidden="1">'Revenue Forecast'!$F$36</definedName>
    <definedName name="CBCR_1c9b9a8844994e6bb7af986a2daecd10" localSheetId="4" hidden="1">'Revenue Forecast'!$F$19</definedName>
    <definedName name="CBCR_1cc8edda259f4f26a0bfccb7a5192b92" localSheetId="4" hidden="1">'Revenue Forecast'!$D$22</definedName>
    <definedName name="CBCR_1d4ad576880f48528149597a54b4599f" localSheetId="5" hidden="1">' Pricing Strategy (Time)'!$E$25</definedName>
    <definedName name="CBCR_1e73a3ecf9f64b3daa6a5602031b9b27" localSheetId="4" hidden="1">'Revenue Forecast'!$D$22</definedName>
    <definedName name="CBCR_1ea3d0ecfcf84918b10a2c1dab4381a5" localSheetId="5" hidden="1">' Pricing Strategy (Time)'!$C$14</definedName>
    <definedName name="CBCR_1ed66e72240145b38fd69d1d5c8b2043" localSheetId="4" hidden="1">'Revenue Forecast'!$D$41</definedName>
    <definedName name="CBCR_1f2182b20cad4641b1c9938e1d1593ce" localSheetId="5" hidden="1">' Pricing Strategy (Time)'!$AD$27</definedName>
    <definedName name="CBCR_2107d7f62fcd45efa6a66974add42915" localSheetId="5" hidden="1">' Pricing Strategy (Time)'!$AD$18</definedName>
    <definedName name="CBCR_21394a43e63a4944ac69042d3e856078" localSheetId="5" hidden="1">' Pricing Strategy (Time)'!$E$15</definedName>
    <definedName name="CBCR_2178f51577924d72ae3fb1e0a248d5c0" localSheetId="4" hidden="1">'Revenue Forecast'!$H$52</definedName>
    <definedName name="CBCR_21aa7f401bd04c8292065c68ea07395a" localSheetId="4" hidden="1">'Revenue Forecast'!$F$26</definedName>
    <definedName name="CBCR_2270dda63e854a74b1ff187dafb8c34b" localSheetId="4" hidden="1">'Revenue Forecast'!$E$31</definedName>
    <definedName name="CBCR_2290b3cb5f1a40cb9693e8c14be32656" localSheetId="4" hidden="1">'Revenue Forecast'!$D$21</definedName>
    <definedName name="CBCR_23669a16687c4d21b49cac241cf95b28" localSheetId="5" hidden="1">' Pricing Strategy (Time)'!$E$14</definedName>
    <definedName name="CBCR_2439fe05efda40ab88406fe07aa51389" localSheetId="5" hidden="1">' Pricing Strategy (Time)'!$E$13</definedName>
    <definedName name="CBCR_27327a648e9e42d48e77c2ab401633ec" localSheetId="4" hidden="1">'Revenue Forecast'!$F$31</definedName>
    <definedName name="CBCR_2734b591146f4cba90ae0b03b396a639" localSheetId="4" hidden="1">'Revenue Forecast'!$D$22</definedName>
    <definedName name="CBCR_277600a28ced4a80966fde45a31dce95" localSheetId="5" hidden="1">' Pricing Strategy (Time)'!$C$15</definedName>
    <definedName name="CBCR_277ca768053f41ba916f7b328bd190ce" localSheetId="4" hidden="1">'Revenue Forecast'!$F$20</definedName>
    <definedName name="CBCR_277d3c29bcee4236b4da590c728df66e" localSheetId="4" hidden="1">'Revenue Forecast'!$D$24</definedName>
    <definedName name="CBCR_27a176a7c1e04092b133757423e74b06" localSheetId="5" hidden="1">' Pricing Strategy (Time)'!#REF!</definedName>
    <definedName name="CBCR_2b49852d05524efcb9b9204ac3d5ef3e" localSheetId="5" hidden="1">' Pricing Strategy (Time)'!$E$15</definedName>
    <definedName name="CBCR_2bc29d09306f48918b1985ac256b9d69" localSheetId="4" hidden="1">'Revenue Forecast'!$F$24</definedName>
    <definedName name="CBCR_2c282ed4264e4dc88c5bab5913ba7b82" localSheetId="4" hidden="1">'Revenue Forecast'!$D$23</definedName>
    <definedName name="CBCR_2c888456276a4f848a0f2a01071bcc25" localSheetId="4" hidden="1">'Revenue Forecast'!$D$19</definedName>
    <definedName name="CBCR_2cca7d3e6cad4ff8bec8d1baddc28d66" localSheetId="5" hidden="1">' Pricing Strategy (Time)'!$E$15</definedName>
    <definedName name="CBCR_2d8f02a3940f4c63a02775e37f33793f" localSheetId="4" hidden="1">'Revenue Forecast'!$D$22</definedName>
    <definedName name="CBCR_2df6db429cf14e1b8c039f4441da52df" localSheetId="5" hidden="1">' Pricing Strategy (Time)'!$C$15</definedName>
    <definedName name="CBCR_2e62e2f266bb4fc5a8fa7b942e6e0896" localSheetId="4" hidden="1">'Revenue Forecast'!$F$25</definedName>
    <definedName name="CBCR_2e8287e4a1c54892997e0ae4c72875ae" localSheetId="5" hidden="1">' Pricing Strategy (Time)'!$C$15</definedName>
    <definedName name="CBCR_2f0687752748407cac639c660b4effe7" localSheetId="4" hidden="1">'Revenue Forecast'!$D$24</definedName>
    <definedName name="CBCR_2f6dd32a28824c3ba57fd6e9f6f10102" localSheetId="4" hidden="1">'Revenue Forecast'!$F$20</definedName>
    <definedName name="CBCR_306a2232e3204eefb3d14dd5aa41b078" localSheetId="4" hidden="1">'Revenue Forecast'!$F$20</definedName>
    <definedName name="CBCR_30f7c73bdfa24061bc88f0fb43f2a578" localSheetId="4" hidden="1">'Revenue Forecast'!$H$50</definedName>
    <definedName name="CBCR_31d45ced8ba14f18ba86b3f138ceb900" localSheetId="4" hidden="1">'Revenue Forecast'!$F$52</definedName>
    <definedName name="CBCR_31d52f89413e43d5a24604f5769f5804" localSheetId="4" hidden="1">'Revenue Forecast'!$F$25</definedName>
    <definedName name="CBCR_3276eb90c9634b0c983e975d641821ec" localSheetId="4" hidden="1">'Revenue Forecast'!$F$36</definedName>
    <definedName name="CBCR_3401e561db2f4e8bbdcf152da4935074" localSheetId="4" hidden="1">'Revenue Forecast'!$D$21</definedName>
    <definedName name="CBCR_343a8c2cf08d43e9af5027b5087c6d68" localSheetId="4" hidden="1">'Revenue Forecast'!$F$25</definedName>
    <definedName name="CBCR_348dcab0de764268ad97ff6b042d48fb" localSheetId="4" hidden="1">'Revenue Forecast'!$D$19</definedName>
    <definedName name="CBCR_34e6cd847d88445fa897d77869566a0d" localSheetId="5" hidden="1">' Pricing Strategy (Time)'!$C$13</definedName>
    <definedName name="CBCR_3524e016c1f64f20bd11ec02c92a75b4" localSheetId="4" hidden="1">'Revenue Forecast'!$F$21</definedName>
    <definedName name="CBCR_352fec36254146308dfa8192833e7517" localSheetId="5" hidden="1">' Pricing Strategy (Time)'!$C$14</definedName>
    <definedName name="CBCR_35c02e80776f453dbd39c112165e3f17" localSheetId="4" hidden="1">'Revenue Forecast'!$D$22</definedName>
    <definedName name="CBCR_364a706beca2444f889ba48798f283c3" localSheetId="4" hidden="1">'Revenue Forecast'!$F$24</definedName>
    <definedName name="CBCR_365042dbc76344519ebd09cced522dc3" localSheetId="5" hidden="1">' Pricing Strategy (Time)'!$I$14</definedName>
    <definedName name="CBCR_36528906b3f64044bdfbb10eb55b9aef" localSheetId="4" hidden="1">'Revenue Forecast'!$F$22</definedName>
    <definedName name="CBCR_36ca2bfe656c477b85b59a32859c2910" localSheetId="5" hidden="1">' Pricing Strategy (Time)'!$I$13</definedName>
    <definedName name="CBCR_370636e8bf1d45889df584923b4fbbf7" localSheetId="4" hidden="1">'Revenue Forecast'!$E$41</definedName>
    <definedName name="CBCR_3762d8f1805a415d9a93cc181088ff60" localSheetId="4" hidden="1">'Revenue Forecast'!$D$20</definedName>
    <definedName name="CBCR_381b0fc9dd0648ae81de5ffdd899a9c0" localSheetId="5" hidden="1">' Pricing Strategy (Time)'!$C$13</definedName>
    <definedName name="CBCR_38cf6e1a154a43d3b771311a8ffcab20" localSheetId="4" hidden="1">'Revenue Forecast'!$F$49</definedName>
    <definedName name="CBCR_396aedf8734e4876b12c4caaf446ef7d" localSheetId="4" hidden="1">'Revenue Forecast'!$D$19</definedName>
    <definedName name="CBCR_398df701ccb74d94ab3fdf43b6f8e17b" localSheetId="4" hidden="1">'Revenue Forecast'!$D$26</definedName>
    <definedName name="CBCR_3a1162e8cf334ac4bc2f9457a4a8df84" localSheetId="4" hidden="1">'Revenue Forecast'!$F$25</definedName>
    <definedName name="CBCR_3b24f075836a4596999a95cbd37c15bf" localSheetId="4" hidden="1">'Revenue Forecast'!$F$19</definedName>
    <definedName name="CBCR_3b6b97e8bdf44ae6bbe310326c14f2ba" localSheetId="5" hidden="1">' Pricing Strategy (Time)'!#REF!</definedName>
    <definedName name="CBCR_3c7e52de09f746c8be1f2b448eac9ccd" localSheetId="4" hidden="1">'Revenue Forecast'!$D$25</definedName>
    <definedName name="CBCR_3c92beb9a5cc4714b7537bd277164a72" localSheetId="5" hidden="1">' Pricing Strategy (Time)'!$E$14</definedName>
    <definedName name="CBCR_3d5292da7f6142508377a9f8842030cb" localSheetId="4" hidden="1">'Revenue Forecast'!$D$26</definedName>
    <definedName name="CBCR_3d7f8aa8879f40068f4c0cf33fb88ca4" localSheetId="4" hidden="1">'Revenue Forecast'!$F$41</definedName>
    <definedName name="CBCR_3e7e6f3e49e7443c8eb84ea8a5eb5b79" localSheetId="4" hidden="1">'Revenue Forecast'!$F$20</definedName>
    <definedName name="CBCR_3ef24df69a4c442a9ac6d210a6ac354f" localSheetId="5" hidden="1">' Pricing Strategy (Time)'!$E$13</definedName>
    <definedName name="CBCR_3f49992ea5ac43799467af07e5c39545" localSheetId="4" hidden="1">'Revenue Forecast'!$D$22</definedName>
    <definedName name="CBCR_3fb04adc9990494c9966042682ec780b" localSheetId="5" hidden="1">' Pricing Strategy (Time)'!$AD$11</definedName>
    <definedName name="CBCR_3fe7140b9fdb46f990fa63370c38f86e" localSheetId="4" hidden="1">'Revenue Forecast'!$E$31</definedName>
    <definedName name="CBCR_4155da2917ec4d4faa88b1ee34663e78" localSheetId="4" hidden="1">'Revenue Forecast'!$D$19</definedName>
    <definedName name="CBCR_418694377aa5493d905bedfc215ceb1c" localSheetId="5" hidden="1">' Pricing Strategy (Time)'!$I$13</definedName>
    <definedName name="CBCR_433b20b2c2ff47cf8e0b724e58fdc770" localSheetId="5" hidden="1">' Pricing Strategy (Time)'!$E$25</definedName>
    <definedName name="CBCR_435673e665a24ce694303f97f6f6970a" localSheetId="5" hidden="1">' Pricing Strategy (Time)'!$I$15</definedName>
    <definedName name="CBCR_43788c1573ea44199ffd591c656ab878" localSheetId="5" hidden="1">' Pricing Strategy (Time)'!$AD$23</definedName>
    <definedName name="CBCR_4432b532c44a420b9f0190edcc66c4cb" localSheetId="4" hidden="1">'Revenue Forecast'!$H$52</definedName>
    <definedName name="CBCR_443d895aca79440aaf8e917c5b1a3ccb" localSheetId="4" hidden="1">'Revenue Forecast'!$D$24</definedName>
    <definedName name="CBCR_4469795527cf404badf634d55d9d5daa" localSheetId="5" hidden="1">' Pricing Strategy (Time)'!$E$13</definedName>
    <definedName name="CBCR_44c0e692c4df48ecbae3bbe4e7d108cb" localSheetId="4" hidden="1">'Revenue Forecast'!$F$23</definedName>
    <definedName name="CBCR_44d9f5bbae314af1911aabf1fb63ef53" localSheetId="5" hidden="1">' Pricing Strategy (Time)'!$C$15</definedName>
    <definedName name="CBCR_45571f2b7d4e48a7a9ea4fcb5ccda266" localSheetId="5" hidden="1">' Pricing Strategy (Time)'!$C$13</definedName>
    <definedName name="CBCR_45b6401b1194459f89c6f5cf91c1bb78" localSheetId="4" hidden="1">'Revenue Forecast'!$F$20</definedName>
    <definedName name="CBCR_46858feea64f46b3a95f8284e6a1d4f1" localSheetId="4" hidden="1">'Revenue Forecast'!$F$36</definedName>
    <definedName name="CBCR_469b1c10b01648febec76b5808eefc98" localSheetId="5" hidden="1">' Pricing Strategy (Time)'!$E$15</definedName>
    <definedName name="CBCR_4701cd8abd59459490bcc19a7f388ff1" localSheetId="5" hidden="1">' Pricing Strategy (Time)'!$AD$12</definedName>
    <definedName name="CBCR_47c6cd80ebdc445b9504f66c8ae5fdcc" localSheetId="5" hidden="1">' Pricing Strategy (Time)'!$E$14</definedName>
    <definedName name="CBCR_4852fff631754f9d942b0b7beca146ba" localSheetId="5" hidden="1">' Pricing Strategy (Time)'!$E$14</definedName>
    <definedName name="CBCR_48d4fce3fce4471cb8f2e26168f74150" localSheetId="5" hidden="1">' Pricing Strategy (Time)'!$E$14</definedName>
    <definedName name="CBCR_49b6efc0ace1454083228e48fb194c11" localSheetId="4" hidden="1">'Revenue Forecast'!$D$31</definedName>
    <definedName name="CBCR_4b8eaf20f30b4e41aa3cc9bb0b557120" localSheetId="4" hidden="1">'Revenue Forecast'!$F$26</definedName>
    <definedName name="CBCR_4be3444c6b0a425cbaf68ae4757831ec" localSheetId="5" hidden="1">' Pricing Strategy (Time)'!$C$14</definedName>
    <definedName name="CBCR_4ce3337a595c4f67b616e8d5cae93ff9" localSheetId="5" hidden="1">' Pricing Strategy (Time)'!$C$15</definedName>
    <definedName name="CBCR_4d1d7200d82b4adda4f7422d1b22c672" localSheetId="5" hidden="1">' Pricing Strategy (Time)'!$E$15</definedName>
    <definedName name="CBCR_4d5d296bc7084c01908a9a27340eb915" localSheetId="4" hidden="1">'Revenue Forecast'!$D$26</definedName>
    <definedName name="CBCR_4d7bb48dd5eb42a68fd5931db3d6b805" localSheetId="4" hidden="1">'Revenue Forecast'!$F$25</definedName>
    <definedName name="CBCR_4d8d7648b6fd45ecb055f24208b55105" localSheetId="4" hidden="1">'Revenue Forecast'!$E$41</definedName>
    <definedName name="CBCR_4f9b098b4269492aa45b9874a5c69b68" localSheetId="5" hidden="1">' Pricing Strategy (Time)'!$E$13</definedName>
    <definedName name="CBCR_50d9e2b79ad842a2a3a932489df47260" localSheetId="5" hidden="1">' Pricing Strategy (Time)'!$I$14</definedName>
    <definedName name="CBCR_50eec315a5194264a88975541546337a" localSheetId="5" hidden="1">' Pricing Strategy (Time)'!$AD$28</definedName>
    <definedName name="CBCR_5300f7a353b143db8070640232e94ae9" localSheetId="4" hidden="1">'Revenue Forecast'!$F$24</definedName>
    <definedName name="CBCR_536024fe56d54650af5e1908c915d117" localSheetId="5" hidden="1">' Pricing Strategy (Time)'!#REF!</definedName>
    <definedName name="CBCR_539373422c76472f9d9bee2b762b1c77" localSheetId="4" hidden="1">'Revenue Forecast'!$F$51</definedName>
    <definedName name="CBCR_53d5d50cedfb41fc8a226ff0c6885113" localSheetId="5" hidden="1">' Pricing Strategy (Time)'!$E$15</definedName>
    <definedName name="CBCR_54455f0e535a40a395d1df4d085a767c" localSheetId="5" hidden="1">' Pricing Strategy (Time)'!$E$15</definedName>
    <definedName name="CBCR_561ec99822c7457a82fadea7edf1d604" localSheetId="4" hidden="1">'Revenue Forecast'!$F$24</definedName>
    <definedName name="CBCR_57417946dde04a26a32e7a2db9039404" localSheetId="5" hidden="1">' Pricing Strategy (Time)'!$C$15</definedName>
    <definedName name="CBCR_57a3c210973d4506a2bc77f1f2155d8b" localSheetId="5" hidden="1">' Pricing Strategy (Time)'!$E$26</definedName>
    <definedName name="CBCR_5aabfbde9ad64ea6a2c0710e6713b22d" localSheetId="4" hidden="1">'Revenue Forecast'!$F$22</definedName>
    <definedName name="CBCR_5ab4ef7a986f43f78fd3e5ea24db5c49" localSheetId="4" hidden="1">'Revenue Forecast'!$D$22</definedName>
    <definedName name="CBCR_5b26144e2698442bafd1f6203a9e94f5" localSheetId="5" hidden="1">' Pricing Strategy (Time)'!$AD$33</definedName>
    <definedName name="CBCR_5b8216aea5e14fa09fb1e9c9129d62ee" localSheetId="4" hidden="1">'Revenue Forecast'!$D$25</definedName>
    <definedName name="CBCR_5c586e0c74cc4fc9948f4b2a7b8077b1" localSheetId="5" hidden="1">' Pricing Strategy (Time)'!$C$15</definedName>
    <definedName name="CBCR_5c98153280dd4a6b80af0727ab7d2df0" localSheetId="4" hidden="1">'Revenue Forecast'!$F$24</definedName>
    <definedName name="CBCR_5d58fe33284b450daa296a8b6da6cb4d" localSheetId="5" hidden="1">' Pricing Strategy (Time)'!$I$15</definedName>
    <definedName name="CBCR_5d8b92f8aee6458789c7acb63c1778b6" localSheetId="5" hidden="1">' Pricing Strategy (Time)'!$C$14</definedName>
    <definedName name="CBCR_5e9b151e48ca4a54a28a40d7970e1843" localSheetId="4" hidden="1">'Revenue Forecast'!$F$21</definedName>
    <definedName name="CBCR_5ee8e53b18ce420db79aace233c55df4" localSheetId="4" hidden="1">'Revenue Forecast'!$D$41</definedName>
    <definedName name="CBCR_5f03e4584eb64c12afd129fe8a8495b3" localSheetId="4" hidden="1">'Revenue Forecast'!$F$19</definedName>
    <definedName name="CBCR_5feb6faefbd84f72b22386de639f7ff3" localSheetId="5" hidden="1">' Pricing Strategy (Time)'!$AD$10</definedName>
    <definedName name="CBCR_61805474da874c97ba5ed9a3e6f7405e" localSheetId="4" hidden="1">'Revenue Forecast'!$D$24</definedName>
    <definedName name="CBCR_6216f85071a348ee86a6b5f12907a4f8" localSheetId="4" hidden="1">'Revenue Forecast'!$D$36</definedName>
    <definedName name="CBCR_62b7c20873464396ab8135b2327c7ce2" localSheetId="5" hidden="1">' Pricing Strategy (Time)'!$C$13</definedName>
    <definedName name="CBCR_63ca60604a1f4e268ff78b395c647b65" localSheetId="4" hidden="1">'Revenue Forecast'!$D$21</definedName>
    <definedName name="CBCR_643c723dfb574e86b36965876d5573fc" localSheetId="5" hidden="1">' Pricing Strategy (Time)'!$I$14</definedName>
    <definedName name="CBCR_64503f07acfa4f0e950cfe889ba510c1" localSheetId="5" hidden="1">' Pricing Strategy (Time)'!$I$15</definedName>
    <definedName name="CBCR_648052bc9694450685a7ba7f17e3e686" localSheetId="4" hidden="1">'Revenue Forecast'!$D$26</definedName>
    <definedName name="CBCR_65f0ff708d18456889921314d3c06442" localSheetId="4" hidden="1">'Revenue Forecast'!$F$19</definedName>
    <definedName name="CBCR_666c3bccc36644f383b9ba17c36dab6d" localSheetId="4" hidden="1">'Revenue Forecast'!$D$25</definedName>
    <definedName name="CBCR_6742414aab874c3da2c145150e1e563f" localSheetId="4" hidden="1">'Revenue Forecast'!$D$31</definedName>
    <definedName name="CBCR_6761fd1a87fd48998b78207ab9213f66" localSheetId="4" hidden="1">'Revenue Forecast'!$D$23</definedName>
    <definedName name="CBCR_67834ecdb9424d71a4d4cec814e1a650" localSheetId="5" hidden="1">' Pricing Strategy (Time)'!$C$15</definedName>
    <definedName name="CBCR_67d7927f3a7d4da299beced6d98dce50" localSheetId="5" hidden="1">' Pricing Strategy (Time)'!$C$14</definedName>
    <definedName name="CBCR_67e888538c46415e95f5af3e6aedcf09" localSheetId="5" hidden="1">' Pricing Strategy (Time)'!$AD$22</definedName>
    <definedName name="CBCR_687085f41ea1435f8ec19e8a62758045" localSheetId="5" hidden="1">' Pricing Strategy (Time)'!$I$14</definedName>
    <definedName name="CBCR_688a10ac60f54d4aa9333d3be71eae9c" localSheetId="5" hidden="1">' Pricing Strategy (Time)'!$I$14</definedName>
    <definedName name="CBCR_69562ee6e2b245628f381a1e65f14515" localSheetId="4" hidden="1">'Revenue Forecast'!$F$25</definedName>
    <definedName name="CBCR_6a7cc1db60114e3d87239d9b44514109" localSheetId="4" hidden="1">'Revenue Forecast'!$D$21</definedName>
    <definedName name="CBCR_6b370a3b2f624bc8970eac7d00eb7dee" localSheetId="4" hidden="1">'Revenue Forecast'!$D$24</definedName>
    <definedName name="CBCR_6b89d0b49e104b019f2903e1a2054a6c" localSheetId="4" hidden="1">'Revenue Forecast'!$D$20</definedName>
    <definedName name="CBCR_6be204427172492ebee0240da301a6ce" localSheetId="4" hidden="1">'Revenue Forecast'!$D$19</definedName>
    <definedName name="CBCR_6c1be50df9ff4a7e8eae266f2eb72e96" localSheetId="5" hidden="1">' Pricing Strategy (Time)'!$E$15</definedName>
    <definedName name="CBCR_6c2c88a099bf46d4bb5b21052ac3600c" localSheetId="5" hidden="1">' Pricing Strategy (Time)'!$AD$13</definedName>
    <definedName name="CBCR_6c6b59a72df6423184c42bc3712e9124" localSheetId="4" hidden="1">'Revenue Forecast'!$D$20</definedName>
    <definedName name="CBCR_6c8a62e241f94b23a03a8a05ddcc2049" localSheetId="5" hidden="1">' Pricing Strategy (Time)'!$G$27</definedName>
    <definedName name="CBCR_6c92dd4f9b1c4ef695db29997277d16d" localSheetId="4" hidden="1">'Revenue Forecast'!$F$31</definedName>
    <definedName name="CBCR_6e24cdc45b2d4399bb3c5e7cd13483f8" localSheetId="5" hidden="1">' Pricing Strategy (Time)'!$E$14</definedName>
    <definedName name="CBCR_6e7d6400fdd94be78404010b5abd9c70" localSheetId="4" hidden="1">'Revenue Forecast'!$D$21</definedName>
    <definedName name="CBCR_6fb8b5daa68a496f8fe8fbccfd0937a1" localSheetId="4" hidden="1">'Revenue Forecast'!$F$24</definedName>
    <definedName name="CBCR_712f93f9c8fa4661b6332767d52d34b1" localSheetId="5" hidden="1">' Pricing Strategy (Time)'!$G$27</definedName>
    <definedName name="CBCR_72ec4b68b18548928e77cdcf87c5e9e6" localSheetId="4" hidden="1">'Revenue Forecast'!$F$22</definedName>
    <definedName name="CBCR_73562dc817084eb6bd14252f98c866d2" localSheetId="4" hidden="1">'Revenue Forecast'!$F$19</definedName>
    <definedName name="CBCR_747df9dc605548aaa24749178f09a98b" localSheetId="4" hidden="1">'Revenue Forecast'!$F$19</definedName>
    <definedName name="CBCR_749572d162e9490280f273bd035bdc33" localSheetId="5" hidden="1">' Pricing Strategy (Time)'!$E$13</definedName>
    <definedName name="CBCR_749ed4a1ec3e4b42934e23bfaef3ec9e" localSheetId="4" hidden="1">'Revenue Forecast'!$F$22</definedName>
    <definedName name="CBCR_74c76585044641adb34ab029044cbc29" localSheetId="5" hidden="1">' Pricing Strategy (Time)'!#REF!</definedName>
    <definedName name="CBCR_763eb8beacd44c2fbe0b045f9ed297dc" localSheetId="4" hidden="1">'Revenue Forecast'!$F$23</definedName>
    <definedName name="CBCR_76ee7db5064f47a5b46f1b3ccb979398" localSheetId="5" hidden="1">' Pricing Strategy (Time)'!$E$13</definedName>
    <definedName name="CBCR_77420c22a73249ef80c850db18af5120" localSheetId="4" hidden="1">'Revenue Forecast'!$F$26</definedName>
    <definedName name="CBCR_77dc0cbdbad04c08905a29ab62447087" localSheetId="4" hidden="1">'Revenue Forecast'!$F$21</definedName>
    <definedName name="CBCR_781e150f4f254d67b89e7bd6d58a577f" localSheetId="4" hidden="1">'Revenue Forecast'!$F$20</definedName>
    <definedName name="CBCR_797be2cede6b45e995b12394893a174f" localSheetId="4" hidden="1">'Revenue Forecast'!$F$23</definedName>
    <definedName name="CBCR_799033a42fb0447185ba435939cf80a9" localSheetId="4" hidden="1">'Revenue Forecast'!$F$50</definedName>
    <definedName name="CBCR_7a0e484101ab42199896809892091162" localSheetId="4" hidden="1">'Revenue Forecast'!$F$23</definedName>
    <definedName name="CBCR_7ab81ba04d94400e9de7871af4788298" localSheetId="4" hidden="1">'Revenue Forecast'!$H$49</definedName>
    <definedName name="CBCR_7b685d28f0dd4215a1de59270c7a54b8" localSheetId="5" hidden="1">' Pricing Strategy (Time)'!$G$25</definedName>
    <definedName name="CBCR_7be79a723f59436f841eb666f6b2ce00" localSheetId="4" hidden="1">'Revenue Forecast'!$F$26</definedName>
    <definedName name="CBCR_7c287b3c2e7f4af9a11a3fb119c4a98d" localSheetId="4" hidden="1">'Revenue Forecast'!$F$26</definedName>
    <definedName name="CBCR_7cd2ece1b14e4298b80b070556f021f0" localSheetId="5" hidden="1">' Pricing Strategy (Time)'!$C$13</definedName>
    <definedName name="CBCR_7cd7ed1ae1e74a36be10bc05000bd3b1" localSheetId="4" hidden="1">'Revenue Forecast'!$F$26</definedName>
    <definedName name="CBCR_7cea88bb6c544fba902bfc657c3b6748" localSheetId="4" hidden="1">'Revenue Forecast'!$D$26</definedName>
    <definedName name="CBCR_7e2994ad03cd498ea6dc2bd6c8e90d45" localSheetId="5" hidden="1">' Pricing Strategy (Time)'!$I$13</definedName>
    <definedName name="CBCR_7e3ce781f4d04eb1801659d39f8dc12c" localSheetId="4" hidden="1">'Revenue Forecast'!$F$23</definedName>
    <definedName name="CBCR_803626b0a6cc496bbe9804b58c7a6378" localSheetId="5" hidden="1">' Pricing Strategy (Time)'!$E$28</definedName>
    <definedName name="CBCR_80384790fa354a2f8ba3cfc509357e10" localSheetId="4" hidden="1">'Revenue Forecast'!$F$52</definedName>
    <definedName name="CBCR_80939bfbcb4246f0b12a240c530b7c5a" localSheetId="5" hidden="1">' Pricing Strategy (Time)'!$AD$34</definedName>
    <definedName name="CBCR_80c05832da0144ffb87357cc11c69412" localSheetId="5" hidden="1">' Pricing Strategy (Time)'!$AD$37</definedName>
    <definedName name="CBCR_80cd4a06988f4e76a9d10d34c65cdc29" localSheetId="4" hidden="1">'Revenue Forecast'!$H$50</definedName>
    <definedName name="CBCR_80ff6fedf71b401f8eb435ccfaabe341" localSheetId="5" hidden="1">' Pricing Strategy (Time)'!$C$14</definedName>
    <definedName name="CBCR_81532a278ba442a98d2508bbde93140a" localSheetId="4" hidden="1">'Revenue Forecast'!$D$19</definedName>
    <definedName name="CBCR_81f2a4d63a2746ecb936d0cc0489ecac" localSheetId="5" hidden="1">' Pricing Strategy (Time)'!$I$13</definedName>
    <definedName name="CBCR_82dc5ccb8eec4876b6eaf2222281258f" localSheetId="4" hidden="1">'Revenue Forecast'!$E$36</definedName>
    <definedName name="CBCR_83f10de2f4fe45668e2478915df4ebd3" localSheetId="4" hidden="1">'Revenue Forecast'!$D$22</definedName>
    <definedName name="CBCR_8448e77582eb4dfbbbb4eb4214956736" localSheetId="4" hidden="1">'Revenue Forecast'!$F$21</definedName>
    <definedName name="CBCR_872f217b9778486da0d09cb7824cb590" localSheetId="4" hidden="1">'Revenue Forecast'!$D$23</definedName>
    <definedName name="CBCR_8818a15afbc64707a61db292669eb684" localSheetId="5" hidden="1">' Pricing Strategy (Time)'!$C$13</definedName>
    <definedName name="CBCR_88ae63ea99554b73a9913ab4ee5d3ddd" localSheetId="4" hidden="1">'Revenue Forecast'!$D$23</definedName>
    <definedName name="CBCR_8a594614d34b44a0a3f3af20fde535e9" localSheetId="5" hidden="1">' Pricing Strategy (Time)'!$E$13</definedName>
    <definedName name="CBCR_8a668710d3d842ada366130872d2e1be" localSheetId="5" hidden="1">' Pricing Strategy (Time)'!$R$7</definedName>
    <definedName name="CBCR_8af10ad43ddf4fed8eae42419811f93a" localSheetId="4" hidden="1">'Revenue Forecast'!$F$22</definedName>
    <definedName name="CBCR_8bfc0defc2964231bcb41c37ec5d87ed" localSheetId="4" hidden="1">'Revenue Forecast'!$F$23</definedName>
    <definedName name="CBCR_8d4140cfbc9840dd9817747dc7ed78aa" localSheetId="4" hidden="1">'Revenue Forecast'!$D$26</definedName>
    <definedName name="CBCR_8d66dba5262c4ce09dccc7dda3025034" localSheetId="4" hidden="1">'Revenue Forecast'!$D$19</definedName>
    <definedName name="CBCR_8e631d5522eb4d0a8e264544a304be5f" localSheetId="5" hidden="1">' Pricing Strategy (Time)'!$I$14</definedName>
    <definedName name="CBCR_91a8c32e6ad046e89add5a551c4942ac" localSheetId="4" hidden="1">'Revenue Forecast'!$D$21</definedName>
    <definedName name="CBCR_927f6ed5430b4706b37b8bc855488863" localSheetId="4" hidden="1">'Revenue Forecast'!$F$20</definedName>
    <definedName name="CBCR_92e0fdf656224eab9edc504c536561ac" localSheetId="5" hidden="1">' Pricing Strategy (Time)'!$AD$14</definedName>
    <definedName name="CBCR_92ed12e5ce3244f28f5f978a5fc59b6d" localSheetId="4" hidden="1">'Revenue Forecast'!$D$24</definedName>
    <definedName name="CBCR_931598f1ca734e229f7d74a5918fb403" localSheetId="5" hidden="1">' Pricing Strategy (Time)'!$AD$25</definedName>
    <definedName name="CBCR_93622b38b5604b3b80e199d323da8dc9" localSheetId="4" hidden="1">'Revenue Forecast'!$F$23</definedName>
    <definedName name="CBCR_94d625eee4b8443a85989ca468e477a9" localSheetId="4" hidden="1">'Revenue Forecast'!$D$25</definedName>
    <definedName name="CBCR_94f802cbf6b1440c823873fa38ea71b5" localSheetId="4" hidden="1">'Revenue Forecast'!$F$26</definedName>
    <definedName name="CBCR_98046ed41f674086a883f0ed2ce4a222" localSheetId="4" hidden="1">'Revenue Forecast'!$F$19</definedName>
    <definedName name="CBCR_9815a3475ba047c49e16ff79d06da630" localSheetId="4" hidden="1">'Revenue Forecast'!$F$22</definedName>
    <definedName name="CBCR_99acf753655040b3828fcade1b15218d" localSheetId="4" hidden="1">'Revenue Forecast'!$F$25</definedName>
    <definedName name="CBCR_99c8e8e45a504b0f9495d2236354f187" localSheetId="4" hidden="1">'Revenue Forecast'!$D$25</definedName>
    <definedName name="CBCR_9acac3438aae4e3e8acfa81c387c3606" localSheetId="4" hidden="1">'Revenue Forecast'!$D$19</definedName>
    <definedName name="CBCR_9ae82b50ca7c4b9cb4c08c33dc22744d" localSheetId="4" hidden="1">'Revenue Forecast'!$F$24</definedName>
    <definedName name="CBCR_9af8feb0bf8147d3a36b8260bec4ddb4" localSheetId="4" hidden="1">'Revenue Forecast'!$D$21</definedName>
    <definedName name="CBCR_9b66524b38ca4792933e189548bec902" localSheetId="4" hidden="1">'Revenue Forecast'!$H$49</definedName>
    <definedName name="CBCR_9ca24a3f845c4732b91fe955864b4b54" localSheetId="5" hidden="1">' Pricing Strategy (Time)'!$I$15</definedName>
    <definedName name="CBCR_9d2a3ffd5f634bd58a89665cd734e418" localSheetId="5" hidden="1">' Pricing Strategy (Time)'!$E$14</definedName>
    <definedName name="CBCR_9e3da5f248ae410bbb26357e2741ff18" localSheetId="4" hidden="1">'Revenue Forecast'!$H$50</definedName>
    <definedName name="CBCR_9f02d860cbc54bd5a156a872dbb953b2" localSheetId="5" hidden="1">' Pricing Strategy (Time)'!$E$14</definedName>
    <definedName name="CBCR_9fc2929b870446dfa99e351cb5c107c9" localSheetId="5" hidden="1">' Pricing Strategy (Time)'!$I$13</definedName>
    <definedName name="CBCR_a0cca0e669db444786199c67a3b8379c" localSheetId="4" hidden="1">'Revenue Forecast'!$F$41</definedName>
    <definedName name="CBCR_a112c4dfa5584b1facce39f7c4bb3959" localSheetId="5" hidden="1">' Pricing Strategy (Time)'!$AD$21</definedName>
    <definedName name="CBCR_a14b794ce53642ccb6e5ae0c8fcc4707" localSheetId="4" hidden="1">'Revenue Forecast'!$F$20</definedName>
    <definedName name="CBCR_a162efc81b5e47858b078c678be3f248" localSheetId="4" hidden="1">'Revenue Forecast'!$D$20</definedName>
    <definedName name="CBCR_a26f1249033e4dd79cf88654ec5d07cc" localSheetId="4" hidden="1">'Revenue Forecast'!$D$25</definedName>
    <definedName name="CBCR_a5213ed18a244a0f85b7eb43d54670e3" localSheetId="4" hidden="1">'Revenue Forecast'!$D$20</definedName>
    <definedName name="CBCR_a54c16a71792478799cef74e2bc5c421" localSheetId="4" hidden="1">'Revenue Forecast'!$D$20</definedName>
    <definedName name="CBCR_a5656050b39747fa812fc18efd2cbd03" localSheetId="4" hidden="1">'Revenue Forecast'!$D$20</definedName>
    <definedName name="CBCR_a5a2c9c24f624207ac5c139968fb3b74" localSheetId="4" hidden="1">'Revenue Forecast'!$D$36</definedName>
    <definedName name="CBCR_a673cdf31b4d444f8ca2f1dc1bd90df9" localSheetId="4" hidden="1">'Revenue Forecast'!$F$25</definedName>
    <definedName name="CBCR_a6ed82df40b44df79c93fee473abeade" localSheetId="5" hidden="1">' Pricing Strategy (Time)'!$G$26</definedName>
    <definedName name="CBCR_a7012e6ee59f495287ae6a79e7b5f06c" localSheetId="4" hidden="1">'Revenue Forecast'!$F$22</definedName>
    <definedName name="CBCR_a7ebecaf7bc84ffcb01093b189d5aaa6" localSheetId="4" hidden="1">'Revenue Forecast'!$F$20</definedName>
    <definedName name="CBCR_a83c23e308564a7896f30b444ce7904e" localSheetId="4" hidden="1">'Revenue Forecast'!$F$23</definedName>
    <definedName name="CBCR_a892758096394c4399fc2fb4f2a81734" localSheetId="4" hidden="1">'Revenue Forecast'!$D$25</definedName>
    <definedName name="CBCR_a8929facda3742be8ba7b878d5cd0be6" localSheetId="5" hidden="1">' Pricing Strategy (Time)'!$C$15</definedName>
    <definedName name="CBCR_a8a1f7644e0f4622913da943434a006a" localSheetId="4" hidden="1">'Revenue Forecast'!$D$22</definedName>
    <definedName name="CBCR_a98a168bdbd5468eb741f9b7ee96739b" localSheetId="4" hidden="1">'Revenue Forecast'!$D$24</definedName>
    <definedName name="CBCR_aa1349a9bdbd47519271946f9ac65289" localSheetId="5" hidden="1">' Pricing Strategy (Time)'!$G$28</definedName>
    <definedName name="CBCR_aa98c459351442859ec31b29cc32e5d7" localSheetId="5" hidden="1">' Pricing Strategy (Time)'!$E$13</definedName>
    <definedName name="CBCR_ab11397af5974fa2beb5a0b2c59e2ef8" localSheetId="5" hidden="1">' Pricing Strategy (Time)'!$AD$17</definedName>
    <definedName name="CBCR_ab5fee6a18cb44b8bf14da8ee8d4e4e6" localSheetId="4" hidden="1">'Revenue Forecast'!$F$20</definedName>
    <definedName name="CBCR_ab80d69663d64174aa70b50381fbf72f" localSheetId="5" hidden="1">' Pricing Strategy (Time)'!$AD$30</definedName>
    <definedName name="CBCR_aca49e1bafdb45a38f7f3c4768a5ee5c" localSheetId="4" hidden="1">'Revenue Forecast'!$D$25</definedName>
    <definedName name="CBCR_ad422587c5b840dfb4d023fbc967f625" localSheetId="5" hidden="1">' Pricing Strategy (Time)'!$I$15</definedName>
    <definedName name="CBCR_ae13384dd01341af971724bc40c8fabf" localSheetId="4" hidden="1">'Revenue Forecast'!$F$24</definedName>
    <definedName name="CBCR_aecea780a4ff4dd5a1548fc9fc9a73cf" localSheetId="4" hidden="1">'Revenue Forecast'!$F$21</definedName>
    <definedName name="CBCR_aed7b443f6f6494399590ca5070c2061" localSheetId="4" hidden="1">'Revenue Forecast'!$D$25</definedName>
    <definedName name="CBCR_af780603d328414280b77ca688eeb079" localSheetId="4" hidden="1">'Revenue Forecast'!$F$21</definedName>
    <definedName name="CBCR_afed77f126c3432daeb9d0045418e1db" localSheetId="5" hidden="1">' Pricing Strategy (Time)'!$C$15</definedName>
    <definedName name="CBCR_b071c1c0f90a4f7eab3c3ba67272396a" localSheetId="5" hidden="1">' Pricing Strategy (Time)'!$I$13</definedName>
    <definedName name="CBCR_b26430c65dc5415ea41ff4f8d7a4c800" localSheetId="4" hidden="1">'Revenue Forecast'!$D$23</definedName>
    <definedName name="CBCR_b27ba69bb6754ca58398168bed0182de" localSheetId="4" hidden="1">'Revenue Forecast'!$H$52</definedName>
    <definedName name="CBCR_b27e47e79c444cd3b854d853a9a32f73" localSheetId="4" hidden="1">'Revenue Forecast'!$D$31</definedName>
    <definedName name="CBCR_b284776909a042ebae82ec888b9c0f17" localSheetId="5" hidden="1">' Pricing Strategy (Time)'!$E$27</definedName>
    <definedName name="CBCR_b285660501214d619a05acc45c808005" localSheetId="4" hidden="1">'Revenue Forecast'!$F$51</definedName>
    <definedName name="CBCR_b29b4557d44f4646b64f1ff6c4a22ff7" localSheetId="4" hidden="1">'Revenue Forecast'!$F$23</definedName>
    <definedName name="CBCR_b2b430a37a4e455fa1ff0fcbda01e684" localSheetId="4" hidden="1">'Revenue Forecast'!$F$21</definedName>
    <definedName name="CBCR_b2b96d76f32447e7a2254f26d8faa433" localSheetId="4" hidden="1">'Revenue Forecast'!$D$22</definedName>
    <definedName name="CBCR_b31264a94e084293b09380d3e7fcdac0" localSheetId="4" hidden="1">'Revenue Forecast'!$F$23</definedName>
    <definedName name="CBCR_b47d5a7f23984a66b88d8af8b5bf3188" localSheetId="5" hidden="1">' Pricing Strategy (Time)'!$I$13</definedName>
    <definedName name="CBCR_b4eac0869fea400cb6b1dac447d1f1b0" localSheetId="5" hidden="1">' Pricing Strategy (Time)'!$AD$8</definedName>
    <definedName name="CBCR_b576f9c69fd143c29ed7280494a1645e" localSheetId="5" hidden="1">' Pricing Strategy (Time)'!$AD$35</definedName>
    <definedName name="CBCR_b57ea137f8814d048e6aa498e858d740" localSheetId="4" hidden="1">'Revenue Forecast'!$D$20</definedName>
    <definedName name="CBCR_b598acb82e7d4d2c837f0d712e17dbd7" localSheetId="5" hidden="1">' Pricing Strategy (Time)'!$C$14</definedName>
    <definedName name="CBCR_b5b5412d7b7442fcb79d2f6820b8692b" localSheetId="4" hidden="1">'Revenue Forecast'!$D$19</definedName>
    <definedName name="CBCR_b5ba86d32b0649eeabc9ab2c50e2eef2" localSheetId="5" hidden="1">' Pricing Strategy (Time)'!$AD$29</definedName>
    <definedName name="CBCR_b6bfe3eefbcc4bd992052c343b5d769b" localSheetId="5" hidden="1">' Pricing Strategy (Time)'!$E$14</definedName>
    <definedName name="CBCR_b7c71c2f8ae649ae8693d935e0610c81" localSheetId="4" hidden="1">'Revenue Forecast'!$D$24</definedName>
    <definedName name="CBCR_b8f42fb9d0434c5586f09163c95e73f8" localSheetId="5" hidden="1">' Pricing Strategy (Time)'!$AD$7</definedName>
    <definedName name="CBCR_bae752e6b0cd45a2bdf27fa665964c8f" localSheetId="4" hidden="1">'Revenue Forecast'!$E$41</definedName>
    <definedName name="CBCR_bbda3bfd6142404cb20c4ff14d1928a5" localSheetId="4" hidden="1">'Revenue Forecast'!$D$22</definedName>
    <definedName name="CBCR_bc690f59408e44e3a449025196e0a122" localSheetId="5" hidden="1">' Pricing Strategy (Time)'!$C$15</definedName>
    <definedName name="CBCR_bdb8f372aeec41989907bc4873323c6c" localSheetId="5" hidden="1">' Pricing Strategy (Time)'!$AD$6</definedName>
    <definedName name="CBCR_bead0046a3d24300926344bb7c00df48" localSheetId="4" hidden="1">'Revenue Forecast'!$F$21</definedName>
    <definedName name="CBCR_c023d84f659c498cb73f0072ce2ffbd9" localSheetId="5" hidden="1">' Pricing Strategy (Time)'!$G$27</definedName>
    <definedName name="CBCR_c217267243994a49a556dac48e1df65d" localSheetId="4" hidden="1">'Revenue Forecast'!$F$22</definedName>
    <definedName name="CBCR_c352a6d4048d49da99088089396c5b07" localSheetId="4" hidden="1">'Revenue Forecast'!$F$19</definedName>
    <definedName name="CBCR_c443d7ab4add4ba2b0c3c9251fe8222f" localSheetId="4" hidden="1">'Revenue Forecast'!$D$25</definedName>
    <definedName name="CBCR_c4c5bf77e4bd491d8376b916aa8cd6b1" localSheetId="4" hidden="1">'Revenue Forecast'!$F$21</definedName>
    <definedName name="CBCR_c69a204531f649eaa99ffffdd9337b0f" localSheetId="5" hidden="1">' Pricing Strategy (Time)'!$I$15</definedName>
    <definedName name="CBCR_c729b616373044e2978332310f68bd11" localSheetId="4" hidden="1">'Revenue Forecast'!$E$31</definedName>
    <definedName name="CBCR_c7655b0710484b45a1a48a352004d6d1" localSheetId="4" hidden="1">'Revenue Forecast'!$D$23</definedName>
    <definedName name="CBCR_c765977ec83449418dc1179255a85865" localSheetId="4" hidden="1">'Revenue Forecast'!$H$51</definedName>
    <definedName name="CBCR_c775d0c6beaa4612a2c2b7254e10a4c5" localSheetId="5" hidden="1">' Pricing Strategy (Time)'!$C$14</definedName>
    <definedName name="CBCR_c7a529d231e143f981834f876ac9e9ff" localSheetId="4" hidden="1">'Revenue Forecast'!$F$31</definedName>
    <definedName name="CBCR_c7d9a220612a4229b274be65b6b0c487" localSheetId="4" hidden="1">'Revenue Forecast'!$F$25</definedName>
    <definedName name="CBCR_c85d61adc2ff4f2790e847ec4806671a" localSheetId="5" hidden="1">' Pricing Strategy (Time)'!$C$14</definedName>
    <definedName name="CBCR_c892a59404e443768346e4676ac43e30" localSheetId="4" hidden="1">'Revenue Forecast'!$F$24</definedName>
    <definedName name="CBCR_c953572442d74882a4ccf451eb6913d8" localSheetId="4" hidden="1">'Revenue Forecast'!$F$50</definedName>
    <definedName name="CBCR_c954c20a2e1c40d3bd167394dbc14f04" localSheetId="4" hidden="1">'Revenue Forecast'!$F$49</definedName>
    <definedName name="CBCR_c9562048ce244bedbf2532e473c002b6" localSheetId="4" hidden="1">'Revenue Forecast'!$F$22</definedName>
    <definedName name="CBCR_c95d4298259848cd8c0019c8fd8adbec" localSheetId="5" hidden="1">' Pricing Strategy (Time)'!$C$13</definedName>
    <definedName name="CBCR_c9a19622024143e4a9c9ab5b85455627" localSheetId="4" hidden="1">'Revenue Forecast'!$F$19</definedName>
    <definedName name="CBCR_c9e1f5836cc24b55b3063553110785cd" localSheetId="4" hidden="1">'Revenue Forecast'!$D$25</definedName>
    <definedName name="CBCR_ca6b1ff2c32948ed91dd02236a89f40e" localSheetId="4" hidden="1">'Revenue Forecast'!$D$20</definedName>
    <definedName name="CBCR_cdcbd167896444daad9f52207d2e4ce4" localSheetId="4" hidden="1">'Revenue Forecast'!$D$26</definedName>
    <definedName name="CBCR_cec9397543cd47ef9650b2072bcc6a55" localSheetId="5" hidden="1">' Pricing Strategy (Time)'!$I$15</definedName>
    <definedName name="CBCR_cefb7fdd706e417a8dc8491968c91c0c" localSheetId="4" hidden="1">'Revenue Forecast'!$D$21</definedName>
    <definedName name="CBCR_cf11346535c64988bcca45dc49b7af5f" localSheetId="5" hidden="1">' Pricing Strategy (Time)'!$E$15</definedName>
    <definedName name="CBCR_cf9ed1fda35947cc878cf77a9174433b" localSheetId="5" hidden="1">' Pricing Strategy (Time)'!$G$26</definedName>
    <definedName name="CBCR_d0301e0042ea4980bd6f70fd8c95bb0d" localSheetId="4" hidden="1">'Revenue Forecast'!$D$21</definedName>
    <definedName name="CBCR_d1631d4c327f461ba99197220ead73ff" localSheetId="5" hidden="1">' Pricing Strategy (Time)'!$AD$36</definedName>
    <definedName name="CBCR_d16efb06ae1047108366c0afd0b8f119" localSheetId="5" hidden="1">' Pricing Strategy (Time)'!$C$14</definedName>
    <definedName name="CBCR_d1babfcbc20c42f9b324bc6ced380d91" localSheetId="4" hidden="1">'Revenue Forecast'!$D$25</definedName>
    <definedName name="CBCR_d1cad9fa008c4520992817c0becb3794" localSheetId="4" hidden="1">'Revenue Forecast'!$D$23</definedName>
    <definedName name="CBCR_d289743f10a64bb8a82fab13bca84055" localSheetId="5" hidden="1">' Pricing Strategy (Time)'!$I$15</definedName>
    <definedName name="CBCR_d342bdb30d11456eaa37d75f94756eb5" localSheetId="4" hidden="1">'Revenue Forecast'!$F$24</definedName>
    <definedName name="CBCR_d3a4d56783314af2b3e77ec40b193708" localSheetId="4" hidden="1">'Revenue Forecast'!$D$36</definedName>
    <definedName name="CBCR_d3fc80edd5cd41aeb168be04c4ddd571" localSheetId="5" hidden="1">' Pricing Strategy (Time)'!$G$25</definedName>
    <definedName name="CBCR_d43d401a7a9641d38817e8bfdbf23698" localSheetId="5" hidden="1">' Pricing Strategy (Time)'!$E$26</definedName>
    <definedName name="CBCR_d4521a69f84941e6b4182d6eb9006ab4" localSheetId="4" hidden="1">'Revenue Forecast'!$D$23</definedName>
    <definedName name="CBCR_d4bec0486b2b427eaac425cad99d0ad4" localSheetId="4" hidden="1">'Revenue Forecast'!$F$22</definedName>
    <definedName name="CBCR_d557f9b943ca45c7836014e6e35f22bf" localSheetId="5" hidden="1">' Pricing Strategy (Time)'!$AD$9</definedName>
    <definedName name="CBCR_d58ae83665774bfcb95261dc3b2f1d69" localSheetId="4" hidden="1">'Revenue Forecast'!$F$20</definedName>
    <definedName name="CBCR_d5f658475af3469782d3a4830389274b" localSheetId="5" hidden="1">' Pricing Strategy (Time)'!$E$13</definedName>
    <definedName name="CBCR_d6f0e617ffd346828797437b9b4eb822" localSheetId="5" hidden="1">' Pricing Strategy (Time)'!$AD$32</definedName>
    <definedName name="CBCR_d712bf6aa15a447888d452640e800aee" localSheetId="4" hidden="1">'Revenue Forecast'!$D$23</definedName>
    <definedName name="CBCR_d76ba959811c4a78965cca7ef54b9eee" localSheetId="4" hidden="1">'Revenue Forecast'!$H$49</definedName>
    <definedName name="CBCR_d87c3968a126465fa926b7e6d088f8d1" localSheetId="5" hidden="1">' Pricing Strategy (Time)'!$I$14</definedName>
    <definedName name="CBCR_d9b340cee1f1464f9e382c9a9d155113" localSheetId="4" hidden="1">'Revenue Forecast'!$F$22</definedName>
    <definedName name="CBCR_d9b6008182be47fcafbfa4ee28fd8c8d" localSheetId="5" hidden="1">' Pricing Strategy (Time)'!$E$27</definedName>
    <definedName name="CBCR_db8adb06821141d9ad0b7f0d3823caba" localSheetId="5" hidden="1">' Pricing Strategy (Time)'!$E$13</definedName>
    <definedName name="CBCR_dc6eb9812dc04111ae6623dffa71122d" localSheetId="4" hidden="1">'Revenue Forecast'!$F$52</definedName>
    <definedName name="CBCR_dd17d41264dc4d8486d284916c543b2a" localSheetId="5" hidden="1">' Pricing Strategy (Time)'!$G$25</definedName>
    <definedName name="CBCR_dea8bfa180f742f6bc2ff697fae6d975" localSheetId="4" hidden="1">'Revenue Forecast'!$F$41</definedName>
    <definedName name="CBCR_df8c2ee07abc475f885d6893667a1448" localSheetId="4" hidden="1">'Revenue Forecast'!$D$22</definedName>
    <definedName name="CBCR_e1bcf83b18d840aea053e018afbcdb21" localSheetId="4" hidden="1">'Revenue Forecast'!$D$24</definedName>
    <definedName name="CBCR_e22b0bc43ead49f7850ef35bfe92f28b" localSheetId="5" hidden="1">' Pricing Strategy (Time)'!$E$15</definedName>
    <definedName name="CBCR_e25736f61fbb4ebdabfbcc87954c0aec" localSheetId="4" hidden="1">'Revenue Forecast'!$D$19</definedName>
    <definedName name="CBCR_e2db3661e72543c79f2e097b411fc5da" localSheetId="5" hidden="1">' Pricing Strategy (Time)'!$AD$4</definedName>
    <definedName name="CBCR_e33d91582bc84a4789a80b8f3cc58d54" localSheetId="4" hidden="1">'Revenue Forecast'!$F$23</definedName>
    <definedName name="CBCR_e358185539274c4380276bb6bb2ca66b" localSheetId="5" hidden="1">' Pricing Strategy (Time)'!$G$26</definedName>
    <definedName name="CBCR_e358445d5b5c43da86c1b39d872d38ad" localSheetId="4" hidden="1">'Revenue Forecast'!$F$25</definedName>
    <definedName name="CBCR_e3ad3150f4f2472bafcc52351d8cdf63" localSheetId="5" hidden="1">' Pricing Strategy (Time)'!$C$14</definedName>
    <definedName name="CBCR_e4958f827ee84dbca28e8d7327058903" localSheetId="5" hidden="1">' Pricing Strategy (Time)'!$E$14</definedName>
    <definedName name="CBCR_e534d01194334f29885ca6df2c8844a4" localSheetId="5" hidden="1">' Pricing Strategy (Time)'!$AD$19</definedName>
    <definedName name="CBCR_e54dbad747f24edf9487a4da09895058" localSheetId="4" hidden="1">'Revenue Forecast'!$F$20</definedName>
    <definedName name="CBCR_e67304fe3f2241329f3d5a13a70cdaaa" localSheetId="4" hidden="1">'Revenue Forecast'!$F$49</definedName>
    <definedName name="CBCR_e717c414971b4558a8ca66b65dccb4b2" localSheetId="4" hidden="1">'Revenue Forecast'!$F$24</definedName>
    <definedName name="CBCR_e812198bfcae43358cfc2162faed1098" localSheetId="4" hidden="1">'Revenue Forecast'!$D$26</definedName>
    <definedName name="CBCR_e880e0a33d4140cca99bce988cef00d2" localSheetId="4" hidden="1">'Revenue Forecast'!$F$21</definedName>
    <definedName name="CBCR_e9ab19a4bcff46c08f03c0a608eeea9c" localSheetId="5" hidden="1">' Pricing Strategy (Time)'!$C$13</definedName>
    <definedName name="CBCR_e9e18959389e4c79a1c6d26b519a61ff" localSheetId="5" hidden="1">' Pricing Strategy (Time)'!$I$13</definedName>
    <definedName name="CBCR_ea891c9baf6c4a7cafc95dfec1e34aa0" localSheetId="5" hidden="1">' Pricing Strategy (Time)'!$I$15</definedName>
    <definedName name="CBCR_eaf9cf41293f442a80e2446c761c17f8" localSheetId="4" hidden="1">'Revenue Forecast'!$F$25</definedName>
    <definedName name="CBCR_eb105f2077c64af092d26025d5db0f6e" localSheetId="5" hidden="1">' Pricing Strategy (Time)'!$AD$20</definedName>
    <definedName name="CBCR_eb39b73fbf574c7daf786622110404c6" localSheetId="4" hidden="1">'Revenue Forecast'!$D$24</definedName>
    <definedName name="CBCR_eb69de75d12549189802f31e48a4ca54" localSheetId="5" hidden="1">' Pricing Strategy (Time)'!$AD$16</definedName>
    <definedName name="CBCR_ec26f3cea4cb44aea9bee61cdcd18543" localSheetId="4" hidden="1">'Revenue Forecast'!$D$20</definedName>
    <definedName name="CBCR_ecdec470dab049af816593abc196e9fa" localSheetId="4" hidden="1">'Revenue Forecast'!$D$26</definedName>
    <definedName name="CBCR_eed35e662eb44516b296be2b1c1f9334" localSheetId="5" hidden="1">' Pricing Strategy (Time)'!$I$14</definedName>
    <definedName name="CBCR_efda5d1c3cb94679b292228c89b8eeb4" localSheetId="4" hidden="1">'Revenue Forecast'!$F$24</definedName>
    <definedName name="CBCR_f0cbeef2618846b49715b0b8a0ffa9fa" localSheetId="4" hidden="1">'Revenue Forecast'!$E$36</definedName>
    <definedName name="CBCR_f12a2d5060ab491c81bbb5b91dbe1681" localSheetId="4" hidden="1">'Revenue Forecast'!$D$19</definedName>
    <definedName name="CBCR_f14ad593aa0e476ebd62581b7745c465" localSheetId="5" hidden="1">' Pricing Strategy (Time)'!$E$14</definedName>
    <definedName name="CBCR_f210c29977f044c59b596a4703d8f6be" localSheetId="4" hidden="1">'Revenue Forecast'!$F$22</definedName>
    <definedName name="CBCR_f229d9b8cd9348319e35b6e19c1c8cba" localSheetId="4" hidden="1">'Revenue Forecast'!$F$21</definedName>
    <definedName name="CBCR_f3fe522b1bb246b1a9e5e10a2dc1bae0" localSheetId="4" hidden="1">'Revenue Forecast'!$F$26</definedName>
    <definedName name="CBCR_f4505f22047f4ebb99aefd87a5049cc2" localSheetId="4" hidden="1">'Revenue Forecast'!$D$20</definedName>
    <definedName name="CBCR_f59ed8a980c941b986f6fd70e27107eb" localSheetId="5" hidden="1">' Pricing Strategy (Time)'!$AD$31</definedName>
    <definedName name="CBCR_f66e7c767ac74405ae226204e0383c16" localSheetId="5" hidden="1">' Pricing Strategy (Time)'!$I$14</definedName>
    <definedName name="CBCR_f683024cd2954cacb304a606e6e7d06b" localSheetId="5" hidden="1">' Pricing Strategy (Time)'!$C$15</definedName>
    <definedName name="CBCR_f6ca1201e0ba4ce2b6cec0500d01f070" localSheetId="4" hidden="1">'Revenue Forecast'!$E$36</definedName>
    <definedName name="CBCR_f7db75a939c543808dcfc226e745e02d" localSheetId="4" hidden="1">'Revenue Forecast'!$D$21</definedName>
    <definedName name="CBCR_f856e800474546acb665e2bc0fee1a22" localSheetId="4" hidden="1">'Revenue Forecast'!$D$26</definedName>
    <definedName name="CBCR_f8c72d610beb43b2b3a769c4bd1c7830" localSheetId="4" hidden="1">'Revenue Forecast'!$D$26</definedName>
    <definedName name="CBCR_f9607cd59ae84493897d0e910f6315b4" localSheetId="4" hidden="1">'Revenue Forecast'!$F$51</definedName>
    <definedName name="CBCR_fa4c6dd5b8234714a7368ee8c339edda" localSheetId="5" hidden="1">' Pricing Strategy (Time)'!$E$27</definedName>
    <definedName name="CBCR_fac167096f9f409ca0024c923e1cafed" localSheetId="5" hidden="1">' Pricing Strategy (Time)'!$I$13</definedName>
    <definedName name="CBCR_fbbe1f69c1a84960b5a6dc6148c45b37" localSheetId="4" hidden="1">'Revenue Forecast'!$D$41</definedName>
    <definedName name="CBCR_fbe1c36ad9d14e7b837ac847c2d4d713" localSheetId="4" hidden="1">'Revenue Forecast'!$D$23</definedName>
    <definedName name="CBCR_fc30bd7123414bcc9aac3a419da7b876" localSheetId="5" hidden="1">' Pricing Strategy (Time)'!$E$25</definedName>
    <definedName name="CBCR_fc630758f74c435c8bfb9bcf1bdc3b8e" localSheetId="4" hidden="1">'Revenue Forecast'!$D$24</definedName>
    <definedName name="CBCR_fcd71c0d0a784ceda759a62c250d8fe2" localSheetId="5" hidden="1">' Pricing Strategy (Time)'!$I$13</definedName>
    <definedName name="CBCR_fd479bff490945129c6a145b135fb4e2" localSheetId="4" hidden="1">'Revenue Forecast'!$F$21</definedName>
    <definedName name="CBCR_fe241062b81644bc825c9d4a31a5672f" localSheetId="4" hidden="1">'Revenue Forecast'!$D$21</definedName>
    <definedName name="CBCR_fe47908b8e3249618f21c32a0b41ffbb" localSheetId="5" hidden="1">' Pricing Strategy (Time)'!$C$13</definedName>
    <definedName name="CBCR_feee2ce2642845eaa702b106e051bda0" localSheetId="4" hidden="1">'Revenue Forecast'!$F$26</definedName>
    <definedName name="CBCR_ffd5959236e84a7d92799f9dfcec0535" localSheetId="4" hidden="1">'Revenue Forecast'!$F$19</definedName>
    <definedName name="CBx_Sheet_Guid" localSheetId="5" hidden="1">"'6f65f9dd-ea42-4daf-ad4f-1a1f15bb5cd5"</definedName>
    <definedName name="CBx_Sheet_Guid" localSheetId="4" hidden="1">"'5e05f18e-8311-483e-ac45-3f77df8c34bf"</definedName>
    <definedName name="CBx_SheetRef" localSheetId="5" hidden="1">[1]CB_DATA_!$B$14</definedName>
    <definedName name="CBx_SheetRef" localSheetId="4" hidden="1">[2]CB_DATA_!$B$14</definedName>
    <definedName name="CBx_StorageType" localSheetId="5" hidden="1">2</definedName>
    <definedName name="CBx_StorageType" localSheetId="4" hidden="1">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penSolver_ChosenSolver" localSheetId="0" hidden="1">CBC</definedName>
    <definedName name="OpenSolver_ChosenSolver" localSheetId="2" hidden="1">CBC</definedName>
    <definedName name="OpenSolver_DualsNewSheet" localSheetId="0" hidden="1">0</definedName>
    <definedName name="OpenSolver_DualsNewSheet" localSheetId="2" hidden="1">0</definedName>
    <definedName name="OpenSolver_LinearityCheck" localSheetId="0" hidden="1">1</definedName>
    <definedName name="OpenSolver_LinearityCheck" localSheetId="2" hidden="1">1</definedName>
    <definedName name="OpenSolver_UpdateSensitivity" localSheetId="0" hidden="1">1</definedName>
    <definedName name="OpenSolver_UpdateSensitivity" localSheetId="2" hidden="1">1</definedName>
    <definedName name="solver_adj" localSheetId="0" hidden="1">'Match Scheduling'!$D$5:$G$8,'Match Scheduling'!$L$5:$O$8,'Match Scheduling'!$T$5:$W$8,'Match Scheduling'!$D$14:$G$17,'Match Scheduling'!$L$14:$O$17,'Match Scheduling'!$T$14:$W$17,'Match Scheduling'!$D$23:$G$26,'Match Scheduling'!$L$23:$O$26,'Match Scheduling'!$T$23:$W$26,'Match Scheduling'!$D$32:$G$35,'Match Scheduling'!$L$32:$O$35,'Match Scheduling'!$T$32:$W$35,'Match Scheduling'!$AA$47:$AF$48,'Match Scheduling'!$AA$59:$AF$60</definedName>
    <definedName name="solver_adj" localSheetId="2" hidden="1">'Updated Match Scheduling'!$D$5:$G$8,'Updated Match Scheduling'!$L$5:$O$8,'Updated Match Scheduling'!$T$5:$W$8,'Updated Match Scheduling'!$D$14:$G$17,'Updated Match Scheduling'!$L$14:$O$17,'Updated Match Scheduling'!$T$14:$W$17,'Updated Match Scheduling'!$D$23:$G$26,'Updated Match Scheduling'!$L$23:$O$26,'Updated Match Scheduling'!$T$23:$W$26,'Updated Match Scheduling'!$D$32:$G$35,'Updated Match Scheduling'!$L$32:$O$35,'Updated Match Scheduling'!$T$32:$W$35,'Updated Match Scheduling'!$AA$47:$AF$48,'Updated Match Scheduling'!$AA$59:$AF$60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'Match Scheduling'!$AA$5:$AA$16</definedName>
    <definedName name="solver_lhs1" localSheetId="2" hidden="1">'Updated Match Scheduling'!$AA$5:$AA$16</definedName>
    <definedName name="solver_lhs10" localSheetId="0" hidden="1">'Match Scheduling'!$AK$25:$AK$72</definedName>
    <definedName name="solver_lhs10" localSheetId="2" hidden="1">'Updated Match Scheduling'!$AK$25:$AK$72</definedName>
    <definedName name="solver_lhs11" localSheetId="0" hidden="1">'Match Scheduling'!$AP$25:$AP$72</definedName>
    <definedName name="solver_lhs11" localSheetId="2" hidden="1">'Updated Match Scheduling'!$AP$25:$AP$72</definedName>
    <definedName name="solver_lhs12" localSheetId="0" hidden="1">'Match Scheduling'!$D$5:$G$8</definedName>
    <definedName name="solver_lhs12" localSheetId="2" hidden="1">'Updated Match Scheduling'!$D$5:$G$8</definedName>
    <definedName name="solver_lhs13" localSheetId="0" hidden="1">'Match Scheduling'!$L$5:$O$8</definedName>
    <definedName name="solver_lhs13" localSheetId="2" hidden="1">'Updated Match Scheduling'!$L$5:$O$8</definedName>
    <definedName name="solver_lhs14" localSheetId="0" hidden="1">'Match Scheduling'!$T$5:$W$8</definedName>
    <definedName name="solver_lhs14" localSheetId="2" hidden="1">'Updated Match Scheduling'!$T$5:$W$8</definedName>
    <definedName name="solver_lhs15" localSheetId="0" hidden="1">'Match Scheduling'!$D$14:$G$17</definedName>
    <definedName name="solver_lhs15" localSheetId="2" hidden="1">'Updated Match Scheduling'!$D$14:$G$17</definedName>
    <definedName name="solver_lhs16" localSheetId="0" hidden="1">'Match Scheduling'!$L$14:$O$17</definedName>
    <definedName name="solver_lhs16" localSheetId="2" hidden="1">'Updated Match Scheduling'!$L$14:$O$17</definedName>
    <definedName name="solver_lhs17" localSheetId="0" hidden="1">'Match Scheduling'!$T$14:$W$17</definedName>
    <definedName name="solver_lhs17" localSheetId="2" hidden="1">'Updated Match Scheduling'!$T$14:$W$17</definedName>
    <definedName name="solver_lhs18" localSheetId="0" hidden="1">'Match Scheduling'!$D$23:$G$26</definedName>
    <definedName name="solver_lhs18" localSheetId="2" hidden="1">'Updated Match Scheduling'!$D$23:$G$26</definedName>
    <definedName name="solver_lhs19" localSheetId="0" hidden="1">'Match Scheduling'!$L$23:$O$26</definedName>
    <definedName name="solver_lhs19" localSheetId="2" hidden="1">'Updated Match Scheduling'!$L$23:$O$26</definedName>
    <definedName name="solver_lhs2" localSheetId="0" hidden="1">'Match Scheduling'!$AF$5:$AF$16</definedName>
    <definedName name="solver_lhs2" localSheetId="2" hidden="1">'Updated Match Scheduling'!$AF$5:$AF$16</definedName>
    <definedName name="solver_lhs20" localSheetId="0" hidden="1">'Match Scheduling'!$T$23:$W$26</definedName>
    <definedName name="solver_lhs20" localSheetId="2" hidden="1">'Updated Match Scheduling'!$T$23:$W$26</definedName>
    <definedName name="solver_lhs21" localSheetId="0" hidden="1">'Match Scheduling'!$D$32:$G$35</definedName>
    <definedName name="solver_lhs21" localSheetId="2" hidden="1">'Updated Match Scheduling'!$D$32:$G$35</definedName>
    <definedName name="solver_lhs22" localSheetId="0" hidden="1">'Match Scheduling'!$L$32:$O$35</definedName>
    <definedName name="solver_lhs22" localSheetId="2" hidden="1">'Updated Match Scheduling'!$L$32:$O$35</definedName>
    <definedName name="solver_lhs23" localSheetId="0" hidden="1">'Match Scheduling'!$T$32:$W$35</definedName>
    <definedName name="solver_lhs23" localSheetId="2" hidden="1">'Updated Match Scheduling'!$T$32:$W$35</definedName>
    <definedName name="solver_lhs3" localSheetId="0" hidden="1">'Match Scheduling'!$AK$5:$AK$16</definedName>
    <definedName name="solver_lhs3" localSheetId="2" hidden="1">'Updated Match Scheduling'!$AK$5:$AK$16</definedName>
    <definedName name="solver_lhs4" localSheetId="0" hidden="1">'Match Scheduling'!$AP$5:$AP$16</definedName>
    <definedName name="solver_lhs4" localSheetId="2" hidden="1">'Updated Match Scheduling'!$AP$5:$AP$16</definedName>
    <definedName name="solver_lhs5" localSheetId="0" hidden="1">'Match Scheduling'!$AU$5:$AU$45</definedName>
    <definedName name="solver_lhs5" localSheetId="2" hidden="1">'Updated Match Scheduling'!$AU$5:$AU$45</definedName>
    <definedName name="solver_lhs6" localSheetId="0" hidden="1">'Match Scheduling'!$AA$25:$AA$36</definedName>
    <definedName name="solver_lhs6" localSheetId="2" hidden="1">'Updated Match Scheduling'!$AA$25:$AA$30</definedName>
    <definedName name="solver_lhs7" localSheetId="0" hidden="1">'Match Scheduling'!$AF$25:$AF$36</definedName>
    <definedName name="solver_lhs7" localSheetId="2" hidden="1">'Updated Match Scheduling'!$AF$25:$AF$36</definedName>
    <definedName name="solver_lhs8" localSheetId="0" hidden="1">'Match Scheduling'!$AA$49:$AF$49</definedName>
    <definedName name="solver_lhs8" localSheetId="2" hidden="1">'Updated Match Scheduling'!$AA$49:$AF$49</definedName>
    <definedName name="solver_lhs9" localSheetId="0" hidden="1">'Match Scheduling'!$AA$61:$AF$61</definedName>
    <definedName name="solver_lhs9" localSheetId="2" hidden="1">'Updated Match Scheduling'!$AA$61:$AF$61</definedName>
    <definedName name="solver_neg" localSheetId="0" hidden="1">1</definedName>
    <definedName name="solver_neg" localSheetId="2" hidden="1">1</definedName>
    <definedName name="solver_num" localSheetId="0" hidden="1">23</definedName>
    <definedName name="solver_num" localSheetId="2" hidden="1">23</definedName>
    <definedName name="solver_nwt" localSheetId="0" hidden="1">1</definedName>
    <definedName name="solver_nwt" localSheetId="2" hidden="1">1</definedName>
    <definedName name="solver_opt" localSheetId="0" hidden="1">'Match Scheduling'!$D$39</definedName>
    <definedName name="solver_opt" localSheetId="2" hidden="1">'Updated Match Scheduling'!$D$51</definedName>
    <definedName name="solver_rel1" localSheetId="0" hidden="1">1</definedName>
    <definedName name="solver_rel1" localSheetId="2" hidden="1">1</definedName>
    <definedName name="solver_rel10" localSheetId="0" hidden="1">3</definedName>
    <definedName name="solver_rel10" localSheetId="2" hidden="1">3</definedName>
    <definedName name="solver_rel11" localSheetId="0" hidden="1">1</definedName>
    <definedName name="solver_rel11" localSheetId="2" hidden="1">1</definedName>
    <definedName name="solver_rel12" localSheetId="0" hidden="1">5</definedName>
    <definedName name="solver_rel12" localSheetId="2" hidden="1">5</definedName>
    <definedName name="solver_rel13" localSheetId="0" hidden="1">5</definedName>
    <definedName name="solver_rel13" localSheetId="2" hidden="1">5</definedName>
    <definedName name="solver_rel14" localSheetId="0" hidden="1">5</definedName>
    <definedName name="solver_rel14" localSheetId="2" hidden="1">5</definedName>
    <definedName name="solver_rel15" localSheetId="0" hidden="1">5</definedName>
    <definedName name="solver_rel15" localSheetId="2" hidden="1">5</definedName>
    <definedName name="solver_rel16" localSheetId="0" hidden="1">5</definedName>
    <definedName name="solver_rel16" localSheetId="2" hidden="1">5</definedName>
    <definedName name="solver_rel17" localSheetId="0" hidden="1">5</definedName>
    <definedName name="solver_rel17" localSheetId="2" hidden="1">5</definedName>
    <definedName name="solver_rel18" localSheetId="0" hidden="1">5</definedName>
    <definedName name="solver_rel18" localSheetId="2" hidden="1">5</definedName>
    <definedName name="solver_rel19" localSheetId="0" hidden="1">5</definedName>
    <definedName name="solver_rel19" localSheetId="2" hidden="1">5</definedName>
    <definedName name="solver_rel2" localSheetId="0" hidden="1">1</definedName>
    <definedName name="solver_rel2" localSheetId="2" hidden="1">1</definedName>
    <definedName name="solver_rel20" localSheetId="0" hidden="1">5</definedName>
    <definedName name="solver_rel20" localSheetId="2" hidden="1">5</definedName>
    <definedName name="solver_rel21" localSheetId="0" hidden="1">5</definedName>
    <definedName name="solver_rel21" localSheetId="2" hidden="1">5</definedName>
    <definedName name="solver_rel22" localSheetId="0" hidden="1">5</definedName>
    <definedName name="solver_rel22" localSheetId="2" hidden="1">5</definedName>
    <definedName name="solver_rel23" localSheetId="0" hidden="1">5</definedName>
    <definedName name="solver_rel23" localSheetId="2" hidden="1">5</definedName>
    <definedName name="solver_rel3" localSheetId="0" hidden="1">1</definedName>
    <definedName name="solver_rel3" localSheetId="2" hidden="1">1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el5" localSheetId="2" hidden="1">1</definedName>
    <definedName name="solver_rel6" localSheetId="0" hidden="1">2</definedName>
    <definedName name="solver_rel6" localSheetId="2" hidden="1">2</definedName>
    <definedName name="solver_rel7" localSheetId="0" hidden="1">1</definedName>
    <definedName name="solver_rel7" localSheetId="2" hidden="1">1</definedName>
    <definedName name="solver_rel8" localSheetId="0" hidden="1">1</definedName>
    <definedName name="solver_rel8" localSheetId="2" hidden="1">1</definedName>
    <definedName name="solver_rel9" localSheetId="0" hidden="1">1</definedName>
    <definedName name="solver_rel9" localSheetId="2" hidden="1">1</definedName>
    <definedName name="solver_rhs1" localSheetId="0" hidden="1">'Match Scheduling'!$AC$5:$AC$16</definedName>
    <definedName name="solver_rhs1" localSheetId="2" hidden="1">'Updated Match Scheduling'!$AC$5:$AC$16</definedName>
    <definedName name="solver_rhs10" localSheetId="0" hidden="1">'Match Scheduling'!$AM$25:$AM$72</definedName>
    <definedName name="solver_rhs10" localSheetId="2" hidden="1">'Updated Match Scheduling'!$AM$25:$AM$72</definedName>
    <definedName name="solver_rhs11" localSheetId="0" hidden="1">'Match Scheduling'!$AR$25:$AR$72</definedName>
    <definedName name="solver_rhs11" localSheetId="2" hidden="1">'Updated Match Scheduling'!$AR$25:$AR$72</definedName>
    <definedName name="solver_rhs12" localSheetId="0" hidden="1">binary</definedName>
    <definedName name="solver_rhs12" localSheetId="2" hidden="1">binary</definedName>
    <definedName name="solver_rhs13" localSheetId="0" hidden="1">binary</definedName>
    <definedName name="solver_rhs13" localSheetId="2" hidden="1">binary</definedName>
    <definedName name="solver_rhs14" localSheetId="0" hidden="1">binary</definedName>
    <definedName name="solver_rhs14" localSheetId="2" hidden="1">binary</definedName>
    <definedName name="solver_rhs15" localSheetId="0" hidden="1">binary</definedName>
    <definedName name="solver_rhs15" localSheetId="2" hidden="1">binary</definedName>
    <definedName name="solver_rhs16" localSheetId="0" hidden="1">binary</definedName>
    <definedName name="solver_rhs16" localSheetId="2" hidden="1">binary</definedName>
    <definedName name="solver_rhs17" localSheetId="0" hidden="1">binary</definedName>
    <definedName name="solver_rhs17" localSheetId="2" hidden="1">binary</definedName>
    <definedName name="solver_rhs18" localSheetId="0" hidden="1">binary</definedName>
    <definedName name="solver_rhs18" localSheetId="2" hidden="1">binary</definedName>
    <definedName name="solver_rhs19" localSheetId="0" hidden="1">binary</definedName>
    <definedName name="solver_rhs19" localSheetId="2" hidden="1">binary</definedName>
    <definedName name="solver_rhs2" localSheetId="0" hidden="1">'Match Scheduling'!$AH$5:$AH$16</definedName>
    <definedName name="solver_rhs2" localSheetId="2" hidden="1">'Updated Match Scheduling'!$AH$5:$AH$16</definedName>
    <definedName name="solver_rhs20" localSheetId="0" hidden="1">binary</definedName>
    <definedName name="solver_rhs20" localSheetId="2" hidden="1">binary</definedName>
    <definedName name="solver_rhs21" localSheetId="0" hidden="1">binary</definedName>
    <definedName name="solver_rhs21" localSheetId="2" hidden="1">binary</definedName>
    <definedName name="solver_rhs22" localSheetId="0" hidden="1">binary</definedName>
    <definedName name="solver_rhs22" localSheetId="2" hidden="1">binary</definedName>
    <definedName name="solver_rhs23" localSheetId="0" hidden="1">binary</definedName>
    <definedName name="solver_rhs23" localSheetId="2" hidden="1">binary</definedName>
    <definedName name="solver_rhs3" localSheetId="0" hidden="1">'Match Scheduling'!$AM$5:$AM$16</definedName>
    <definedName name="solver_rhs3" localSheetId="2" hidden="1">'Updated Match Scheduling'!$AM$5:$AM$16</definedName>
    <definedName name="solver_rhs4" localSheetId="0" hidden="1">'Match Scheduling'!$AR$5:$AR$16</definedName>
    <definedName name="solver_rhs4" localSheetId="2" hidden="1">'Updated Match Scheduling'!$AR$5:$AR$16</definedName>
    <definedName name="solver_rhs5" localSheetId="0" hidden="1">'Match Scheduling'!$AW$5:$AW$45</definedName>
    <definedName name="solver_rhs5" localSheetId="2" hidden="1">'Updated Match Scheduling'!$AW$5:$AW$45</definedName>
    <definedName name="solver_rhs6" localSheetId="0" hidden="1">'Match Scheduling'!$AC$25:$AC$36</definedName>
    <definedName name="solver_rhs6" localSheetId="2" hidden="1">'Updated Match Scheduling'!$AC$25:$AC$30</definedName>
    <definedName name="solver_rhs7" localSheetId="0" hidden="1">'Match Scheduling'!$AH$25:$AH$36</definedName>
    <definedName name="solver_rhs7" localSheetId="2" hidden="1">'Updated Match Scheduling'!$AH$25:$AH$36</definedName>
    <definedName name="solver_rhs8" localSheetId="0" hidden="1">'Match Scheduling'!$AA$51:$AF$51</definedName>
    <definedName name="solver_rhs8" localSheetId="2" hidden="1">'Updated Match Scheduling'!$AA$51:$AF$51</definedName>
    <definedName name="solver_rhs9" localSheetId="0" hidden="1">'Match Scheduling'!$AA$63:$AF$63</definedName>
    <definedName name="solver_rhs9" localSheetId="2" hidden="1">'Updated Match Scheduling'!$AA$63:$AF$63</definedName>
    <definedName name="solver_rlx" localSheetId="0" hidden="1">2</definedName>
    <definedName name="solver_rlx" localSheetId="2" hidden="1">2</definedName>
    <definedName name="solver_scl" localSheetId="0" hidden="1">2</definedName>
    <definedName name="solver_scl" localSheetId="2" hidden="1">2</definedName>
    <definedName name="solver_sho" localSheetId="0" hidden="1">0</definedName>
    <definedName name="solver_sho" localSheetId="2" hidden="1">0</definedName>
    <definedName name="solver_tim" localSheetId="0" hidden="1">2147483647</definedName>
    <definedName name="solver_tim" localSheetId="2" hidden="1">2147483647</definedName>
    <definedName name="solver_tol" localSheetId="0" hidden="1">0.05</definedName>
    <definedName name="solver_tol" localSheetId="2" hidden="1">0.05</definedName>
    <definedName name="solver_typ" localSheetId="0" hidden="1">1</definedName>
    <definedName name="solver_typ" localSheetId="2" hidden="1">1</definedName>
    <definedName name="solver_val" localSheetId="0" hidden="1">0</definedName>
    <definedName name="solver_val" localSheetId="2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72" i="6" l="1"/>
  <c r="AK72" i="6"/>
  <c r="AP71" i="6"/>
  <c r="AK71" i="6"/>
  <c r="AP70" i="6"/>
  <c r="AK70" i="6"/>
  <c r="AP69" i="6"/>
  <c r="AK69" i="6"/>
  <c r="AP68" i="6"/>
  <c r="AK68" i="6"/>
  <c r="AP67" i="6"/>
  <c r="AK67" i="6"/>
  <c r="AP66" i="6"/>
  <c r="AK66" i="6"/>
  <c r="AP65" i="6"/>
  <c r="AK65" i="6"/>
  <c r="AP64" i="6"/>
  <c r="AK64" i="6"/>
  <c r="AP63" i="6"/>
  <c r="AK63" i="6"/>
  <c r="AF63" i="6"/>
  <c r="AE63" i="6"/>
  <c r="AD63" i="6"/>
  <c r="AC63" i="6"/>
  <c r="AB63" i="6"/>
  <c r="AA63" i="6"/>
  <c r="AP62" i="6"/>
  <c r="AK62" i="6"/>
  <c r="AP61" i="6"/>
  <c r="AK61" i="6"/>
  <c r="AF61" i="6"/>
  <c r="AE61" i="6"/>
  <c r="AD61" i="6"/>
  <c r="AC61" i="6"/>
  <c r="AB61" i="6"/>
  <c r="AA61" i="6"/>
  <c r="AP60" i="6"/>
  <c r="AK60" i="6"/>
  <c r="AP59" i="6"/>
  <c r="AK59" i="6"/>
  <c r="AP58" i="6"/>
  <c r="AK58" i="6"/>
  <c r="AP57" i="6"/>
  <c r="AK57" i="6"/>
  <c r="AP56" i="6"/>
  <c r="AK56" i="6"/>
  <c r="AP55" i="6"/>
  <c r="AK55" i="6"/>
  <c r="AP54" i="6"/>
  <c r="AK54" i="6"/>
  <c r="AP53" i="6"/>
  <c r="AK53" i="6"/>
  <c r="AP52" i="6"/>
  <c r="AK52" i="6"/>
  <c r="AP51" i="6"/>
  <c r="AK51" i="6"/>
  <c r="AF51" i="6"/>
  <c r="AE51" i="6"/>
  <c r="AD51" i="6"/>
  <c r="AC51" i="6"/>
  <c r="AB51" i="6"/>
  <c r="AA51" i="6"/>
  <c r="D51" i="6"/>
  <c r="AP50" i="6"/>
  <c r="AK50" i="6"/>
  <c r="AP49" i="6"/>
  <c r="AK49" i="6"/>
  <c r="AF49" i="6"/>
  <c r="AE49" i="6"/>
  <c r="AD49" i="6"/>
  <c r="AC49" i="6"/>
  <c r="AB49" i="6"/>
  <c r="AA49" i="6"/>
  <c r="AP48" i="6"/>
  <c r="AK48" i="6"/>
  <c r="AP47" i="6"/>
  <c r="AK47" i="6"/>
  <c r="AP46" i="6"/>
  <c r="AK46" i="6"/>
  <c r="AA46" i="6"/>
  <c r="AM28" i="6" s="1"/>
  <c r="AW45" i="6"/>
  <c r="AP45" i="6"/>
  <c r="AK45" i="6"/>
  <c r="AA45" i="6"/>
  <c r="AR27" i="6" s="1"/>
  <c r="AW44" i="6"/>
  <c r="AP44" i="6"/>
  <c r="AK44" i="6"/>
  <c r="AW43" i="6"/>
  <c r="AP43" i="6"/>
  <c r="AK43" i="6"/>
  <c r="AW42" i="6"/>
  <c r="AP42" i="6"/>
  <c r="AK42" i="6"/>
  <c r="AW41" i="6"/>
  <c r="AU41" i="6"/>
  <c r="AP41" i="6"/>
  <c r="AK41" i="6"/>
  <c r="AW40" i="6"/>
  <c r="AP40" i="6"/>
  <c r="AK40" i="6"/>
  <c r="AW39" i="6"/>
  <c r="AP39" i="6"/>
  <c r="AK39" i="6"/>
  <c r="AW38" i="6"/>
  <c r="AP38" i="6"/>
  <c r="AK38" i="6"/>
  <c r="AW37" i="6"/>
  <c r="AP37" i="6"/>
  <c r="AK37" i="6"/>
  <c r="AW36" i="6"/>
  <c r="AP36" i="6"/>
  <c r="AK36" i="6"/>
  <c r="AH36" i="6"/>
  <c r="W36" i="6"/>
  <c r="AF36" i="6" s="1"/>
  <c r="V36" i="6"/>
  <c r="U36" i="6"/>
  <c r="T36" i="6"/>
  <c r="O36" i="6"/>
  <c r="AF35" i="6" s="1"/>
  <c r="N36" i="6"/>
  <c r="M36" i="6"/>
  <c r="L36" i="6"/>
  <c r="G36" i="6"/>
  <c r="AF34" i="6" s="1"/>
  <c r="F36" i="6"/>
  <c r="E36" i="6"/>
  <c r="D36" i="6"/>
  <c r="AW35" i="6"/>
  <c r="AP35" i="6"/>
  <c r="AK35" i="6"/>
  <c r="AH35" i="6"/>
  <c r="X35" i="6"/>
  <c r="P35" i="6"/>
  <c r="H35" i="6"/>
  <c r="AU35" i="6" s="1"/>
  <c r="AW34" i="6"/>
  <c r="AP34" i="6"/>
  <c r="AK34" i="6"/>
  <c r="AH34" i="6"/>
  <c r="X34" i="6"/>
  <c r="P34" i="6"/>
  <c r="H34" i="6"/>
  <c r="AW33" i="6"/>
  <c r="AP33" i="6"/>
  <c r="AK33" i="6"/>
  <c r="AH33" i="6"/>
  <c r="X33" i="6"/>
  <c r="P33" i="6"/>
  <c r="AK15" i="6" s="1"/>
  <c r="H33" i="6"/>
  <c r="AW32" i="6"/>
  <c r="AP32" i="6"/>
  <c r="AK32" i="6"/>
  <c r="AH32" i="6"/>
  <c r="AF32" i="6"/>
  <c r="X32" i="6"/>
  <c r="P32" i="6"/>
  <c r="H32" i="6"/>
  <c r="AW31" i="6"/>
  <c r="AP31" i="6"/>
  <c r="AK31" i="6"/>
  <c r="AH31" i="6"/>
  <c r="AW30" i="6"/>
  <c r="AP30" i="6"/>
  <c r="AK30" i="6"/>
  <c r="AH30" i="6"/>
  <c r="AA30" i="6"/>
  <c r="AW29" i="6"/>
  <c r="AP29" i="6"/>
  <c r="AK29" i="6"/>
  <c r="AH29" i="6"/>
  <c r="AA29" i="6"/>
  <c r="AW28" i="6"/>
  <c r="AR28" i="6"/>
  <c r="AP28" i="6"/>
  <c r="AK28" i="6"/>
  <c r="AH28" i="6"/>
  <c r="AA28" i="6"/>
  <c r="AW27" i="6"/>
  <c r="AP27" i="6"/>
  <c r="AK27" i="6"/>
  <c r="AH27" i="6"/>
  <c r="AA27" i="6"/>
  <c r="W27" i="6"/>
  <c r="AF33" i="6" s="1"/>
  <c r="V27" i="6"/>
  <c r="U27" i="6"/>
  <c r="T27" i="6"/>
  <c r="AF13" i="6" s="1"/>
  <c r="O27" i="6"/>
  <c r="AU33" i="6" s="1"/>
  <c r="N27" i="6"/>
  <c r="AU43" i="6" s="1"/>
  <c r="M27" i="6"/>
  <c r="L27" i="6"/>
  <c r="G27" i="6"/>
  <c r="AF31" i="6" s="1"/>
  <c r="F27" i="6"/>
  <c r="E27" i="6"/>
  <c r="D27" i="6"/>
  <c r="AF11" i="6" s="1"/>
  <c r="AW26" i="6"/>
  <c r="AP26" i="6"/>
  <c r="AK26" i="6"/>
  <c r="AH26" i="6"/>
  <c r="AA26" i="6"/>
  <c r="X26" i="6"/>
  <c r="P26" i="6"/>
  <c r="H26" i="6"/>
  <c r="AW25" i="6"/>
  <c r="AP25" i="6"/>
  <c r="AK25" i="6"/>
  <c r="AH25" i="6"/>
  <c r="AF25" i="6"/>
  <c r="AA25" i="6"/>
  <c r="X25" i="6"/>
  <c r="P25" i="6"/>
  <c r="H25" i="6"/>
  <c r="AP11" i="6" s="1"/>
  <c r="AW24" i="6"/>
  <c r="X24" i="6"/>
  <c r="P24" i="6"/>
  <c r="H24" i="6"/>
  <c r="AU22" i="6" s="1"/>
  <c r="AW23" i="6"/>
  <c r="X23" i="6"/>
  <c r="P23" i="6"/>
  <c r="AF12" i="6" s="1"/>
  <c r="H23" i="6"/>
  <c r="AW22" i="6"/>
  <c r="AW21" i="6"/>
  <c r="AW20" i="6"/>
  <c r="AW19" i="6"/>
  <c r="AW18" i="6"/>
  <c r="W18" i="6"/>
  <c r="AF30" i="6" s="1"/>
  <c r="V18" i="6"/>
  <c r="U18" i="6"/>
  <c r="T18" i="6"/>
  <c r="O18" i="6"/>
  <c r="AF29" i="6" s="1"/>
  <c r="N18" i="6"/>
  <c r="M18" i="6"/>
  <c r="L18" i="6"/>
  <c r="G18" i="6"/>
  <c r="F18" i="6"/>
  <c r="AU39" i="6" s="1"/>
  <c r="E18" i="6"/>
  <c r="D18" i="6"/>
  <c r="AW17" i="6"/>
  <c r="X17" i="6"/>
  <c r="P17" i="6"/>
  <c r="AU30" i="6" s="1"/>
  <c r="H17" i="6"/>
  <c r="AW16" i="6"/>
  <c r="AR16" i="6"/>
  <c r="AP16" i="6"/>
  <c r="AM16" i="6"/>
  <c r="AK16" i="6"/>
  <c r="AH16" i="6"/>
  <c r="AF16" i="6"/>
  <c r="AC16" i="6"/>
  <c r="AA16" i="6"/>
  <c r="X16" i="6"/>
  <c r="P16" i="6"/>
  <c r="H16" i="6"/>
  <c r="AW15" i="6"/>
  <c r="AR15" i="6"/>
  <c r="AP15" i="6"/>
  <c r="AM15" i="6"/>
  <c r="AH15" i="6"/>
  <c r="AF15" i="6"/>
  <c r="AC15" i="6"/>
  <c r="AA15" i="6"/>
  <c r="X15" i="6"/>
  <c r="AK10" i="6" s="1"/>
  <c r="P15" i="6"/>
  <c r="H15" i="6"/>
  <c r="AW14" i="6"/>
  <c r="AU14" i="6"/>
  <c r="AR14" i="6"/>
  <c r="AP14" i="6"/>
  <c r="AM14" i="6"/>
  <c r="AK14" i="6"/>
  <c r="AH14" i="6"/>
  <c r="AC14" i="6"/>
  <c r="AA14" i="6"/>
  <c r="X14" i="6"/>
  <c r="AF10" i="6" s="1"/>
  <c r="P14" i="6"/>
  <c r="H14" i="6"/>
  <c r="AW13" i="6"/>
  <c r="AU13" i="6"/>
  <c r="AR13" i="6"/>
  <c r="AP13" i="6"/>
  <c r="AM13" i="6"/>
  <c r="AK13" i="6"/>
  <c r="AH13" i="6"/>
  <c r="AC13" i="6"/>
  <c r="AA13" i="6"/>
  <c r="AW12" i="6"/>
  <c r="AR12" i="6"/>
  <c r="AP12" i="6"/>
  <c r="AM12" i="6"/>
  <c r="AH12" i="6"/>
  <c r="AC12" i="6"/>
  <c r="AA12" i="6"/>
  <c r="AW11" i="6"/>
  <c r="AR11" i="6"/>
  <c r="AM11" i="6"/>
  <c r="AK11" i="6"/>
  <c r="AH11" i="6"/>
  <c r="AC11" i="6"/>
  <c r="AA11" i="6"/>
  <c r="AW10" i="6"/>
  <c r="AR10" i="6"/>
  <c r="AP10" i="6"/>
  <c r="AM10" i="6"/>
  <c r="AH10" i="6"/>
  <c r="AC10" i="6"/>
  <c r="AA10" i="6"/>
  <c r="AW9" i="6"/>
  <c r="AR9" i="6"/>
  <c r="AM9" i="6"/>
  <c r="AK9" i="6"/>
  <c r="AH9" i="6"/>
  <c r="AF9" i="6"/>
  <c r="AC9" i="6"/>
  <c r="AA9" i="6"/>
  <c r="W9" i="6"/>
  <c r="V9" i="6"/>
  <c r="AU38" i="6" s="1"/>
  <c r="U9" i="6"/>
  <c r="AU17" i="6" s="1"/>
  <c r="T9" i="6"/>
  <c r="AF7" i="6" s="1"/>
  <c r="O9" i="6"/>
  <c r="N9" i="6"/>
  <c r="M9" i="6"/>
  <c r="AU16" i="6" s="1"/>
  <c r="L9" i="6"/>
  <c r="AF6" i="6" s="1"/>
  <c r="G9" i="6"/>
  <c r="F9" i="6"/>
  <c r="AD57" i="6" s="1"/>
  <c r="E9" i="6"/>
  <c r="AC56" i="6" s="1"/>
  <c r="D9" i="6"/>
  <c r="AF5" i="6" s="1"/>
  <c r="AW8" i="6"/>
  <c r="AR8" i="6"/>
  <c r="AP8" i="6"/>
  <c r="AM8" i="6"/>
  <c r="AK8" i="6"/>
  <c r="AH8" i="6"/>
  <c r="AF8" i="6"/>
  <c r="AC8" i="6"/>
  <c r="AA8" i="6"/>
  <c r="X8" i="6"/>
  <c r="AU28" i="6" s="1"/>
  <c r="P8" i="6"/>
  <c r="AC58" i="6" s="1"/>
  <c r="H8" i="6"/>
  <c r="AW7" i="6"/>
  <c r="AU7" i="6"/>
  <c r="AR7" i="6"/>
  <c r="AM7" i="6"/>
  <c r="AK7" i="6"/>
  <c r="AH7" i="6"/>
  <c r="AC7" i="6"/>
  <c r="AA7" i="6"/>
  <c r="X7" i="6"/>
  <c r="AE57" i="6" s="1"/>
  <c r="P7" i="6"/>
  <c r="H7" i="6"/>
  <c r="AW6" i="6"/>
  <c r="AR6" i="6"/>
  <c r="AP6" i="6"/>
  <c r="AM6" i="6"/>
  <c r="AK6" i="6"/>
  <c r="AH6" i="6"/>
  <c r="AC6" i="6"/>
  <c r="AA6" i="6"/>
  <c r="X6" i="6"/>
  <c r="P6" i="6"/>
  <c r="H6" i="6"/>
  <c r="AW5" i="6"/>
  <c r="AR5" i="6"/>
  <c r="AP5" i="6"/>
  <c r="AM5" i="6"/>
  <c r="AH5" i="6"/>
  <c r="AC5" i="6"/>
  <c r="AA5" i="6"/>
  <c r="X5" i="6"/>
  <c r="P5" i="6"/>
  <c r="H5" i="6"/>
  <c r="AE43" i="6" s="1"/>
  <c r="AP72" i="4"/>
  <c r="AK72" i="4"/>
  <c r="AP71" i="4"/>
  <c r="AK71" i="4"/>
  <c r="AP70" i="4"/>
  <c r="AK70" i="4"/>
  <c r="AP69" i="4"/>
  <c r="AK69" i="4"/>
  <c r="AP68" i="4"/>
  <c r="AK68" i="4"/>
  <c r="AP67" i="4"/>
  <c r="AK67" i="4"/>
  <c r="AP66" i="4"/>
  <c r="AK66" i="4"/>
  <c r="AP65" i="4"/>
  <c r="AK65" i="4"/>
  <c r="AP64" i="4"/>
  <c r="AK64" i="4"/>
  <c r="AP63" i="4"/>
  <c r="AK63" i="4"/>
  <c r="AF63" i="4"/>
  <c r="AE63" i="4"/>
  <c r="AD63" i="4"/>
  <c r="AC63" i="4"/>
  <c r="AB63" i="4"/>
  <c r="AA63" i="4"/>
  <c r="AP62" i="4"/>
  <c r="AK62" i="4"/>
  <c r="AP61" i="4"/>
  <c r="AK61" i="4"/>
  <c r="AF61" i="4"/>
  <c r="AE61" i="4"/>
  <c r="AD61" i="4"/>
  <c r="AC61" i="4"/>
  <c r="AB61" i="4"/>
  <c r="AA61" i="4"/>
  <c r="AP60" i="4"/>
  <c r="AK60" i="4"/>
  <c r="AP59" i="4"/>
  <c r="AK59" i="4"/>
  <c r="AP58" i="4"/>
  <c r="AK58" i="4"/>
  <c r="AP57" i="4"/>
  <c r="AK57" i="4"/>
  <c r="AP56" i="4"/>
  <c r="AK56" i="4"/>
  <c r="AP55" i="4"/>
  <c r="AK55" i="4"/>
  <c r="AP54" i="4"/>
  <c r="AK54" i="4"/>
  <c r="AP53" i="4"/>
  <c r="AK53" i="4"/>
  <c r="AP52" i="4"/>
  <c r="AK52" i="4"/>
  <c r="AP51" i="4"/>
  <c r="AK51" i="4"/>
  <c r="AF51" i="4"/>
  <c r="AE51" i="4"/>
  <c r="AD51" i="4"/>
  <c r="AC51" i="4"/>
  <c r="AB51" i="4"/>
  <c r="AA51" i="4"/>
  <c r="AP50" i="4"/>
  <c r="AK50" i="4"/>
  <c r="AP49" i="4"/>
  <c r="AK49" i="4"/>
  <c r="AF49" i="4"/>
  <c r="AE49" i="4"/>
  <c r="AD49" i="4"/>
  <c r="AC49" i="4"/>
  <c r="AB49" i="4"/>
  <c r="AA49" i="4"/>
  <c r="AP48" i="4"/>
  <c r="AK48" i="4"/>
  <c r="AP47" i="4"/>
  <c r="AK47" i="4"/>
  <c r="AP46" i="4"/>
  <c r="AK46" i="4"/>
  <c r="AB46" i="4"/>
  <c r="AR32" i="4" s="1"/>
  <c r="AW45" i="4"/>
  <c r="AP45" i="4"/>
  <c r="AK45" i="4"/>
  <c r="AB45" i="4"/>
  <c r="AM31" i="4" s="1"/>
  <c r="AW44" i="4"/>
  <c r="AP44" i="4"/>
  <c r="AK44" i="4"/>
  <c r="AW43" i="4"/>
  <c r="AP43" i="4"/>
  <c r="AK43" i="4"/>
  <c r="AW42" i="4"/>
  <c r="AP42" i="4"/>
  <c r="AK42" i="4"/>
  <c r="AW41" i="4"/>
  <c r="AP41" i="4"/>
  <c r="AK41" i="4"/>
  <c r="AW40" i="4"/>
  <c r="AP40" i="4"/>
  <c r="AK40" i="4"/>
  <c r="AW39" i="4"/>
  <c r="AP39" i="4"/>
  <c r="AK39" i="4"/>
  <c r="D39" i="4"/>
  <c r="AW38" i="4"/>
  <c r="AP38" i="4"/>
  <c r="AK38" i="4"/>
  <c r="AW37" i="4"/>
  <c r="AP37" i="4"/>
  <c r="AK37" i="4"/>
  <c r="AW36" i="4"/>
  <c r="AU36" i="4"/>
  <c r="AP36" i="4"/>
  <c r="AK36" i="4"/>
  <c r="AH36" i="4"/>
  <c r="AF36" i="4"/>
  <c r="AC36" i="4"/>
  <c r="AA36" i="4"/>
  <c r="W36" i="4"/>
  <c r="V36" i="4"/>
  <c r="U36" i="4"/>
  <c r="T36" i="4"/>
  <c r="O36" i="4"/>
  <c r="N36" i="4"/>
  <c r="M36" i="4"/>
  <c r="L36" i="4"/>
  <c r="AF15" i="4" s="1"/>
  <c r="G36" i="4"/>
  <c r="F36" i="4"/>
  <c r="AU45" i="4" s="1"/>
  <c r="E36" i="4"/>
  <c r="D36" i="4"/>
  <c r="AF14" i="4" s="1"/>
  <c r="AW35" i="4"/>
  <c r="AP35" i="4"/>
  <c r="AK35" i="4"/>
  <c r="AH35" i="4"/>
  <c r="AC35" i="4"/>
  <c r="AA35" i="4"/>
  <c r="X35" i="4"/>
  <c r="P35" i="4"/>
  <c r="AU35" i="4" s="1"/>
  <c r="H35" i="4"/>
  <c r="AW34" i="4"/>
  <c r="AP34" i="4"/>
  <c r="AK34" i="4"/>
  <c r="AH34" i="4"/>
  <c r="AF34" i="4"/>
  <c r="AC34" i="4"/>
  <c r="AA34" i="4"/>
  <c r="X34" i="4"/>
  <c r="P34" i="4"/>
  <c r="H34" i="4"/>
  <c r="AW33" i="4"/>
  <c r="AU33" i="4"/>
  <c r="AP33" i="4"/>
  <c r="AK33" i="4"/>
  <c r="AH33" i="4"/>
  <c r="AC33" i="4"/>
  <c r="AA33" i="4"/>
  <c r="X33" i="4"/>
  <c r="P33" i="4"/>
  <c r="H33" i="4"/>
  <c r="AW32" i="4"/>
  <c r="AP32" i="4"/>
  <c r="AM32" i="4"/>
  <c r="AK32" i="4"/>
  <c r="AH32" i="4"/>
  <c r="AC32" i="4"/>
  <c r="AA32" i="4"/>
  <c r="X32" i="4"/>
  <c r="P32" i="4"/>
  <c r="H32" i="4"/>
  <c r="AW31" i="4"/>
  <c r="AP31" i="4"/>
  <c r="AK31" i="4"/>
  <c r="AH31" i="4"/>
  <c r="AF31" i="4"/>
  <c r="AC31" i="4"/>
  <c r="AA31" i="4"/>
  <c r="AW30" i="4"/>
  <c r="AP30" i="4"/>
  <c r="AK30" i="4"/>
  <c r="AH30" i="4"/>
  <c r="AC30" i="4"/>
  <c r="AA30" i="4"/>
  <c r="AW29" i="4"/>
  <c r="AP29" i="4"/>
  <c r="AK29" i="4"/>
  <c r="AH29" i="4"/>
  <c r="AC29" i="4"/>
  <c r="AA29" i="4"/>
  <c r="AW28" i="4"/>
  <c r="AP28" i="4"/>
  <c r="AK28" i="4"/>
  <c r="AH28" i="4"/>
  <c r="AC28" i="4"/>
  <c r="AA28" i="4"/>
  <c r="AW27" i="4"/>
  <c r="AP27" i="4"/>
  <c r="AK27" i="4"/>
  <c r="AH27" i="4"/>
  <c r="AF27" i="4"/>
  <c r="AC27" i="4"/>
  <c r="AA27" i="4"/>
  <c r="W27" i="4"/>
  <c r="AF33" i="4" s="1"/>
  <c r="V27" i="4"/>
  <c r="U27" i="4"/>
  <c r="T27" i="4"/>
  <c r="O27" i="4"/>
  <c r="AF32" i="4" s="1"/>
  <c r="N27" i="4"/>
  <c r="M27" i="4"/>
  <c r="L27" i="4"/>
  <c r="G27" i="4"/>
  <c r="F27" i="4"/>
  <c r="E27" i="4"/>
  <c r="D27" i="4"/>
  <c r="AW26" i="4"/>
  <c r="AU26" i="4"/>
  <c r="AP26" i="4"/>
  <c r="AK26" i="4"/>
  <c r="AH26" i="4"/>
  <c r="AC26" i="4"/>
  <c r="AA26" i="4"/>
  <c r="X26" i="4"/>
  <c r="AU34" i="4" s="1"/>
  <c r="P26" i="4"/>
  <c r="H26" i="4"/>
  <c r="AU32" i="4" s="1"/>
  <c r="AW25" i="4"/>
  <c r="AU25" i="4"/>
  <c r="AP25" i="4"/>
  <c r="AK25" i="4"/>
  <c r="AH25" i="4"/>
  <c r="AC25" i="4"/>
  <c r="AA25" i="4"/>
  <c r="X25" i="4"/>
  <c r="P25" i="4"/>
  <c r="H25" i="4"/>
  <c r="AW24" i="4"/>
  <c r="AU24" i="4"/>
  <c r="X24" i="4"/>
  <c r="P24" i="4"/>
  <c r="H24" i="4"/>
  <c r="AW23" i="4"/>
  <c r="X23" i="4"/>
  <c r="P23" i="4"/>
  <c r="H23" i="4"/>
  <c r="AU11" i="4" s="1"/>
  <c r="AW22" i="4"/>
  <c r="AU22" i="4"/>
  <c r="AW21" i="4"/>
  <c r="AW20" i="4"/>
  <c r="AW19" i="4"/>
  <c r="AW18" i="4"/>
  <c r="W18" i="4"/>
  <c r="AF30" i="4" s="1"/>
  <c r="V18" i="4"/>
  <c r="U18" i="4"/>
  <c r="T18" i="4"/>
  <c r="O18" i="4"/>
  <c r="AU30" i="4" s="1"/>
  <c r="N18" i="4"/>
  <c r="M18" i="4"/>
  <c r="L18" i="4"/>
  <c r="G18" i="4"/>
  <c r="F18" i="4"/>
  <c r="E18" i="4"/>
  <c r="D18" i="4"/>
  <c r="AW17" i="4"/>
  <c r="X17" i="4"/>
  <c r="P17" i="4"/>
  <c r="H17" i="4"/>
  <c r="AW16" i="4"/>
  <c r="AR16" i="4"/>
  <c r="AP16" i="4"/>
  <c r="AM16" i="4"/>
  <c r="AK16" i="4"/>
  <c r="AH16" i="4"/>
  <c r="AF16" i="4"/>
  <c r="AC16" i="4"/>
  <c r="AA16" i="4"/>
  <c r="X16" i="4"/>
  <c r="P16" i="4"/>
  <c r="H16" i="4"/>
  <c r="AW15" i="4"/>
  <c r="AR15" i="4"/>
  <c r="AP15" i="4"/>
  <c r="AM15" i="4"/>
  <c r="AK15" i="4"/>
  <c r="AH15" i="4"/>
  <c r="AC15" i="4"/>
  <c r="AA15" i="4"/>
  <c r="X15" i="4"/>
  <c r="AK10" i="4" s="1"/>
  <c r="P15" i="4"/>
  <c r="H15" i="4"/>
  <c r="AW14" i="4"/>
  <c r="AU14" i="4"/>
  <c r="AR14" i="4"/>
  <c r="AP14" i="4"/>
  <c r="AM14" i="4"/>
  <c r="AK14" i="4"/>
  <c r="AH14" i="4"/>
  <c r="AC14" i="4"/>
  <c r="AA14" i="4"/>
  <c r="X14" i="4"/>
  <c r="P14" i="4"/>
  <c r="AU9" i="4" s="1"/>
  <c r="H14" i="4"/>
  <c r="AW13" i="4"/>
  <c r="AR13" i="4"/>
  <c r="AM13" i="4"/>
  <c r="AK13" i="4"/>
  <c r="AH13" i="4"/>
  <c r="AC13" i="4"/>
  <c r="AA13" i="4"/>
  <c r="AW12" i="4"/>
  <c r="AR12" i="4"/>
  <c r="AM12" i="4"/>
  <c r="AH12" i="4"/>
  <c r="AF12" i="4"/>
  <c r="AC12" i="4"/>
  <c r="AA12" i="4"/>
  <c r="AW11" i="4"/>
  <c r="AR11" i="4"/>
  <c r="AM11" i="4"/>
  <c r="AK11" i="4"/>
  <c r="AH11" i="4"/>
  <c r="AF11" i="4"/>
  <c r="AC11" i="4"/>
  <c r="AA11" i="4"/>
  <c r="AW10" i="4"/>
  <c r="AU10" i="4"/>
  <c r="AR10" i="4"/>
  <c r="AP10" i="4"/>
  <c r="AM10" i="4"/>
  <c r="AH10" i="4"/>
  <c r="AF10" i="4"/>
  <c r="AC10" i="4"/>
  <c r="AA10" i="4"/>
  <c r="AW9" i="4"/>
  <c r="AR9" i="4"/>
  <c r="AM9" i="4"/>
  <c r="AK9" i="4"/>
  <c r="AH9" i="4"/>
  <c r="AC9" i="4"/>
  <c r="AA9" i="4"/>
  <c r="W9" i="4"/>
  <c r="V9" i="4"/>
  <c r="U9" i="4"/>
  <c r="AU17" i="4" s="1"/>
  <c r="T9" i="4"/>
  <c r="O9" i="4"/>
  <c r="N9" i="4"/>
  <c r="AU37" i="4" s="1"/>
  <c r="M9" i="4"/>
  <c r="L9" i="4"/>
  <c r="G9" i="4"/>
  <c r="F9" i="4"/>
  <c r="E9" i="4"/>
  <c r="D9" i="4"/>
  <c r="AW8" i="4"/>
  <c r="AR8" i="4"/>
  <c r="AP8" i="4"/>
  <c r="AM8" i="4"/>
  <c r="AK8" i="4"/>
  <c r="AH8" i="4"/>
  <c r="AF8" i="4"/>
  <c r="AC8" i="4"/>
  <c r="AA8" i="4"/>
  <c r="X8" i="4"/>
  <c r="P8" i="4"/>
  <c r="H8" i="4"/>
  <c r="AW7" i="4"/>
  <c r="AU7" i="4"/>
  <c r="AR7" i="4"/>
  <c r="AP7" i="4"/>
  <c r="AM7" i="4"/>
  <c r="AK7" i="4"/>
  <c r="AH7" i="4"/>
  <c r="AF7" i="4"/>
  <c r="AC7" i="4"/>
  <c r="AA7" i="4"/>
  <c r="X7" i="4"/>
  <c r="P7" i="4"/>
  <c r="AP6" i="4" s="1"/>
  <c r="H7" i="4"/>
  <c r="AW6" i="4"/>
  <c r="AR6" i="4"/>
  <c r="AM6" i="4"/>
  <c r="AH6" i="4"/>
  <c r="AC6" i="4"/>
  <c r="AA6" i="4"/>
  <c r="X6" i="4"/>
  <c r="P6" i="4"/>
  <c r="H6" i="4"/>
  <c r="AW5" i="4"/>
  <c r="AR5" i="4"/>
  <c r="AP5" i="4"/>
  <c r="AM5" i="4"/>
  <c r="AH5" i="4"/>
  <c r="AF5" i="4"/>
  <c r="AC5" i="4"/>
  <c r="AA5" i="4"/>
  <c r="X5" i="4"/>
  <c r="P5" i="4"/>
  <c r="H5" i="4"/>
  <c r="P110" i="3"/>
  <c r="Q102" i="3"/>
  <c r="R102" i="3" s="1"/>
  <c r="P101" i="3"/>
  <c r="Q93" i="3"/>
  <c r="R93" i="3" s="1"/>
  <c r="P92" i="3"/>
  <c r="R84" i="3"/>
  <c r="Q84" i="3"/>
  <c r="P83" i="3"/>
  <c r="Q75" i="3"/>
  <c r="R75" i="3" s="1"/>
  <c r="P74" i="3"/>
  <c r="Q66" i="3"/>
  <c r="R66" i="3" s="1"/>
  <c r="P65" i="3"/>
  <c r="R57" i="3"/>
  <c r="Q57" i="3"/>
  <c r="P56" i="3"/>
  <c r="G52" i="3"/>
  <c r="F52" i="3" s="1"/>
  <c r="H51" i="3"/>
  <c r="G51" i="3"/>
  <c r="F51" i="3" s="1"/>
  <c r="G50" i="3"/>
  <c r="F50" i="3" s="1"/>
  <c r="H49" i="3"/>
  <c r="G49" i="3"/>
  <c r="F49" i="3" s="1"/>
  <c r="Q48" i="3"/>
  <c r="R48" i="3" s="1"/>
  <c r="P47" i="3"/>
  <c r="Q39" i="3"/>
  <c r="R39" i="3" s="1"/>
  <c r="P38" i="3"/>
  <c r="F36" i="3"/>
  <c r="E36" i="3"/>
  <c r="F31" i="3"/>
  <c r="E31" i="3"/>
  <c r="Q30" i="3"/>
  <c r="R30" i="3" s="1"/>
  <c r="P29" i="3"/>
  <c r="Q21" i="3"/>
  <c r="R21" i="3" s="1"/>
  <c r="P20" i="3"/>
  <c r="D14" i="3"/>
  <c r="Q12" i="3"/>
  <c r="R12" i="3" s="1"/>
  <c r="P12" i="3"/>
  <c r="P11" i="3"/>
  <c r="E11" i="3"/>
  <c r="F12" i="3" s="1"/>
  <c r="E9" i="3"/>
  <c r="Q3" i="3"/>
  <c r="R3" i="3" s="1"/>
  <c r="H50" i="3" l="1"/>
  <c r="H52" i="3"/>
  <c r="F6" i="3"/>
  <c r="P86" i="3" s="1"/>
  <c r="F7" i="3"/>
  <c r="P24" i="3" s="1"/>
  <c r="AF56" i="4"/>
  <c r="AB56" i="4"/>
  <c r="AE56" i="4"/>
  <c r="AA56" i="4"/>
  <c r="AE44" i="4"/>
  <c r="AA44" i="4"/>
  <c r="AB44" i="4"/>
  <c r="AD56" i="4"/>
  <c r="AD44" i="4"/>
  <c r="AK5" i="4"/>
  <c r="AC56" i="4"/>
  <c r="AC44" i="4"/>
  <c r="AU15" i="4"/>
  <c r="AF44" i="4"/>
  <c r="AK6" i="4"/>
  <c r="AU16" i="4"/>
  <c r="AU23" i="4"/>
  <c r="AK12" i="4"/>
  <c r="AF35" i="4"/>
  <c r="AR67" i="6"/>
  <c r="AM67" i="6"/>
  <c r="AU6" i="4"/>
  <c r="AU5" i="4"/>
  <c r="AE55" i="4"/>
  <c r="AF43" i="4"/>
  <c r="AF6" i="4"/>
  <c r="AB43" i="4"/>
  <c r="AU42" i="4"/>
  <c r="AP11" i="4"/>
  <c r="AU44" i="4"/>
  <c r="AP13" i="4"/>
  <c r="AF46" i="4"/>
  <c r="AU38" i="4"/>
  <c r="AF45" i="4"/>
  <c r="AP9" i="4"/>
  <c r="AE57" i="4"/>
  <c r="AU18" i="4"/>
  <c r="AU21" i="4"/>
  <c r="AF13" i="4"/>
  <c r="AU12" i="4"/>
  <c r="AU13" i="4"/>
  <c r="AU28" i="4"/>
  <c r="AF29" i="4"/>
  <c r="AM41" i="6"/>
  <c r="AR41" i="6"/>
  <c r="AA55" i="4"/>
  <c r="AU29" i="4"/>
  <c r="AF28" i="4"/>
  <c r="AP12" i="4"/>
  <c r="AU43" i="4"/>
  <c r="AC58" i="4"/>
  <c r="AU27" i="4"/>
  <c r="AU31" i="4"/>
  <c r="AU39" i="4"/>
  <c r="AU40" i="4"/>
  <c r="AU41" i="4"/>
  <c r="AU20" i="4"/>
  <c r="AR60" i="6"/>
  <c r="AM60" i="6"/>
  <c r="AR58" i="6"/>
  <c r="AM58" i="6"/>
  <c r="AD46" i="6"/>
  <c r="AU8" i="4"/>
  <c r="AD57" i="4"/>
  <c r="AC57" i="4"/>
  <c r="AF9" i="4"/>
  <c r="AF25" i="4"/>
  <c r="AR31" i="4"/>
  <c r="AC43" i="4"/>
  <c r="AC45" i="4"/>
  <c r="AC46" i="4"/>
  <c r="AF55" i="4"/>
  <c r="AF57" i="4"/>
  <c r="AU6" i="6"/>
  <c r="AF58" i="6"/>
  <c r="AF27" i="6"/>
  <c r="AU9" i="6"/>
  <c r="AU11" i="6"/>
  <c r="AU31" i="6"/>
  <c r="AU18" i="6"/>
  <c r="AU21" i="6"/>
  <c r="AU32" i="6"/>
  <c r="AF26" i="6"/>
  <c r="AU42" i="6"/>
  <c r="AU44" i="6"/>
  <c r="AF14" i="6"/>
  <c r="AA44" i="6"/>
  <c r="AD45" i="6"/>
  <c r="AE46" i="6"/>
  <c r="AA57" i="6"/>
  <c r="AR63" i="6"/>
  <c r="AM63" i="6"/>
  <c r="AF58" i="4"/>
  <c r="AB58" i="4"/>
  <c r="AE58" i="4"/>
  <c r="AA58" i="4"/>
  <c r="AF26" i="4"/>
  <c r="AD43" i="4"/>
  <c r="AD45" i="4"/>
  <c r="AD46" i="4"/>
  <c r="AA57" i="4"/>
  <c r="AD58" i="4"/>
  <c r="AD55" i="6"/>
  <c r="AC43" i="6"/>
  <c r="AU5" i="6"/>
  <c r="AC55" i="6"/>
  <c r="AF43" i="6"/>
  <c r="AB43" i="6"/>
  <c r="AF55" i="6"/>
  <c r="AB55" i="6"/>
  <c r="AU10" i="6"/>
  <c r="AU8" i="6"/>
  <c r="AU40" i="6"/>
  <c r="AP9" i="6"/>
  <c r="AU20" i="6"/>
  <c r="AM27" i="6"/>
  <c r="AU25" i="6"/>
  <c r="AU24" i="6"/>
  <c r="AU34" i="6"/>
  <c r="AU37" i="6"/>
  <c r="AA43" i="6"/>
  <c r="AD44" i="6"/>
  <c r="AE45" i="6"/>
  <c r="AA55" i="6"/>
  <c r="AU23" i="6"/>
  <c r="AK12" i="6"/>
  <c r="AU27" i="6"/>
  <c r="AD55" i="4"/>
  <c r="AC55" i="4"/>
  <c r="AA43" i="4"/>
  <c r="AE43" i="4"/>
  <c r="AA45" i="4"/>
  <c r="AE45" i="4"/>
  <c r="AA46" i="4"/>
  <c r="AE46" i="4"/>
  <c r="AB55" i="4"/>
  <c r="AB57" i="4"/>
  <c r="AF56" i="6"/>
  <c r="AB56" i="6"/>
  <c r="AC44" i="6"/>
  <c r="AK5" i="6"/>
  <c r="AE56" i="6"/>
  <c r="AA56" i="6"/>
  <c r="AF44" i="6"/>
  <c r="AB44" i="6"/>
  <c r="AU15" i="6"/>
  <c r="AD56" i="6"/>
  <c r="AF28" i="6"/>
  <c r="AU29" i="6"/>
  <c r="AU12" i="6"/>
  <c r="AU45" i="6"/>
  <c r="AD43" i="6"/>
  <c r="AE44" i="6"/>
  <c r="AE55" i="6"/>
  <c r="AB57" i="6"/>
  <c r="AF57" i="6"/>
  <c r="AD58" i="6"/>
  <c r="AB45" i="6"/>
  <c r="AF45" i="6"/>
  <c r="AB46" i="6"/>
  <c r="AF46" i="6"/>
  <c r="AC57" i="6"/>
  <c r="AA58" i="6"/>
  <c r="AE58" i="6"/>
  <c r="AP7" i="6"/>
  <c r="AU26" i="6"/>
  <c r="AU36" i="6"/>
  <c r="AC45" i="6"/>
  <c r="AC46" i="6"/>
  <c r="AB58" i="6"/>
  <c r="P42" i="3"/>
  <c r="P69" i="3"/>
  <c r="P51" i="3"/>
  <c r="P15" i="3"/>
  <c r="F10" i="3"/>
  <c r="E21" i="3"/>
  <c r="F21" i="3" s="1"/>
  <c r="P50" i="3"/>
  <c r="P59" i="3"/>
  <c r="P95" i="3"/>
  <c r="F5" i="3"/>
  <c r="F11" i="3"/>
  <c r="F4" i="3"/>
  <c r="P5" i="3"/>
  <c r="F8" i="3"/>
  <c r="F9" i="3"/>
  <c r="P14" i="3"/>
  <c r="P41" i="3"/>
  <c r="P32" i="3"/>
  <c r="D22" i="3" l="1"/>
  <c r="P60" i="3"/>
  <c r="P105" i="3"/>
  <c r="P78" i="3"/>
  <c r="P104" i="3"/>
  <c r="P33" i="3"/>
  <c r="P87" i="3"/>
  <c r="P23" i="3"/>
  <c r="P96" i="3"/>
  <c r="P77" i="3"/>
  <c r="P68" i="3"/>
  <c r="D21" i="3"/>
  <c r="E22" i="3"/>
  <c r="F22" i="3" s="1"/>
  <c r="P6" i="3"/>
  <c r="AR71" i="6"/>
  <c r="AM71" i="6"/>
  <c r="AM61" i="4"/>
  <c r="AR61" i="4"/>
  <c r="AM33" i="6"/>
  <c r="AR33" i="6"/>
  <c r="AM39" i="6"/>
  <c r="AR39" i="6"/>
  <c r="AR65" i="4"/>
  <c r="AM65" i="4"/>
  <c r="AR50" i="4"/>
  <c r="AM50" i="4"/>
  <c r="AR52" i="6"/>
  <c r="AM52" i="6"/>
  <c r="AR47" i="6"/>
  <c r="AM47" i="6"/>
  <c r="AM55" i="6"/>
  <c r="AR55" i="6"/>
  <c r="AM62" i="6"/>
  <c r="AR62" i="6"/>
  <c r="AM50" i="6"/>
  <c r="AR50" i="6"/>
  <c r="AR54" i="6"/>
  <c r="AM54" i="6"/>
  <c r="AM44" i="4"/>
  <c r="AR44" i="4"/>
  <c r="AM41" i="4"/>
  <c r="AR41" i="4"/>
  <c r="AR43" i="6"/>
  <c r="AM43" i="6"/>
  <c r="AR45" i="6"/>
  <c r="AM45" i="6"/>
  <c r="AM61" i="6"/>
  <c r="AR61" i="6"/>
  <c r="AR39" i="4"/>
  <c r="AM39" i="4"/>
  <c r="AR68" i="4"/>
  <c r="AM68" i="4"/>
  <c r="AR26" i="6"/>
  <c r="AM26" i="6"/>
  <c r="AR72" i="6"/>
  <c r="AM72" i="6"/>
  <c r="AR36" i="4"/>
  <c r="AM36" i="4"/>
  <c r="AR60" i="4"/>
  <c r="AM60" i="4"/>
  <c r="AM29" i="4"/>
  <c r="AR29" i="4"/>
  <c r="AR58" i="4"/>
  <c r="AM58" i="4"/>
  <c r="AR30" i="4"/>
  <c r="AM30" i="4"/>
  <c r="AR66" i="4"/>
  <c r="AM66" i="4"/>
  <c r="AR35" i="6"/>
  <c r="AM35" i="6"/>
  <c r="AM32" i="6"/>
  <c r="AR32" i="6"/>
  <c r="AR46" i="6"/>
  <c r="AM46" i="6"/>
  <c r="AR34" i="6"/>
  <c r="AM34" i="6"/>
  <c r="AM49" i="6"/>
  <c r="AR49" i="6"/>
  <c r="AR52" i="4"/>
  <c r="AM52" i="4"/>
  <c r="AR63" i="4"/>
  <c r="AM63" i="4"/>
  <c r="AR67" i="4"/>
  <c r="AM67" i="4"/>
  <c r="AM34" i="4"/>
  <c r="AR34" i="4"/>
  <c r="AR56" i="6"/>
  <c r="AM56" i="6"/>
  <c r="AR59" i="6"/>
  <c r="AM59" i="6"/>
  <c r="AR31" i="6"/>
  <c r="AM31" i="6"/>
  <c r="AR65" i="6"/>
  <c r="AM65" i="6"/>
  <c r="AR66" i="6"/>
  <c r="AM66" i="6"/>
  <c r="AR70" i="6"/>
  <c r="AM70" i="6"/>
  <c r="AR28" i="4"/>
  <c r="AM28" i="4"/>
  <c r="AR25" i="4"/>
  <c r="AM25" i="4"/>
  <c r="AR38" i="6"/>
  <c r="AM38" i="6"/>
  <c r="AR53" i="6"/>
  <c r="AM53" i="6"/>
  <c r="AM57" i="6"/>
  <c r="AR57" i="6"/>
  <c r="AR64" i="4"/>
  <c r="AM64" i="4"/>
  <c r="AM37" i="4"/>
  <c r="AR37" i="4"/>
  <c r="AR56" i="4"/>
  <c r="AM56" i="4"/>
  <c r="AR51" i="6"/>
  <c r="AM51" i="6"/>
  <c r="AM35" i="4"/>
  <c r="AR35" i="4"/>
  <c r="AR40" i="6"/>
  <c r="AM40" i="6"/>
  <c r="AM49" i="4"/>
  <c r="AR49" i="4"/>
  <c r="AM47" i="4"/>
  <c r="AR47" i="4"/>
  <c r="AM46" i="4"/>
  <c r="AR46" i="4"/>
  <c r="AR26" i="4"/>
  <c r="AM26" i="4"/>
  <c r="AR54" i="4"/>
  <c r="AM54" i="4"/>
  <c r="AR68" i="6"/>
  <c r="AM68" i="6"/>
  <c r="AM37" i="6"/>
  <c r="AR37" i="6"/>
  <c r="AR53" i="4"/>
  <c r="AM53" i="4"/>
  <c r="AM27" i="4"/>
  <c r="AR27" i="4"/>
  <c r="AM29" i="6"/>
  <c r="AR29" i="6"/>
  <c r="AM40" i="4"/>
  <c r="AR40" i="4"/>
  <c r="AR69" i="4"/>
  <c r="AM69" i="4"/>
  <c r="AM48" i="4"/>
  <c r="AR48" i="4"/>
  <c r="AM62" i="4"/>
  <c r="AR62" i="4"/>
  <c r="AR36" i="6"/>
  <c r="AM36" i="6"/>
  <c r="AR48" i="6"/>
  <c r="AM48" i="6"/>
  <c r="AR64" i="6"/>
  <c r="AM64" i="6"/>
  <c r="AR42" i="6"/>
  <c r="AM42" i="6"/>
  <c r="AR30" i="6"/>
  <c r="AM30" i="6"/>
  <c r="AM55" i="4"/>
  <c r="AR55" i="4"/>
  <c r="AM43" i="4"/>
  <c r="AR43" i="4"/>
  <c r="AM57" i="4"/>
  <c r="AR57" i="4"/>
  <c r="AR25" i="6"/>
  <c r="AM25" i="6"/>
  <c r="AR69" i="6"/>
  <c r="AM69" i="6"/>
  <c r="AR51" i="4"/>
  <c r="AM51" i="4"/>
  <c r="AR72" i="4"/>
  <c r="AM72" i="4"/>
  <c r="AR44" i="6"/>
  <c r="AM44" i="6"/>
  <c r="AR71" i="4"/>
  <c r="AM71" i="4"/>
  <c r="AR33" i="4"/>
  <c r="AM33" i="4"/>
  <c r="AR59" i="4"/>
  <c r="AM59" i="4"/>
  <c r="AM45" i="4"/>
  <c r="AR45" i="4"/>
  <c r="AR38" i="4"/>
  <c r="AM38" i="4"/>
  <c r="AR42" i="4"/>
  <c r="AM42" i="4"/>
  <c r="AR70" i="4"/>
  <c r="AM70" i="4"/>
  <c r="P102" i="3"/>
  <c r="P66" i="3"/>
  <c r="P30" i="3"/>
  <c r="P21" i="3"/>
  <c r="P3" i="3"/>
  <c r="P75" i="3"/>
  <c r="P93" i="3"/>
  <c r="P57" i="3"/>
  <c r="D19" i="3"/>
  <c r="P84" i="3"/>
  <c r="P48" i="3"/>
  <c r="E19" i="3"/>
  <c r="F19" i="3" s="1"/>
  <c r="P39" i="3"/>
  <c r="P98" i="3"/>
  <c r="P62" i="3"/>
  <c r="P26" i="3"/>
  <c r="P8" i="3"/>
  <c r="P71" i="3"/>
  <c r="P89" i="3"/>
  <c r="P53" i="3"/>
  <c r="P35" i="3"/>
  <c r="P17" i="3"/>
  <c r="P107" i="3"/>
  <c r="P80" i="3"/>
  <c r="P44" i="3"/>
  <c r="E24" i="3"/>
  <c r="F24" i="3" s="1"/>
  <c r="D24" i="3"/>
  <c r="P82" i="3"/>
  <c r="P46" i="3"/>
  <c r="P19" i="3"/>
  <c r="P109" i="3"/>
  <c r="P73" i="3"/>
  <c r="P37" i="3"/>
  <c r="P10" i="3"/>
  <c r="P55" i="3"/>
  <c r="P100" i="3"/>
  <c r="P64" i="3"/>
  <c r="P28" i="3"/>
  <c r="E26" i="3"/>
  <c r="F26" i="3" s="1"/>
  <c r="P91" i="3"/>
  <c r="D26" i="3"/>
  <c r="P90" i="3"/>
  <c r="P54" i="3"/>
  <c r="P18" i="3"/>
  <c r="P9" i="3"/>
  <c r="P81" i="3"/>
  <c r="P45" i="3"/>
  <c r="P99" i="3"/>
  <c r="P63" i="3"/>
  <c r="P27" i="3"/>
  <c r="D25" i="3"/>
  <c r="P108" i="3"/>
  <c r="P72" i="3"/>
  <c r="P36" i="3"/>
  <c r="E25" i="3"/>
  <c r="F25" i="3" s="1"/>
  <c r="P94" i="3"/>
  <c r="P58" i="3"/>
  <c r="P22" i="3"/>
  <c r="P13" i="3"/>
  <c r="P4" i="3"/>
  <c r="P85" i="3"/>
  <c r="P31" i="3"/>
  <c r="P67" i="3"/>
  <c r="P76" i="3"/>
  <c r="P49" i="3"/>
  <c r="P40" i="3"/>
  <c r="E20" i="3"/>
  <c r="F20" i="3" s="1"/>
  <c r="P103" i="3"/>
  <c r="D20" i="3"/>
  <c r="P106" i="3"/>
  <c r="P70" i="3"/>
  <c r="P25" i="3"/>
  <c r="P7" i="3"/>
  <c r="P97" i="3"/>
  <c r="P61" i="3"/>
  <c r="P79" i="3"/>
  <c r="D23" i="3"/>
  <c r="P88" i="3"/>
  <c r="P52" i="3"/>
  <c r="P34" i="3"/>
  <c r="E23" i="3"/>
  <c r="F23" i="3" s="1"/>
  <c r="P16" i="3"/>
  <c r="P43" i="3"/>
  <c r="S57" i="3" l="1"/>
  <c r="T57" i="3" s="1"/>
  <c r="Z9" i="3" s="1"/>
  <c r="S21" i="3"/>
  <c r="T21" i="3" s="1"/>
  <c r="Z5" i="3" s="1"/>
  <c r="S12" i="3"/>
  <c r="T12" i="3" s="1"/>
  <c r="Z4" i="3" s="1"/>
  <c r="S48" i="3"/>
  <c r="T48" i="3" s="1"/>
  <c r="Z8" i="3" s="1"/>
  <c r="S93" i="3"/>
  <c r="T93" i="3" s="1"/>
  <c r="Z13" i="3" s="1"/>
  <c r="S30" i="3"/>
  <c r="T30" i="3" s="1"/>
  <c r="Z6" i="3" s="1"/>
  <c r="S84" i="3"/>
  <c r="T84" i="3" s="1"/>
  <c r="Z12" i="3" s="1"/>
  <c r="S75" i="3"/>
  <c r="T75" i="3" s="1"/>
  <c r="Z11" i="3" s="1"/>
  <c r="S66" i="3"/>
  <c r="T66" i="3" s="1"/>
  <c r="Z10" i="3" s="1"/>
  <c r="S39" i="3"/>
  <c r="T39" i="3" s="1"/>
  <c r="Z7" i="3" s="1"/>
  <c r="S3" i="3"/>
  <c r="T3" i="3" s="1"/>
  <c r="S102" i="3"/>
  <c r="T102" i="3" s="1"/>
  <c r="Z14" i="3" s="1"/>
  <c r="U3" i="3" l="1"/>
  <c r="Z3" i="3"/>
  <c r="Y36" i="1" l="1"/>
  <c r="X36" i="1"/>
  <c r="X33" i="1"/>
  <c r="Y33" i="1" s="1"/>
  <c r="Q31" i="1"/>
  <c r="T31" i="1" s="1"/>
  <c r="AF31" i="1" s="1"/>
  <c r="Y30" i="1"/>
  <c r="X30" i="1"/>
  <c r="Q29" i="1"/>
  <c r="T29" i="1" s="1"/>
  <c r="AF29" i="1" s="1"/>
  <c r="Y27" i="1"/>
  <c r="X27" i="1"/>
  <c r="Q27" i="1"/>
  <c r="Y24" i="1"/>
  <c r="X24" i="1"/>
  <c r="X21" i="1"/>
  <c r="Y21" i="1" s="1"/>
  <c r="Q19" i="1"/>
  <c r="T19" i="1" s="1"/>
  <c r="AF19" i="1" s="1"/>
  <c r="Y18" i="1"/>
  <c r="X18" i="1"/>
  <c r="Q17" i="1"/>
  <c r="T17" i="1" s="1"/>
  <c r="AF17" i="1" s="1"/>
  <c r="Q16" i="1"/>
  <c r="T16" i="1" s="1"/>
  <c r="AF16" i="1" s="1"/>
  <c r="Y15" i="1"/>
  <c r="X15" i="1"/>
  <c r="U15" i="1"/>
  <c r="Q15" i="1"/>
  <c r="I15" i="1"/>
  <c r="C15" i="1"/>
  <c r="AF14" i="1"/>
  <c r="Q14" i="1"/>
  <c r="T14" i="1" s="1"/>
  <c r="I14" i="1"/>
  <c r="D14" i="1"/>
  <c r="E14" i="1" s="1"/>
  <c r="C14" i="1"/>
  <c r="I13" i="1"/>
  <c r="D13" i="1"/>
  <c r="E13" i="1" s="1"/>
  <c r="C13" i="1"/>
  <c r="AD12" i="1"/>
  <c r="Y12" i="1"/>
  <c r="X12" i="1"/>
  <c r="R12" i="1"/>
  <c r="Q12" i="1"/>
  <c r="X9" i="1"/>
  <c r="Y9" i="1" s="1"/>
  <c r="Q7" i="1"/>
  <c r="C7" i="1"/>
  <c r="D15" i="1" s="1"/>
  <c r="E15" i="1" s="1"/>
  <c r="Y6" i="1"/>
  <c r="X6" i="1"/>
  <c r="Q6" i="1"/>
  <c r="G6" i="1"/>
  <c r="F6" i="1"/>
  <c r="Q38" i="1" s="1"/>
  <c r="Q5" i="1"/>
  <c r="G5" i="1"/>
  <c r="F5" i="1"/>
  <c r="Q28" i="1" s="1"/>
  <c r="Q4" i="1"/>
  <c r="G4" i="1"/>
  <c r="F4" i="1"/>
  <c r="Q36" i="1" s="1"/>
  <c r="Y3" i="1"/>
  <c r="X3" i="1"/>
  <c r="T28" i="1" l="1"/>
  <c r="AF28" i="1" s="1"/>
  <c r="R28" i="1"/>
  <c r="AD28" i="1" s="1"/>
  <c r="T5" i="1"/>
  <c r="AF5" i="1" s="1"/>
  <c r="R5" i="1"/>
  <c r="AD5" i="1" s="1"/>
  <c r="D6" i="1"/>
  <c r="D5" i="1"/>
  <c r="D4" i="1"/>
  <c r="V15" i="1" s="1"/>
  <c r="T7" i="1"/>
  <c r="AF7" i="1" s="1"/>
  <c r="R7" i="1"/>
  <c r="AD7" i="1" s="1"/>
  <c r="U36" i="1"/>
  <c r="T36" i="1"/>
  <c r="AF36" i="1" s="1"/>
  <c r="R36" i="1"/>
  <c r="AD36" i="1" s="1"/>
  <c r="T6" i="1"/>
  <c r="AF6" i="1" s="1"/>
  <c r="R6" i="1"/>
  <c r="AD6" i="1" s="1"/>
  <c r="R14" i="1"/>
  <c r="AD14" i="1" s="1"/>
  <c r="T15" i="1"/>
  <c r="AF15" i="1" s="1"/>
  <c r="R15" i="1"/>
  <c r="AD15" i="1" s="1"/>
  <c r="U27" i="1"/>
  <c r="W15" i="1"/>
  <c r="Z15" i="1" s="1"/>
  <c r="T4" i="1"/>
  <c r="AF4" i="1" s="1"/>
  <c r="R4" i="1"/>
  <c r="AD4" i="1" s="1"/>
  <c r="T38" i="1"/>
  <c r="AF38" i="1" s="1"/>
  <c r="R38" i="1"/>
  <c r="AD38" i="1" s="1"/>
  <c r="T12" i="1"/>
  <c r="AF12" i="1" s="1"/>
  <c r="R16" i="1"/>
  <c r="AD16" i="1" s="1"/>
  <c r="Q3" i="1"/>
  <c r="Q8" i="1"/>
  <c r="Q10" i="1"/>
  <c r="R17" i="1"/>
  <c r="AD17" i="1" s="1"/>
  <c r="Q18" i="1"/>
  <c r="R19" i="1"/>
  <c r="AD19" i="1" s="1"/>
  <c r="Q20" i="1"/>
  <c r="Q22" i="1"/>
  <c r="R27" i="1"/>
  <c r="AD27" i="1" s="1"/>
  <c r="R29" i="1"/>
  <c r="AD29" i="1" s="1"/>
  <c r="Q30" i="1"/>
  <c r="R31" i="1"/>
  <c r="AD31" i="1" s="1"/>
  <c r="Q32" i="1"/>
  <c r="Q34" i="1"/>
  <c r="Q9" i="1"/>
  <c r="Q11" i="1"/>
  <c r="Q13" i="1"/>
  <c r="Q21" i="1"/>
  <c r="Q23" i="1"/>
  <c r="Q25" i="1"/>
  <c r="T27" i="1"/>
  <c r="AF27" i="1" s="1"/>
  <c r="V27" i="1" s="1"/>
  <c r="Q33" i="1"/>
  <c r="Q35" i="1"/>
  <c r="Q37" i="1"/>
  <c r="Q24" i="1"/>
  <c r="Q26" i="1"/>
  <c r="R33" i="1" l="1"/>
  <c r="AD33" i="1" s="1"/>
  <c r="U33" i="1"/>
  <c r="T33" i="1"/>
  <c r="AF33" i="1" s="1"/>
  <c r="V33" i="1" s="1"/>
  <c r="R8" i="1"/>
  <c r="AD8" i="1" s="1"/>
  <c r="T8" i="1"/>
  <c r="AF8" i="1" s="1"/>
  <c r="U6" i="1"/>
  <c r="U24" i="1"/>
  <c r="T24" i="1"/>
  <c r="AF24" i="1" s="1"/>
  <c r="R24" i="1"/>
  <c r="AD24" i="1" s="1"/>
  <c r="T32" i="1"/>
  <c r="AF32" i="1" s="1"/>
  <c r="R32" i="1"/>
  <c r="AD32" i="1" s="1"/>
  <c r="R3" i="1"/>
  <c r="AD3" i="1" s="1"/>
  <c r="T3" i="1"/>
  <c r="AF3" i="1" s="1"/>
  <c r="V3" i="1" s="1"/>
  <c r="U3" i="1"/>
  <c r="W3" i="1" s="1"/>
  <c r="Z3" i="1" s="1"/>
  <c r="R26" i="1"/>
  <c r="AD26" i="1" s="1"/>
  <c r="T26" i="1"/>
  <c r="AF26" i="1" s="1"/>
  <c r="T34" i="1"/>
  <c r="AF34" i="1" s="1"/>
  <c r="R34" i="1"/>
  <c r="AD34" i="1" s="1"/>
  <c r="R13" i="1"/>
  <c r="AD13" i="1" s="1"/>
  <c r="T13" i="1"/>
  <c r="AF13" i="1" s="1"/>
  <c r="T18" i="1"/>
  <c r="AF18" i="1" s="1"/>
  <c r="R18" i="1"/>
  <c r="AD18" i="1" s="1"/>
  <c r="U18" i="1"/>
  <c r="R25" i="1"/>
  <c r="AD25" i="1" s="1"/>
  <c r="T25" i="1"/>
  <c r="AF25" i="1" s="1"/>
  <c r="T11" i="1"/>
  <c r="AF11" i="1" s="1"/>
  <c r="R11" i="1"/>
  <c r="AD11" i="1" s="1"/>
  <c r="T22" i="1"/>
  <c r="AF22" i="1" s="1"/>
  <c r="R22" i="1"/>
  <c r="AD22" i="1" s="1"/>
  <c r="V12" i="1"/>
  <c r="V6" i="1"/>
  <c r="R21" i="1"/>
  <c r="AD21" i="1" s="1"/>
  <c r="T21" i="1"/>
  <c r="AF21" i="1" s="1"/>
  <c r="U21" i="1"/>
  <c r="W27" i="1"/>
  <c r="Z27" i="1" s="1"/>
  <c r="R37" i="1"/>
  <c r="AD37" i="1" s="1"/>
  <c r="T37" i="1"/>
  <c r="AF37" i="1" s="1"/>
  <c r="V36" i="1" s="1"/>
  <c r="W36" i="1" s="1"/>
  <c r="Z36" i="1" s="1"/>
  <c r="R35" i="1"/>
  <c r="AD35" i="1" s="1"/>
  <c r="T35" i="1"/>
  <c r="AF35" i="1" s="1"/>
  <c r="R23" i="1"/>
  <c r="AD23" i="1" s="1"/>
  <c r="T23" i="1"/>
  <c r="AF23" i="1" s="1"/>
  <c r="U9" i="1"/>
  <c r="T9" i="1"/>
  <c r="AF9" i="1" s="1"/>
  <c r="R9" i="1"/>
  <c r="AD9" i="1" s="1"/>
  <c r="T30" i="1"/>
  <c r="AF30" i="1" s="1"/>
  <c r="V30" i="1" s="1"/>
  <c r="R30" i="1"/>
  <c r="AD30" i="1" s="1"/>
  <c r="U30" i="1"/>
  <c r="T20" i="1"/>
  <c r="AF20" i="1" s="1"/>
  <c r="R20" i="1"/>
  <c r="AD20" i="1" s="1"/>
  <c r="R10" i="1"/>
  <c r="AD10" i="1" s="1"/>
  <c r="T10" i="1"/>
  <c r="AF10" i="1" s="1"/>
  <c r="U12" i="1"/>
  <c r="V24" i="1" l="1"/>
  <c r="W24" i="1" s="1"/>
  <c r="Z24" i="1" s="1"/>
  <c r="W18" i="1"/>
  <c r="Z18" i="1" s="1"/>
  <c r="V21" i="1"/>
  <c r="W21" i="1" s="1"/>
  <c r="Z21" i="1" s="1"/>
  <c r="W12" i="1"/>
  <c r="Z12" i="1" s="1"/>
  <c r="V18" i="1"/>
  <c r="W6" i="1"/>
  <c r="Z6" i="1" s="1"/>
  <c r="W33" i="1"/>
  <c r="Z33" i="1" s="1"/>
  <c r="W30" i="1"/>
  <c r="Z30" i="1" s="1"/>
  <c r="V9" i="1"/>
  <c r="W9" i="1" s="1"/>
  <c r="Z9" i="1" s="1"/>
  <c r="AA3" i="1" l="1"/>
</calcChain>
</file>

<file path=xl/sharedStrings.xml><?xml version="1.0" encoding="utf-8"?>
<sst xmlns="http://schemas.openxmlformats.org/spreadsheetml/2006/main" count="1930" uniqueCount="258">
  <si>
    <t>Ticket Prices</t>
  </si>
  <si>
    <t>Stadium Capacities</t>
  </si>
  <si>
    <t>Home</t>
  </si>
  <si>
    <t>Away</t>
  </si>
  <si>
    <t>Stadium</t>
  </si>
  <si>
    <t>Ticket Class</t>
  </si>
  <si>
    <t>Early Demand</t>
  </si>
  <si>
    <t>Early Sales</t>
  </si>
  <si>
    <t>Rejected</t>
  </si>
  <si>
    <t>Late Demand</t>
  </si>
  <si>
    <t>Late Sales</t>
  </si>
  <si>
    <t>Early Revenue</t>
  </si>
  <si>
    <t>Late Revenue</t>
  </si>
  <si>
    <t>Revenue Before Losses</t>
  </si>
  <si>
    <t>Rainfall</t>
  </si>
  <si>
    <t>Loss (% of Revenues)</t>
  </si>
  <si>
    <t>Revenue After Losses</t>
  </si>
  <si>
    <t>Total Revenue</t>
  </si>
  <si>
    <t>Rejected Floored</t>
  </si>
  <si>
    <t>True Late Sales</t>
  </si>
  <si>
    <t>Class</t>
  </si>
  <si>
    <t>Early Bird Price (₹)</t>
  </si>
  <si>
    <t>Late Price (₹)</t>
  </si>
  <si>
    <t>Proportion</t>
  </si>
  <si>
    <t>Booking Limit Ratio</t>
  </si>
  <si>
    <t>Multiplier</t>
  </si>
  <si>
    <t>Capacity</t>
  </si>
  <si>
    <t>MI</t>
  </si>
  <si>
    <t>CSK</t>
  </si>
  <si>
    <t>Wankhede Stadium (Mumbai)</t>
  </si>
  <si>
    <t>Lower</t>
  </si>
  <si>
    <t>Middle</t>
  </si>
  <si>
    <t>Chinnaswamy Stadium (Bangalore)</t>
  </si>
  <si>
    <t>Upper</t>
  </si>
  <si>
    <t>MA Chidambaram Stadium (Chennai)</t>
  </si>
  <si>
    <t>RCB</t>
  </si>
  <si>
    <t xml:space="preserve">Variance </t>
  </si>
  <si>
    <t>Feroz Shah Kotla Stadium (Delhi)</t>
  </si>
  <si>
    <t>Mean</t>
  </si>
  <si>
    <t>Conversion Probability</t>
  </si>
  <si>
    <t>DC</t>
  </si>
  <si>
    <t>Limit ratio</t>
  </si>
  <si>
    <t>Decline per multiplier step - Lower</t>
  </si>
  <si>
    <t>Demand Distributions - Normal</t>
  </si>
  <si>
    <t>Decline per multiplier step - Middle</t>
  </si>
  <si>
    <t>(Triangular)</t>
  </si>
  <si>
    <t xml:space="preserve">Mean </t>
  </si>
  <si>
    <t>Variance</t>
  </si>
  <si>
    <t>S.D</t>
  </si>
  <si>
    <t>Decline per multiplier step - Upper</t>
  </si>
  <si>
    <t>Conversion - Lower</t>
  </si>
  <si>
    <t>Conversion - Middle</t>
  </si>
  <si>
    <t>Conversion - Upper</t>
  </si>
  <si>
    <t xml:space="preserve">Partial Refund Threshold </t>
  </si>
  <si>
    <t>Full Refund Threshold</t>
  </si>
  <si>
    <t>City</t>
  </si>
  <si>
    <t>SD</t>
  </si>
  <si>
    <t>Alpha</t>
  </si>
  <si>
    <t>Lambda</t>
  </si>
  <si>
    <t>1/Lambda</t>
  </si>
  <si>
    <t>Mumbai</t>
  </si>
  <si>
    <t>Bangalore</t>
  </si>
  <si>
    <t>Chennai</t>
  </si>
  <si>
    <t>Delhi</t>
  </si>
  <si>
    <t>Multiplier (1.00)</t>
  </si>
  <si>
    <t>Multiplier (1.50)</t>
  </si>
  <si>
    <t>Multiplier (2.00)</t>
  </si>
  <si>
    <t>Multiplier (2.50)</t>
  </si>
  <si>
    <t>Multiplier (3.00)</t>
  </si>
  <si>
    <t>Multiplier · 8 (0.00)</t>
  </si>
  <si>
    <t>Multiplier · 8 (0.20)</t>
  </si>
  <si>
    <t>Multiplier · 8 (0.40)</t>
  </si>
  <si>
    <t>Multiplier · 8 (0.60)</t>
  </si>
  <si>
    <t>Multiplier · 8 (0.80)</t>
  </si>
  <si>
    <t>Multiplier · 8 (1.00)</t>
  </si>
  <si>
    <t>Demand</t>
  </si>
  <si>
    <t>Sales</t>
  </si>
  <si>
    <t>Rainfall (scaled to daily)</t>
  </si>
  <si>
    <t>Losses (% of total revenue)</t>
  </si>
  <si>
    <t>Season Revenue (Forecast)</t>
  </si>
  <si>
    <t>Price (₹)</t>
  </si>
  <si>
    <t>Numbers</t>
  </si>
  <si>
    <t>Block C1,D1,F1,G1,H1,K1.</t>
  </si>
  <si>
    <t>MI-CSK</t>
  </si>
  <si>
    <t>Block B1,D,E,F1,G,H,J,L1</t>
  </si>
  <si>
    <t>MI-RCB</t>
  </si>
  <si>
    <t>Block F</t>
  </si>
  <si>
    <t>MI-DC</t>
  </si>
  <si>
    <t>Block C &amp; K</t>
  </si>
  <si>
    <t>CSK-MI</t>
  </si>
  <si>
    <t>Block L</t>
  </si>
  <si>
    <t>CSK-RCB</t>
  </si>
  <si>
    <t>Block B</t>
  </si>
  <si>
    <t>CSK-DC</t>
  </si>
  <si>
    <t>Block CLUBHOUSE UPPER</t>
  </si>
  <si>
    <t>RCB-MI</t>
  </si>
  <si>
    <t>Block CLUBHOUSE LOWER</t>
  </si>
  <si>
    <t>RCB-CSK</t>
  </si>
  <si>
    <t>Box Seats</t>
  </si>
  <si>
    <t>RCB-DC</t>
  </si>
  <si>
    <t>DC-MI</t>
  </si>
  <si>
    <t>Box Seat</t>
  </si>
  <si>
    <t>DC-RCB</t>
  </si>
  <si>
    <t>DC-CSK</t>
  </si>
  <si>
    <t>s</t>
  </si>
  <si>
    <t>Wankhede Box Seats - Triangular</t>
  </si>
  <si>
    <t>Min</t>
  </si>
  <si>
    <t>Likely</t>
  </si>
  <si>
    <t>Max</t>
  </si>
  <si>
    <t>Chinnaswamy Box Seats - Triangular</t>
  </si>
  <si>
    <t>Chidambaram Box Seats - Triangular</t>
  </si>
  <si>
    <t>Feroz Shah Box Seats - Triangular</t>
  </si>
  <si>
    <t xml:space="preserve">DC </t>
  </si>
  <si>
    <t xml:space="preserve"> Day 1</t>
  </si>
  <si>
    <t>Day 2</t>
  </si>
  <si>
    <t>Day 3</t>
  </si>
  <si>
    <t>Games Per Day Constraint</t>
  </si>
  <si>
    <t>MI Games Per Day Constraint</t>
  </si>
  <si>
    <t>CSK Games Per Day Constraint</t>
  </si>
  <si>
    <t>RCB Games Per Day Constraint</t>
  </si>
  <si>
    <t>Gap Constraints</t>
  </si>
  <si>
    <t xml:space="preserve">CSK </t>
  </si>
  <si>
    <t>Total</t>
  </si>
  <si>
    <t>Constraint</t>
  </si>
  <si>
    <t>LHS</t>
  </si>
  <si>
    <t>Relation</t>
  </si>
  <si>
    <t>RHS</t>
  </si>
  <si>
    <t xml:space="preserve">LHS </t>
  </si>
  <si>
    <t>Maximum Games/Day</t>
  </si>
  <si>
    <t>Max Games Day 1</t>
  </si>
  <si>
    <t xml:space="preserve">&lt;= </t>
  </si>
  <si>
    <t>&lt;=</t>
  </si>
  <si>
    <t>MI Day 1-3</t>
  </si>
  <si>
    <t>Maximum Cumulative Difference</t>
  </si>
  <si>
    <t>Max Games Day 2</t>
  </si>
  <si>
    <t>MI Day 2-4</t>
  </si>
  <si>
    <t>Maximum games for 1 team in a day</t>
  </si>
  <si>
    <t>Max Games Day 3</t>
  </si>
  <si>
    <t>MI Day 3-5</t>
  </si>
  <si>
    <t>Maximum games in 3 day period</t>
  </si>
  <si>
    <t>Max Games Day 4</t>
  </si>
  <si>
    <t>MI Day 4-6</t>
  </si>
  <si>
    <t>Number of games for each combination</t>
  </si>
  <si>
    <t>Max Games Day 5</t>
  </si>
  <si>
    <t>MI Day 5-7</t>
  </si>
  <si>
    <t>Max Games Day 6</t>
  </si>
  <si>
    <t>MI Day 6-8</t>
  </si>
  <si>
    <t>Day 4</t>
  </si>
  <si>
    <t>Day 5</t>
  </si>
  <si>
    <t>Day 6</t>
  </si>
  <si>
    <t>Max Games Day 7</t>
  </si>
  <si>
    <t>MI Day 7-9</t>
  </si>
  <si>
    <t>Max Games Day 8</t>
  </si>
  <si>
    <t>MI Day 8-10</t>
  </si>
  <si>
    <t>Max Games Day 9</t>
  </si>
  <si>
    <t>MI Day 9-11</t>
  </si>
  <si>
    <t>Max Games Day 10</t>
  </si>
  <si>
    <t>MI Day 10-12</t>
  </si>
  <si>
    <t>Max Games Day 11</t>
  </si>
  <si>
    <t>CSK Day 1-3</t>
  </si>
  <si>
    <t>Max Games Day 12</t>
  </si>
  <si>
    <t>CSK Day 2-4</t>
  </si>
  <si>
    <t>CSK Day 3-5</t>
  </si>
  <si>
    <t>CSK Day 4-6</t>
  </si>
  <si>
    <t>Day 7</t>
  </si>
  <si>
    <t>Day 8</t>
  </si>
  <si>
    <t>Day 9</t>
  </si>
  <si>
    <t>CSK Day 5-7</t>
  </si>
  <si>
    <t>CSK Day 6-8</t>
  </si>
  <si>
    <t>(Mon)</t>
  </si>
  <si>
    <t>CSK Day 7-9</t>
  </si>
  <si>
    <t>Home and away constraint</t>
  </si>
  <si>
    <t>DC Games Per Day Constraint</t>
  </si>
  <si>
    <t>Max Constraints (48)</t>
  </si>
  <si>
    <t>Min Constaints (48)</t>
  </si>
  <si>
    <t>CSK Day 8-10</t>
  </si>
  <si>
    <t>CSK Day 9-11</t>
  </si>
  <si>
    <t>MI Home CSK Away</t>
  </si>
  <si>
    <t>=</t>
  </si>
  <si>
    <t>Day 1 Max</t>
  </si>
  <si>
    <t>&gt;=</t>
  </si>
  <si>
    <t>Day 1 Min</t>
  </si>
  <si>
    <t>CSK Day 10-12</t>
  </si>
  <si>
    <t>CSK Home MI Away</t>
  </si>
  <si>
    <t>DC Day 1-3</t>
  </si>
  <si>
    <t>MI Home RCB Away</t>
  </si>
  <si>
    <t>DC Day 2-4</t>
  </si>
  <si>
    <t>RCB Home MI Away</t>
  </si>
  <si>
    <t>DC Day 3-5</t>
  </si>
  <si>
    <t>Day 10</t>
  </si>
  <si>
    <t>Day 11</t>
  </si>
  <si>
    <t>Day 12</t>
  </si>
  <si>
    <t>MI Home DC Away</t>
  </si>
  <si>
    <t>Day 2 Max</t>
  </si>
  <si>
    <t>Day 2 Min</t>
  </si>
  <si>
    <t>DC Day 4-6</t>
  </si>
  <si>
    <t>DC Home MI Away</t>
  </si>
  <si>
    <t>DC Day 5-7</t>
  </si>
  <si>
    <t>CSK Home RCB Away</t>
  </si>
  <si>
    <t>DC Day 6-8</t>
  </si>
  <si>
    <t>RCB Home CSK Away</t>
  </si>
  <si>
    <t>DC Day 7-9</t>
  </si>
  <si>
    <t>CSK Home DC Away</t>
  </si>
  <si>
    <t>Day 3 Max</t>
  </si>
  <si>
    <t>Day 3 Min</t>
  </si>
  <si>
    <t>DC Day 8-10</t>
  </si>
  <si>
    <t>DC Home CSK Away</t>
  </si>
  <si>
    <t>DC Day 9-11</t>
  </si>
  <si>
    <t>RCB Home DC Away</t>
  </si>
  <si>
    <t>DC Day 10-12</t>
  </si>
  <si>
    <t>DC Home RCB Away</t>
  </si>
  <si>
    <t>RCB Day 1-3</t>
  </si>
  <si>
    <t>Day 4 Max</t>
  </si>
  <si>
    <t>Day 4 Min</t>
  </si>
  <si>
    <t>RCB Day 2-4</t>
  </si>
  <si>
    <t>RCB Day 3-5</t>
  </si>
  <si>
    <t>Proxy Obj</t>
  </si>
  <si>
    <t>RCB Day 4-6</t>
  </si>
  <si>
    <t>RCB Day 5-7</t>
  </si>
  <si>
    <t>Team</t>
  </si>
  <si>
    <t>Cumulative games played by day</t>
  </si>
  <si>
    <t>Day 5 Max</t>
  </si>
  <si>
    <t>Day 5 Min</t>
  </si>
  <si>
    <t>RCB Day 6-8</t>
  </si>
  <si>
    <t>Day 1</t>
  </si>
  <si>
    <t>RCB Day 7-9</t>
  </si>
  <si>
    <t>RCB Day 8-10</t>
  </si>
  <si>
    <t>RCB Day 9-11</t>
  </si>
  <si>
    <t>Day 6 Max</t>
  </si>
  <si>
    <t>Day 6 Min</t>
  </si>
  <si>
    <t>RCB Day 10-12</t>
  </si>
  <si>
    <t>Maximum cumulative count</t>
  </si>
  <si>
    <t>Mininimum cumulative count</t>
  </si>
  <si>
    <t>Maximum Difference</t>
  </si>
  <si>
    <t>Day 7 Max</t>
  </si>
  <si>
    <t>Day 7 Min</t>
  </si>
  <si>
    <t>Is less than</t>
  </si>
  <si>
    <t>One</t>
  </si>
  <si>
    <t>Cumulative Games Played By Day</t>
  </si>
  <si>
    <t>Day 8 Max</t>
  </si>
  <si>
    <t>Day 8 Min</t>
  </si>
  <si>
    <t>Day 9 Max</t>
  </si>
  <si>
    <t>Day 9 Min</t>
  </si>
  <si>
    <t>Difference</t>
  </si>
  <si>
    <t>Day 10 Max</t>
  </si>
  <si>
    <t>Day 10 Min</t>
  </si>
  <si>
    <t>Less than</t>
  </si>
  <si>
    <t>Day 11 Max</t>
  </si>
  <si>
    <t>Day 11 Min</t>
  </si>
  <si>
    <t>Day 12 Max</t>
  </si>
  <si>
    <t>Day 12 Min</t>
  </si>
  <si>
    <t>Day</t>
  </si>
  <si>
    <t>Match 1</t>
  </si>
  <si>
    <t>Match 2</t>
  </si>
  <si>
    <t>Games played per combination constraint</t>
  </si>
  <si>
    <t>Expected Revenue Matrix</t>
  </si>
  <si>
    <t>Revenue</t>
  </si>
  <si>
    <t>Ticketing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</si>
</sst>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</font>
    <font>
      <i/>
      <sz val="11"/>
      <color rgb="FF80808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  <font>
      <b/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B4C6E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0" xfId="0" applyFill="1"/>
    <xf numFmtId="1" fontId="0" fillId="0" borderId="1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7" xfId="0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1" fillId="6" borderId="1" xfId="0" applyFont="1" applyFill="1" applyBorder="1"/>
    <xf numFmtId="0" fontId="0" fillId="0" borderId="1" xfId="0" applyNumberForma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/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/>
    <xf numFmtId="0" fontId="0" fillId="0" borderId="12" xfId="0" applyFont="1" applyBorder="1" applyAlignment="1">
      <alignment horizontal="center"/>
    </xf>
    <xf numFmtId="1" fontId="0" fillId="0" borderId="13" xfId="0" applyNumberFormat="1" applyFont="1" applyBorder="1" applyAlignment="1">
      <alignment horizontal="center" textRotation="180"/>
    </xf>
    <xf numFmtId="1" fontId="0" fillId="0" borderId="14" xfId="0" applyNumberFormat="1" applyFont="1" applyBorder="1" applyAlignment="1">
      <alignment horizontal="center" textRotation="180"/>
    </xf>
    <xf numFmtId="0" fontId="0" fillId="0" borderId="15" xfId="0" applyFont="1" applyBorder="1" applyAlignment="1"/>
    <xf numFmtId="4" fontId="0" fillId="4" borderId="0" xfId="0" applyNumberFormat="1" applyFont="1" applyFill="1" applyBorder="1" applyAlignment="1"/>
    <xf numFmtId="4" fontId="0" fillId="4" borderId="16" xfId="0" applyNumberFormat="1" applyFont="1" applyFill="1" applyBorder="1" applyAlignment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4" fontId="0" fillId="4" borderId="18" xfId="0" applyNumberFormat="1" applyFont="1" applyFill="1" applyBorder="1" applyAlignment="1"/>
    <xf numFmtId="4" fontId="0" fillId="4" borderId="19" xfId="0" applyNumberFormat="1" applyFont="1" applyFill="1" applyBorder="1" applyAlignment="1"/>
    <xf numFmtId="0" fontId="0" fillId="2" borderId="1" xfId="0" applyFill="1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/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0" borderId="0" xfId="0" applyNumberFormat="1"/>
    <xf numFmtId="0" fontId="4" fillId="0" borderId="0" xfId="0" applyFont="1" applyFill="1" applyBorder="1" applyAlignment="1"/>
    <xf numFmtId="0" fontId="4" fillId="0" borderId="12" xfId="0" applyFont="1" applyFill="1" applyBorder="1" applyAlignment="1"/>
    <xf numFmtId="0" fontId="4" fillId="0" borderId="13" xfId="0" applyFont="1" applyFill="1" applyBorder="1" applyAlignment="1"/>
    <xf numFmtId="0" fontId="4" fillId="0" borderId="20" xfId="0" applyFont="1" applyFill="1" applyBorder="1" applyAlignment="1"/>
    <xf numFmtId="0" fontId="4" fillId="0" borderId="21" xfId="0" applyFont="1" applyFill="1" applyBorder="1" applyAlignment="1"/>
    <xf numFmtId="0" fontId="0" fillId="7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4" fillId="0" borderId="22" xfId="0" applyFont="1" applyFill="1" applyBorder="1" applyAlignment="1">
      <alignment textRotation="90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4" fillId="0" borderId="23" xfId="0" applyFont="1" applyFill="1" applyBorder="1" applyAlignment="1">
      <alignment textRotation="90"/>
    </xf>
    <xf numFmtId="0" fontId="4" fillId="8" borderId="0" xfId="0" applyFont="1" applyFill="1" applyBorder="1" applyAlignment="1"/>
    <xf numFmtId="0" fontId="8" fillId="5" borderId="0" xfId="0" applyFont="1" applyFill="1"/>
    <xf numFmtId="0" fontId="8" fillId="0" borderId="0" xfId="0" applyFont="1" applyFill="1"/>
    <xf numFmtId="0" fontId="8" fillId="8" borderId="0" xfId="0" applyFont="1" applyFill="1"/>
    <xf numFmtId="0" fontId="4" fillId="5" borderId="0" xfId="0" applyFont="1" applyFill="1" applyBorder="1" applyAlignment="1"/>
    <xf numFmtId="0" fontId="4" fillId="0" borderId="0" xfId="0" applyFont="1" applyFill="1" applyBorder="1" applyAlignment="1">
      <alignment textRotation="90"/>
    </xf>
    <xf numFmtId="0" fontId="4" fillId="0" borderId="15" xfId="0" applyFont="1" applyFill="1" applyBorder="1" applyAlignment="1"/>
    <xf numFmtId="0" fontId="4" fillId="0" borderId="0" xfId="0" applyFont="1" applyFill="1" applyBorder="1" applyAlignment="1"/>
    <xf numFmtId="0" fontId="4" fillId="0" borderId="12" xfId="0" applyFont="1" applyFill="1" applyBorder="1" applyAlignment="1">
      <alignment textRotation="90"/>
    </xf>
    <xf numFmtId="0" fontId="4" fillId="0" borderId="12" xfId="0" applyFont="1" applyFill="1" applyBorder="1" applyAlignment="1"/>
    <xf numFmtId="0" fontId="4" fillId="0" borderId="13" xfId="0" applyFont="1" applyFill="1" applyBorder="1" applyAlignment="1"/>
    <xf numFmtId="0" fontId="4" fillId="0" borderId="15" xfId="0" applyFont="1" applyFill="1" applyBorder="1" applyAlignment="1">
      <alignment textRotation="90"/>
    </xf>
    <xf numFmtId="0" fontId="4" fillId="0" borderId="15" xfId="0" applyFont="1" applyFill="1" applyBorder="1" applyAlignment="1"/>
    <xf numFmtId="0" fontId="0" fillId="0" borderId="0" xfId="0" applyFill="1" applyAlignment="1"/>
    <xf numFmtId="0" fontId="0" fillId="0" borderId="0" xfId="0" applyFill="1"/>
    <xf numFmtId="0" fontId="9" fillId="7" borderId="1" xfId="0" applyFont="1" applyFill="1" applyBorder="1" applyAlignment="1">
      <alignment horizontal="center"/>
    </xf>
    <xf numFmtId="0" fontId="10" fillId="10" borderId="1" xfId="0" applyFont="1" applyFill="1" applyBorder="1"/>
    <xf numFmtId="0" fontId="8" fillId="0" borderId="0" xfId="0" applyFont="1"/>
    <xf numFmtId="0" fontId="0" fillId="11" borderId="0" xfId="0" applyFill="1" applyAlignment="1"/>
    <xf numFmtId="0" fontId="0" fillId="5" borderId="1" xfId="0" applyFill="1" applyBorder="1" applyAlignment="1">
      <alignment horizontal="center"/>
    </xf>
    <xf numFmtId="0" fontId="11" fillId="12" borderId="9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/>
    </xf>
    <xf numFmtId="0" fontId="11" fillId="12" borderId="9" xfId="0" applyFont="1" applyFill="1" applyBorder="1"/>
    <xf numFmtId="0" fontId="11" fillId="12" borderId="9" xfId="0" applyFont="1" applyFill="1" applyBorder="1" applyAlignment="1">
      <alignment horizontal="center"/>
    </xf>
    <xf numFmtId="0" fontId="0" fillId="13" borderId="9" xfId="0" applyFill="1" applyBorder="1"/>
    <xf numFmtId="0" fontId="0" fillId="0" borderId="9" xfId="0" applyBorder="1"/>
    <xf numFmtId="0" fontId="4" fillId="0" borderId="0" xfId="0" applyFont="1" applyFill="1" applyBorder="1" applyAlignment="1">
      <alignment horizontal="left" textRotation="90"/>
    </xf>
    <xf numFmtId="0" fontId="12" fillId="12" borderId="1" xfId="0" applyFont="1" applyFill="1" applyBorder="1"/>
    <xf numFmtId="2" fontId="0" fillId="9" borderId="1" xfId="0" applyNumberFormat="1" applyFill="1" applyBorder="1"/>
    <xf numFmtId="2" fontId="0" fillId="0" borderId="0" xfId="0" applyNumberFormat="1" applyFill="1" applyAlignment="1"/>
    <xf numFmtId="2" fontId="0" fillId="11" borderId="0" xfId="0" applyNumberFormat="1" applyFill="1" applyAlignment="1"/>
    <xf numFmtId="2" fontId="0" fillId="0" borderId="0" xfId="0" applyNumberFormat="1" applyAlignment="1"/>
    <xf numFmtId="0" fontId="0" fillId="13" borderId="9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2" fontId="0" fillId="13" borderId="9" xfId="0" applyNumberFormat="1" applyFill="1" applyBorder="1"/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5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vertical="center" textRotation="90"/>
    </xf>
    <xf numFmtId="0" fontId="4" fillId="9" borderId="0" xfId="0" applyFon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 vertical="center" textRotation="90"/>
    </xf>
    <xf numFmtId="0" fontId="4" fillId="0" borderId="23" xfId="0" applyFont="1" applyFill="1" applyBorder="1" applyAlignment="1">
      <alignment horizontal="center" vertical="center" textRotation="90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" name="OpenSolver1">
          <a:extLst>
            <a:ext uri="{FF2B5EF4-FFF2-40B4-BE49-F238E27FC236}">
              <a16:creationId xmlns:a16="http://schemas.microsoft.com/office/drawing/2014/main" id="{0BA0502A-D3CB-BB4A-A3ED-9213F8F754AE}"/>
            </a:ext>
          </a:extLst>
        </xdr:cNvPr>
        <xdr:cNvSpPr/>
      </xdr:nvSpPr>
      <xdr:spPr>
        <a:xfrm>
          <a:off x="2019300" y="762000"/>
          <a:ext cx="3898900" cy="749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4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EDB0C1F0-B4DE-F54A-83C6-BBEE76C96F10}"/>
            </a:ext>
          </a:extLst>
        </xdr:cNvPr>
        <xdr:cNvSpPr/>
      </xdr:nvSpPr>
      <xdr:spPr>
        <a:xfrm>
          <a:off x="9156700" y="762000"/>
          <a:ext cx="2692400" cy="749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4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B0B268C3-F977-6E44-8EEE-079CDE1C7582}"/>
            </a:ext>
          </a:extLst>
        </xdr:cNvPr>
        <xdr:cNvSpPr/>
      </xdr:nvSpPr>
      <xdr:spPr>
        <a:xfrm>
          <a:off x="14541500" y="762000"/>
          <a:ext cx="2692400" cy="7493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5" name="OpenSolver4">
          <a:extLst>
            <a:ext uri="{FF2B5EF4-FFF2-40B4-BE49-F238E27FC236}">
              <a16:creationId xmlns:a16="http://schemas.microsoft.com/office/drawing/2014/main" id="{FC3737BC-4E04-684C-9800-6DA60AB77183}"/>
            </a:ext>
          </a:extLst>
        </xdr:cNvPr>
        <xdr:cNvSpPr/>
      </xdr:nvSpPr>
      <xdr:spPr>
        <a:xfrm>
          <a:off x="2019300" y="2451100"/>
          <a:ext cx="38989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6" name="OpenSolver5">
          <a:extLst>
            <a:ext uri="{FF2B5EF4-FFF2-40B4-BE49-F238E27FC236}">
              <a16:creationId xmlns:a16="http://schemas.microsoft.com/office/drawing/2014/main" id="{6D7FE0E3-D07C-E942-ACFC-EAB6001B44D7}"/>
            </a:ext>
          </a:extLst>
        </xdr:cNvPr>
        <xdr:cNvSpPr/>
      </xdr:nvSpPr>
      <xdr:spPr>
        <a:xfrm>
          <a:off x="9156700" y="2451100"/>
          <a:ext cx="26924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13</xdr:row>
      <xdr:rowOff>0</xdr:rowOff>
    </xdr:from>
    <xdr:to>
      <xdr:col>23</xdr:col>
      <xdr:colOff>0</xdr:colOff>
      <xdr:row>17</xdr:row>
      <xdr:rowOff>0</xdr:rowOff>
    </xdr:to>
    <xdr:sp macro="" textlink="">
      <xdr:nvSpPr>
        <xdr:cNvPr id="7" name="OpenSolver6">
          <a:extLst>
            <a:ext uri="{FF2B5EF4-FFF2-40B4-BE49-F238E27FC236}">
              <a16:creationId xmlns:a16="http://schemas.microsoft.com/office/drawing/2014/main" id="{1AD52595-17A7-FE47-A543-D74E047DBA11}"/>
            </a:ext>
          </a:extLst>
        </xdr:cNvPr>
        <xdr:cNvSpPr/>
      </xdr:nvSpPr>
      <xdr:spPr>
        <a:xfrm>
          <a:off x="14541500" y="2451100"/>
          <a:ext cx="26924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8" name="OpenSolver7">
          <a:extLst>
            <a:ext uri="{FF2B5EF4-FFF2-40B4-BE49-F238E27FC236}">
              <a16:creationId xmlns:a16="http://schemas.microsoft.com/office/drawing/2014/main" id="{285F0E43-C3E7-5444-8103-47402ACF90C9}"/>
            </a:ext>
          </a:extLst>
        </xdr:cNvPr>
        <xdr:cNvSpPr/>
      </xdr:nvSpPr>
      <xdr:spPr>
        <a:xfrm>
          <a:off x="2019300" y="3962400"/>
          <a:ext cx="38989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22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9" name="OpenSolver8">
          <a:extLst>
            <a:ext uri="{FF2B5EF4-FFF2-40B4-BE49-F238E27FC236}">
              <a16:creationId xmlns:a16="http://schemas.microsoft.com/office/drawing/2014/main" id="{C03AAFAD-C363-F049-9BE0-B0F6C3664C80}"/>
            </a:ext>
          </a:extLst>
        </xdr:cNvPr>
        <xdr:cNvSpPr/>
      </xdr:nvSpPr>
      <xdr:spPr>
        <a:xfrm>
          <a:off x="9156700" y="3962400"/>
          <a:ext cx="26924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23</xdr:col>
      <xdr:colOff>0</xdr:colOff>
      <xdr:row>26</xdr:row>
      <xdr:rowOff>0</xdr:rowOff>
    </xdr:to>
    <xdr:sp macro="" textlink="">
      <xdr:nvSpPr>
        <xdr:cNvPr id="10" name="OpenSolver9">
          <a:extLst>
            <a:ext uri="{FF2B5EF4-FFF2-40B4-BE49-F238E27FC236}">
              <a16:creationId xmlns:a16="http://schemas.microsoft.com/office/drawing/2014/main" id="{CDB56FFC-0436-0F48-9D33-AFB428FE93FD}"/>
            </a:ext>
          </a:extLst>
        </xdr:cNvPr>
        <xdr:cNvSpPr/>
      </xdr:nvSpPr>
      <xdr:spPr>
        <a:xfrm>
          <a:off x="14541500" y="3962400"/>
          <a:ext cx="26924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31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1" name="OpenSolver10">
          <a:extLst>
            <a:ext uri="{FF2B5EF4-FFF2-40B4-BE49-F238E27FC236}">
              <a16:creationId xmlns:a16="http://schemas.microsoft.com/office/drawing/2014/main" id="{03CA0039-4B84-A541-874F-B262B58D7150}"/>
            </a:ext>
          </a:extLst>
        </xdr:cNvPr>
        <xdr:cNvSpPr/>
      </xdr:nvSpPr>
      <xdr:spPr>
        <a:xfrm>
          <a:off x="2019300" y="5651500"/>
          <a:ext cx="38989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31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12" name="OpenSolver11">
          <a:extLst>
            <a:ext uri="{FF2B5EF4-FFF2-40B4-BE49-F238E27FC236}">
              <a16:creationId xmlns:a16="http://schemas.microsoft.com/office/drawing/2014/main" id="{A0254BBD-B014-7741-91AA-6487D051B63F}"/>
            </a:ext>
          </a:extLst>
        </xdr:cNvPr>
        <xdr:cNvSpPr/>
      </xdr:nvSpPr>
      <xdr:spPr>
        <a:xfrm>
          <a:off x="9156700" y="5651500"/>
          <a:ext cx="26924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31</xdr:row>
      <xdr:rowOff>0</xdr:rowOff>
    </xdr:from>
    <xdr:to>
      <xdr:col>23</xdr:col>
      <xdr:colOff>0</xdr:colOff>
      <xdr:row>35</xdr:row>
      <xdr:rowOff>0</xdr:rowOff>
    </xdr:to>
    <xdr:sp macro="" textlink="">
      <xdr:nvSpPr>
        <xdr:cNvPr id="13" name="OpenSolver12">
          <a:extLst>
            <a:ext uri="{FF2B5EF4-FFF2-40B4-BE49-F238E27FC236}">
              <a16:creationId xmlns:a16="http://schemas.microsoft.com/office/drawing/2014/main" id="{31B6E68F-F33F-C249-AD42-DECCB14BE71A}"/>
            </a:ext>
          </a:extLst>
        </xdr:cNvPr>
        <xdr:cNvSpPr/>
      </xdr:nvSpPr>
      <xdr:spPr>
        <a:xfrm>
          <a:off x="14541500" y="5651500"/>
          <a:ext cx="2692400" cy="762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26</xdr:col>
      <xdr:colOff>0</xdr:colOff>
      <xdr:row>46</xdr:row>
      <xdr:rowOff>0</xdr:rowOff>
    </xdr:from>
    <xdr:to>
      <xdr:col>32</xdr:col>
      <xdr:colOff>0</xdr:colOff>
      <xdr:row>48</xdr:row>
      <xdr:rowOff>0</xdr:rowOff>
    </xdr:to>
    <xdr:sp macro="" textlink="">
      <xdr:nvSpPr>
        <xdr:cNvPr id="14" name="OpenSolver13">
          <a:extLst>
            <a:ext uri="{FF2B5EF4-FFF2-40B4-BE49-F238E27FC236}">
              <a16:creationId xmlns:a16="http://schemas.microsoft.com/office/drawing/2014/main" id="{6614D0EF-2D4D-AF44-B574-AD87EAA0D0A6}"/>
            </a:ext>
          </a:extLst>
        </xdr:cNvPr>
        <xdr:cNvSpPr/>
      </xdr:nvSpPr>
      <xdr:spPr>
        <a:xfrm>
          <a:off x="20713700" y="8509000"/>
          <a:ext cx="5156200" cy="381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26</xdr:col>
      <xdr:colOff>0</xdr:colOff>
      <xdr:row>58</xdr:row>
      <xdr:rowOff>0</xdr:rowOff>
    </xdr:from>
    <xdr:to>
      <xdr:col>32</xdr:col>
      <xdr:colOff>0</xdr:colOff>
      <xdr:row>60</xdr:row>
      <xdr:rowOff>0</xdr:rowOff>
    </xdr:to>
    <xdr:sp macro="" textlink="">
      <xdr:nvSpPr>
        <xdr:cNvPr id="15" name="OpenSolver14">
          <a:extLst>
            <a:ext uri="{FF2B5EF4-FFF2-40B4-BE49-F238E27FC236}">
              <a16:creationId xmlns:a16="http://schemas.microsoft.com/office/drawing/2014/main" id="{4ADA22A0-C4EE-5642-A0E2-68E61628982C}"/>
            </a:ext>
          </a:extLst>
        </xdr:cNvPr>
        <xdr:cNvSpPr/>
      </xdr:nvSpPr>
      <xdr:spPr>
        <a:xfrm>
          <a:off x="20713700" y="10795000"/>
          <a:ext cx="5156200" cy="381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16" name="OpenSolver15">
          <a:extLst>
            <a:ext uri="{FF2B5EF4-FFF2-40B4-BE49-F238E27FC236}">
              <a16:creationId xmlns:a16="http://schemas.microsoft.com/office/drawing/2014/main" id="{EC8C21A5-9336-FC4B-A7F8-F4DDEDD08B04}"/>
            </a:ext>
          </a:extLst>
        </xdr:cNvPr>
        <xdr:cNvSpPr/>
      </xdr:nvSpPr>
      <xdr:spPr>
        <a:xfrm>
          <a:off x="2019300" y="9271000"/>
          <a:ext cx="10922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660400</xdr:colOff>
      <xdr:row>49</xdr:row>
      <xdr:rowOff>114300</xdr:rowOff>
    </xdr:from>
    <xdr:to>
      <xdr:col>3</xdr:col>
      <xdr:colOff>236535</xdr:colOff>
      <xdr:row>50</xdr:row>
      <xdr:rowOff>50800</xdr:rowOff>
    </xdr:to>
    <xdr:sp macro="" textlink="">
      <xdr:nvSpPr>
        <xdr:cNvPr id="17" name="OpenSolver16">
          <a:extLst>
            <a:ext uri="{FF2B5EF4-FFF2-40B4-BE49-F238E27FC236}">
              <a16:creationId xmlns:a16="http://schemas.microsoft.com/office/drawing/2014/main" id="{CB11EE57-AD32-E240-B5B5-71D1FF96387E}"/>
            </a:ext>
          </a:extLst>
        </xdr:cNvPr>
        <xdr:cNvSpPr/>
      </xdr:nvSpPr>
      <xdr:spPr>
        <a:xfrm>
          <a:off x="2006600" y="9194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26</xdr:col>
      <xdr:colOff>0</xdr:colOff>
      <xdr:row>4</xdr:row>
      <xdr:rowOff>0</xdr:rowOff>
    </xdr:from>
    <xdr:to>
      <xdr:col>27</xdr:col>
      <xdr:colOff>0</xdr:colOff>
      <xdr:row>16</xdr:row>
      <xdr:rowOff>0</xdr:rowOff>
    </xdr:to>
    <xdr:sp macro="" textlink="">
      <xdr:nvSpPr>
        <xdr:cNvPr id="18" name="OpenSolver17">
          <a:extLst>
            <a:ext uri="{FF2B5EF4-FFF2-40B4-BE49-F238E27FC236}">
              <a16:creationId xmlns:a16="http://schemas.microsoft.com/office/drawing/2014/main" id="{018B2C4A-C2D3-524C-AFC9-806AF1D607C9}"/>
            </a:ext>
          </a:extLst>
        </xdr:cNvPr>
        <xdr:cNvSpPr/>
      </xdr:nvSpPr>
      <xdr:spPr>
        <a:xfrm>
          <a:off x="20713700" y="762000"/>
          <a:ext cx="1460500" cy="2260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28</xdr:col>
      <xdr:colOff>0</xdr:colOff>
      <xdr:row>4</xdr:row>
      <xdr:rowOff>0</xdr:rowOff>
    </xdr:from>
    <xdr:to>
      <xdr:col>29</xdr:col>
      <xdr:colOff>0</xdr:colOff>
      <xdr:row>16</xdr:row>
      <xdr:rowOff>0</xdr:rowOff>
    </xdr:to>
    <xdr:sp macro="" textlink="">
      <xdr:nvSpPr>
        <xdr:cNvPr id="19" name="OpenSolver18">
          <a:extLst>
            <a:ext uri="{FF2B5EF4-FFF2-40B4-BE49-F238E27FC236}">
              <a16:creationId xmlns:a16="http://schemas.microsoft.com/office/drawing/2014/main" id="{FEDD74A2-B331-B049-8E14-D2291780EA27}"/>
            </a:ext>
          </a:extLst>
        </xdr:cNvPr>
        <xdr:cNvSpPr/>
      </xdr:nvSpPr>
      <xdr:spPr>
        <a:xfrm>
          <a:off x="22847300" y="762000"/>
          <a:ext cx="673100" cy="22606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27</xdr:col>
      <xdr:colOff>0</xdr:colOff>
      <xdr:row>10</xdr:row>
      <xdr:rowOff>12700</xdr:rowOff>
    </xdr:from>
    <xdr:to>
      <xdr:col>28</xdr:col>
      <xdr:colOff>0</xdr:colOff>
      <xdr:row>10</xdr:row>
      <xdr:rowOff>12700</xdr:rowOff>
    </xdr:to>
    <xdr:cxnSp macro="">
      <xdr:nvCxnSpPr>
        <xdr:cNvPr id="20" name="OpenSolver19">
          <a:extLst>
            <a:ext uri="{FF2B5EF4-FFF2-40B4-BE49-F238E27FC236}">
              <a16:creationId xmlns:a16="http://schemas.microsoft.com/office/drawing/2014/main" id="{C07616DC-D9AC-8C47-9647-08F9E1515102}"/>
            </a:ext>
          </a:extLst>
        </xdr:cNvPr>
        <xdr:cNvCxnSpPr>
          <a:stCxn id="18" idx="3"/>
          <a:endCxn id="19" idx="1"/>
        </xdr:cNvCxnSpPr>
      </xdr:nvCxnSpPr>
      <xdr:spPr>
        <a:xfrm>
          <a:off x="22174200" y="1892300"/>
          <a:ext cx="6731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146050</xdr:colOff>
      <xdr:row>9</xdr:row>
      <xdr:rowOff>76200</xdr:rowOff>
    </xdr:from>
    <xdr:to>
      <xdr:col>27</xdr:col>
      <xdr:colOff>527050</xdr:colOff>
      <xdr:row>10</xdr:row>
      <xdr:rowOff>139700</xdr:rowOff>
    </xdr:to>
    <xdr:sp macro="" textlink="">
      <xdr:nvSpPr>
        <xdr:cNvPr id="21" name="OpenSolver20">
          <a:extLst>
            <a:ext uri="{FF2B5EF4-FFF2-40B4-BE49-F238E27FC236}">
              <a16:creationId xmlns:a16="http://schemas.microsoft.com/office/drawing/2014/main" id="{AD48BAFD-9BB7-4541-AFB6-FD4225E2C043}"/>
            </a:ext>
          </a:extLst>
        </xdr:cNvPr>
        <xdr:cNvSpPr/>
      </xdr:nvSpPr>
      <xdr:spPr>
        <a:xfrm>
          <a:off x="22320250" y="1765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4</xdr:row>
      <xdr:rowOff>0</xdr:rowOff>
    </xdr:from>
    <xdr:to>
      <xdr:col>32</xdr:col>
      <xdr:colOff>0</xdr:colOff>
      <xdr:row>16</xdr:row>
      <xdr:rowOff>0</xdr:rowOff>
    </xdr:to>
    <xdr:sp macro="" textlink="">
      <xdr:nvSpPr>
        <xdr:cNvPr id="22" name="OpenSolver21">
          <a:extLst>
            <a:ext uri="{FF2B5EF4-FFF2-40B4-BE49-F238E27FC236}">
              <a16:creationId xmlns:a16="http://schemas.microsoft.com/office/drawing/2014/main" id="{EA1BA139-E57E-3142-81BC-043C8199D0B6}"/>
            </a:ext>
          </a:extLst>
        </xdr:cNvPr>
        <xdr:cNvSpPr/>
      </xdr:nvSpPr>
      <xdr:spPr>
        <a:xfrm>
          <a:off x="25425400" y="762000"/>
          <a:ext cx="444500" cy="2260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23" name="OpenSolver22">
          <a:extLst>
            <a:ext uri="{FF2B5EF4-FFF2-40B4-BE49-F238E27FC236}">
              <a16:creationId xmlns:a16="http://schemas.microsoft.com/office/drawing/2014/main" id="{0FF9BDD8-5C3C-C249-9113-CFFFC295C834}"/>
            </a:ext>
          </a:extLst>
        </xdr:cNvPr>
        <xdr:cNvSpPr/>
      </xdr:nvSpPr>
      <xdr:spPr>
        <a:xfrm>
          <a:off x="26543000" y="762000"/>
          <a:ext cx="673100" cy="22606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32</xdr:col>
      <xdr:colOff>0</xdr:colOff>
      <xdr:row>10</xdr:row>
      <xdr:rowOff>12700</xdr:rowOff>
    </xdr:from>
    <xdr:to>
      <xdr:col>33</xdr:col>
      <xdr:colOff>0</xdr:colOff>
      <xdr:row>10</xdr:row>
      <xdr:rowOff>12700</xdr:rowOff>
    </xdr:to>
    <xdr:cxnSp macro="">
      <xdr:nvCxnSpPr>
        <xdr:cNvPr id="24" name="OpenSolver23">
          <a:extLst>
            <a:ext uri="{FF2B5EF4-FFF2-40B4-BE49-F238E27FC236}">
              <a16:creationId xmlns:a16="http://schemas.microsoft.com/office/drawing/2014/main" id="{1E0C99E0-94E1-554D-A940-AF4D8BE08C52}"/>
            </a:ext>
          </a:extLst>
        </xdr:cNvPr>
        <xdr:cNvCxnSpPr>
          <a:stCxn id="22" idx="3"/>
          <a:endCxn id="23" idx="1"/>
        </xdr:cNvCxnSpPr>
      </xdr:nvCxnSpPr>
      <xdr:spPr>
        <a:xfrm>
          <a:off x="25869900" y="1892300"/>
          <a:ext cx="67310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146050</xdr:colOff>
      <xdr:row>9</xdr:row>
      <xdr:rowOff>76200</xdr:rowOff>
    </xdr:from>
    <xdr:to>
      <xdr:col>32</xdr:col>
      <xdr:colOff>527050</xdr:colOff>
      <xdr:row>10</xdr:row>
      <xdr:rowOff>139700</xdr:rowOff>
    </xdr:to>
    <xdr:sp macro="" textlink="">
      <xdr:nvSpPr>
        <xdr:cNvPr id="25" name="OpenSolver24">
          <a:extLst>
            <a:ext uri="{FF2B5EF4-FFF2-40B4-BE49-F238E27FC236}">
              <a16:creationId xmlns:a16="http://schemas.microsoft.com/office/drawing/2014/main" id="{70F2F8DA-2CF5-DB41-AF23-6DD9F7D408AA}"/>
            </a:ext>
          </a:extLst>
        </xdr:cNvPr>
        <xdr:cNvSpPr/>
      </xdr:nvSpPr>
      <xdr:spPr>
        <a:xfrm>
          <a:off x="26015950" y="1765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0</xdr:colOff>
      <xdr:row>4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26" name="OpenSolver25">
          <a:extLst>
            <a:ext uri="{FF2B5EF4-FFF2-40B4-BE49-F238E27FC236}">
              <a16:creationId xmlns:a16="http://schemas.microsoft.com/office/drawing/2014/main" id="{FD1E11D7-E67C-B046-A379-44F472E245A2}"/>
            </a:ext>
          </a:extLst>
        </xdr:cNvPr>
        <xdr:cNvSpPr/>
      </xdr:nvSpPr>
      <xdr:spPr>
        <a:xfrm>
          <a:off x="29946600" y="762000"/>
          <a:ext cx="1841500" cy="2260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38</xdr:col>
      <xdr:colOff>0</xdr:colOff>
      <xdr:row>4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27" name="OpenSolver26">
          <a:extLst>
            <a:ext uri="{FF2B5EF4-FFF2-40B4-BE49-F238E27FC236}">
              <a16:creationId xmlns:a16="http://schemas.microsoft.com/office/drawing/2014/main" id="{B756F86B-011E-4F48-AECF-7A985AAAD628}"/>
            </a:ext>
          </a:extLst>
        </xdr:cNvPr>
        <xdr:cNvSpPr/>
      </xdr:nvSpPr>
      <xdr:spPr>
        <a:xfrm>
          <a:off x="32461200" y="762000"/>
          <a:ext cx="673100" cy="2260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37</xdr:col>
      <xdr:colOff>0</xdr:colOff>
      <xdr:row>10</xdr:row>
      <xdr:rowOff>12700</xdr:rowOff>
    </xdr:from>
    <xdr:to>
      <xdr:col>38</xdr:col>
      <xdr:colOff>0</xdr:colOff>
      <xdr:row>10</xdr:row>
      <xdr:rowOff>12700</xdr:rowOff>
    </xdr:to>
    <xdr:cxnSp macro="">
      <xdr:nvCxnSpPr>
        <xdr:cNvPr id="28" name="OpenSolver27">
          <a:extLst>
            <a:ext uri="{FF2B5EF4-FFF2-40B4-BE49-F238E27FC236}">
              <a16:creationId xmlns:a16="http://schemas.microsoft.com/office/drawing/2014/main" id="{D3E2E12C-8E0E-FA42-8CF4-98BBF4AA6BEF}"/>
            </a:ext>
          </a:extLst>
        </xdr:cNvPr>
        <xdr:cNvCxnSpPr>
          <a:stCxn id="26" idx="3"/>
          <a:endCxn id="27" idx="1"/>
        </xdr:cNvCxnSpPr>
      </xdr:nvCxnSpPr>
      <xdr:spPr>
        <a:xfrm>
          <a:off x="31788100" y="1892300"/>
          <a:ext cx="6731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146050</xdr:colOff>
      <xdr:row>9</xdr:row>
      <xdr:rowOff>76200</xdr:rowOff>
    </xdr:from>
    <xdr:to>
      <xdr:col>37</xdr:col>
      <xdr:colOff>527050</xdr:colOff>
      <xdr:row>10</xdr:row>
      <xdr:rowOff>139700</xdr:rowOff>
    </xdr:to>
    <xdr:sp macro="" textlink="">
      <xdr:nvSpPr>
        <xdr:cNvPr id="29" name="OpenSolver28">
          <a:extLst>
            <a:ext uri="{FF2B5EF4-FFF2-40B4-BE49-F238E27FC236}">
              <a16:creationId xmlns:a16="http://schemas.microsoft.com/office/drawing/2014/main" id="{E9244594-4BA1-E344-A964-03BC51FDF63C}"/>
            </a:ext>
          </a:extLst>
        </xdr:cNvPr>
        <xdr:cNvSpPr/>
      </xdr:nvSpPr>
      <xdr:spPr>
        <a:xfrm>
          <a:off x="31934150" y="1765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0</xdr:colOff>
      <xdr:row>4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30" name="OpenSolver29">
          <a:extLst>
            <a:ext uri="{FF2B5EF4-FFF2-40B4-BE49-F238E27FC236}">
              <a16:creationId xmlns:a16="http://schemas.microsoft.com/office/drawing/2014/main" id="{D29289E0-4627-DF4F-9DF7-972050D253AC}"/>
            </a:ext>
          </a:extLst>
        </xdr:cNvPr>
        <xdr:cNvSpPr/>
      </xdr:nvSpPr>
      <xdr:spPr>
        <a:xfrm>
          <a:off x="34607500" y="762000"/>
          <a:ext cx="1689100" cy="2260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43</xdr:col>
      <xdr:colOff>0</xdr:colOff>
      <xdr:row>4</xdr:row>
      <xdr:rowOff>0</xdr:rowOff>
    </xdr:from>
    <xdr:to>
      <xdr:col>44</xdr:col>
      <xdr:colOff>0</xdr:colOff>
      <xdr:row>16</xdr:row>
      <xdr:rowOff>0</xdr:rowOff>
    </xdr:to>
    <xdr:sp macro="" textlink="">
      <xdr:nvSpPr>
        <xdr:cNvPr id="31" name="OpenSolver30">
          <a:extLst>
            <a:ext uri="{FF2B5EF4-FFF2-40B4-BE49-F238E27FC236}">
              <a16:creationId xmlns:a16="http://schemas.microsoft.com/office/drawing/2014/main" id="{69C5B5DD-1DAC-DF49-BAF0-B7A98777F1F5}"/>
            </a:ext>
          </a:extLst>
        </xdr:cNvPr>
        <xdr:cNvSpPr/>
      </xdr:nvSpPr>
      <xdr:spPr>
        <a:xfrm>
          <a:off x="36969700" y="762000"/>
          <a:ext cx="673100" cy="2260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42</xdr:col>
      <xdr:colOff>0</xdr:colOff>
      <xdr:row>10</xdr:row>
      <xdr:rowOff>12700</xdr:rowOff>
    </xdr:from>
    <xdr:to>
      <xdr:col>43</xdr:col>
      <xdr:colOff>0</xdr:colOff>
      <xdr:row>10</xdr:row>
      <xdr:rowOff>12700</xdr:rowOff>
    </xdr:to>
    <xdr:cxnSp macro="">
      <xdr:nvCxnSpPr>
        <xdr:cNvPr id="32" name="OpenSolver31">
          <a:extLst>
            <a:ext uri="{FF2B5EF4-FFF2-40B4-BE49-F238E27FC236}">
              <a16:creationId xmlns:a16="http://schemas.microsoft.com/office/drawing/2014/main" id="{4AC55A54-81A3-D547-B927-C87563267B10}"/>
            </a:ext>
          </a:extLst>
        </xdr:cNvPr>
        <xdr:cNvCxnSpPr>
          <a:stCxn id="30" idx="3"/>
          <a:endCxn id="31" idx="1"/>
        </xdr:cNvCxnSpPr>
      </xdr:nvCxnSpPr>
      <xdr:spPr>
        <a:xfrm>
          <a:off x="36296600" y="1892300"/>
          <a:ext cx="6731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146050</xdr:colOff>
      <xdr:row>9</xdr:row>
      <xdr:rowOff>76200</xdr:rowOff>
    </xdr:from>
    <xdr:to>
      <xdr:col>42</xdr:col>
      <xdr:colOff>527050</xdr:colOff>
      <xdr:row>10</xdr:row>
      <xdr:rowOff>139700</xdr:rowOff>
    </xdr:to>
    <xdr:sp macro="" textlink="">
      <xdr:nvSpPr>
        <xdr:cNvPr id="33" name="OpenSolver32">
          <a:extLst>
            <a:ext uri="{FF2B5EF4-FFF2-40B4-BE49-F238E27FC236}">
              <a16:creationId xmlns:a16="http://schemas.microsoft.com/office/drawing/2014/main" id="{F5F5AF93-56AC-8D45-8CC9-3D6A139AC972}"/>
            </a:ext>
          </a:extLst>
        </xdr:cNvPr>
        <xdr:cNvSpPr/>
      </xdr:nvSpPr>
      <xdr:spPr>
        <a:xfrm>
          <a:off x="36442650" y="17653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0</xdr:colOff>
      <xdr:row>4</xdr:row>
      <xdr:rowOff>0</xdr:rowOff>
    </xdr:from>
    <xdr:to>
      <xdr:col>47</xdr:col>
      <xdr:colOff>0</xdr:colOff>
      <xdr:row>45</xdr:row>
      <xdr:rowOff>0</xdr:rowOff>
    </xdr:to>
    <xdr:sp macro="" textlink="">
      <xdr:nvSpPr>
        <xdr:cNvPr id="34" name="OpenSolver33">
          <a:extLst>
            <a:ext uri="{FF2B5EF4-FFF2-40B4-BE49-F238E27FC236}">
              <a16:creationId xmlns:a16="http://schemas.microsoft.com/office/drawing/2014/main" id="{ADA98B7D-87AE-6145-85F3-742BE9838CC2}"/>
            </a:ext>
          </a:extLst>
        </xdr:cNvPr>
        <xdr:cNvSpPr/>
      </xdr:nvSpPr>
      <xdr:spPr>
        <a:xfrm>
          <a:off x="39344600" y="762000"/>
          <a:ext cx="673100" cy="7556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48</xdr:col>
      <xdr:colOff>0</xdr:colOff>
      <xdr:row>4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35" name="OpenSolver34">
          <a:extLst>
            <a:ext uri="{FF2B5EF4-FFF2-40B4-BE49-F238E27FC236}">
              <a16:creationId xmlns:a16="http://schemas.microsoft.com/office/drawing/2014/main" id="{D2E5868A-DE99-C24D-819A-4D3F57C40F99}"/>
            </a:ext>
          </a:extLst>
        </xdr:cNvPr>
        <xdr:cNvSpPr/>
      </xdr:nvSpPr>
      <xdr:spPr>
        <a:xfrm>
          <a:off x="40690800" y="762000"/>
          <a:ext cx="673100" cy="755650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47</xdr:col>
      <xdr:colOff>0</xdr:colOff>
      <xdr:row>25</xdr:row>
      <xdr:rowOff>6350</xdr:rowOff>
    </xdr:from>
    <xdr:to>
      <xdr:col>48</xdr:col>
      <xdr:colOff>0</xdr:colOff>
      <xdr:row>25</xdr:row>
      <xdr:rowOff>6350</xdr:rowOff>
    </xdr:to>
    <xdr:cxnSp macro="">
      <xdr:nvCxnSpPr>
        <xdr:cNvPr id="36" name="OpenSolver35">
          <a:extLst>
            <a:ext uri="{FF2B5EF4-FFF2-40B4-BE49-F238E27FC236}">
              <a16:creationId xmlns:a16="http://schemas.microsoft.com/office/drawing/2014/main" id="{0B36DE1E-0B74-7A4D-8E3D-33CEC093F620}"/>
            </a:ext>
          </a:extLst>
        </xdr:cNvPr>
        <xdr:cNvCxnSpPr>
          <a:stCxn id="34" idx="3"/>
          <a:endCxn id="35" idx="1"/>
        </xdr:cNvCxnSpPr>
      </xdr:nvCxnSpPr>
      <xdr:spPr>
        <a:xfrm>
          <a:off x="40017700" y="4540250"/>
          <a:ext cx="67310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146050</xdr:colOff>
      <xdr:row>24</xdr:row>
      <xdr:rowOff>69850</xdr:rowOff>
    </xdr:from>
    <xdr:to>
      <xdr:col>47</xdr:col>
      <xdr:colOff>527050</xdr:colOff>
      <xdr:row>25</xdr:row>
      <xdr:rowOff>133350</xdr:rowOff>
    </xdr:to>
    <xdr:sp macro="" textlink="">
      <xdr:nvSpPr>
        <xdr:cNvPr id="37" name="OpenSolver36">
          <a:extLst>
            <a:ext uri="{FF2B5EF4-FFF2-40B4-BE49-F238E27FC236}">
              <a16:creationId xmlns:a16="http://schemas.microsoft.com/office/drawing/2014/main" id="{E85B8E49-8331-404A-AD94-00E6D705E8FB}"/>
            </a:ext>
          </a:extLst>
        </xdr:cNvPr>
        <xdr:cNvSpPr/>
      </xdr:nvSpPr>
      <xdr:spPr>
        <a:xfrm>
          <a:off x="40163750" y="4413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24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38" name="OpenSolver37">
          <a:extLst>
            <a:ext uri="{FF2B5EF4-FFF2-40B4-BE49-F238E27FC236}">
              <a16:creationId xmlns:a16="http://schemas.microsoft.com/office/drawing/2014/main" id="{6621D871-C559-E346-83F5-03B8E6B1603F}"/>
            </a:ext>
          </a:extLst>
        </xdr:cNvPr>
        <xdr:cNvSpPr/>
      </xdr:nvSpPr>
      <xdr:spPr>
        <a:xfrm>
          <a:off x="20713700" y="4343400"/>
          <a:ext cx="1460500" cy="11176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29</xdr:col>
      <xdr:colOff>0</xdr:colOff>
      <xdr:row>30</xdr:row>
      <xdr:rowOff>0</xdr:rowOff>
    </xdr:to>
    <xdr:sp macro="" textlink="">
      <xdr:nvSpPr>
        <xdr:cNvPr id="39" name="OpenSolver38">
          <a:extLst>
            <a:ext uri="{FF2B5EF4-FFF2-40B4-BE49-F238E27FC236}">
              <a16:creationId xmlns:a16="http://schemas.microsoft.com/office/drawing/2014/main" id="{B283A7A3-743A-DD40-9B58-E8928E7BF775}"/>
            </a:ext>
          </a:extLst>
        </xdr:cNvPr>
        <xdr:cNvSpPr/>
      </xdr:nvSpPr>
      <xdr:spPr>
        <a:xfrm>
          <a:off x="22847300" y="4343400"/>
          <a:ext cx="673100" cy="111760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27</xdr:col>
      <xdr:colOff>0</xdr:colOff>
      <xdr:row>27</xdr:row>
      <xdr:rowOff>12700</xdr:rowOff>
    </xdr:from>
    <xdr:to>
      <xdr:col>28</xdr:col>
      <xdr:colOff>0</xdr:colOff>
      <xdr:row>27</xdr:row>
      <xdr:rowOff>12700</xdr:rowOff>
    </xdr:to>
    <xdr:cxnSp macro="">
      <xdr:nvCxnSpPr>
        <xdr:cNvPr id="40" name="OpenSolver39">
          <a:extLst>
            <a:ext uri="{FF2B5EF4-FFF2-40B4-BE49-F238E27FC236}">
              <a16:creationId xmlns:a16="http://schemas.microsoft.com/office/drawing/2014/main" id="{EBEFE6A7-7059-DD4B-A2FD-903069B839F2}"/>
            </a:ext>
          </a:extLst>
        </xdr:cNvPr>
        <xdr:cNvCxnSpPr>
          <a:stCxn id="38" idx="3"/>
          <a:endCxn id="39" idx="1"/>
        </xdr:cNvCxnSpPr>
      </xdr:nvCxnSpPr>
      <xdr:spPr>
        <a:xfrm>
          <a:off x="22174200" y="4902200"/>
          <a:ext cx="67310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146050</xdr:colOff>
      <xdr:row>26</xdr:row>
      <xdr:rowOff>50800</xdr:rowOff>
    </xdr:from>
    <xdr:to>
      <xdr:col>27</xdr:col>
      <xdr:colOff>527050</xdr:colOff>
      <xdr:row>27</xdr:row>
      <xdr:rowOff>139700</xdr:rowOff>
    </xdr:to>
    <xdr:sp macro="" textlink="">
      <xdr:nvSpPr>
        <xdr:cNvPr id="41" name="OpenSolver40">
          <a:extLst>
            <a:ext uri="{FF2B5EF4-FFF2-40B4-BE49-F238E27FC236}">
              <a16:creationId xmlns:a16="http://schemas.microsoft.com/office/drawing/2014/main" id="{AE602077-8394-9941-9A16-B7D0CC2495E9}"/>
            </a:ext>
          </a:extLst>
        </xdr:cNvPr>
        <xdr:cNvSpPr/>
      </xdr:nvSpPr>
      <xdr:spPr>
        <a:xfrm>
          <a:off x="22320250" y="47752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0</xdr:colOff>
      <xdr:row>24</xdr:row>
      <xdr:rowOff>0</xdr:rowOff>
    </xdr:from>
    <xdr:to>
      <xdr:col>32</xdr:col>
      <xdr:colOff>0</xdr:colOff>
      <xdr:row>36</xdr:row>
      <xdr:rowOff>0</xdr:rowOff>
    </xdr:to>
    <xdr:sp macro="" textlink="">
      <xdr:nvSpPr>
        <xdr:cNvPr id="42" name="OpenSolver41">
          <a:extLst>
            <a:ext uri="{FF2B5EF4-FFF2-40B4-BE49-F238E27FC236}">
              <a16:creationId xmlns:a16="http://schemas.microsoft.com/office/drawing/2014/main" id="{96092818-BF0C-E44A-970F-FB9B29579BDA}"/>
            </a:ext>
          </a:extLst>
        </xdr:cNvPr>
        <xdr:cNvSpPr/>
      </xdr:nvSpPr>
      <xdr:spPr>
        <a:xfrm>
          <a:off x="25425400" y="4343400"/>
          <a:ext cx="444500" cy="22606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33</xdr:col>
      <xdr:colOff>0</xdr:colOff>
      <xdr:row>24</xdr:row>
      <xdr:rowOff>0</xdr:rowOff>
    </xdr:from>
    <xdr:to>
      <xdr:col>34</xdr:col>
      <xdr:colOff>0</xdr:colOff>
      <xdr:row>36</xdr:row>
      <xdr:rowOff>0</xdr:rowOff>
    </xdr:to>
    <xdr:sp macro="" textlink="">
      <xdr:nvSpPr>
        <xdr:cNvPr id="43" name="OpenSolver42">
          <a:extLst>
            <a:ext uri="{FF2B5EF4-FFF2-40B4-BE49-F238E27FC236}">
              <a16:creationId xmlns:a16="http://schemas.microsoft.com/office/drawing/2014/main" id="{E86ECB9C-F90B-2A42-A0F2-62E0E91A2FA1}"/>
            </a:ext>
          </a:extLst>
        </xdr:cNvPr>
        <xdr:cNvSpPr/>
      </xdr:nvSpPr>
      <xdr:spPr>
        <a:xfrm>
          <a:off x="26543000" y="4343400"/>
          <a:ext cx="673100" cy="226060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32</xdr:col>
      <xdr:colOff>0</xdr:colOff>
      <xdr:row>30</xdr:row>
      <xdr:rowOff>12700</xdr:rowOff>
    </xdr:from>
    <xdr:to>
      <xdr:col>33</xdr:col>
      <xdr:colOff>0</xdr:colOff>
      <xdr:row>30</xdr:row>
      <xdr:rowOff>12700</xdr:rowOff>
    </xdr:to>
    <xdr:cxnSp macro="">
      <xdr:nvCxnSpPr>
        <xdr:cNvPr id="44" name="OpenSolver43">
          <a:extLst>
            <a:ext uri="{FF2B5EF4-FFF2-40B4-BE49-F238E27FC236}">
              <a16:creationId xmlns:a16="http://schemas.microsoft.com/office/drawing/2014/main" id="{D34DB613-5167-C84D-A9CE-D675F9485DBA}"/>
            </a:ext>
          </a:extLst>
        </xdr:cNvPr>
        <xdr:cNvCxnSpPr>
          <a:stCxn id="42" idx="3"/>
          <a:endCxn id="43" idx="1"/>
        </xdr:cNvCxnSpPr>
      </xdr:nvCxnSpPr>
      <xdr:spPr>
        <a:xfrm>
          <a:off x="25869900" y="5473700"/>
          <a:ext cx="67310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146050</xdr:colOff>
      <xdr:row>29</xdr:row>
      <xdr:rowOff>76200</xdr:rowOff>
    </xdr:from>
    <xdr:to>
      <xdr:col>32</xdr:col>
      <xdr:colOff>527050</xdr:colOff>
      <xdr:row>30</xdr:row>
      <xdr:rowOff>139700</xdr:rowOff>
    </xdr:to>
    <xdr:sp macro="" textlink="">
      <xdr:nvSpPr>
        <xdr:cNvPr id="45" name="OpenSolver44">
          <a:extLst>
            <a:ext uri="{FF2B5EF4-FFF2-40B4-BE49-F238E27FC236}">
              <a16:creationId xmlns:a16="http://schemas.microsoft.com/office/drawing/2014/main" id="{05F289FD-096C-8242-B534-C036DD7D7460}"/>
            </a:ext>
          </a:extLst>
        </xdr:cNvPr>
        <xdr:cNvSpPr/>
      </xdr:nvSpPr>
      <xdr:spPr>
        <a:xfrm>
          <a:off x="26015950" y="5346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48</xdr:row>
      <xdr:rowOff>0</xdr:rowOff>
    </xdr:from>
    <xdr:to>
      <xdr:col>32</xdr:col>
      <xdr:colOff>0</xdr:colOff>
      <xdr:row>49</xdr:row>
      <xdr:rowOff>0</xdr:rowOff>
    </xdr:to>
    <xdr:sp macro="" textlink="">
      <xdr:nvSpPr>
        <xdr:cNvPr id="46" name="OpenSolver45">
          <a:extLst>
            <a:ext uri="{FF2B5EF4-FFF2-40B4-BE49-F238E27FC236}">
              <a16:creationId xmlns:a16="http://schemas.microsoft.com/office/drawing/2014/main" id="{BBB3A623-F502-824E-B95D-D92DD4E1513E}"/>
            </a:ext>
          </a:extLst>
        </xdr:cNvPr>
        <xdr:cNvSpPr/>
      </xdr:nvSpPr>
      <xdr:spPr>
        <a:xfrm>
          <a:off x="20713700" y="8890000"/>
          <a:ext cx="51562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26</xdr:col>
      <xdr:colOff>0</xdr:colOff>
      <xdr:row>50</xdr:row>
      <xdr:rowOff>0</xdr:rowOff>
    </xdr:from>
    <xdr:to>
      <xdr:col>32</xdr:col>
      <xdr:colOff>0</xdr:colOff>
      <xdr:row>51</xdr:row>
      <xdr:rowOff>0</xdr:rowOff>
    </xdr:to>
    <xdr:sp macro="" textlink="">
      <xdr:nvSpPr>
        <xdr:cNvPr id="47" name="OpenSolver46">
          <a:extLst>
            <a:ext uri="{FF2B5EF4-FFF2-40B4-BE49-F238E27FC236}">
              <a16:creationId xmlns:a16="http://schemas.microsoft.com/office/drawing/2014/main" id="{20FB8BAF-822D-2F44-AC46-DD41E115DFAC}"/>
            </a:ext>
          </a:extLst>
        </xdr:cNvPr>
        <xdr:cNvSpPr/>
      </xdr:nvSpPr>
      <xdr:spPr>
        <a:xfrm>
          <a:off x="20713700" y="9271000"/>
          <a:ext cx="51562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28</xdr:col>
      <xdr:colOff>444500</xdr:colOff>
      <xdr:row>49</xdr:row>
      <xdr:rowOff>0</xdr:rowOff>
    </xdr:from>
    <xdr:to>
      <xdr:col>28</xdr:col>
      <xdr:colOff>444500</xdr:colOff>
      <xdr:row>50</xdr:row>
      <xdr:rowOff>0</xdr:rowOff>
    </xdr:to>
    <xdr:cxnSp macro="">
      <xdr:nvCxnSpPr>
        <xdr:cNvPr id="48" name="OpenSolver47">
          <a:extLst>
            <a:ext uri="{FF2B5EF4-FFF2-40B4-BE49-F238E27FC236}">
              <a16:creationId xmlns:a16="http://schemas.microsoft.com/office/drawing/2014/main" id="{C2FD2653-31B6-5B45-8FC8-1711B942A1DE}"/>
            </a:ext>
          </a:extLst>
        </xdr:cNvPr>
        <xdr:cNvCxnSpPr>
          <a:stCxn id="46" idx="2"/>
          <a:endCxn id="47" idx="0"/>
        </xdr:cNvCxnSpPr>
      </xdr:nvCxnSpPr>
      <xdr:spPr>
        <a:xfrm>
          <a:off x="23291800" y="9080500"/>
          <a:ext cx="0" cy="19050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254000</xdr:colOff>
      <xdr:row>48</xdr:row>
      <xdr:rowOff>158750</xdr:rowOff>
    </xdr:from>
    <xdr:to>
      <xdr:col>28</xdr:col>
      <xdr:colOff>635000</xdr:colOff>
      <xdr:row>50</xdr:row>
      <xdr:rowOff>31750</xdr:rowOff>
    </xdr:to>
    <xdr:sp macro="" textlink="">
      <xdr:nvSpPr>
        <xdr:cNvPr id="49" name="OpenSolver48">
          <a:extLst>
            <a:ext uri="{FF2B5EF4-FFF2-40B4-BE49-F238E27FC236}">
              <a16:creationId xmlns:a16="http://schemas.microsoft.com/office/drawing/2014/main" id="{9BC6C210-EC77-D947-A5F9-E9E6125E99FA}"/>
            </a:ext>
          </a:extLst>
        </xdr:cNvPr>
        <xdr:cNvSpPr/>
      </xdr:nvSpPr>
      <xdr:spPr>
        <a:xfrm>
          <a:off x="23101300" y="9048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60</xdr:row>
      <xdr:rowOff>0</xdr:rowOff>
    </xdr:from>
    <xdr:to>
      <xdr:col>32</xdr:col>
      <xdr:colOff>0</xdr:colOff>
      <xdr:row>61</xdr:row>
      <xdr:rowOff>0</xdr:rowOff>
    </xdr:to>
    <xdr:sp macro="" textlink="">
      <xdr:nvSpPr>
        <xdr:cNvPr id="50" name="OpenSolver49">
          <a:extLst>
            <a:ext uri="{FF2B5EF4-FFF2-40B4-BE49-F238E27FC236}">
              <a16:creationId xmlns:a16="http://schemas.microsoft.com/office/drawing/2014/main" id="{492D99AE-5C12-1641-BD9D-475D84E92092}"/>
            </a:ext>
          </a:extLst>
        </xdr:cNvPr>
        <xdr:cNvSpPr/>
      </xdr:nvSpPr>
      <xdr:spPr>
        <a:xfrm>
          <a:off x="20713700" y="11176000"/>
          <a:ext cx="51562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26</xdr:col>
      <xdr:colOff>0</xdr:colOff>
      <xdr:row>62</xdr:row>
      <xdr:rowOff>0</xdr:rowOff>
    </xdr:from>
    <xdr:to>
      <xdr:col>32</xdr:col>
      <xdr:colOff>0</xdr:colOff>
      <xdr:row>63</xdr:row>
      <xdr:rowOff>0</xdr:rowOff>
    </xdr:to>
    <xdr:sp macro="" textlink="">
      <xdr:nvSpPr>
        <xdr:cNvPr id="51" name="OpenSolver50">
          <a:extLst>
            <a:ext uri="{FF2B5EF4-FFF2-40B4-BE49-F238E27FC236}">
              <a16:creationId xmlns:a16="http://schemas.microsoft.com/office/drawing/2014/main" id="{12E36628-9439-6C4B-8C0D-20AE219AB88D}"/>
            </a:ext>
          </a:extLst>
        </xdr:cNvPr>
        <xdr:cNvSpPr/>
      </xdr:nvSpPr>
      <xdr:spPr>
        <a:xfrm>
          <a:off x="20713700" y="11557000"/>
          <a:ext cx="51562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28</xdr:col>
      <xdr:colOff>444500</xdr:colOff>
      <xdr:row>61</xdr:row>
      <xdr:rowOff>0</xdr:rowOff>
    </xdr:from>
    <xdr:to>
      <xdr:col>28</xdr:col>
      <xdr:colOff>444500</xdr:colOff>
      <xdr:row>62</xdr:row>
      <xdr:rowOff>0</xdr:rowOff>
    </xdr:to>
    <xdr:cxnSp macro="">
      <xdr:nvCxnSpPr>
        <xdr:cNvPr id="52" name="OpenSolver51">
          <a:extLst>
            <a:ext uri="{FF2B5EF4-FFF2-40B4-BE49-F238E27FC236}">
              <a16:creationId xmlns:a16="http://schemas.microsoft.com/office/drawing/2014/main" id="{A4183E6F-46B6-E143-B9C2-64881F16A88D}"/>
            </a:ext>
          </a:extLst>
        </xdr:cNvPr>
        <xdr:cNvCxnSpPr>
          <a:stCxn id="50" idx="2"/>
          <a:endCxn id="51" idx="0"/>
        </xdr:cNvCxnSpPr>
      </xdr:nvCxnSpPr>
      <xdr:spPr>
        <a:xfrm>
          <a:off x="23291800" y="11366500"/>
          <a:ext cx="0" cy="19050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254000</xdr:colOff>
      <xdr:row>60</xdr:row>
      <xdr:rowOff>158750</xdr:rowOff>
    </xdr:from>
    <xdr:to>
      <xdr:col>28</xdr:col>
      <xdr:colOff>635000</xdr:colOff>
      <xdr:row>62</xdr:row>
      <xdr:rowOff>31750</xdr:rowOff>
    </xdr:to>
    <xdr:sp macro="" textlink="">
      <xdr:nvSpPr>
        <xdr:cNvPr id="53" name="OpenSolver52">
          <a:extLst>
            <a:ext uri="{FF2B5EF4-FFF2-40B4-BE49-F238E27FC236}">
              <a16:creationId xmlns:a16="http://schemas.microsoft.com/office/drawing/2014/main" id="{50116489-E203-1D42-B91F-677FB1CF35B5}"/>
            </a:ext>
          </a:extLst>
        </xdr:cNvPr>
        <xdr:cNvSpPr/>
      </xdr:nvSpPr>
      <xdr:spPr>
        <a:xfrm>
          <a:off x="23101300" y="11334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0</xdr:colOff>
      <xdr:row>24</xdr:row>
      <xdr:rowOff>0</xdr:rowOff>
    </xdr:from>
    <xdr:to>
      <xdr:col>37</xdr:col>
      <xdr:colOff>0</xdr:colOff>
      <xdr:row>72</xdr:row>
      <xdr:rowOff>0</xdr:rowOff>
    </xdr:to>
    <xdr:sp macro="" textlink="">
      <xdr:nvSpPr>
        <xdr:cNvPr id="54" name="OpenSolver53">
          <a:extLst>
            <a:ext uri="{FF2B5EF4-FFF2-40B4-BE49-F238E27FC236}">
              <a16:creationId xmlns:a16="http://schemas.microsoft.com/office/drawing/2014/main" id="{3E165D49-D79D-744F-95D4-E9B1CBAE71B3}"/>
            </a:ext>
          </a:extLst>
        </xdr:cNvPr>
        <xdr:cNvSpPr/>
      </xdr:nvSpPr>
      <xdr:spPr>
        <a:xfrm>
          <a:off x="29946600" y="4343400"/>
          <a:ext cx="1841500" cy="9118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38</xdr:col>
      <xdr:colOff>0</xdr:colOff>
      <xdr:row>24</xdr:row>
      <xdr:rowOff>0</xdr:rowOff>
    </xdr:from>
    <xdr:to>
      <xdr:col>39</xdr:col>
      <xdr:colOff>0</xdr:colOff>
      <xdr:row>72</xdr:row>
      <xdr:rowOff>0</xdr:rowOff>
    </xdr:to>
    <xdr:sp macro="" textlink="">
      <xdr:nvSpPr>
        <xdr:cNvPr id="55" name="OpenSolver54">
          <a:extLst>
            <a:ext uri="{FF2B5EF4-FFF2-40B4-BE49-F238E27FC236}">
              <a16:creationId xmlns:a16="http://schemas.microsoft.com/office/drawing/2014/main" id="{380F1454-F061-9540-9853-34AC26D7FD81}"/>
            </a:ext>
          </a:extLst>
        </xdr:cNvPr>
        <xdr:cNvSpPr/>
      </xdr:nvSpPr>
      <xdr:spPr>
        <a:xfrm>
          <a:off x="32461200" y="4343400"/>
          <a:ext cx="673100" cy="91186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37</xdr:col>
      <xdr:colOff>0</xdr:colOff>
      <xdr:row>48</xdr:row>
      <xdr:rowOff>12700</xdr:rowOff>
    </xdr:from>
    <xdr:to>
      <xdr:col>38</xdr:col>
      <xdr:colOff>0</xdr:colOff>
      <xdr:row>48</xdr:row>
      <xdr:rowOff>12700</xdr:rowOff>
    </xdr:to>
    <xdr:cxnSp macro="">
      <xdr:nvCxnSpPr>
        <xdr:cNvPr id="56" name="OpenSolver55">
          <a:extLst>
            <a:ext uri="{FF2B5EF4-FFF2-40B4-BE49-F238E27FC236}">
              <a16:creationId xmlns:a16="http://schemas.microsoft.com/office/drawing/2014/main" id="{DA1876EE-ED5E-AD45-B4DB-874CC6834604}"/>
            </a:ext>
          </a:extLst>
        </xdr:cNvPr>
        <xdr:cNvCxnSpPr>
          <a:stCxn id="54" idx="3"/>
          <a:endCxn id="55" idx="1"/>
        </xdr:cNvCxnSpPr>
      </xdr:nvCxnSpPr>
      <xdr:spPr>
        <a:xfrm>
          <a:off x="31788100" y="8902700"/>
          <a:ext cx="6731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146050</xdr:colOff>
      <xdr:row>47</xdr:row>
      <xdr:rowOff>76200</xdr:rowOff>
    </xdr:from>
    <xdr:to>
      <xdr:col>37</xdr:col>
      <xdr:colOff>527050</xdr:colOff>
      <xdr:row>48</xdr:row>
      <xdr:rowOff>139700</xdr:rowOff>
    </xdr:to>
    <xdr:sp macro="" textlink="">
      <xdr:nvSpPr>
        <xdr:cNvPr id="57" name="OpenSolver56">
          <a:extLst>
            <a:ext uri="{FF2B5EF4-FFF2-40B4-BE49-F238E27FC236}">
              <a16:creationId xmlns:a16="http://schemas.microsoft.com/office/drawing/2014/main" id="{1FF2EE22-43D5-3041-A8FC-BC14CC50E5BC}"/>
            </a:ext>
          </a:extLst>
        </xdr:cNvPr>
        <xdr:cNvSpPr/>
      </xdr:nvSpPr>
      <xdr:spPr>
        <a:xfrm>
          <a:off x="31934150" y="8775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0</xdr:colOff>
      <xdr:row>24</xdr:row>
      <xdr:rowOff>0</xdr:rowOff>
    </xdr:from>
    <xdr:to>
      <xdr:col>42</xdr:col>
      <xdr:colOff>0</xdr:colOff>
      <xdr:row>72</xdr:row>
      <xdr:rowOff>0</xdr:rowOff>
    </xdr:to>
    <xdr:sp macro="" textlink="">
      <xdr:nvSpPr>
        <xdr:cNvPr id="58" name="OpenSolver57">
          <a:extLst>
            <a:ext uri="{FF2B5EF4-FFF2-40B4-BE49-F238E27FC236}">
              <a16:creationId xmlns:a16="http://schemas.microsoft.com/office/drawing/2014/main" id="{46C70424-AD93-5246-B779-E523C637DD19}"/>
            </a:ext>
          </a:extLst>
        </xdr:cNvPr>
        <xdr:cNvSpPr/>
      </xdr:nvSpPr>
      <xdr:spPr>
        <a:xfrm>
          <a:off x="34607500" y="4343400"/>
          <a:ext cx="1689100" cy="9118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43</xdr:col>
      <xdr:colOff>0</xdr:colOff>
      <xdr:row>24</xdr:row>
      <xdr:rowOff>0</xdr:rowOff>
    </xdr:from>
    <xdr:to>
      <xdr:col>44</xdr:col>
      <xdr:colOff>0</xdr:colOff>
      <xdr:row>72</xdr:row>
      <xdr:rowOff>0</xdr:rowOff>
    </xdr:to>
    <xdr:sp macro="" textlink="">
      <xdr:nvSpPr>
        <xdr:cNvPr id="59" name="OpenSolver58">
          <a:extLst>
            <a:ext uri="{FF2B5EF4-FFF2-40B4-BE49-F238E27FC236}">
              <a16:creationId xmlns:a16="http://schemas.microsoft.com/office/drawing/2014/main" id="{2AFA0A84-1A00-C044-8349-2D709D85C6CB}"/>
            </a:ext>
          </a:extLst>
        </xdr:cNvPr>
        <xdr:cNvSpPr/>
      </xdr:nvSpPr>
      <xdr:spPr>
        <a:xfrm>
          <a:off x="36969700" y="4343400"/>
          <a:ext cx="673100" cy="911860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42</xdr:col>
      <xdr:colOff>0</xdr:colOff>
      <xdr:row>48</xdr:row>
      <xdr:rowOff>12700</xdr:rowOff>
    </xdr:from>
    <xdr:to>
      <xdr:col>43</xdr:col>
      <xdr:colOff>0</xdr:colOff>
      <xdr:row>48</xdr:row>
      <xdr:rowOff>12700</xdr:rowOff>
    </xdr:to>
    <xdr:cxnSp macro="">
      <xdr:nvCxnSpPr>
        <xdr:cNvPr id="60" name="OpenSolver59">
          <a:extLst>
            <a:ext uri="{FF2B5EF4-FFF2-40B4-BE49-F238E27FC236}">
              <a16:creationId xmlns:a16="http://schemas.microsoft.com/office/drawing/2014/main" id="{2703A162-5BE6-3D4E-BD4D-A17322C63BC5}"/>
            </a:ext>
          </a:extLst>
        </xdr:cNvPr>
        <xdr:cNvCxnSpPr>
          <a:stCxn id="58" idx="3"/>
          <a:endCxn id="59" idx="1"/>
        </xdr:cNvCxnSpPr>
      </xdr:nvCxnSpPr>
      <xdr:spPr>
        <a:xfrm>
          <a:off x="36296600" y="8902700"/>
          <a:ext cx="67310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146050</xdr:colOff>
      <xdr:row>47</xdr:row>
      <xdr:rowOff>76200</xdr:rowOff>
    </xdr:from>
    <xdr:to>
      <xdr:col>42</xdr:col>
      <xdr:colOff>527050</xdr:colOff>
      <xdr:row>48</xdr:row>
      <xdr:rowOff>139700</xdr:rowOff>
    </xdr:to>
    <xdr:sp macro="" textlink="">
      <xdr:nvSpPr>
        <xdr:cNvPr id="61" name="OpenSolver60">
          <a:extLst>
            <a:ext uri="{FF2B5EF4-FFF2-40B4-BE49-F238E27FC236}">
              <a16:creationId xmlns:a16="http://schemas.microsoft.com/office/drawing/2014/main" id="{A1D3696E-D94D-194C-A6C0-FB1404325471}"/>
            </a:ext>
          </a:extLst>
        </xdr:cNvPr>
        <xdr:cNvSpPr/>
      </xdr:nvSpPr>
      <xdr:spPr>
        <a:xfrm>
          <a:off x="36442650" y="877570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4</xdr:row>
      <xdr:rowOff>12700</xdr:rowOff>
    </xdr:from>
    <xdr:to>
      <xdr:col>7</xdr:col>
      <xdr:colOff>0</xdr:colOff>
      <xdr:row>8</xdr:row>
      <xdr:rowOff>0</xdr:rowOff>
    </xdr:to>
    <xdr:sp macro="" textlink="">
      <xdr:nvSpPr>
        <xdr:cNvPr id="62" name="OpenSolver61">
          <a:extLst>
            <a:ext uri="{FF2B5EF4-FFF2-40B4-BE49-F238E27FC236}">
              <a16:creationId xmlns:a16="http://schemas.microsoft.com/office/drawing/2014/main" id="{92B03501-CB3F-AD4F-9B9F-E0419AF7B3F3}"/>
            </a:ext>
          </a:extLst>
        </xdr:cNvPr>
        <xdr:cNvSpPr/>
      </xdr:nvSpPr>
      <xdr:spPr>
        <a:xfrm>
          <a:off x="2032000" y="774700"/>
          <a:ext cx="3886200" cy="7366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127000</xdr:rowOff>
    </xdr:from>
    <xdr:to>
      <xdr:col>3</xdr:col>
      <xdr:colOff>321242</xdr:colOff>
      <xdr:row>4</xdr:row>
      <xdr:rowOff>63500</xdr:rowOff>
    </xdr:to>
    <xdr:sp macro="" textlink="">
      <xdr:nvSpPr>
        <xdr:cNvPr id="63" name="OpenSolver62">
          <a:extLst>
            <a:ext uri="{FF2B5EF4-FFF2-40B4-BE49-F238E27FC236}">
              <a16:creationId xmlns:a16="http://schemas.microsoft.com/office/drawing/2014/main" id="{3FC1B122-AAB8-8540-A047-18D237780824}"/>
            </a:ext>
          </a:extLst>
        </xdr:cNvPr>
        <xdr:cNvSpPr/>
      </xdr:nvSpPr>
      <xdr:spPr>
        <a:xfrm>
          <a:off x="2019300" y="6985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11</xdr:col>
      <xdr:colOff>12700</xdr:colOff>
      <xdr:row>4</xdr:row>
      <xdr:rowOff>12700</xdr:rowOff>
    </xdr:from>
    <xdr:to>
      <xdr:col>15</xdr:col>
      <xdr:colOff>0</xdr:colOff>
      <xdr:row>8</xdr:row>
      <xdr:rowOff>0</xdr:rowOff>
    </xdr:to>
    <xdr:sp macro="" textlink="">
      <xdr:nvSpPr>
        <xdr:cNvPr id="64" name="OpenSolver63">
          <a:extLst>
            <a:ext uri="{FF2B5EF4-FFF2-40B4-BE49-F238E27FC236}">
              <a16:creationId xmlns:a16="http://schemas.microsoft.com/office/drawing/2014/main" id="{13472B3A-722F-FD47-B0A4-639342C2919D}"/>
            </a:ext>
          </a:extLst>
        </xdr:cNvPr>
        <xdr:cNvSpPr/>
      </xdr:nvSpPr>
      <xdr:spPr>
        <a:xfrm>
          <a:off x="9169400" y="774700"/>
          <a:ext cx="2679700" cy="7366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3</xdr:row>
      <xdr:rowOff>127000</xdr:rowOff>
    </xdr:from>
    <xdr:to>
      <xdr:col>11</xdr:col>
      <xdr:colOff>321242</xdr:colOff>
      <xdr:row>4</xdr:row>
      <xdr:rowOff>63500</xdr:rowOff>
    </xdr:to>
    <xdr:sp macro="" textlink="">
      <xdr:nvSpPr>
        <xdr:cNvPr id="65" name="OpenSolver64">
          <a:extLst>
            <a:ext uri="{FF2B5EF4-FFF2-40B4-BE49-F238E27FC236}">
              <a16:creationId xmlns:a16="http://schemas.microsoft.com/office/drawing/2014/main" id="{3161CCC3-9534-0A4D-9FDE-D1DA515D82E3}"/>
            </a:ext>
          </a:extLst>
        </xdr:cNvPr>
        <xdr:cNvSpPr/>
      </xdr:nvSpPr>
      <xdr:spPr>
        <a:xfrm>
          <a:off x="9156700" y="6985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19</xdr:col>
      <xdr:colOff>12700</xdr:colOff>
      <xdr:row>4</xdr:row>
      <xdr:rowOff>12700</xdr:rowOff>
    </xdr:from>
    <xdr:to>
      <xdr:col>23</xdr:col>
      <xdr:colOff>0</xdr:colOff>
      <xdr:row>8</xdr:row>
      <xdr:rowOff>0</xdr:rowOff>
    </xdr:to>
    <xdr:sp macro="" textlink="">
      <xdr:nvSpPr>
        <xdr:cNvPr id="66" name="OpenSolver65">
          <a:extLst>
            <a:ext uri="{FF2B5EF4-FFF2-40B4-BE49-F238E27FC236}">
              <a16:creationId xmlns:a16="http://schemas.microsoft.com/office/drawing/2014/main" id="{A12FBB6D-854E-394C-AF0A-C1765992F918}"/>
            </a:ext>
          </a:extLst>
        </xdr:cNvPr>
        <xdr:cNvSpPr/>
      </xdr:nvSpPr>
      <xdr:spPr>
        <a:xfrm>
          <a:off x="14554200" y="774700"/>
          <a:ext cx="2679700" cy="7366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3</xdr:row>
      <xdr:rowOff>127000</xdr:rowOff>
    </xdr:from>
    <xdr:to>
      <xdr:col>19</xdr:col>
      <xdr:colOff>321242</xdr:colOff>
      <xdr:row>4</xdr:row>
      <xdr:rowOff>63500</xdr:rowOff>
    </xdr:to>
    <xdr:sp macro="" textlink="">
      <xdr:nvSpPr>
        <xdr:cNvPr id="67" name="OpenSolver66">
          <a:extLst>
            <a:ext uri="{FF2B5EF4-FFF2-40B4-BE49-F238E27FC236}">
              <a16:creationId xmlns:a16="http://schemas.microsoft.com/office/drawing/2014/main" id="{89D7EF41-F222-4748-AC38-24067BADA423}"/>
            </a:ext>
          </a:extLst>
        </xdr:cNvPr>
        <xdr:cNvSpPr/>
      </xdr:nvSpPr>
      <xdr:spPr>
        <a:xfrm>
          <a:off x="14541500" y="6985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</xdr:col>
      <xdr:colOff>12700</xdr:colOff>
      <xdr:row>13</xdr:row>
      <xdr:rowOff>12700</xdr:rowOff>
    </xdr:from>
    <xdr:to>
      <xdr:col>7</xdr:col>
      <xdr:colOff>0</xdr:colOff>
      <xdr:row>17</xdr:row>
      <xdr:rowOff>0</xdr:rowOff>
    </xdr:to>
    <xdr:sp macro="" textlink="">
      <xdr:nvSpPr>
        <xdr:cNvPr id="68" name="OpenSolver67">
          <a:extLst>
            <a:ext uri="{FF2B5EF4-FFF2-40B4-BE49-F238E27FC236}">
              <a16:creationId xmlns:a16="http://schemas.microsoft.com/office/drawing/2014/main" id="{B8BB524E-A019-8E46-B75B-BC31662C96DC}"/>
            </a:ext>
          </a:extLst>
        </xdr:cNvPr>
        <xdr:cNvSpPr/>
      </xdr:nvSpPr>
      <xdr:spPr>
        <a:xfrm>
          <a:off x="2032000" y="2463800"/>
          <a:ext cx="38862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127000</xdr:rowOff>
    </xdr:from>
    <xdr:to>
      <xdr:col>3</xdr:col>
      <xdr:colOff>321242</xdr:colOff>
      <xdr:row>13</xdr:row>
      <xdr:rowOff>63500</xdr:rowOff>
    </xdr:to>
    <xdr:sp macro="" textlink="">
      <xdr:nvSpPr>
        <xdr:cNvPr id="69" name="OpenSolver68">
          <a:extLst>
            <a:ext uri="{FF2B5EF4-FFF2-40B4-BE49-F238E27FC236}">
              <a16:creationId xmlns:a16="http://schemas.microsoft.com/office/drawing/2014/main" id="{250582A4-E168-7245-B942-79E44739B4F9}"/>
            </a:ext>
          </a:extLst>
        </xdr:cNvPr>
        <xdr:cNvSpPr/>
      </xdr:nvSpPr>
      <xdr:spPr>
        <a:xfrm>
          <a:off x="2019300" y="2387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11</xdr:col>
      <xdr:colOff>12700</xdr:colOff>
      <xdr:row>13</xdr:row>
      <xdr:rowOff>12700</xdr:rowOff>
    </xdr:from>
    <xdr:to>
      <xdr:col>15</xdr:col>
      <xdr:colOff>0</xdr:colOff>
      <xdr:row>17</xdr:row>
      <xdr:rowOff>0</xdr:rowOff>
    </xdr:to>
    <xdr:sp macro="" textlink="">
      <xdr:nvSpPr>
        <xdr:cNvPr id="70" name="OpenSolver69">
          <a:extLst>
            <a:ext uri="{FF2B5EF4-FFF2-40B4-BE49-F238E27FC236}">
              <a16:creationId xmlns:a16="http://schemas.microsoft.com/office/drawing/2014/main" id="{4E231F66-2666-2E49-B324-C95E16085CF0}"/>
            </a:ext>
          </a:extLst>
        </xdr:cNvPr>
        <xdr:cNvSpPr/>
      </xdr:nvSpPr>
      <xdr:spPr>
        <a:xfrm>
          <a:off x="9169400" y="2463800"/>
          <a:ext cx="26797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12</xdr:row>
      <xdr:rowOff>127000</xdr:rowOff>
    </xdr:from>
    <xdr:to>
      <xdr:col>11</xdr:col>
      <xdr:colOff>321242</xdr:colOff>
      <xdr:row>13</xdr:row>
      <xdr:rowOff>63500</xdr:rowOff>
    </xdr:to>
    <xdr:sp macro="" textlink="">
      <xdr:nvSpPr>
        <xdr:cNvPr id="71" name="OpenSolver70">
          <a:extLst>
            <a:ext uri="{FF2B5EF4-FFF2-40B4-BE49-F238E27FC236}">
              <a16:creationId xmlns:a16="http://schemas.microsoft.com/office/drawing/2014/main" id="{FA6AF455-0F84-2E43-BABD-8B5AD79ABED7}"/>
            </a:ext>
          </a:extLst>
        </xdr:cNvPr>
        <xdr:cNvSpPr/>
      </xdr:nvSpPr>
      <xdr:spPr>
        <a:xfrm>
          <a:off x="9156700" y="2387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19</xdr:col>
      <xdr:colOff>12700</xdr:colOff>
      <xdr:row>13</xdr:row>
      <xdr:rowOff>12700</xdr:rowOff>
    </xdr:from>
    <xdr:to>
      <xdr:col>23</xdr:col>
      <xdr:colOff>0</xdr:colOff>
      <xdr:row>17</xdr:row>
      <xdr:rowOff>0</xdr:rowOff>
    </xdr:to>
    <xdr:sp macro="" textlink="">
      <xdr:nvSpPr>
        <xdr:cNvPr id="72" name="OpenSolver71">
          <a:extLst>
            <a:ext uri="{FF2B5EF4-FFF2-40B4-BE49-F238E27FC236}">
              <a16:creationId xmlns:a16="http://schemas.microsoft.com/office/drawing/2014/main" id="{DE71215B-9D3F-AD41-8466-F9C35FA37EE3}"/>
            </a:ext>
          </a:extLst>
        </xdr:cNvPr>
        <xdr:cNvSpPr/>
      </xdr:nvSpPr>
      <xdr:spPr>
        <a:xfrm>
          <a:off x="14554200" y="2463800"/>
          <a:ext cx="26797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12</xdr:row>
      <xdr:rowOff>127000</xdr:rowOff>
    </xdr:from>
    <xdr:to>
      <xdr:col>19</xdr:col>
      <xdr:colOff>321242</xdr:colOff>
      <xdr:row>13</xdr:row>
      <xdr:rowOff>63500</xdr:rowOff>
    </xdr:to>
    <xdr:sp macro="" textlink="">
      <xdr:nvSpPr>
        <xdr:cNvPr id="73" name="OpenSolver72">
          <a:extLst>
            <a:ext uri="{FF2B5EF4-FFF2-40B4-BE49-F238E27FC236}">
              <a16:creationId xmlns:a16="http://schemas.microsoft.com/office/drawing/2014/main" id="{048DB220-52D6-EC42-AEBF-1FD21B35A34F}"/>
            </a:ext>
          </a:extLst>
        </xdr:cNvPr>
        <xdr:cNvSpPr/>
      </xdr:nvSpPr>
      <xdr:spPr>
        <a:xfrm>
          <a:off x="14541500" y="23876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</xdr:col>
      <xdr:colOff>12700</xdr:colOff>
      <xdr:row>22</xdr:row>
      <xdr:rowOff>12700</xdr:rowOff>
    </xdr:from>
    <xdr:to>
      <xdr:col>7</xdr:col>
      <xdr:colOff>0</xdr:colOff>
      <xdr:row>26</xdr:row>
      <xdr:rowOff>0</xdr:rowOff>
    </xdr:to>
    <xdr:sp macro="" textlink="">
      <xdr:nvSpPr>
        <xdr:cNvPr id="74" name="OpenSolver73">
          <a:extLst>
            <a:ext uri="{FF2B5EF4-FFF2-40B4-BE49-F238E27FC236}">
              <a16:creationId xmlns:a16="http://schemas.microsoft.com/office/drawing/2014/main" id="{40029940-7869-114B-AAC9-BDA075B30DEB}"/>
            </a:ext>
          </a:extLst>
        </xdr:cNvPr>
        <xdr:cNvSpPr/>
      </xdr:nvSpPr>
      <xdr:spPr>
        <a:xfrm>
          <a:off x="2032000" y="3975100"/>
          <a:ext cx="38862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21</xdr:row>
      <xdr:rowOff>127000</xdr:rowOff>
    </xdr:from>
    <xdr:to>
      <xdr:col>3</xdr:col>
      <xdr:colOff>321242</xdr:colOff>
      <xdr:row>22</xdr:row>
      <xdr:rowOff>63500</xdr:rowOff>
    </xdr:to>
    <xdr:sp macro="" textlink="">
      <xdr:nvSpPr>
        <xdr:cNvPr id="75" name="OpenSolver74">
          <a:extLst>
            <a:ext uri="{FF2B5EF4-FFF2-40B4-BE49-F238E27FC236}">
              <a16:creationId xmlns:a16="http://schemas.microsoft.com/office/drawing/2014/main" id="{BB9A2EA1-9EF5-D14B-8ADB-115EAB552709}"/>
            </a:ext>
          </a:extLst>
        </xdr:cNvPr>
        <xdr:cNvSpPr/>
      </xdr:nvSpPr>
      <xdr:spPr>
        <a:xfrm>
          <a:off x="2019300" y="38989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11</xdr:col>
      <xdr:colOff>12700</xdr:colOff>
      <xdr:row>22</xdr:row>
      <xdr:rowOff>12700</xdr:rowOff>
    </xdr:from>
    <xdr:to>
      <xdr:col>15</xdr:col>
      <xdr:colOff>0</xdr:colOff>
      <xdr:row>26</xdr:row>
      <xdr:rowOff>0</xdr:rowOff>
    </xdr:to>
    <xdr:sp macro="" textlink="">
      <xdr:nvSpPr>
        <xdr:cNvPr id="76" name="OpenSolver75">
          <a:extLst>
            <a:ext uri="{FF2B5EF4-FFF2-40B4-BE49-F238E27FC236}">
              <a16:creationId xmlns:a16="http://schemas.microsoft.com/office/drawing/2014/main" id="{793E8A6B-C244-B345-B6CD-E685C08512CD}"/>
            </a:ext>
          </a:extLst>
        </xdr:cNvPr>
        <xdr:cNvSpPr/>
      </xdr:nvSpPr>
      <xdr:spPr>
        <a:xfrm>
          <a:off x="9169400" y="3975100"/>
          <a:ext cx="26797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21</xdr:row>
      <xdr:rowOff>127000</xdr:rowOff>
    </xdr:from>
    <xdr:to>
      <xdr:col>11</xdr:col>
      <xdr:colOff>321242</xdr:colOff>
      <xdr:row>22</xdr:row>
      <xdr:rowOff>63500</xdr:rowOff>
    </xdr:to>
    <xdr:sp macro="" textlink="">
      <xdr:nvSpPr>
        <xdr:cNvPr id="77" name="OpenSolver76">
          <a:extLst>
            <a:ext uri="{FF2B5EF4-FFF2-40B4-BE49-F238E27FC236}">
              <a16:creationId xmlns:a16="http://schemas.microsoft.com/office/drawing/2014/main" id="{D61D5532-5AB3-744C-8B76-2DDC2FF3DDDD}"/>
            </a:ext>
          </a:extLst>
        </xdr:cNvPr>
        <xdr:cNvSpPr/>
      </xdr:nvSpPr>
      <xdr:spPr>
        <a:xfrm>
          <a:off x="9156700" y="38989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19</xdr:col>
      <xdr:colOff>12700</xdr:colOff>
      <xdr:row>22</xdr:row>
      <xdr:rowOff>12700</xdr:rowOff>
    </xdr:from>
    <xdr:to>
      <xdr:col>23</xdr:col>
      <xdr:colOff>0</xdr:colOff>
      <xdr:row>26</xdr:row>
      <xdr:rowOff>0</xdr:rowOff>
    </xdr:to>
    <xdr:sp macro="" textlink="">
      <xdr:nvSpPr>
        <xdr:cNvPr id="78" name="OpenSolver77">
          <a:extLst>
            <a:ext uri="{FF2B5EF4-FFF2-40B4-BE49-F238E27FC236}">
              <a16:creationId xmlns:a16="http://schemas.microsoft.com/office/drawing/2014/main" id="{7BD1AFB6-CA32-9C4E-BD7A-38292F263D2B}"/>
            </a:ext>
          </a:extLst>
        </xdr:cNvPr>
        <xdr:cNvSpPr/>
      </xdr:nvSpPr>
      <xdr:spPr>
        <a:xfrm>
          <a:off x="14554200" y="3975100"/>
          <a:ext cx="26797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21</xdr:row>
      <xdr:rowOff>127000</xdr:rowOff>
    </xdr:from>
    <xdr:to>
      <xdr:col>19</xdr:col>
      <xdr:colOff>321242</xdr:colOff>
      <xdr:row>22</xdr:row>
      <xdr:rowOff>63500</xdr:rowOff>
    </xdr:to>
    <xdr:sp macro="" textlink="">
      <xdr:nvSpPr>
        <xdr:cNvPr id="79" name="OpenSolver78">
          <a:extLst>
            <a:ext uri="{FF2B5EF4-FFF2-40B4-BE49-F238E27FC236}">
              <a16:creationId xmlns:a16="http://schemas.microsoft.com/office/drawing/2014/main" id="{7467AE00-944A-B248-BF7D-D1A0E9780778}"/>
            </a:ext>
          </a:extLst>
        </xdr:cNvPr>
        <xdr:cNvSpPr/>
      </xdr:nvSpPr>
      <xdr:spPr>
        <a:xfrm>
          <a:off x="14541500" y="38989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</xdr:col>
      <xdr:colOff>12700</xdr:colOff>
      <xdr:row>31</xdr:row>
      <xdr:rowOff>12700</xdr:rowOff>
    </xdr:from>
    <xdr:to>
      <xdr:col>7</xdr:col>
      <xdr:colOff>0</xdr:colOff>
      <xdr:row>35</xdr:row>
      <xdr:rowOff>0</xdr:rowOff>
    </xdr:to>
    <xdr:sp macro="" textlink="">
      <xdr:nvSpPr>
        <xdr:cNvPr id="80" name="OpenSolver79">
          <a:extLst>
            <a:ext uri="{FF2B5EF4-FFF2-40B4-BE49-F238E27FC236}">
              <a16:creationId xmlns:a16="http://schemas.microsoft.com/office/drawing/2014/main" id="{67E310A6-A078-144A-ADBA-9C0E8D6E0B55}"/>
            </a:ext>
          </a:extLst>
        </xdr:cNvPr>
        <xdr:cNvSpPr/>
      </xdr:nvSpPr>
      <xdr:spPr>
        <a:xfrm>
          <a:off x="2032000" y="5664200"/>
          <a:ext cx="38862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30</xdr:row>
      <xdr:rowOff>127000</xdr:rowOff>
    </xdr:from>
    <xdr:to>
      <xdr:col>3</xdr:col>
      <xdr:colOff>321242</xdr:colOff>
      <xdr:row>31</xdr:row>
      <xdr:rowOff>63500</xdr:rowOff>
    </xdr:to>
    <xdr:sp macro="" textlink="">
      <xdr:nvSpPr>
        <xdr:cNvPr id="81" name="OpenSolver80">
          <a:extLst>
            <a:ext uri="{FF2B5EF4-FFF2-40B4-BE49-F238E27FC236}">
              <a16:creationId xmlns:a16="http://schemas.microsoft.com/office/drawing/2014/main" id="{339FA490-6CCF-DB43-B90F-CF63444A1627}"/>
            </a:ext>
          </a:extLst>
        </xdr:cNvPr>
        <xdr:cNvSpPr/>
      </xdr:nvSpPr>
      <xdr:spPr>
        <a:xfrm>
          <a:off x="2019300" y="5588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11</xdr:col>
      <xdr:colOff>12700</xdr:colOff>
      <xdr:row>31</xdr:row>
      <xdr:rowOff>12700</xdr:rowOff>
    </xdr:from>
    <xdr:to>
      <xdr:col>15</xdr:col>
      <xdr:colOff>0</xdr:colOff>
      <xdr:row>35</xdr:row>
      <xdr:rowOff>0</xdr:rowOff>
    </xdr:to>
    <xdr:sp macro="" textlink="">
      <xdr:nvSpPr>
        <xdr:cNvPr id="82" name="OpenSolver81">
          <a:extLst>
            <a:ext uri="{FF2B5EF4-FFF2-40B4-BE49-F238E27FC236}">
              <a16:creationId xmlns:a16="http://schemas.microsoft.com/office/drawing/2014/main" id="{62CE6F8F-E628-5644-9CB7-1FC036ABE915}"/>
            </a:ext>
          </a:extLst>
        </xdr:cNvPr>
        <xdr:cNvSpPr/>
      </xdr:nvSpPr>
      <xdr:spPr>
        <a:xfrm>
          <a:off x="9169400" y="5664200"/>
          <a:ext cx="26797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11</xdr:col>
      <xdr:colOff>0</xdr:colOff>
      <xdr:row>30</xdr:row>
      <xdr:rowOff>127000</xdr:rowOff>
    </xdr:from>
    <xdr:to>
      <xdr:col>11</xdr:col>
      <xdr:colOff>321242</xdr:colOff>
      <xdr:row>31</xdr:row>
      <xdr:rowOff>63500</xdr:rowOff>
    </xdr:to>
    <xdr:sp macro="" textlink="">
      <xdr:nvSpPr>
        <xdr:cNvPr id="83" name="OpenSolver82">
          <a:extLst>
            <a:ext uri="{FF2B5EF4-FFF2-40B4-BE49-F238E27FC236}">
              <a16:creationId xmlns:a16="http://schemas.microsoft.com/office/drawing/2014/main" id="{03415264-D7B5-5D43-8FE0-329C48B0464B}"/>
            </a:ext>
          </a:extLst>
        </xdr:cNvPr>
        <xdr:cNvSpPr/>
      </xdr:nvSpPr>
      <xdr:spPr>
        <a:xfrm>
          <a:off x="9156700" y="5588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19</xdr:col>
      <xdr:colOff>12700</xdr:colOff>
      <xdr:row>31</xdr:row>
      <xdr:rowOff>12700</xdr:rowOff>
    </xdr:from>
    <xdr:to>
      <xdr:col>23</xdr:col>
      <xdr:colOff>0</xdr:colOff>
      <xdr:row>35</xdr:row>
      <xdr:rowOff>0</xdr:rowOff>
    </xdr:to>
    <xdr:sp macro="" textlink="">
      <xdr:nvSpPr>
        <xdr:cNvPr id="84" name="OpenSolver83">
          <a:extLst>
            <a:ext uri="{FF2B5EF4-FFF2-40B4-BE49-F238E27FC236}">
              <a16:creationId xmlns:a16="http://schemas.microsoft.com/office/drawing/2014/main" id="{94794E51-9AAC-7D4B-BEE2-A6A19978D030}"/>
            </a:ext>
          </a:extLst>
        </xdr:cNvPr>
        <xdr:cNvSpPr/>
      </xdr:nvSpPr>
      <xdr:spPr>
        <a:xfrm>
          <a:off x="14554200" y="5664200"/>
          <a:ext cx="2679700" cy="749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19</xdr:col>
      <xdr:colOff>0</xdr:colOff>
      <xdr:row>30</xdr:row>
      <xdr:rowOff>127000</xdr:rowOff>
    </xdr:from>
    <xdr:to>
      <xdr:col>19</xdr:col>
      <xdr:colOff>321242</xdr:colOff>
      <xdr:row>31</xdr:row>
      <xdr:rowOff>63500</xdr:rowOff>
    </xdr:to>
    <xdr:sp macro="" textlink="">
      <xdr:nvSpPr>
        <xdr:cNvPr id="85" name="OpenSolver84">
          <a:extLst>
            <a:ext uri="{FF2B5EF4-FFF2-40B4-BE49-F238E27FC236}">
              <a16:creationId xmlns:a16="http://schemas.microsoft.com/office/drawing/2014/main" id="{E461ACA0-7670-8D4F-B8B8-B6A6D74C264A}"/>
            </a:ext>
          </a:extLst>
        </xdr:cNvPr>
        <xdr:cNvSpPr/>
      </xdr:nvSpPr>
      <xdr:spPr>
        <a:xfrm>
          <a:off x="14541500" y="5588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venue_Forecas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 Pricing Strategy (Time)"/>
      <sheetName val="Data table"/>
    </sheetNames>
    <sheetDataSet>
      <sheetData sheetId="0">
        <row r="14">
          <cell r="B14" t="str">
            <v>6f65f9dd-ea42-4daf-ad4f-1a1f15bb5cd5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Revenue Forecast"/>
    </sheetNames>
    <sheetDataSet>
      <sheetData sheetId="0">
        <row r="14">
          <cell r="B14" t="str">
            <v>5e05f18e-8311-483e-ac45-3f77df8c34bf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74A4-D586-534F-9067-F640B14BA3D4}">
  <sheetPr>
    <tabColor rgb="FF00B050"/>
  </sheetPr>
  <dimension ref="B2:BB72"/>
  <sheetViews>
    <sheetView topLeftCell="D15" workbookViewId="0">
      <selection activeCell="D13" sqref="D13"/>
    </sheetView>
  </sheetViews>
  <sheetFormatPr baseColWidth="10" defaultColWidth="8.83203125" defaultRowHeight="15" x14ac:dyDescent="0.2"/>
  <cols>
    <col min="2" max="3" width="8.83203125" style="50"/>
    <col min="4" max="4" width="14.33203125" style="50" bestFit="1" customWidth="1"/>
    <col min="5" max="5" width="11.5" style="50" bestFit="1" customWidth="1"/>
    <col min="6" max="7" width="8.83203125" style="50"/>
    <col min="8" max="8" width="8.83203125" style="97"/>
    <col min="9" max="15" width="8.83203125" style="50"/>
    <col min="16" max="16" width="8.83203125" style="97"/>
    <col min="17" max="23" width="8.83203125" style="50"/>
    <col min="26" max="26" width="28" customWidth="1"/>
    <col min="27" max="27" width="19.1640625" customWidth="1"/>
    <col min="31" max="31" width="16.1640625" bestFit="1" customWidth="1"/>
    <col min="32" max="32" width="5.83203125" bestFit="1" customWidth="1"/>
    <col min="35" max="35" width="11.6640625" customWidth="1"/>
    <col min="36" max="36" width="24.1640625" customWidth="1"/>
    <col min="37" max="37" width="24.1640625" bestFit="1" customWidth="1"/>
    <col min="41" max="41" width="10.5" customWidth="1"/>
    <col min="42" max="42" width="22.1640625" bestFit="1" customWidth="1"/>
    <col min="46" max="46" width="13.5" bestFit="1" customWidth="1"/>
    <col min="51" max="51" width="36.83203125" bestFit="1" customWidth="1"/>
  </cols>
  <sheetData>
    <row r="2" spans="2:52" x14ac:dyDescent="0.2">
      <c r="B2" s="71"/>
      <c r="C2" s="122" t="s">
        <v>113</v>
      </c>
      <c r="D2" s="122"/>
      <c r="E2" s="122"/>
      <c r="F2" s="122"/>
      <c r="G2" s="122"/>
      <c r="H2" s="71"/>
      <c r="I2" s="71"/>
      <c r="J2" s="71"/>
      <c r="K2" s="72" t="s">
        <v>114</v>
      </c>
      <c r="L2" s="73"/>
      <c r="M2" s="73"/>
      <c r="N2" s="73"/>
      <c r="O2" s="73"/>
      <c r="P2" s="71"/>
      <c r="Q2"/>
      <c r="R2" s="71"/>
      <c r="S2" s="72" t="s">
        <v>115</v>
      </c>
      <c r="T2" s="73"/>
      <c r="U2" s="73"/>
      <c r="V2" s="73"/>
      <c r="W2" s="73"/>
    </row>
    <row r="3" spans="2:52" x14ac:dyDescent="0.2">
      <c r="B3" s="71"/>
      <c r="C3" s="127" t="s">
        <v>3</v>
      </c>
      <c r="D3" s="127"/>
      <c r="E3" s="127"/>
      <c r="F3" s="127"/>
      <c r="G3" s="127"/>
      <c r="H3" s="71"/>
      <c r="I3" s="71"/>
      <c r="J3" s="71"/>
      <c r="K3" s="74"/>
      <c r="L3" s="75"/>
      <c r="M3" s="75"/>
      <c r="N3" s="75"/>
      <c r="O3" s="75"/>
      <c r="P3" s="71"/>
      <c r="Q3"/>
      <c r="R3" s="71"/>
      <c r="S3" s="74"/>
      <c r="T3" s="75"/>
      <c r="U3" s="75"/>
      <c r="V3" s="75"/>
      <c r="W3" s="75"/>
      <c r="Z3" s="76" t="s">
        <v>116</v>
      </c>
      <c r="AA3" s="76"/>
      <c r="AB3" s="76"/>
      <c r="AC3" s="76"/>
      <c r="AD3" s="1"/>
      <c r="AE3" s="77" t="s">
        <v>117</v>
      </c>
      <c r="AF3" s="77"/>
      <c r="AG3" s="77"/>
      <c r="AH3" s="77"/>
      <c r="AI3" s="1"/>
      <c r="AJ3" s="78" t="s">
        <v>118</v>
      </c>
      <c r="AK3" s="78"/>
      <c r="AL3" s="78"/>
      <c r="AM3" s="78"/>
      <c r="AN3" s="1"/>
      <c r="AO3" s="79" t="s">
        <v>119</v>
      </c>
      <c r="AP3" s="79"/>
      <c r="AQ3" s="79"/>
      <c r="AR3" s="79"/>
      <c r="AT3" s="76" t="s">
        <v>120</v>
      </c>
      <c r="AU3" s="76"/>
      <c r="AV3" s="76"/>
      <c r="AW3" s="76"/>
    </row>
    <row r="4" spans="2:52" ht="15" customHeight="1" x14ac:dyDescent="0.2">
      <c r="B4" s="128" t="s">
        <v>2</v>
      </c>
      <c r="C4" s="71"/>
      <c r="D4" s="71" t="s">
        <v>27</v>
      </c>
      <c r="E4" s="71" t="s">
        <v>121</v>
      </c>
      <c r="F4" s="71" t="s">
        <v>35</v>
      </c>
      <c r="G4" s="71" t="s">
        <v>40</v>
      </c>
      <c r="H4" s="71" t="s">
        <v>122</v>
      </c>
      <c r="I4" s="71"/>
      <c r="J4" s="80"/>
      <c r="K4" s="71"/>
      <c r="L4" s="71" t="s">
        <v>27</v>
      </c>
      <c r="M4" s="71" t="s">
        <v>121</v>
      </c>
      <c r="N4" s="71" t="s">
        <v>35</v>
      </c>
      <c r="O4" s="71" t="s">
        <v>40</v>
      </c>
      <c r="P4" s="71" t="s">
        <v>122</v>
      </c>
      <c r="R4" s="80"/>
      <c r="S4" s="71"/>
      <c r="T4" s="71" t="s">
        <v>27</v>
      </c>
      <c r="U4" s="71" t="s">
        <v>121</v>
      </c>
      <c r="V4" s="71" t="s">
        <v>35</v>
      </c>
      <c r="W4" s="71" t="s">
        <v>40</v>
      </c>
      <c r="X4" t="s">
        <v>122</v>
      </c>
      <c r="Z4" s="81" t="s">
        <v>123</v>
      </c>
      <c r="AA4" s="81" t="s">
        <v>124</v>
      </c>
      <c r="AB4" s="81" t="s">
        <v>125</v>
      </c>
      <c r="AC4" s="81" t="s">
        <v>126</v>
      </c>
      <c r="AD4" s="1"/>
      <c r="AE4" s="81" t="s">
        <v>123</v>
      </c>
      <c r="AF4" s="81" t="s">
        <v>124</v>
      </c>
      <c r="AG4" s="81" t="s">
        <v>125</v>
      </c>
      <c r="AH4" s="81" t="s">
        <v>126</v>
      </c>
      <c r="AI4" s="1"/>
      <c r="AJ4" s="81" t="s">
        <v>123</v>
      </c>
      <c r="AK4" s="81" t="s">
        <v>127</v>
      </c>
      <c r="AL4" s="81" t="s">
        <v>125</v>
      </c>
      <c r="AM4" s="81" t="s">
        <v>126</v>
      </c>
      <c r="AN4" s="1"/>
      <c r="AO4" s="81" t="s">
        <v>123</v>
      </c>
      <c r="AP4" s="81" t="s">
        <v>127</v>
      </c>
      <c r="AQ4" s="81" t="s">
        <v>125</v>
      </c>
      <c r="AR4" s="81" t="s">
        <v>126</v>
      </c>
      <c r="AT4" s="82" t="s">
        <v>123</v>
      </c>
      <c r="AU4" s="82" t="s">
        <v>124</v>
      </c>
      <c r="AV4" s="82" t="s">
        <v>125</v>
      </c>
      <c r="AW4" s="82" t="s">
        <v>126</v>
      </c>
      <c r="AY4" s="63" t="s">
        <v>128</v>
      </c>
      <c r="AZ4" s="63">
        <v>2</v>
      </c>
    </row>
    <row r="5" spans="2:52" x14ac:dyDescent="0.2">
      <c r="B5" s="129"/>
      <c r="C5" s="71" t="s">
        <v>27</v>
      </c>
      <c r="D5" s="88">
        <v>0</v>
      </c>
      <c r="E5" s="123">
        <v>0</v>
      </c>
      <c r="F5" s="123">
        <v>0</v>
      </c>
      <c r="G5" s="123">
        <v>0</v>
      </c>
      <c r="H5" s="124">
        <f>SUM(D5:G5)</f>
        <v>0</v>
      </c>
      <c r="I5" s="71"/>
      <c r="J5" s="83"/>
      <c r="K5" s="71" t="s">
        <v>27</v>
      </c>
      <c r="L5" s="88">
        <v>0</v>
      </c>
      <c r="M5" s="85">
        <v>0</v>
      </c>
      <c r="N5" s="85">
        <v>0</v>
      </c>
      <c r="O5" s="85">
        <v>0</v>
      </c>
      <c r="P5" s="86">
        <f>SUM(L5:O5)</f>
        <v>0</v>
      </c>
      <c r="R5" s="83"/>
      <c r="S5" s="71" t="s">
        <v>27</v>
      </c>
      <c r="T5" s="85">
        <v>0</v>
      </c>
      <c r="U5" s="85">
        <v>0</v>
      </c>
      <c r="V5" s="85">
        <v>0</v>
      </c>
      <c r="W5" s="85">
        <v>0</v>
      </c>
      <c r="X5">
        <f>SUM(T5:W5)</f>
        <v>0</v>
      </c>
      <c r="Z5" s="81" t="s">
        <v>129</v>
      </c>
      <c r="AA5" s="81">
        <f>SUM(D5:G8)</f>
        <v>0</v>
      </c>
      <c r="AB5" s="81" t="s">
        <v>130</v>
      </c>
      <c r="AC5" s="81">
        <f>$AZ$4</f>
        <v>2</v>
      </c>
      <c r="AD5" s="1"/>
      <c r="AE5" s="81">
        <v>1</v>
      </c>
      <c r="AF5" s="81">
        <f>D9+H5</f>
        <v>0</v>
      </c>
      <c r="AG5" s="81" t="s">
        <v>131</v>
      </c>
      <c r="AH5" s="81">
        <f>$AZ$6</f>
        <v>1</v>
      </c>
      <c r="AI5" s="1"/>
      <c r="AJ5" s="81">
        <v>1</v>
      </c>
      <c r="AK5" s="81">
        <f>SUM(E9,H6)</f>
        <v>0</v>
      </c>
      <c r="AL5" s="81" t="s">
        <v>131</v>
      </c>
      <c r="AM5" s="81">
        <f>$AZ$6</f>
        <v>1</v>
      </c>
      <c r="AN5" s="1"/>
      <c r="AO5" s="81">
        <v>1</v>
      </c>
      <c r="AP5" s="81">
        <f>SUM(F9,H7)</f>
        <v>0</v>
      </c>
      <c r="AQ5" s="81" t="s">
        <v>131</v>
      </c>
      <c r="AR5" s="81">
        <f>$AZ$6</f>
        <v>1</v>
      </c>
      <c r="AT5" s="82" t="s">
        <v>132</v>
      </c>
      <c r="AU5" s="82">
        <f>SUM(D9,H5,L9,P5,T9,X5)</f>
        <v>0</v>
      </c>
      <c r="AV5" s="82" t="s">
        <v>130</v>
      </c>
      <c r="AW5" s="82">
        <f>$AZ$7</f>
        <v>2</v>
      </c>
      <c r="AY5" s="63" t="s">
        <v>133</v>
      </c>
      <c r="AZ5" s="63">
        <v>1</v>
      </c>
    </row>
    <row r="6" spans="2:52" x14ac:dyDescent="0.2">
      <c r="B6" s="129"/>
      <c r="C6" s="71" t="s">
        <v>121</v>
      </c>
      <c r="D6" s="123">
        <v>0</v>
      </c>
      <c r="E6" s="123">
        <v>0</v>
      </c>
      <c r="F6" s="123">
        <v>0</v>
      </c>
      <c r="G6" s="123">
        <v>0</v>
      </c>
      <c r="H6" s="124">
        <f>SUM(D6:G6)</f>
        <v>0</v>
      </c>
      <c r="I6" s="71"/>
      <c r="J6" s="83"/>
      <c r="K6" s="71" t="s">
        <v>121</v>
      </c>
      <c r="L6" s="85">
        <v>0</v>
      </c>
      <c r="M6" s="85">
        <v>0</v>
      </c>
      <c r="N6" s="85">
        <v>0</v>
      </c>
      <c r="O6" s="85">
        <v>0</v>
      </c>
      <c r="P6" s="86">
        <f>SUM(L6:O6)</f>
        <v>0</v>
      </c>
      <c r="R6" s="83"/>
      <c r="S6" s="71" t="s">
        <v>121</v>
      </c>
      <c r="T6" s="85">
        <v>0</v>
      </c>
      <c r="U6" s="85">
        <v>0</v>
      </c>
      <c r="V6" s="85">
        <v>0</v>
      </c>
      <c r="W6" s="85">
        <v>0</v>
      </c>
      <c r="X6">
        <f>SUM(T6:W6)</f>
        <v>0</v>
      </c>
      <c r="Z6" s="81" t="s">
        <v>134</v>
      </c>
      <c r="AA6" s="81">
        <f>SUM(L5:O8)</f>
        <v>0</v>
      </c>
      <c r="AB6" s="81" t="s">
        <v>130</v>
      </c>
      <c r="AC6" s="81">
        <f>$AZ$4</f>
        <v>2</v>
      </c>
      <c r="AD6" s="1"/>
      <c r="AE6" s="81">
        <v>2</v>
      </c>
      <c r="AF6" s="81">
        <f>SUM(L9,P5)</f>
        <v>0</v>
      </c>
      <c r="AG6" s="81" t="s">
        <v>131</v>
      </c>
      <c r="AH6" s="81">
        <f>$AZ$6</f>
        <v>1</v>
      </c>
      <c r="AI6" s="1"/>
      <c r="AJ6" s="81">
        <v>2</v>
      </c>
      <c r="AK6" s="81">
        <f>SUM(M9,P6)</f>
        <v>0</v>
      </c>
      <c r="AL6" s="81" t="s">
        <v>131</v>
      </c>
      <c r="AM6" s="81">
        <f>$AZ$6</f>
        <v>1</v>
      </c>
      <c r="AN6" s="1"/>
      <c r="AO6" s="81">
        <v>2</v>
      </c>
      <c r="AP6" s="81">
        <f>SUM(N9,P7)</f>
        <v>0</v>
      </c>
      <c r="AQ6" s="81" t="s">
        <v>131</v>
      </c>
      <c r="AR6" s="81">
        <f>$AZ$6</f>
        <v>1</v>
      </c>
      <c r="AT6" s="82" t="s">
        <v>135</v>
      </c>
      <c r="AU6" s="82">
        <f>SUM(L9,P5,T9,X5,D18,H14)</f>
        <v>1</v>
      </c>
      <c r="AV6" s="82" t="s">
        <v>130</v>
      </c>
      <c r="AW6" s="82">
        <f>$AZ$7</f>
        <v>2</v>
      </c>
      <c r="AY6" s="63" t="s">
        <v>136</v>
      </c>
      <c r="AZ6" s="63">
        <v>1</v>
      </c>
    </row>
    <row r="7" spans="2:52" x14ac:dyDescent="0.2">
      <c r="B7" s="129"/>
      <c r="C7" s="71" t="s">
        <v>35</v>
      </c>
      <c r="D7" s="123">
        <v>0</v>
      </c>
      <c r="E7" s="123">
        <v>0</v>
      </c>
      <c r="F7" s="123">
        <v>0</v>
      </c>
      <c r="G7" s="123">
        <v>0</v>
      </c>
      <c r="H7" s="124">
        <f>SUM(D7:G7)</f>
        <v>0</v>
      </c>
      <c r="I7" s="71"/>
      <c r="J7" s="83"/>
      <c r="K7" s="71" t="s">
        <v>35</v>
      </c>
      <c r="L7" s="85">
        <v>0</v>
      </c>
      <c r="M7" s="85">
        <v>0</v>
      </c>
      <c r="N7" s="85">
        <v>0</v>
      </c>
      <c r="O7" s="85">
        <v>0</v>
      </c>
      <c r="P7" s="86">
        <f>SUM(L7:O7)</f>
        <v>0</v>
      </c>
      <c r="R7" s="83"/>
      <c r="S7" s="71" t="s">
        <v>35</v>
      </c>
      <c r="T7" s="85">
        <v>0</v>
      </c>
      <c r="U7" s="85">
        <v>0</v>
      </c>
      <c r="V7" s="85">
        <v>0</v>
      </c>
      <c r="W7" s="85">
        <v>0</v>
      </c>
      <c r="X7">
        <f>SUM(T7:W7)</f>
        <v>0</v>
      </c>
      <c r="Z7" s="81" t="s">
        <v>137</v>
      </c>
      <c r="AA7" s="81">
        <f>SUM(T5:W8)</f>
        <v>0</v>
      </c>
      <c r="AB7" s="81" t="s">
        <v>130</v>
      </c>
      <c r="AC7" s="81">
        <f>$AZ$4</f>
        <v>2</v>
      </c>
      <c r="AD7" s="1"/>
      <c r="AE7" s="81">
        <v>3</v>
      </c>
      <c r="AF7" s="81">
        <f>SUM(T9,X5)</f>
        <v>0</v>
      </c>
      <c r="AG7" s="81" t="s">
        <v>131</v>
      </c>
      <c r="AH7" s="81">
        <f>$AZ$6</f>
        <v>1</v>
      </c>
      <c r="AI7" s="1"/>
      <c r="AJ7" s="81">
        <v>3</v>
      </c>
      <c r="AK7" s="81">
        <f>SUM(U9,X6)</f>
        <v>0</v>
      </c>
      <c r="AL7" s="81" t="s">
        <v>131</v>
      </c>
      <c r="AM7" s="81">
        <f>$AZ$6</f>
        <v>1</v>
      </c>
      <c r="AN7" s="1"/>
      <c r="AO7" s="81">
        <v>3</v>
      </c>
      <c r="AP7" s="81">
        <f>SUM(V9,X7)</f>
        <v>0</v>
      </c>
      <c r="AQ7" s="81" t="s">
        <v>131</v>
      </c>
      <c r="AR7" s="81">
        <f>$AZ$6</f>
        <v>1</v>
      </c>
      <c r="AT7" s="82" t="s">
        <v>138</v>
      </c>
      <c r="AU7" s="82">
        <f>SUM(T9,X5,D18,H14,L18,P14)</f>
        <v>2</v>
      </c>
      <c r="AV7" s="82" t="s">
        <v>130</v>
      </c>
      <c r="AW7" s="82">
        <f>$AZ$7</f>
        <v>2</v>
      </c>
      <c r="AY7" s="63" t="s">
        <v>139</v>
      </c>
      <c r="AZ7" s="63">
        <v>2</v>
      </c>
    </row>
    <row r="8" spans="2:52" ht="14.25" customHeight="1" x14ac:dyDescent="0.2">
      <c r="B8" s="129"/>
      <c r="C8" s="71" t="s">
        <v>40</v>
      </c>
      <c r="D8" s="88">
        <v>0</v>
      </c>
      <c r="E8" s="88">
        <v>0</v>
      </c>
      <c r="F8" s="88">
        <v>0</v>
      </c>
      <c r="G8" s="88">
        <v>0</v>
      </c>
      <c r="H8" s="124">
        <f>SUM(D8:G8)</f>
        <v>0</v>
      </c>
      <c r="I8" s="71"/>
      <c r="K8" s="71" t="s">
        <v>40</v>
      </c>
      <c r="L8" s="88">
        <v>0</v>
      </c>
      <c r="M8" s="88">
        <v>0</v>
      </c>
      <c r="N8" s="88">
        <v>0</v>
      </c>
      <c r="O8" s="88">
        <v>0</v>
      </c>
      <c r="P8" s="86">
        <f>SUM(L8:O8)</f>
        <v>0</v>
      </c>
      <c r="S8" s="71" t="s">
        <v>40</v>
      </c>
      <c r="T8" s="85">
        <v>0</v>
      </c>
      <c r="U8" s="85">
        <v>0</v>
      </c>
      <c r="V8" s="85">
        <v>0</v>
      </c>
      <c r="W8" s="85">
        <v>0</v>
      </c>
      <c r="X8">
        <f>SUM(T8:W8)</f>
        <v>0</v>
      </c>
      <c r="Z8" s="81" t="s">
        <v>140</v>
      </c>
      <c r="AA8" s="81">
        <f>SUM(D14:G17)</f>
        <v>2</v>
      </c>
      <c r="AB8" s="81" t="s">
        <v>130</v>
      </c>
      <c r="AC8" s="81">
        <f>$AZ$4</f>
        <v>2</v>
      </c>
      <c r="AD8" s="1"/>
      <c r="AE8" s="81">
        <v>4</v>
      </c>
      <c r="AF8" s="81">
        <f>SUM(D18,H14)</f>
        <v>1</v>
      </c>
      <c r="AG8" s="81" t="s">
        <v>131</v>
      </c>
      <c r="AH8" s="81">
        <f>$AZ$6</f>
        <v>1</v>
      </c>
      <c r="AI8" s="1"/>
      <c r="AJ8" s="81">
        <v>4</v>
      </c>
      <c r="AK8" s="81">
        <f>SUM(E18,H15)</f>
        <v>1</v>
      </c>
      <c r="AL8" s="81" t="s">
        <v>131</v>
      </c>
      <c r="AM8" s="81">
        <f>$AZ$6</f>
        <v>1</v>
      </c>
      <c r="AN8" s="1"/>
      <c r="AO8" s="81">
        <v>4</v>
      </c>
      <c r="AP8" s="81">
        <f>SUM(F18,H16)</f>
        <v>1</v>
      </c>
      <c r="AQ8" s="81" t="s">
        <v>131</v>
      </c>
      <c r="AR8" s="81">
        <f>$AZ$6</f>
        <v>1</v>
      </c>
      <c r="AT8" s="82" t="s">
        <v>141</v>
      </c>
      <c r="AU8" s="82">
        <f>SUM(D18,H14,P14,L18,X14,T18)</f>
        <v>2</v>
      </c>
      <c r="AV8" s="82" t="s">
        <v>130</v>
      </c>
      <c r="AW8" s="82">
        <f>$AZ$7</f>
        <v>2</v>
      </c>
      <c r="AY8" s="63" t="s">
        <v>142</v>
      </c>
      <c r="AZ8" s="63">
        <v>1</v>
      </c>
    </row>
    <row r="9" spans="2:52" ht="14.25" customHeight="1" x14ac:dyDescent="0.2">
      <c r="B9" s="125"/>
      <c r="C9" s="71" t="s">
        <v>122</v>
      </c>
      <c r="D9" s="126">
        <f>SUM(D5:D8)</f>
        <v>0</v>
      </c>
      <c r="E9" s="126">
        <f>SUM(E5:E8)</f>
        <v>0</v>
      </c>
      <c r="F9" s="126">
        <f>SUM(F5:F8)</f>
        <v>0</v>
      </c>
      <c r="G9" s="126">
        <f>SUM(G5:G8)</f>
        <v>0</v>
      </c>
      <c r="H9" s="71"/>
      <c r="I9" s="71"/>
      <c r="K9" s="89" t="s">
        <v>122</v>
      </c>
      <c r="L9" s="71">
        <f>SUM(L5:L8)</f>
        <v>0</v>
      </c>
      <c r="M9" s="71">
        <f>SUM(M5:M8)</f>
        <v>0</v>
      </c>
      <c r="N9" s="71">
        <f>SUM(N5:N8)</f>
        <v>0</v>
      </c>
      <c r="O9" s="71">
        <f>SUM(O5:O8)</f>
        <v>0</v>
      </c>
      <c r="P9" s="71"/>
      <c r="S9" s="89" t="s">
        <v>122</v>
      </c>
      <c r="T9" s="86">
        <f>SUM(T5:T8)</f>
        <v>0</v>
      </c>
      <c r="U9" s="86">
        <f>SUM(U5:U8)</f>
        <v>0</v>
      </c>
      <c r="V9" s="86">
        <f>SUM(V5:V8)</f>
        <v>0</v>
      </c>
      <c r="W9" s="86">
        <f>SUM(W5:W8)</f>
        <v>0</v>
      </c>
      <c r="Z9" s="81" t="s">
        <v>143</v>
      </c>
      <c r="AA9" s="81">
        <f>SUM(L14:O17)</f>
        <v>1</v>
      </c>
      <c r="AB9" s="81" t="s">
        <v>130</v>
      </c>
      <c r="AC9" s="81">
        <f>$AZ$4</f>
        <v>2</v>
      </c>
      <c r="AD9" s="1"/>
      <c r="AE9" s="81">
        <v>5</v>
      </c>
      <c r="AF9" s="81">
        <f>SUM(L18,P14)</f>
        <v>1</v>
      </c>
      <c r="AG9" s="81" t="s">
        <v>131</v>
      </c>
      <c r="AH9" s="81">
        <f>$AZ$6</f>
        <v>1</v>
      </c>
      <c r="AI9" s="1"/>
      <c r="AJ9" s="81">
        <v>5</v>
      </c>
      <c r="AK9" s="81">
        <f>SUM(M18,P15)</f>
        <v>1</v>
      </c>
      <c r="AL9" s="81" t="s">
        <v>131</v>
      </c>
      <c r="AM9" s="81">
        <f>$AZ$6</f>
        <v>1</v>
      </c>
      <c r="AN9" s="1"/>
      <c r="AO9" s="81">
        <v>5</v>
      </c>
      <c r="AP9" s="81">
        <f>SUM(N18,P16)</f>
        <v>0</v>
      </c>
      <c r="AQ9" s="81" t="s">
        <v>131</v>
      </c>
      <c r="AR9" s="81">
        <f>$AZ$6</f>
        <v>1</v>
      </c>
      <c r="AT9" s="82" t="s">
        <v>144</v>
      </c>
      <c r="AU9" s="82">
        <f>SUM(L18,P14,T18,X14,D27,H23)</f>
        <v>1</v>
      </c>
      <c r="AV9" s="82" t="s">
        <v>130</v>
      </c>
      <c r="AW9" s="82">
        <f>$AZ$7</f>
        <v>2</v>
      </c>
    </row>
    <row r="10" spans="2:52" x14ac:dyDescent="0.2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R10" s="71"/>
      <c r="S10" s="71"/>
      <c r="T10" s="71"/>
      <c r="U10" s="71"/>
      <c r="V10" s="71"/>
      <c r="W10" s="71"/>
      <c r="Z10" s="81" t="s">
        <v>145</v>
      </c>
      <c r="AA10" s="81">
        <f>SUM(T14:W17)</f>
        <v>1</v>
      </c>
      <c r="AB10" s="81" t="s">
        <v>130</v>
      </c>
      <c r="AC10" s="81">
        <f>$AZ$4</f>
        <v>2</v>
      </c>
      <c r="AD10" s="1"/>
      <c r="AE10" s="81">
        <v>6</v>
      </c>
      <c r="AF10" s="81">
        <f>SUM(T18,X14)</f>
        <v>0</v>
      </c>
      <c r="AG10" s="81" t="s">
        <v>131</v>
      </c>
      <c r="AH10" s="81">
        <f>$AZ$6</f>
        <v>1</v>
      </c>
      <c r="AI10" s="1"/>
      <c r="AJ10" s="81">
        <v>6</v>
      </c>
      <c r="AK10" s="81">
        <f>SUM(U18,X15)</f>
        <v>0</v>
      </c>
      <c r="AL10" s="81" t="s">
        <v>131</v>
      </c>
      <c r="AM10" s="81">
        <f>$AZ$6</f>
        <v>1</v>
      </c>
      <c r="AN10" s="1"/>
      <c r="AO10" s="81">
        <v>6</v>
      </c>
      <c r="AP10" s="81">
        <f>SUM(V18,X16)</f>
        <v>1</v>
      </c>
      <c r="AQ10" s="81" t="s">
        <v>131</v>
      </c>
      <c r="AR10" s="81">
        <f>$AZ$6</f>
        <v>1</v>
      </c>
      <c r="AT10" s="82" t="s">
        <v>146</v>
      </c>
      <c r="AU10" s="82">
        <f>SUM(T18,X14,D27,H23,L27,P23)</f>
        <v>1</v>
      </c>
      <c r="AV10" s="82" t="s">
        <v>130</v>
      </c>
      <c r="AW10" s="82">
        <f>$AZ$7</f>
        <v>2</v>
      </c>
    </row>
    <row r="11" spans="2:52" x14ac:dyDescent="0.2">
      <c r="B11" s="71"/>
      <c r="C11" s="72" t="s">
        <v>147</v>
      </c>
      <c r="D11" s="73"/>
      <c r="E11" s="73"/>
      <c r="F11" s="73"/>
      <c r="G11" s="73"/>
      <c r="H11" s="71"/>
      <c r="I11" s="71"/>
      <c r="J11" s="71"/>
      <c r="K11" s="72" t="s">
        <v>148</v>
      </c>
      <c r="L11" s="73"/>
      <c r="M11" s="73"/>
      <c r="N11" s="73"/>
      <c r="O11" s="73"/>
      <c r="P11" s="71"/>
      <c r="R11" s="71"/>
      <c r="S11" s="72" t="s">
        <v>149</v>
      </c>
      <c r="T11" s="73"/>
      <c r="U11" s="73"/>
      <c r="V11" s="73"/>
      <c r="W11" s="73"/>
      <c r="Z11" s="81" t="s">
        <v>150</v>
      </c>
      <c r="AA11" s="81">
        <f>SUM(D23:G26)</f>
        <v>0</v>
      </c>
      <c r="AB11" s="81" t="s">
        <v>130</v>
      </c>
      <c r="AC11" s="81">
        <f>$AZ$4</f>
        <v>2</v>
      </c>
      <c r="AD11" s="1"/>
      <c r="AE11" s="81">
        <v>7</v>
      </c>
      <c r="AF11" s="81">
        <f>SUM(D27,H23)</f>
        <v>0</v>
      </c>
      <c r="AG11" s="81" t="s">
        <v>131</v>
      </c>
      <c r="AH11" s="81">
        <f>$AZ$6</f>
        <v>1</v>
      </c>
      <c r="AI11" s="1"/>
      <c r="AJ11" s="81">
        <v>7</v>
      </c>
      <c r="AK11" s="81">
        <f>SUM(E27,H24)</f>
        <v>0</v>
      </c>
      <c r="AL11" s="81" t="s">
        <v>131</v>
      </c>
      <c r="AM11" s="81">
        <f>$AZ$6</f>
        <v>1</v>
      </c>
      <c r="AN11" s="1"/>
      <c r="AO11" s="81">
        <v>7</v>
      </c>
      <c r="AP11" s="81">
        <f>SUM(F27,H25)</f>
        <v>0</v>
      </c>
      <c r="AQ11" s="81" t="s">
        <v>131</v>
      </c>
      <c r="AR11" s="81">
        <f>$AZ$6</f>
        <v>1</v>
      </c>
      <c r="AT11" s="82" t="s">
        <v>151</v>
      </c>
      <c r="AU11" s="82">
        <f>SUM(D27,H23,L27,P23,T27,X23)</f>
        <v>2</v>
      </c>
      <c r="AV11" s="82" t="s">
        <v>130</v>
      </c>
      <c r="AW11" s="82">
        <f>$AZ$7</f>
        <v>2</v>
      </c>
    </row>
    <row r="12" spans="2:52" x14ac:dyDescent="0.2">
      <c r="B12" s="71"/>
      <c r="C12" s="90"/>
      <c r="D12" s="91"/>
      <c r="E12" s="91"/>
      <c r="F12" s="91"/>
      <c r="G12" s="91"/>
      <c r="H12" s="71"/>
      <c r="I12" s="71"/>
      <c r="J12" s="71"/>
      <c r="K12" s="74"/>
      <c r="L12" s="75"/>
      <c r="M12" s="75"/>
      <c r="N12" s="75"/>
      <c r="O12" s="75"/>
      <c r="P12" s="71"/>
      <c r="R12" s="71"/>
      <c r="S12" s="74"/>
      <c r="T12" s="75"/>
      <c r="U12" s="75"/>
      <c r="V12" s="75"/>
      <c r="W12" s="75"/>
      <c r="Z12" s="81" t="s">
        <v>152</v>
      </c>
      <c r="AA12" s="81">
        <f>SUM(L23:O26)</f>
        <v>2</v>
      </c>
      <c r="AB12" s="81" t="s">
        <v>130</v>
      </c>
      <c r="AC12" s="81">
        <f>$AZ$4</f>
        <v>2</v>
      </c>
      <c r="AD12" s="1"/>
      <c r="AE12" s="81">
        <v>8</v>
      </c>
      <c r="AF12" s="81">
        <f>SUM(L27,P23)</f>
        <v>1</v>
      </c>
      <c r="AG12" s="81" t="s">
        <v>131</v>
      </c>
      <c r="AH12" s="81">
        <f>$AZ$6</f>
        <v>1</v>
      </c>
      <c r="AI12" s="1"/>
      <c r="AJ12" s="81">
        <v>8</v>
      </c>
      <c r="AK12" s="81">
        <f>SUM(M27,P24)</f>
        <v>1</v>
      </c>
      <c r="AL12" s="81" t="s">
        <v>131</v>
      </c>
      <c r="AM12" s="81">
        <f>$AZ$6</f>
        <v>1</v>
      </c>
      <c r="AN12" s="1"/>
      <c r="AO12" s="81">
        <v>8</v>
      </c>
      <c r="AP12" s="81">
        <f>SUM(N27,P25)</f>
        <v>1</v>
      </c>
      <c r="AQ12" s="81" t="s">
        <v>131</v>
      </c>
      <c r="AR12" s="81">
        <f>$AZ$6</f>
        <v>1</v>
      </c>
      <c r="AT12" s="82" t="s">
        <v>153</v>
      </c>
      <c r="AU12" s="82">
        <f>SUM(L27,P23,T27,X23,D36,H32)</f>
        <v>2</v>
      </c>
      <c r="AV12" s="82" t="s">
        <v>130</v>
      </c>
      <c r="AW12" s="82">
        <f>$AZ$7</f>
        <v>2</v>
      </c>
    </row>
    <row r="13" spans="2:52" ht="15" customHeight="1" x14ac:dyDescent="0.2">
      <c r="B13" s="92"/>
      <c r="C13" s="93"/>
      <c r="D13" s="94" t="s">
        <v>27</v>
      </c>
      <c r="E13" s="94" t="s">
        <v>121</v>
      </c>
      <c r="F13" s="94" t="s">
        <v>35</v>
      </c>
      <c r="G13" s="94" t="s">
        <v>40</v>
      </c>
      <c r="H13" s="71" t="s">
        <v>122</v>
      </c>
      <c r="I13" s="71"/>
      <c r="J13" s="80"/>
      <c r="K13" s="71"/>
      <c r="L13" s="71" t="s">
        <v>27</v>
      </c>
      <c r="M13" s="71" t="s">
        <v>121</v>
      </c>
      <c r="N13" s="71" t="s">
        <v>35</v>
      </c>
      <c r="O13" s="71" t="s">
        <v>40</v>
      </c>
      <c r="P13" s="71" t="s">
        <v>122</v>
      </c>
      <c r="R13" s="80"/>
      <c r="S13" s="71"/>
      <c r="T13" s="71" t="s">
        <v>27</v>
      </c>
      <c r="U13" s="71" t="s">
        <v>121</v>
      </c>
      <c r="V13" s="71" t="s">
        <v>35</v>
      </c>
      <c r="W13" s="71" t="s">
        <v>40</v>
      </c>
      <c r="X13" t="s">
        <v>122</v>
      </c>
      <c r="Z13" s="81" t="s">
        <v>154</v>
      </c>
      <c r="AA13" s="81">
        <f>SUM(T23:W26)</f>
        <v>2</v>
      </c>
      <c r="AB13" s="81" t="s">
        <v>130</v>
      </c>
      <c r="AC13" s="81">
        <f>$AZ$4</f>
        <v>2</v>
      </c>
      <c r="AD13" s="1"/>
      <c r="AE13" s="81">
        <v>9</v>
      </c>
      <c r="AF13" s="81">
        <f>SUM(T27,X23)</f>
        <v>1</v>
      </c>
      <c r="AG13" s="81" t="s">
        <v>131</v>
      </c>
      <c r="AH13" s="81">
        <f>$AZ$6</f>
        <v>1</v>
      </c>
      <c r="AI13" s="1"/>
      <c r="AJ13" s="81">
        <v>9</v>
      </c>
      <c r="AK13" s="81">
        <f>SUM(U27,X24)</f>
        <v>1</v>
      </c>
      <c r="AL13" s="81" t="s">
        <v>131</v>
      </c>
      <c r="AM13" s="81">
        <f>$AZ$6</f>
        <v>1</v>
      </c>
      <c r="AN13" s="1"/>
      <c r="AO13" s="81">
        <v>9</v>
      </c>
      <c r="AP13" s="81">
        <f>SUM(V27,X25)</f>
        <v>1</v>
      </c>
      <c r="AQ13" s="81" t="s">
        <v>131</v>
      </c>
      <c r="AR13" s="81">
        <f>$AZ$6</f>
        <v>1</v>
      </c>
      <c r="AT13" s="82" t="s">
        <v>155</v>
      </c>
      <c r="AU13" s="82">
        <f>SUM(T27,X23,D36,H32,L36,P32)</f>
        <v>2</v>
      </c>
      <c r="AV13" s="82" t="s">
        <v>130</v>
      </c>
      <c r="AW13" s="82">
        <f>$AZ$7</f>
        <v>2</v>
      </c>
    </row>
    <row r="14" spans="2:52" x14ac:dyDescent="0.2">
      <c r="B14" s="95"/>
      <c r="C14" s="96" t="s">
        <v>27</v>
      </c>
      <c r="D14" s="88">
        <v>0</v>
      </c>
      <c r="E14" s="85">
        <v>0</v>
      </c>
      <c r="F14" s="85">
        <v>0</v>
      </c>
      <c r="G14" s="85">
        <v>0</v>
      </c>
      <c r="H14" s="86">
        <f>SUM(D14:G14)</f>
        <v>0</v>
      </c>
      <c r="I14" s="71"/>
      <c r="J14" s="83"/>
      <c r="K14" s="71" t="s">
        <v>27</v>
      </c>
      <c r="L14" s="88">
        <v>0</v>
      </c>
      <c r="M14" s="85">
        <v>0</v>
      </c>
      <c r="N14" s="85">
        <v>0</v>
      </c>
      <c r="O14" s="85">
        <v>0</v>
      </c>
      <c r="P14" s="86">
        <f>SUM(L14:O14)</f>
        <v>0</v>
      </c>
      <c r="R14" s="83"/>
      <c r="S14" s="71" t="s">
        <v>27</v>
      </c>
      <c r="T14" s="85">
        <v>0</v>
      </c>
      <c r="U14" s="85">
        <v>0</v>
      </c>
      <c r="V14" s="85">
        <v>0</v>
      </c>
      <c r="W14" s="85">
        <v>0</v>
      </c>
      <c r="X14">
        <f>SUM(T14:W14)</f>
        <v>0</v>
      </c>
      <c r="Z14" s="81" t="s">
        <v>156</v>
      </c>
      <c r="AA14" s="81">
        <f>SUM(D32:G35)</f>
        <v>0</v>
      </c>
      <c r="AB14" s="81" t="s">
        <v>130</v>
      </c>
      <c r="AC14" s="81">
        <f>$AZ$4</f>
        <v>2</v>
      </c>
      <c r="AD14" s="1"/>
      <c r="AE14" s="81">
        <v>10</v>
      </c>
      <c r="AF14" s="81">
        <f>SUM(D36,H32)</f>
        <v>0</v>
      </c>
      <c r="AG14" s="81" t="s">
        <v>131</v>
      </c>
      <c r="AH14" s="81">
        <f>$AZ$6</f>
        <v>1</v>
      </c>
      <c r="AI14" s="1"/>
      <c r="AJ14" s="81">
        <v>10</v>
      </c>
      <c r="AK14" s="81">
        <f>SUM(E36,H33)</f>
        <v>0</v>
      </c>
      <c r="AL14" s="81" t="s">
        <v>131</v>
      </c>
      <c r="AM14" s="81">
        <f>$AZ$6</f>
        <v>1</v>
      </c>
      <c r="AN14" s="1"/>
      <c r="AO14" s="81">
        <v>10</v>
      </c>
      <c r="AP14" s="81">
        <f>SUM(F36,H34)</f>
        <v>0</v>
      </c>
      <c r="AQ14" s="81" t="s">
        <v>131</v>
      </c>
      <c r="AR14" s="81">
        <f>$AZ$6</f>
        <v>1</v>
      </c>
      <c r="AT14" s="82" t="s">
        <v>157</v>
      </c>
      <c r="AU14" s="82">
        <f>SUM(D36,H32,L36,P32,T36,X32)</f>
        <v>2</v>
      </c>
      <c r="AV14" s="82" t="s">
        <v>130</v>
      </c>
      <c r="AW14" s="82">
        <f>$AZ$7</f>
        <v>2</v>
      </c>
    </row>
    <row r="15" spans="2:52" x14ac:dyDescent="0.2">
      <c r="B15" s="95"/>
      <c r="C15" s="96" t="s">
        <v>121</v>
      </c>
      <c r="D15" s="85">
        <v>0</v>
      </c>
      <c r="E15" s="85">
        <v>0</v>
      </c>
      <c r="F15" s="85">
        <v>1</v>
      </c>
      <c r="G15" s="85">
        <v>0</v>
      </c>
      <c r="H15" s="86">
        <f>SUM(D15:G15)</f>
        <v>1</v>
      </c>
      <c r="I15" s="71"/>
      <c r="J15" s="83"/>
      <c r="K15" s="71" t="s">
        <v>121</v>
      </c>
      <c r="L15" s="85">
        <v>1</v>
      </c>
      <c r="M15" s="85">
        <v>0</v>
      </c>
      <c r="N15" s="85">
        <v>0</v>
      </c>
      <c r="O15" s="85">
        <v>0</v>
      </c>
      <c r="P15" s="86">
        <f>SUM(L15:O15)</f>
        <v>1</v>
      </c>
      <c r="R15" s="83"/>
      <c r="S15" s="71" t="s">
        <v>121</v>
      </c>
      <c r="T15" s="85">
        <v>0</v>
      </c>
      <c r="U15" s="85">
        <v>0</v>
      </c>
      <c r="V15" s="85">
        <v>0</v>
      </c>
      <c r="W15" s="85">
        <v>0</v>
      </c>
      <c r="X15">
        <f>SUM(T15:W15)</f>
        <v>0</v>
      </c>
      <c r="Z15" s="81" t="s">
        <v>158</v>
      </c>
      <c r="AA15" s="81">
        <f>SUM(L32:O35)</f>
        <v>2</v>
      </c>
      <c r="AB15" s="81" t="s">
        <v>130</v>
      </c>
      <c r="AC15" s="81">
        <f>$AZ$4</f>
        <v>2</v>
      </c>
      <c r="AD15" s="1"/>
      <c r="AE15" s="81">
        <v>11</v>
      </c>
      <c r="AF15" s="81">
        <f>SUM(L36,P32)</f>
        <v>1</v>
      </c>
      <c r="AG15" s="81" t="s">
        <v>131</v>
      </c>
      <c r="AH15" s="81">
        <f>$AZ$6</f>
        <v>1</v>
      </c>
      <c r="AI15" s="1"/>
      <c r="AJ15" s="81">
        <v>11</v>
      </c>
      <c r="AK15" s="81">
        <f>SUM(M36,P33)</f>
        <v>1</v>
      </c>
      <c r="AL15" s="81" t="s">
        <v>131</v>
      </c>
      <c r="AM15" s="81">
        <f>$AZ$6</f>
        <v>1</v>
      </c>
      <c r="AN15" s="1"/>
      <c r="AO15" s="81">
        <v>11</v>
      </c>
      <c r="AP15" s="81">
        <f>SUM(N36,P34)</f>
        <v>1</v>
      </c>
      <c r="AQ15" s="81" t="s">
        <v>131</v>
      </c>
      <c r="AR15" s="81">
        <f>$AZ$6</f>
        <v>1</v>
      </c>
      <c r="AT15" s="82" t="s">
        <v>159</v>
      </c>
      <c r="AU15" s="82">
        <f>SUM(E9,H6,M9,P6,U9,X6)</f>
        <v>0</v>
      </c>
      <c r="AV15" s="82" t="s">
        <v>131</v>
      </c>
      <c r="AW15" s="82">
        <f>$AZ$7</f>
        <v>2</v>
      </c>
    </row>
    <row r="16" spans="2:52" x14ac:dyDescent="0.2">
      <c r="B16" s="95"/>
      <c r="C16" s="96" t="s">
        <v>35</v>
      </c>
      <c r="D16" s="85">
        <v>0</v>
      </c>
      <c r="E16" s="85">
        <v>0</v>
      </c>
      <c r="F16" s="85">
        <v>0</v>
      </c>
      <c r="G16" s="85">
        <v>0</v>
      </c>
      <c r="H16" s="86">
        <f>SUM(D16:G16)</f>
        <v>0</v>
      </c>
      <c r="I16" s="71"/>
      <c r="J16" s="83"/>
      <c r="K16" s="71" t="s">
        <v>35</v>
      </c>
      <c r="L16" s="85">
        <v>0</v>
      </c>
      <c r="M16" s="85">
        <v>0</v>
      </c>
      <c r="N16" s="85">
        <v>0</v>
      </c>
      <c r="O16" s="85">
        <v>0</v>
      </c>
      <c r="P16" s="86">
        <f>SUM(L16:O16)</f>
        <v>0</v>
      </c>
      <c r="R16" s="83"/>
      <c r="S16" s="71" t="s">
        <v>35</v>
      </c>
      <c r="T16" s="85">
        <v>0</v>
      </c>
      <c r="U16" s="85">
        <v>0</v>
      </c>
      <c r="V16" s="85">
        <v>0</v>
      </c>
      <c r="W16" s="85">
        <v>0</v>
      </c>
      <c r="X16">
        <f>SUM(T16:W16)</f>
        <v>0</v>
      </c>
      <c r="Z16" s="81" t="s">
        <v>160</v>
      </c>
      <c r="AA16" s="81">
        <f>SUM(T32:W35)</f>
        <v>2</v>
      </c>
      <c r="AB16" s="81" t="s">
        <v>130</v>
      </c>
      <c r="AC16" s="81">
        <f>$AZ$4</f>
        <v>2</v>
      </c>
      <c r="AD16" s="1"/>
      <c r="AE16" s="81">
        <v>12</v>
      </c>
      <c r="AF16" s="81">
        <f>SUM(T36,X32)</f>
        <v>1</v>
      </c>
      <c r="AG16" s="81" t="s">
        <v>131</v>
      </c>
      <c r="AH16" s="81">
        <f>$AZ$6</f>
        <v>1</v>
      </c>
      <c r="AI16" s="1"/>
      <c r="AJ16" s="81">
        <v>12</v>
      </c>
      <c r="AK16" s="81">
        <f>SUM(U36,X33)</f>
        <v>1</v>
      </c>
      <c r="AL16" s="81" t="s">
        <v>131</v>
      </c>
      <c r="AM16" s="81">
        <f>$AZ$6</f>
        <v>1</v>
      </c>
      <c r="AN16" s="1"/>
      <c r="AO16" s="81">
        <v>12</v>
      </c>
      <c r="AP16" s="81">
        <f>SUM(V36,X34)</f>
        <v>1</v>
      </c>
      <c r="AQ16" s="81" t="s">
        <v>131</v>
      </c>
      <c r="AR16" s="81">
        <f>$AZ$6</f>
        <v>1</v>
      </c>
      <c r="AT16" s="82" t="s">
        <v>161</v>
      </c>
      <c r="AU16" s="82">
        <f>SUM(M9,P6,U9,X6,E18,H15)</f>
        <v>1</v>
      </c>
      <c r="AV16" s="82" t="s">
        <v>130</v>
      </c>
      <c r="AW16" s="82">
        <f>$AZ$7</f>
        <v>2</v>
      </c>
    </row>
    <row r="17" spans="2:54" x14ac:dyDescent="0.2">
      <c r="B17" s="95"/>
      <c r="C17" s="96" t="s">
        <v>40</v>
      </c>
      <c r="D17" s="88">
        <v>1</v>
      </c>
      <c r="E17" s="88">
        <v>0</v>
      </c>
      <c r="F17" s="88">
        <v>0</v>
      </c>
      <c r="G17" s="88">
        <v>0</v>
      </c>
      <c r="H17" s="71">
        <f>SUM(D17:G17)</f>
        <v>1</v>
      </c>
      <c r="I17" s="71"/>
      <c r="J17" s="83"/>
      <c r="K17" s="71" t="s">
        <v>40</v>
      </c>
      <c r="L17" s="88">
        <v>0</v>
      </c>
      <c r="M17" s="88">
        <v>0</v>
      </c>
      <c r="N17" s="88">
        <v>0</v>
      </c>
      <c r="O17" s="88">
        <v>0</v>
      </c>
      <c r="P17" s="86">
        <f>SUM(L17:O17)</f>
        <v>0</v>
      </c>
      <c r="R17" s="83"/>
      <c r="S17" s="71" t="s">
        <v>40</v>
      </c>
      <c r="T17" s="85">
        <v>0</v>
      </c>
      <c r="U17" s="85">
        <v>0</v>
      </c>
      <c r="V17" s="85">
        <v>1</v>
      </c>
      <c r="W17" s="85">
        <v>0</v>
      </c>
      <c r="X17">
        <f>SUM(T17:W17)</f>
        <v>1</v>
      </c>
      <c r="AT17" s="82" t="s">
        <v>162</v>
      </c>
      <c r="AU17" s="82">
        <f>SUM(U9,X6,E18,H15,M18,P15)</f>
        <v>2</v>
      </c>
      <c r="AV17" s="82" t="s">
        <v>130</v>
      </c>
      <c r="AW17" s="82">
        <f>$AZ$7</f>
        <v>2</v>
      </c>
    </row>
    <row r="18" spans="2:54" s="98" customFormat="1" ht="14.25" customHeight="1" x14ac:dyDescent="0.2">
      <c r="B18" s="89"/>
      <c r="C18" s="71" t="s">
        <v>122</v>
      </c>
      <c r="D18" s="71">
        <f>SUM(D14:D17)</f>
        <v>1</v>
      </c>
      <c r="E18" s="71">
        <f>SUM(E14:E17)</f>
        <v>0</v>
      </c>
      <c r="F18" s="71">
        <f>SUM(F14:F17)</f>
        <v>1</v>
      </c>
      <c r="G18" s="71">
        <f>SUM(G14:G17)</f>
        <v>0</v>
      </c>
      <c r="H18" s="71"/>
      <c r="I18" s="71"/>
      <c r="J18" s="89"/>
      <c r="K18" s="89" t="s">
        <v>122</v>
      </c>
      <c r="L18" s="71">
        <f>SUM(L14:L17)</f>
        <v>1</v>
      </c>
      <c r="M18" s="71">
        <f>SUM(M14:M17)</f>
        <v>0</v>
      </c>
      <c r="N18" s="71">
        <f>SUM(N14:N17)</f>
        <v>0</v>
      </c>
      <c r="O18" s="71">
        <f>SUM(O14:O17)</f>
        <v>0</v>
      </c>
      <c r="P18" s="71"/>
      <c r="Q18" s="97"/>
      <c r="R18" s="89"/>
      <c r="S18" s="71" t="s">
        <v>122</v>
      </c>
      <c r="T18" s="86">
        <f>SUM(T14:T17)</f>
        <v>0</v>
      </c>
      <c r="U18" s="86">
        <f>SUM(U14:U17)</f>
        <v>0</v>
      </c>
      <c r="V18" s="86">
        <f>SUM(V14:V17)</f>
        <v>1</v>
      </c>
      <c r="W18" s="86">
        <f>SUM(W14:W17)</f>
        <v>0</v>
      </c>
      <c r="AT18" s="82" t="s">
        <v>163</v>
      </c>
      <c r="AU18" s="82">
        <f>SUM(E18,H15,M18,P15,U18,X15)</f>
        <v>2</v>
      </c>
      <c r="AV18" s="82" t="s">
        <v>130</v>
      </c>
      <c r="AW18" s="82">
        <f>$AZ$7</f>
        <v>2</v>
      </c>
      <c r="AY18"/>
      <c r="AZ18"/>
      <c r="BA18"/>
      <c r="BB18"/>
    </row>
    <row r="19" spans="2:54" hidden="1" x14ac:dyDescent="0.2"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R19" s="71"/>
      <c r="S19" s="71"/>
      <c r="T19" s="71"/>
      <c r="U19" s="71"/>
      <c r="V19" s="71"/>
      <c r="W19" s="71"/>
      <c r="AT19" s="82"/>
      <c r="AU19" s="82"/>
      <c r="AV19" s="82" t="s">
        <v>130</v>
      </c>
      <c r="AW19" s="82">
        <f>$AZ$7</f>
        <v>2</v>
      </c>
    </row>
    <row r="20" spans="2:54" x14ac:dyDescent="0.2">
      <c r="B20" s="71"/>
      <c r="C20" s="72" t="s">
        <v>164</v>
      </c>
      <c r="D20" s="73"/>
      <c r="E20" s="73"/>
      <c r="F20" s="73"/>
      <c r="G20" s="73"/>
      <c r="H20" s="71"/>
      <c r="I20" s="71"/>
      <c r="J20" s="71"/>
      <c r="K20" s="72" t="s">
        <v>165</v>
      </c>
      <c r="L20" s="73"/>
      <c r="M20" s="73"/>
      <c r="N20" s="73"/>
      <c r="O20" s="73"/>
      <c r="P20" s="71"/>
      <c r="R20" s="71"/>
      <c r="S20" s="72" t="s">
        <v>166</v>
      </c>
      <c r="T20" s="73"/>
      <c r="U20" s="73"/>
      <c r="V20" s="73"/>
      <c r="W20" s="73"/>
      <c r="AT20" s="82" t="s">
        <v>167</v>
      </c>
      <c r="AU20" s="82">
        <f>SUM(M18,P15,U18,X15,E27,H24)</f>
        <v>1</v>
      </c>
      <c r="AV20" s="82" t="s">
        <v>130</v>
      </c>
      <c r="AW20" s="82">
        <f>$AZ$7</f>
        <v>2</v>
      </c>
    </row>
    <row r="21" spans="2:54" ht="15" customHeight="1" x14ac:dyDescent="0.2">
      <c r="B21" s="71"/>
      <c r="C21" s="90"/>
      <c r="D21" s="91"/>
      <c r="E21" s="91"/>
      <c r="F21" s="91"/>
      <c r="G21" s="91"/>
      <c r="H21" s="71"/>
      <c r="I21" s="71"/>
      <c r="J21" s="71"/>
      <c r="K21" s="74"/>
      <c r="L21" s="75"/>
      <c r="M21" s="75"/>
      <c r="N21" s="75"/>
      <c r="O21" s="75"/>
      <c r="P21" s="71"/>
      <c r="R21" s="71"/>
      <c r="S21" s="74"/>
      <c r="T21" s="75"/>
      <c r="U21" s="75"/>
      <c r="V21" s="75"/>
      <c r="W21" s="75"/>
      <c r="Z21" s="64"/>
      <c r="AA21" s="64"/>
      <c r="AB21" s="64"/>
      <c r="AC21" s="64"/>
      <c r="AT21" s="82" t="s">
        <v>168</v>
      </c>
      <c r="AU21" s="82">
        <f>SUM(U18,X15,E27,H24,M27,P24)</f>
        <v>1</v>
      </c>
      <c r="AV21" s="82" t="s">
        <v>130</v>
      </c>
      <c r="AW21" s="82">
        <f>$AZ$7</f>
        <v>2</v>
      </c>
    </row>
    <row r="22" spans="2:54" x14ac:dyDescent="0.2">
      <c r="B22" s="92"/>
      <c r="C22" s="93" t="s">
        <v>169</v>
      </c>
      <c r="D22" s="94" t="s">
        <v>27</v>
      </c>
      <c r="E22" s="94" t="s">
        <v>121</v>
      </c>
      <c r="F22" s="94" t="s">
        <v>35</v>
      </c>
      <c r="G22" s="94" t="s">
        <v>40</v>
      </c>
      <c r="H22" s="71" t="s">
        <v>122</v>
      </c>
      <c r="I22" s="71"/>
      <c r="J22" s="80"/>
      <c r="K22" s="71" t="s">
        <v>169</v>
      </c>
      <c r="L22" s="71" t="s">
        <v>27</v>
      </c>
      <c r="M22" s="71" t="s">
        <v>121</v>
      </c>
      <c r="N22" s="71" t="s">
        <v>35</v>
      </c>
      <c r="O22" s="71" t="s">
        <v>40</v>
      </c>
      <c r="P22" s="71" t="s">
        <v>122</v>
      </c>
      <c r="R22" s="80"/>
      <c r="S22" s="71" t="s">
        <v>169</v>
      </c>
      <c r="T22" s="71" t="s">
        <v>27</v>
      </c>
      <c r="U22" s="71" t="s">
        <v>121</v>
      </c>
      <c r="V22" s="71" t="s">
        <v>35</v>
      </c>
      <c r="W22" s="71" t="s">
        <v>40</v>
      </c>
      <c r="X22" t="s">
        <v>122</v>
      </c>
      <c r="AT22" s="82" t="s">
        <v>170</v>
      </c>
      <c r="AU22" s="82">
        <f>SUM(E27,H24,M27,P24,U27,X24)</f>
        <v>2</v>
      </c>
      <c r="AV22" s="82" t="s">
        <v>130</v>
      </c>
      <c r="AW22" s="82">
        <f>$AZ$7</f>
        <v>2</v>
      </c>
    </row>
    <row r="23" spans="2:54" x14ac:dyDescent="0.2">
      <c r="B23" s="95"/>
      <c r="C23" s="96" t="s">
        <v>27</v>
      </c>
      <c r="D23" s="88">
        <v>0</v>
      </c>
      <c r="E23" s="85">
        <v>0</v>
      </c>
      <c r="F23" s="85">
        <v>0</v>
      </c>
      <c r="G23" s="85">
        <v>0</v>
      </c>
      <c r="H23" s="86">
        <f>SUM(D23:G23)</f>
        <v>0</v>
      </c>
      <c r="I23" s="71"/>
      <c r="J23" s="83"/>
      <c r="K23" s="71" t="s">
        <v>27</v>
      </c>
      <c r="L23" s="88">
        <v>0</v>
      </c>
      <c r="M23" s="85">
        <v>0</v>
      </c>
      <c r="N23" s="85">
        <v>1</v>
      </c>
      <c r="O23" s="85">
        <v>0</v>
      </c>
      <c r="P23" s="86">
        <f>SUM(L23:O23)</f>
        <v>1</v>
      </c>
      <c r="R23" s="83"/>
      <c r="S23" s="71" t="s">
        <v>27</v>
      </c>
      <c r="T23" s="85">
        <v>0</v>
      </c>
      <c r="U23" s="85">
        <v>0</v>
      </c>
      <c r="V23" s="85">
        <v>0</v>
      </c>
      <c r="W23" s="85">
        <v>0</v>
      </c>
      <c r="X23">
        <f>SUM(T23:W23)</f>
        <v>0</v>
      </c>
      <c r="Z23" s="76" t="s">
        <v>171</v>
      </c>
      <c r="AA23" s="76"/>
      <c r="AB23" s="76"/>
      <c r="AC23" s="76"/>
      <c r="AE23" s="99" t="s">
        <v>172</v>
      </c>
      <c r="AF23" s="99"/>
      <c r="AG23" s="99"/>
      <c r="AH23" s="99"/>
      <c r="AJ23" s="76" t="s">
        <v>173</v>
      </c>
      <c r="AK23" s="76"/>
      <c r="AL23" s="76"/>
      <c r="AM23" s="76"/>
      <c r="AO23" s="76" t="s">
        <v>174</v>
      </c>
      <c r="AP23" s="76"/>
      <c r="AQ23" s="76"/>
      <c r="AR23" s="76"/>
      <c r="AT23" s="82" t="s">
        <v>175</v>
      </c>
      <c r="AU23" s="82">
        <f>SUM(M27,P24,U27,X24,E36,H33)</f>
        <v>2</v>
      </c>
      <c r="AV23" s="82" t="s">
        <v>130</v>
      </c>
      <c r="AW23" s="82">
        <f>$AZ$7</f>
        <v>2</v>
      </c>
    </row>
    <row r="24" spans="2:54" x14ac:dyDescent="0.2">
      <c r="B24" s="95"/>
      <c r="C24" s="96" t="s">
        <v>121</v>
      </c>
      <c r="D24" s="85">
        <v>0</v>
      </c>
      <c r="E24" s="85">
        <v>0</v>
      </c>
      <c r="F24" s="85">
        <v>0</v>
      </c>
      <c r="G24" s="85">
        <v>0</v>
      </c>
      <c r="H24" s="86">
        <f>SUM(D24:G24)</f>
        <v>0</v>
      </c>
      <c r="I24" s="71"/>
      <c r="J24" s="83"/>
      <c r="K24" s="71" t="s">
        <v>121</v>
      </c>
      <c r="L24" s="85">
        <v>0</v>
      </c>
      <c r="M24" s="85">
        <v>0</v>
      </c>
      <c r="N24" s="85">
        <v>0</v>
      </c>
      <c r="O24" s="85">
        <v>1</v>
      </c>
      <c r="P24" s="86">
        <f>SUM(L24:O24)</f>
        <v>1</v>
      </c>
      <c r="R24" s="83"/>
      <c r="S24" s="71" t="s">
        <v>121</v>
      </c>
      <c r="T24" s="85">
        <v>0</v>
      </c>
      <c r="U24" s="85">
        <v>0</v>
      </c>
      <c r="V24" s="85">
        <v>0</v>
      </c>
      <c r="W24" s="85">
        <v>0</v>
      </c>
      <c r="X24">
        <f>SUM(T24:W24)</f>
        <v>0</v>
      </c>
      <c r="Z24" s="81" t="s">
        <v>123</v>
      </c>
      <c r="AA24" s="81" t="s">
        <v>124</v>
      </c>
      <c r="AB24" s="81" t="s">
        <v>125</v>
      </c>
      <c r="AC24" s="81" t="s">
        <v>126</v>
      </c>
      <c r="AE24" s="81" t="s">
        <v>123</v>
      </c>
      <c r="AF24" s="81" t="s">
        <v>124</v>
      </c>
      <c r="AG24" s="81" t="s">
        <v>125</v>
      </c>
      <c r="AH24" s="81" t="s">
        <v>126</v>
      </c>
      <c r="AJ24" s="82" t="s">
        <v>123</v>
      </c>
      <c r="AK24" s="82" t="s">
        <v>127</v>
      </c>
      <c r="AL24" s="82" t="s">
        <v>125</v>
      </c>
      <c r="AM24" s="82" t="s">
        <v>126</v>
      </c>
      <c r="AO24" s="82" t="s">
        <v>123</v>
      </c>
      <c r="AP24" s="82" t="s">
        <v>127</v>
      </c>
      <c r="AQ24" s="82" t="s">
        <v>125</v>
      </c>
      <c r="AR24" s="82" t="s">
        <v>126</v>
      </c>
      <c r="AT24" s="82" t="s">
        <v>176</v>
      </c>
      <c r="AU24" s="82">
        <f>SUM(U27,X24,E36,H33,M36,P33)</f>
        <v>2</v>
      </c>
      <c r="AV24" s="82" t="s">
        <v>130</v>
      </c>
      <c r="AW24" s="82">
        <f>$AZ$7</f>
        <v>2</v>
      </c>
    </row>
    <row r="25" spans="2:54" x14ac:dyDescent="0.2">
      <c r="B25" s="95"/>
      <c r="C25" s="96" t="s">
        <v>35</v>
      </c>
      <c r="D25" s="85">
        <v>0</v>
      </c>
      <c r="E25" s="85">
        <v>0</v>
      </c>
      <c r="F25" s="85">
        <v>0</v>
      </c>
      <c r="G25" s="85">
        <v>0</v>
      </c>
      <c r="H25" s="86">
        <f>SUM(D25:G25)</f>
        <v>0</v>
      </c>
      <c r="I25" s="71"/>
      <c r="J25" s="83"/>
      <c r="K25" s="71" t="s">
        <v>35</v>
      </c>
      <c r="L25" s="85">
        <v>0</v>
      </c>
      <c r="M25" s="85">
        <v>0</v>
      </c>
      <c r="N25" s="85">
        <v>0</v>
      </c>
      <c r="O25" s="85">
        <v>0</v>
      </c>
      <c r="P25" s="86">
        <f>SUM(L25:O25)</f>
        <v>0</v>
      </c>
      <c r="R25" s="83"/>
      <c r="S25" s="71" t="s">
        <v>35</v>
      </c>
      <c r="T25" s="85">
        <v>1</v>
      </c>
      <c r="U25" s="85">
        <v>0</v>
      </c>
      <c r="V25" s="85">
        <v>0</v>
      </c>
      <c r="W25" s="85">
        <v>0</v>
      </c>
      <c r="X25">
        <f>SUM(T25:W25)</f>
        <v>1</v>
      </c>
      <c r="Z25" s="81" t="s">
        <v>177</v>
      </c>
      <c r="AA25" s="81">
        <f>SUM(E5,M5,U5,E14,M14,U14,E23,M23,U23,E32,M32,U32)</f>
        <v>1</v>
      </c>
      <c r="AB25" s="81" t="s">
        <v>178</v>
      </c>
      <c r="AC25" s="81">
        <f>$AZ$8</f>
        <v>1</v>
      </c>
      <c r="AE25" s="81">
        <v>1</v>
      </c>
      <c r="AF25" s="81">
        <f>SUM(G9,H8)</f>
        <v>0</v>
      </c>
      <c r="AG25" s="81" t="s">
        <v>131</v>
      </c>
      <c r="AH25" s="81">
        <f>$AZ$6</f>
        <v>1</v>
      </c>
      <c r="AJ25" s="100" t="s">
        <v>179</v>
      </c>
      <c r="AK25" s="82">
        <f>$AA$47</f>
        <v>0</v>
      </c>
      <c r="AL25" s="82" t="s">
        <v>180</v>
      </c>
      <c r="AM25" s="82">
        <f>AA43</f>
        <v>0</v>
      </c>
      <c r="AO25" s="82" t="s">
        <v>181</v>
      </c>
      <c r="AP25" s="82">
        <f>AA48</f>
        <v>0</v>
      </c>
      <c r="AQ25" s="82" t="s">
        <v>131</v>
      </c>
      <c r="AR25" s="82">
        <f>AA43</f>
        <v>0</v>
      </c>
      <c r="AT25" s="82" t="s">
        <v>182</v>
      </c>
      <c r="AU25" s="82">
        <f>SUM(E36,H33,M36,P33,U36,X33)</f>
        <v>2</v>
      </c>
      <c r="AV25" s="82" t="s">
        <v>130</v>
      </c>
      <c r="AW25" s="82">
        <f>$AZ$7</f>
        <v>2</v>
      </c>
    </row>
    <row r="26" spans="2:54" x14ac:dyDescent="0.2">
      <c r="B26" s="95"/>
      <c r="C26" s="96" t="s">
        <v>40</v>
      </c>
      <c r="D26" s="88">
        <v>0</v>
      </c>
      <c r="E26" s="88">
        <v>0</v>
      </c>
      <c r="F26" s="88">
        <v>0</v>
      </c>
      <c r="G26" s="88">
        <v>0</v>
      </c>
      <c r="H26" s="86">
        <f>SUM(D26:G26)</f>
        <v>0</v>
      </c>
      <c r="I26" s="71"/>
      <c r="J26" s="83"/>
      <c r="K26" s="71" t="s">
        <v>40</v>
      </c>
      <c r="L26" s="88">
        <v>0</v>
      </c>
      <c r="M26" s="88">
        <v>0</v>
      </c>
      <c r="N26" s="88">
        <v>0</v>
      </c>
      <c r="O26" s="88">
        <v>0</v>
      </c>
      <c r="P26" s="101">
        <f>SUM(L26:O26)</f>
        <v>0</v>
      </c>
      <c r="R26" s="83"/>
      <c r="S26" s="71" t="s">
        <v>40</v>
      </c>
      <c r="T26" s="85">
        <v>0</v>
      </c>
      <c r="U26" s="85">
        <v>1</v>
      </c>
      <c r="V26" s="85">
        <v>0</v>
      </c>
      <c r="W26" s="85">
        <v>0</v>
      </c>
      <c r="X26">
        <f>SUM(T26:W26)</f>
        <v>1</v>
      </c>
      <c r="Z26" s="81" t="s">
        <v>183</v>
      </c>
      <c r="AA26" s="81">
        <f>SUM(D6,L6,T6,D15,L15,T15,D24,L24,T24,D33,L33,T33)</f>
        <v>1</v>
      </c>
      <c r="AB26" s="81" t="s">
        <v>178</v>
      </c>
      <c r="AC26" s="81">
        <f>$AZ$8</f>
        <v>1</v>
      </c>
      <c r="AE26" s="81">
        <v>2</v>
      </c>
      <c r="AF26" s="81">
        <f>SUM(O9,P8)</f>
        <v>0</v>
      </c>
      <c r="AG26" s="81" t="s">
        <v>131</v>
      </c>
      <c r="AH26" s="81">
        <f>$AZ$6</f>
        <v>1</v>
      </c>
      <c r="AJ26" s="82" t="s">
        <v>179</v>
      </c>
      <c r="AK26" s="82">
        <f>$AA$47</f>
        <v>0</v>
      </c>
      <c r="AL26" s="82" t="s">
        <v>180</v>
      </c>
      <c r="AM26" s="82">
        <f>AA44</f>
        <v>0</v>
      </c>
      <c r="AO26" s="82" t="s">
        <v>181</v>
      </c>
      <c r="AP26" s="82">
        <f>AA48</f>
        <v>0</v>
      </c>
      <c r="AQ26" s="82" t="s">
        <v>131</v>
      </c>
      <c r="AR26" s="82">
        <f>AA44</f>
        <v>0</v>
      </c>
      <c r="AT26" s="82" t="s">
        <v>184</v>
      </c>
      <c r="AU26" s="82">
        <f>SUM(G9, H8, O9, P8, W9, X8)</f>
        <v>0</v>
      </c>
      <c r="AV26" s="82" t="s">
        <v>130</v>
      </c>
      <c r="AW26" s="82">
        <f>$AZ$7</f>
        <v>2</v>
      </c>
    </row>
    <row r="27" spans="2:54" s="98" customFormat="1" ht="13.5" customHeight="1" x14ac:dyDescent="0.2">
      <c r="B27" s="89"/>
      <c r="C27" s="71" t="s">
        <v>122</v>
      </c>
      <c r="D27" s="71">
        <f>SUM(D23:D26)</f>
        <v>0</v>
      </c>
      <c r="E27" s="71">
        <f>SUM(E23:E26)</f>
        <v>0</v>
      </c>
      <c r="F27" s="71">
        <f>SUM(F23:F26)</f>
        <v>0</v>
      </c>
      <c r="G27" s="71">
        <f>SUM(G23:G26)</f>
        <v>0</v>
      </c>
      <c r="H27" s="86"/>
      <c r="I27" s="71"/>
      <c r="J27" s="89"/>
      <c r="K27" s="89" t="s">
        <v>122</v>
      </c>
      <c r="L27" s="71">
        <f>SUM(L23:L26)</f>
        <v>0</v>
      </c>
      <c r="M27" s="71">
        <f>SUM(M23:M26)</f>
        <v>0</v>
      </c>
      <c r="N27" s="71">
        <f>SUM(N23:N26)</f>
        <v>1</v>
      </c>
      <c r="O27" s="71">
        <f>SUM(O23:O26)</f>
        <v>1</v>
      </c>
      <c r="P27" s="71"/>
      <c r="Q27" s="97"/>
      <c r="R27" s="89"/>
      <c r="S27" s="71" t="s">
        <v>122</v>
      </c>
      <c r="T27" s="86">
        <f>SUM(T23:T26)</f>
        <v>1</v>
      </c>
      <c r="U27" s="86">
        <f>SUM(U23:U26)</f>
        <v>1</v>
      </c>
      <c r="V27" s="86">
        <f>SUM(V23:V26)</f>
        <v>0</v>
      </c>
      <c r="W27" s="86">
        <f>SUM(W23:W26)</f>
        <v>0</v>
      </c>
      <c r="Z27" s="81" t="s">
        <v>185</v>
      </c>
      <c r="AA27" s="81">
        <f>SUM(F14,F5,N5,,V5,V14,N14,F23,N23,V23,V32,N32,F32)</f>
        <v>1</v>
      </c>
      <c r="AB27" s="81" t="s">
        <v>178</v>
      </c>
      <c r="AC27" s="81">
        <f>$AZ$8</f>
        <v>1</v>
      </c>
      <c r="AE27" s="81">
        <v>3</v>
      </c>
      <c r="AF27" s="81">
        <f>SUM(W9,X8)</f>
        <v>0</v>
      </c>
      <c r="AG27" s="81" t="s">
        <v>131</v>
      </c>
      <c r="AH27" s="81">
        <f>$AZ$6</f>
        <v>1</v>
      </c>
      <c r="AJ27" s="82" t="s">
        <v>179</v>
      </c>
      <c r="AK27" s="82">
        <f>$AA$47</f>
        <v>0</v>
      </c>
      <c r="AL27" s="82" t="s">
        <v>180</v>
      </c>
      <c r="AM27" s="82">
        <f>AA45</f>
        <v>0</v>
      </c>
      <c r="AO27" s="82" t="s">
        <v>181</v>
      </c>
      <c r="AP27" s="82">
        <f>AA48</f>
        <v>0</v>
      </c>
      <c r="AQ27" s="82" t="s">
        <v>131</v>
      </c>
      <c r="AR27" s="82">
        <f>AA45</f>
        <v>0</v>
      </c>
      <c r="AT27" s="82" t="s">
        <v>186</v>
      </c>
      <c r="AU27" s="82">
        <f>SUM(O9, P8, W9, X8, G18, H17)</f>
        <v>1</v>
      </c>
      <c r="AV27" s="82" t="s">
        <v>130</v>
      </c>
      <c r="AW27" s="82">
        <f>$AZ$7</f>
        <v>2</v>
      </c>
      <c r="AX27"/>
      <c r="AY27"/>
      <c r="AZ27"/>
      <c r="BA27"/>
      <c r="BB27"/>
    </row>
    <row r="28" spans="2:54" x14ac:dyDescent="0.2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/>
      <c r="R28" s="71"/>
      <c r="S28" s="71"/>
      <c r="T28" s="71"/>
      <c r="U28" s="71"/>
      <c r="V28" s="71"/>
      <c r="W28" s="71"/>
      <c r="Z28" s="81" t="s">
        <v>187</v>
      </c>
      <c r="AA28" s="81">
        <f>SUM(D7,L7,T7,D16,L16,T16,T25,L25,D25,D34,L34,T34)</f>
        <v>1</v>
      </c>
      <c r="AB28" s="81" t="s">
        <v>178</v>
      </c>
      <c r="AC28" s="81">
        <f>$AZ$8</f>
        <v>1</v>
      </c>
      <c r="AE28" s="81">
        <v>4</v>
      </c>
      <c r="AF28" s="81">
        <f>SUM(G18,H17)</f>
        <v>1</v>
      </c>
      <c r="AG28" s="81" t="s">
        <v>131</v>
      </c>
      <c r="AH28" s="81">
        <f>$AZ$6</f>
        <v>1</v>
      </c>
      <c r="AJ28" s="82" t="s">
        <v>179</v>
      </c>
      <c r="AK28" s="82">
        <f>$AA$47</f>
        <v>0</v>
      </c>
      <c r="AL28" s="82" t="s">
        <v>180</v>
      </c>
      <c r="AM28" s="82">
        <f>AA46</f>
        <v>0</v>
      </c>
      <c r="AO28" s="82" t="s">
        <v>181</v>
      </c>
      <c r="AP28" s="82">
        <f>AA48</f>
        <v>0</v>
      </c>
      <c r="AQ28" s="82" t="s">
        <v>131</v>
      </c>
      <c r="AR28" s="82">
        <f>AA46</f>
        <v>0</v>
      </c>
      <c r="AT28" s="82" t="s">
        <v>188</v>
      </c>
      <c r="AU28" s="82">
        <f>SUM(W9, X8, G18, H17, O18, P17)</f>
        <v>1</v>
      </c>
      <c r="AV28" s="82" t="s">
        <v>130</v>
      </c>
      <c r="AW28" s="82">
        <f>$AZ$7</f>
        <v>2</v>
      </c>
    </row>
    <row r="29" spans="2:54" x14ac:dyDescent="0.2">
      <c r="B29" s="71"/>
      <c r="C29" s="72" t="s">
        <v>189</v>
      </c>
      <c r="D29" s="73"/>
      <c r="E29" s="73"/>
      <c r="F29" s="73"/>
      <c r="G29" s="73"/>
      <c r="H29" s="71"/>
      <c r="I29" s="71"/>
      <c r="J29" s="71"/>
      <c r="K29" s="72" t="s">
        <v>190</v>
      </c>
      <c r="L29" s="73"/>
      <c r="M29" s="73"/>
      <c r="N29" s="73"/>
      <c r="O29" s="73"/>
      <c r="P29" s="71"/>
      <c r="Q29"/>
      <c r="R29" s="71"/>
      <c r="S29" s="72" t="s">
        <v>191</v>
      </c>
      <c r="T29" s="73"/>
      <c r="U29" s="73"/>
      <c r="V29" s="73"/>
      <c r="W29" s="73"/>
      <c r="Z29" s="81" t="s">
        <v>192</v>
      </c>
      <c r="AA29" s="81">
        <f>SUM(G5,O5,W5,G14,O14,W14,G23,O23,W23,G32,O32,W32)</f>
        <v>1</v>
      </c>
      <c r="AB29" s="81" t="s">
        <v>178</v>
      </c>
      <c r="AC29" s="81">
        <f>$AZ$8</f>
        <v>1</v>
      </c>
      <c r="AE29" s="81">
        <v>5</v>
      </c>
      <c r="AF29" s="81">
        <f>SUM(O18,P17)</f>
        <v>0</v>
      </c>
      <c r="AG29" s="81" t="s">
        <v>131</v>
      </c>
      <c r="AH29" s="81">
        <f>$AZ$6</f>
        <v>1</v>
      </c>
      <c r="AJ29" s="100" t="s">
        <v>193</v>
      </c>
      <c r="AK29" s="82">
        <f>$AB$47</f>
        <v>0</v>
      </c>
      <c r="AL29" s="82" t="s">
        <v>180</v>
      </c>
      <c r="AM29" s="82">
        <f>AB43</f>
        <v>0</v>
      </c>
      <c r="AO29" s="82" t="s">
        <v>194</v>
      </c>
      <c r="AP29" s="82">
        <f>AB48</f>
        <v>0</v>
      </c>
      <c r="AQ29" s="82" t="s">
        <v>131</v>
      </c>
      <c r="AR29" s="82">
        <f>AB43</f>
        <v>0</v>
      </c>
      <c r="AT29" s="82" t="s">
        <v>195</v>
      </c>
      <c r="AU29" s="82">
        <f>SUM(G18, H17, O17:P18, W17:X18)</f>
        <v>2</v>
      </c>
      <c r="AV29" s="82" t="s">
        <v>130</v>
      </c>
      <c r="AW29" s="82">
        <f>$AZ$7</f>
        <v>2</v>
      </c>
    </row>
    <row r="30" spans="2:54" x14ac:dyDescent="0.2">
      <c r="B30" s="71"/>
      <c r="C30" s="90"/>
      <c r="D30" s="91"/>
      <c r="E30" s="91"/>
      <c r="F30" s="91"/>
      <c r="G30" s="91"/>
      <c r="H30" s="71"/>
      <c r="I30" s="71"/>
      <c r="J30" s="71"/>
      <c r="K30" s="74"/>
      <c r="L30" s="75"/>
      <c r="M30" s="75"/>
      <c r="N30" s="75"/>
      <c r="O30" s="75"/>
      <c r="P30" s="71"/>
      <c r="Q30"/>
      <c r="R30" s="71"/>
      <c r="S30" s="74"/>
      <c r="T30" s="75"/>
      <c r="U30" s="75"/>
      <c r="V30" s="75"/>
      <c r="W30" s="75"/>
      <c r="Z30" s="81" t="s">
        <v>196</v>
      </c>
      <c r="AA30" s="81">
        <f>SUM(D8,L8,T8,T8,D17,L17,T17,D26,L26,T26,D35,L35,T35)</f>
        <v>1</v>
      </c>
      <c r="AB30" s="81" t="s">
        <v>178</v>
      </c>
      <c r="AC30" s="81">
        <f>$AZ$8</f>
        <v>1</v>
      </c>
      <c r="AE30" s="81">
        <v>6</v>
      </c>
      <c r="AF30" s="81">
        <f>SUM(W18,X17)</f>
        <v>1</v>
      </c>
      <c r="AG30" s="81" t="s">
        <v>131</v>
      </c>
      <c r="AH30" s="81">
        <f>$AZ$6</f>
        <v>1</v>
      </c>
      <c r="AJ30" s="82" t="s">
        <v>193</v>
      </c>
      <c r="AK30" s="82">
        <f>$AB$47</f>
        <v>0</v>
      </c>
      <c r="AL30" s="82" t="s">
        <v>180</v>
      </c>
      <c r="AM30" s="82">
        <f>AB44</f>
        <v>0</v>
      </c>
      <c r="AO30" s="82" t="s">
        <v>194</v>
      </c>
      <c r="AP30" s="82">
        <f>AB48</f>
        <v>0</v>
      </c>
      <c r="AQ30" s="82" t="s">
        <v>131</v>
      </c>
      <c r="AR30" s="82">
        <f>AB44</f>
        <v>0</v>
      </c>
      <c r="AT30" s="82" t="s">
        <v>197</v>
      </c>
      <c r="AU30" s="82">
        <f>SUM(O17:P18, W17:X18, G26:H27)</f>
        <v>1</v>
      </c>
      <c r="AV30" s="82" t="s">
        <v>130</v>
      </c>
      <c r="AW30" s="82">
        <f>$AZ$7</f>
        <v>2</v>
      </c>
    </row>
    <row r="31" spans="2:54" x14ac:dyDescent="0.2">
      <c r="B31" s="92"/>
      <c r="C31" s="93" t="s">
        <v>169</v>
      </c>
      <c r="D31" s="94" t="s">
        <v>27</v>
      </c>
      <c r="E31" s="94" t="s">
        <v>121</v>
      </c>
      <c r="F31" s="94" t="s">
        <v>35</v>
      </c>
      <c r="G31" s="94" t="s">
        <v>40</v>
      </c>
      <c r="H31" s="71" t="s">
        <v>122</v>
      </c>
      <c r="I31" s="71"/>
      <c r="J31" s="80"/>
      <c r="K31" s="71" t="s">
        <v>169</v>
      </c>
      <c r="L31" s="71" t="s">
        <v>27</v>
      </c>
      <c r="M31" s="71" t="s">
        <v>121</v>
      </c>
      <c r="N31" s="71" t="s">
        <v>35</v>
      </c>
      <c r="O31" s="71" t="s">
        <v>40</v>
      </c>
      <c r="P31" s="71" t="s">
        <v>122</v>
      </c>
      <c r="Q31"/>
      <c r="R31" s="80"/>
      <c r="S31" s="71" t="s">
        <v>169</v>
      </c>
      <c r="T31" s="71" t="s">
        <v>27</v>
      </c>
      <c r="U31" s="71" t="s">
        <v>121</v>
      </c>
      <c r="V31" s="71" t="s">
        <v>35</v>
      </c>
      <c r="W31" s="71" t="s">
        <v>40</v>
      </c>
      <c r="X31" t="s">
        <v>122</v>
      </c>
      <c r="Z31" s="81" t="s">
        <v>198</v>
      </c>
      <c r="AA31" s="81">
        <f>SUM(F6,N6,V6,F15,N15,V15,F24,N24,V24,F33,N33,V33)</f>
        <v>1</v>
      </c>
      <c r="AB31" s="81" t="s">
        <v>178</v>
      </c>
      <c r="AC31" s="81">
        <f>$AZ$8</f>
        <v>1</v>
      </c>
      <c r="AE31" s="81">
        <v>7</v>
      </c>
      <c r="AF31" s="81">
        <f>SUM(G27,H26)</f>
        <v>0</v>
      </c>
      <c r="AG31" s="81" t="s">
        <v>131</v>
      </c>
      <c r="AH31" s="81">
        <f>$AZ$6</f>
        <v>1</v>
      </c>
      <c r="AJ31" s="82" t="s">
        <v>193</v>
      </c>
      <c r="AK31" s="82">
        <f>$AB$47</f>
        <v>0</v>
      </c>
      <c r="AL31" s="82" t="s">
        <v>180</v>
      </c>
      <c r="AM31" s="82">
        <f>AB45</f>
        <v>0</v>
      </c>
      <c r="AO31" s="82" t="s">
        <v>194</v>
      </c>
      <c r="AP31" s="82">
        <f>AB48</f>
        <v>0</v>
      </c>
      <c r="AQ31" s="82" t="s">
        <v>131</v>
      </c>
      <c r="AR31" s="82">
        <f>AB45</f>
        <v>0</v>
      </c>
      <c r="AT31" s="82" t="s">
        <v>199</v>
      </c>
      <c r="AU31" s="82">
        <f>SUM(W17:X18, G26:H27, O26:P27)</f>
        <v>2</v>
      </c>
      <c r="AV31" s="82" t="s">
        <v>130</v>
      </c>
      <c r="AW31" s="82">
        <f>$AZ$7</f>
        <v>2</v>
      </c>
    </row>
    <row r="32" spans="2:54" x14ac:dyDescent="0.2">
      <c r="B32" s="95"/>
      <c r="C32" s="96" t="s">
        <v>27</v>
      </c>
      <c r="D32" s="85">
        <v>0</v>
      </c>
      <c r="E32" s="85">
        <v>0</v>
      </c>
      <c r="F32" s="85">
        <v>0</v>
      </c>
      <c r="G32" s="85">
        <v>0</v>
      </c>
      <c r="H32" s="86">
        <f>SUM(D32:G32)</f>
        <v>0</v>
      </c>
      <c r="I32" s="71"/>
      <c r="J32" s="83"/>
      <c r="K32" s="71" t="s">
        <v>27</v>
      </c>
      <c r="L32" s="85">
        <v>0</v>
      </c>
      <c r="M32" s="85">
        <v>1</v>
      </c>
      <c r="N32" s="85">
        <v>0</v>
      </c>
      <c r="O32" s="85">
        <v>0</v>
      </c>
      <c r="P32" s="86">
        <f>SUM(L32:O32)</f>
        <v>1</v>
      </c>
      <c r="Q32"/>
      <c r="R32" s="83"/>
      <c r="S32" s="71" t="s">
        <v>27</v>
      </c>
      <c r="T32" s="85">
        <v>0</v>
      </c>
      <c r="U32" s="85">
        <v>0</v>
      </c>
      <c r="V32" s="85">
        <v>0</v>
      </c>
      <c r="W32" s="85">
        <v>1</v>
      </c>
      <c r="X32">
        <f>SUM(T32:W32)</f>
        <v>1</v>
      </c>
      <c r="Z32" s="81" t="s">
        <v>200</v>
      </c>
      <c r="AA32" s="81">
        <f>SUM(E7,M7,U7,E16,M16,U16,E25,M25,U25,E34,M34,U34)</f>
        <v>1</v>
      </c>
      <c r="AB32" s="81" t="s">
        <v>178</v>
      </c>
      <c r="AC32" s="81">
        <f>$AZ$8</f>
        <v>1</v>
      </c>
      <c r="AE32" s="81">
        <v>8</v>
      </c>
      <c r="AF32" s="81">
        <f>SUM(O27,P26)</f>
        <v>1</v>
      </c>
      <c r="AG32" s="81" t="s">
        <v>131</v>
      </c>
      <c r="AH32" s="81">
        <f>$AZ$6</f>
        <v>1</v>
      </c>
      <c r="AJ32" s="82" t="s">
        <v>193</v>
      </c>
      <c r="AK32" s="82">
        <f>$AB$47</f>
        <v>0</v>
      </c>
      <c r="AL32" s="82" t="s">
        <v>180</v>
      </c>
      <c r="AM32" s="82">
        <f>AB46</f>
        <v>0</v>
      </c>
      <c r="AO32" s="82" t="s">
        <v>194</v>
      </c>
      <c r="AP32" s="82">
        <f>AB48</f>
        <v>0</v>
      </c>
      <c r="AQ32" s="82" t="s">
        <v>131</v>
      </c>
      <c r="AR32" s="82">
        <f>AB46</f>
        <v>0</v>
      </c>
      <c r="AT32" s="82" t="s">
        <v>201</v>
      </c>
      <c r="AU32" s="82">
        <f>SUM(G26:H27, O26:P27, W26:X27)</f>
        <v>2</v>
      </c>
      <c r="AV32" s="82" t="s">
        <v>130</v>
      </c>
      <c r="AW32" s="82">
        <f>$AZ$7</f>
        <v>2</v>
      </c>
    </row>
    <row r="33" spans="2:49" x14ac:dyDescent="0.2">
      <c r="B33" s="95"/>
      <c r="C33" s="96" t="s">
        <v>121</v>
      </c>
      <c r="D33" s="85">
        <v>0</v>
      </c>
      <c r="E33" s="85">
        <v>0</v>
      </c>
      <c r="F33" s="85">
        <v>0</v>
      </c>
      <c r="G33" s="85">
        <v>0</v>
      </c>
      <c r="H33" s="86">
        <f>SUM(D33:G33)</f>
        <v>0</v>
      </c>
      <c r="I33" s="71"/>
      <c r="J33" s="83"/>
      <c r="K33" s="71" t="s">
        <v>121</v>
      </c>
      <c r="L33" s="85">
        <v>0</v>
      </c>
      <c r="M33" s="85">
        <v>0</v>
      </c>
      <c r="N33" s="85">
        <v>0</v>
      </c>
      <c r="O33" s="85">
        <v>0</v>
      </c>
      <c r="P33" s="86">
        <f>SUM(L33:O33)</f>
        <v>0</v>
      </c>
      <c r="Q33"/>
      <c r="R33" s="83"/>
      <c r="S33" s="71" t="s">
        <v>121</v>
      </c>
      <c r="T33" s="85">
        <v>0</v>
      </c>
      <c r="U33" s="85">
        <v>0</v>
      </c>
      <c r="V33" s="85">
        <v>0</v>
      </c>
      <c r="W33" s="85">
        <v>0</v>
      </c>
      <c r="X33">
        <f>SUM(T33:W33)</f>
        <v>0</v>
      </c>
      <c r="Z33" s="81" t="s">
        <v>202</v>
      </c>
      <c r="AA33" s="81">
        <f>SUM(G6,O6,W6,G15,O15,W15,G24,O24,W24,G33,O33,W33)</f>
        <v>1</v>
      </c>
      <c r="AB33" s="81" t="s">
        <v>178</v>
      </c>
      <c r="AC33" s="81">
        <f>$AZ$8</f>
        <v>1</v>
      </c>
      <c r="AE33" s="81">
        <v>9</v>
      </c>
      <c r="AF33" s="81">
        <f>SUM(W27,X26)</f>
        <v>1</v>
      </c>
      <c r="AG33" s="81" t="s">
        <v>131</v>
      </c>
      <c r="AH33" s="81">
        <f>$AZ$6</f>
        <v>1</v>
      </c>
      <c r="AJ33" s="100" t="s">
        <v>203</v>
      </c>
      <c r="AK33" s="82">
        <f>$AC$47</f>
        <v>0</v>
      </c>
      <c r="AL33" s="82" t="s">
        <v>180</v>
      </c>
      <c r="AM33" s="82">
        <f>AC43</f>
        <v>0</v>
      </c>
      <c r="AO33" s="82" t="s">
        <v>204</v>
      </c>
      <c r="AP33" s="82">
        <f>AC48</f>
        <v>0</v>
      </c>
      <c r="AQ33" s="82" t="s">
        <v>131</v>
      </c>
      <c r="AR33" s="82">
        <f>AC43</f>
        <v>0</v>
      </c>
      <c r="AT33" s="82" t="s">
        <v>205</v>
      </c>
      <c r="AU33" s="82">
        <f>SUM(O26:P27, W26:X27, G35:H36)</f>
        <v>2</v>
      </c>
      <c r="AV33" s="82" t="s">
        <v>130</v>
      </c>
      <c r="AW33" s="82">
        <f>$AZ$7</f>
        <v>2</v>
      </c>
    </row>
    <row r="34" spans="2:49" x14ac:dyDescent="0.2">
      <c r="B34" s="95"/>
      <c r="C34" s="96" t="s">
        <v>35</v>
      </c>
      <c r="D34" s="85">
        <v>0</v>
      </c>
      <c r="E34" s="85">
        <v>0</v>
      </c>
      <c r="F34" s="85">
        <v>0</v>
      </c>
      <c r="G34" s="85">
        <v>0</v>
      </c>
      <c r="H34" s="86">
        <f>SUM(D34:G34)</f>
        <v>0</v>
      </c>
      <c r="I34" s="71"/>
      <c r="J34" s="83"/>
      <c r="K34" s="71" t="s">
        <v>35</v>
      </c>
      <c r="L34" s="85">
        <v>0</v>
      </c>
      <c r="M34" s="85">
        <v>0</v>
      </c>
      <c r="N34" s="85">
        <v>0</v>
      </c>
      <c r="O34" s="85">
        <v>1</v>
      </c>
      <c r="P34" s="86">
        <f>SUM(L34:O34)</f>
        <v>1</v>
      </c>
      <c r="Q34"/>
      <c r="R34" s="83"/>
      <c r="S34" s="71" t="s">
        <v>35</v>
      </c>
      <c r="T34" s="85">
        <v>0</v>
      </c>
      <c r="U34" s="85">
        <v>1</v>
      </c>
      <c r="V34" s="85">
        <v>0</v>
      </c>
      <c r="W34" s="85">
        <v>0</v>
      </c>
      <c r="X34">
        <f>SUM(T34:W34)</f>
        <v>1</v>
      </c>
      <c r="Z34" s="81" t="s">
        <v>206</v>
      </c>
      <c r="AA34" s="81">
        <f>SUM(E8,M8,U8,E17,M17,U17,E26,M26,U26,E35,M35,U35)</f>
        <v>1</v>
      </c>
      <c r="AB34" s="81" t="s">
        <v>178</v>
      </c>
      <c r="AC34" s="81">
        <f>$AZ$8</f>
        <v>1</v>
      </c>
      <c r="AE34" s="81">
        <v>10</v>
      </c>
      <c r="AF34" s="81">
        <f>SUM(G36,H35)</f>
        <v>0</v>
      </c>
      <c r="AG34" s="81" t="s">
        <v>131</v>
      </c>
      <c r="AH34" s="81">
        <f>$AZ$6</f>
        <v>1</v>
      </c>
      <c r="AJ34" s="82" t="s">
        <v>203</v>
      </c>
      <c r="AK34" s="82">
        <f>$AC$47</f>
        <v>0</v>
      </c>
      <c r="AL34" s="82" t="s">
        <v>180</v>
      </c>
      <c r="AM34" s="82">
        <f>AC44</f>
        <v>0</v>
      </c>
      <c r="AO34" s="82" t="s">
        <v>204</v>
      </c>
      <c r="AP34" s="82">
        <f>AC48</f>
        <v>0</v>
      </c>
      <c r="AQ34" s="82" t="s">
        <v>131</v>
      </c>
      <c r="AR34" s="82">
        <f>AC44</f>
        <v>0</v>
      </c>
      <c r="AT34" s="82" t="s">
        <v>207</v>
      </c>
      <c r="AU34" s="82">
        <f>SUM(W26:X27, G35:H36, O35:P36)</f>
        <v>2</v>
      </c>
      <c r="AV34" s="82" t="s">
        <v>130</v>
      </c>
      <c r="AW34" s="82">
        <f>$AZ$7</f>
        <v>2</v>
      </c>
    </row>
    <row r="35" spans="2:49" x14ac:dyDescent="0.2">
      <c r="B35" s="95"/>
      <c r="C35" s="96" t="s">
        <v>40</v>
      </c>
      <c r="D35" s="85">
        <v>0</v>
      </c>
      <c r="E35" s="85">
        <v>0</v>
      </c>
      <c r="F35" s="85">
        <v>0</v>
      </c>
      <c r="G35" s="85">
        <v>0</v>
      </c>
      <c r="H35" s="86">
        <f>SUM(D35:G35)</f>
        <v>0</v>
      </c>
      <c r="I35" s="71"/>
      <c r="J35" s="83"/>
      <c r="K35" s="71" t="s">
        <v>40</v>
      </c>
      <c r="L35" s="85">
        <v>0</v>
      </c>
      <c r="M35" s="85">
        <v>0</v>
      </c>
      <c r="N35" s="85">
        <v>0</v>
      </c>
      <c r="O35" s="85">
        <v>0</v>
      </c>
      <c r="P35" s="86">
        <f>SUM(L35:O35)</f>
        <v>0</v>
      </c>
      <c r="Q35"/>
      <c r="R35" s="83"/>
      <c r="S35" s="71" t="s">
        <v>40</v>
      </c>
      <c r="T35" s="85">
        <v>0</v>
      </c>
      <c r="U35" s="85">
        <v>0</v>
      </c>
      <c r="V35" s="85">
        <v>0</v>
      </c>
      <c r="W35" s="85">
        <v>0</v>
      </c>
      <c r="X35">
        <f>SUM(T35:W35)</f>
        <v>0</v>
      </c>
      <c r="Z35" s="81" t="s">
        <v>208</v>
      </c>
      <c r="AA35" s="81">
        <f>SUM(G7,O7,W7,G16,O16,W16,G25,O25,W25,G34,O34,W34)</f>
        <v>1</v>
      </c>
      <c r="AB35" s="81" t="s">
        <v>178</v>
      </c>
      <c r="AC35" s="81">
        <f>$AZ$8</f>
        <v>1</v>
      </c>
      <c r="AE35" s="81">
        <v>11</v>
      </c>
      <c r="AF35" s="81">
        <f>SUM(O36,P35)</f>
        <v>1</v>
      </c>
      <c r="AG35" s="81" t="s">
        <v>131</v>
      </c>
      <c r="AH35" s="81">
        <f>$AZ$6</f>
        <v>1</v>
      </c>
      <c r="AJ35" s="82" t="s">
        <v>203</v>
      </c>
      <c r="AK35" s="82">
        <f>$AC$47</f>
        <v>0</v>
      </c>
      <c r="AL35" s="82" t="s">
        <v>180</v>
      </c>
      <c r="AM35" s="82">
        <f>AC45</f>
        <v>0</v>
      </c>
      <c r="AO35" s="82" t="s">
        <v>204</v>
      </c>
      <c r="AP35" s="82">
        <f>AC48</f>
        <v>0</v>
      </c>
      <c r="AQ35" s="82" t="s">
        <v>131</v>
      </c>
      <c r="AR35" s="82">
        <f>AC45</f>
        <v>0</v>
      </c>
      <c r="AT35" s="82" t="s">
        <v>209</v>
      </c>
      <c r="AU35" s="82">
        <f>SUM(G35:H36, O35:P36, W35:X36)</f>
        <v>2</v>
      </c>
      <c r="AV35" s="82" t="s">
        <v>130</v>
      </c>
      <c r="AW35" s="82">
        <f>$AZ$7</f>
        <v>2</v>
      </c>
    </row>
    <row r="36" spans="2:49" x14ac:dyDescent="0.2">
      <c r="B36"/>
      <c r="C36" t="s">
        <v>122</v>
      </c>
      <c r="D36">
        <f>SUM(D32:D35)</f>
        <v>0</v>
      </c>
      <c r="E36">
        <f>SUM(E32:E35)</f>
        <v>0</v>
      </c>
      <c r="F36">
        <f>SUM(F32:F35)</f>
        <v>0</v>
      </c>
      <c r="G36">
        <f>SUM(G32:G35)</f>
        <v>0</v>
      </c>
      <c r="H36" s="98"/>
      <c r="I36"/>
      <c r="J36"/>
      <c r="K36" t="s">
        <v>122</v>
      </c>
      <c r="L36">
        <f>SUM(L32:L35)</f>
        <v>0</v>
      </c>
      <c r="M36">
        <f>SUM(M32:M35)</f>
        <v>1</v>
      </c>
      <c r="N36">
        <f>SUM(N32:N35)</f>
        <v>0</v>
      </c>
      <c r="O36">
        <f>SUM(O31:O35)</f>
        <v>1</v>
      </c>
      <c r="P36" s="98"/>
      <c r="Q36"/>
      <c r="R36"/>
      <c r="S36" t="s">
        <v>122</v>
      </c>
      <c r="T36">
        <f>SUM(T32:T35)</f>
        <v>0</v>
      </c>
      <c r="U36">
        <f>SUM(U32:U35)</f>
        <v>1</v>
      </c>
      <c r="V36">
        <f>SUM(V32:V35)</f>
        <v>0</v>
      </c>
      <c r="W36">
        <f>SUM(W32:W35)</f>
        <v>1</v>
      </c>
      <c r="Z36" s="81" t="s">
        <v>210</v>
      </c>
      <c r="AA36" s="81">
        <f>SUM(F8,N8,V8,F17,N17,V17,F26,N26,V26,F35,N35,V35)</f>
        <v>1</v>
      </c>
      <c r="AB36" s="81" t="s">
        <v>178</v>
      </c>
      <c r="AC36" s="81">
        <f>$AZ$8</f>
        <v>1</v>
      </c>
      <c r="AE36" s="81">
        <v>12</v>
      </c>
      <c r="AF36" s="81">
        <f>SUM(W36,X35)</f>
        <v>1</v>
      </c>
      <c r="AG36" s="81" t="s">
        <v>131</v>
      </c>
      <c r="AH36" s="81">
        <f>$AZ$6</f>
        <v>1</v>
      </c>
      <c r="AJ36" s="82" t="s">
        <v>203</v>
      </c>
      <c r="AK36" s="82">
        <f>$AC$47</f>
        <v>0</v>
      </c>
      <c r="AL36" s="82" t="s">
        <v>180</v>
      </c>
      <c r="AM36" s="82">
        <f>AC46</f>
        <v>0</v>
      </c>
      <c r="AO36" s="82" t="s">
        <v>204</v>
      </c>
      <c r="AP36" s="82">
        <f>AC48</f>
        <v>0</v>
      </c>
      <c r="AQ36" s="82" t="s">
        <v>131</v>
      </c>
      <c r="AR36" s="82">
        <f>AC46</f>
        <v>0</v>
      </c>
      <c r="AT36" s="82" t="s">
        <v>211</v>
      </c>
      <c r="AU36" s="82">
        <f>SUM(F9,H7,N9,P7,V9,X7)</f>
        <v>0</v>
      </c>
      <c r="AV36" s="82" t="s">
        <v>130</v>
      </c>
      <c r="AW36" s="82">
        <f>$AZ$7</f>
        <v>2</v>
      </c>
    </row>
    <row r="37" spans="2:49" x14ac:dyDescent="0.2">
      <c r="B37"/>
      <c r="C37"/>
      <c r="D37"/>
      <c r="E37"/>
      <c r="F37"/>
      <c r="G37"/>
      <c r="H37" s="98"/>
      <c r="I37"/>
      <c r="J37"/>
      <c r="K37"/>
      <c r="L37"/>
      <c r="M37"/>
      <c r="N37"/>
      <c r="O37"/>
      <c r="P37" s="98"/>
      <c r="Q37"/>
      <c r="R37"/>
      <c r="S37"/>
      <c r="T37"/>
      <c r="AJ37" s="100" t="s">
        <v>212</v>
      </c>
      <c r="AK37" s="82">
        <f>$AD$47</f>
        <v>1</v>
      </c>
      <c r="AL37" s="82" t="s">
        <v>180</v>
      </c>
      <c r="AM37" s="82">
        <f>AD43</f>
        <v>1</v>
      </c>
      <c r="AO37" s="82" t="s">
        <v>213</v>
      </c>
      <c r="AP37" s="82">
        <f>AD48</f>
        <v>1</v>
      </c>
      <c r="AQ37" s="82" t="s">
        <v>131</v>
      </c>
      <c r="AR37" s="82">
        <f>AD43</f>
        <v>1</v>
      </c>
      <c r="AT37" s="82" t="s">
        <v>214</v>
      </c>
      <c r="AU37" s="82">
        <f>SUM(N9,P7,V9,X7,F18,H16)</f>
        <v>1</v>
      </c>
      <c r="AV37" s="82" t="s">
        <v>130</v>
      </c>
      <c r="AW37" s="82">
        <f>$AZ$7</f>
        <v>2</v>
      </c>
    </row>
    <row r="38" spans="2:49" x14ac:dyDescent="0.2">
      <c r="B38"/>
      <c r="C38"/>
      <c r="D38"/>
      <c r="E38"/>
      <c r="F38"/>
      <c r="G38"/>
      <c r="H38" s="98"/>
      <c r="K38"/>
      <c r="L38"/>
      <c r="M38"/>
      <c r="N38"/>
      <c r="O38"/>
      <c r="P38" s="98"/>
      <c r="Q38"/>
      <c r="R38"/>
      <c r="S38"/>
      <c r="T38"/>
      <c r="AJ38" s="82" t="s">
        <v>212</v>
      </c>
      <c r="AK38" s="82">
        <f>$AD$47</f>
        <v>1</v>
      </c>
      <c r="AL38" s="82" t="s">
        <v>180</v>
      </c>
      <c r="AM38" s="82">
        <f>AD44</f>
        <v>1</v>
      </c>
      <c r="AO38" s="82" t="s">
        <v>213</v>
      </c>
      <c r="AP38" s="82">
        <f>AD48</f>
        <v>1</v>
      </c>
      <c r="AQ38" s="82" t="s">
        <v>131</v>
      </c>
      <c r="AR38" s="82">
        <f>AD44</f>
        <v>1</v>
      </c>
      <c r="AT38" s="82" t="s">
        <v>215</v>
      </c>
      <c r="AU38" s="82">
        <f>SUM(V9,X7,F18,H16,N18,P16)</f>
        <v>1</v>
      </c>
      <c r="AV38" s="82" t="s">
        <v>130</v>
      </c>
      <c r="AW38" s="82">
        <f>$AZ$7</f>
        <v>2</v>
      </c>
    </row>
    <row r="39" spans="2:49" x14ac:dyDescent="0.2">
      <c r="C39" s="102" t="s">
        <v>216</v>
      </c>
      <c r="D39" s="102">
        <f>SUM(D5:G8,L5:O8,T5:W8,D14:G17,L14:O17,T14:W17,D23:G26,L23:O26,T23:W26,D32:G35,L32:O35,T32:W35)</f>
        <v>12</v>
      </c>
      <c r="AJ39" s="82" t="s">
        <v>212</v>
      </c>
      <c r="AK39" s="82">
        <f>$AD$47</f>
        <v>1</v>
      </c>
      <c r="AL39" s="82" t="s">
        <v>180</v>
      </c>
      <c r="AM39" s="82">
        <f>AD45</f>
        <v>1</v>
      </c>
      <c r="AO39" s="82" t="s">
        <v>213</v>
      </c>
      <c r="AP39" s="82">
        <f>AD48</f>
        <v>1</v>
      </c>
      <c r="AQ39" s="82" t="s">
        <v>131</v>
      </c>
      <c r="AR39" s="82">
        <f>AD45</f>
        <v>1</v>
      </c>
      <c r="AT39" s="82" t="s">
        <v>217</v>
      </c>
      <c r="AU39" s="82">
        <f>SUM(F18,H16,N18,P16,V18,X16)</f>
        <v>2</v>
      </c>
      <c r="AV39" s="82" t="s">
        <v>130</v>
      </c>
      <c r="AW39" s="82">
        <f>$AZ$7</f>
        <v>2</v>
      </c>
    </row>
    <row r="40" spans="2:49" x14ac:dyDescent="0.2">
      <c r="AJ40" s="82" t="s">
        <v>212</v>
      </c>
      <c r="AK40" s="82">
        <f>$AD$47</f>
        <v>1</v>
      </c>
      <c r="AL40" s="82" t="s">
        <v>180</v>
      </c>
      <c r="AM40" s="82">
        <f>AD46</f>
        <v>1</v>
      </c>
      <c r="AO40" s="82" t="s">
        <v>213</v>
      </c>
      <c r="AP40" s="82">
        <f>AD48</f>
        <v>1</v>
      </c>
      <c r="AQ40" s="82" t="s">
        <v>131</v>
      </c>
      <c r="AR40" s="82">
        <f>AD46</f>
        <v>1</v>
      </c>
      <c r="AT40" s="82" t="s">
        <v>218</v>
      </c>
      <c r="AU40" s="82">
        <f>SUM(N18,P16,V18,X16,F27,H25)</f>
        <v>1</v>
      </c>
      <c r="AV40" s="82" t="s">
        <v>130</v>
      </c>
      <c r="AW40" s="82">
        <f>$AZ$7</f>
        <v>2</v>
      </c>
    </row>
    <row r="41" spans="2:49" x14ac:dyDescent="0.2">
      <c r="Z41" s="18" t="s">
        <v>219</v>
      </c>
      <c r="AA41" s="28" t="s">
        <v>220</v>
      </c>
      <c r="AB41" s="28"/>
      <c r="AC41" s="28"/>
      <c r="AD41" s="28"/>
      <c r="AE41" s="28"/>
      <c r="AF41" s="28"/>
      <c r="AJ41" s="100" t="s">
        <v>221</v>
      </c>
      <c r="AK41" s="82">
        <f>$AE$47</f>
        <v>2</v>
      </c>
      <c r="AL41" s="82" t="s">
        <v>180</v>
      </c>
      <c r="AM41" s="82">
        <f>AE43</f>
        <v>2</v>
      </c>
      <c r="AO41" s="82" t="s">
        <v>222</v>
      </c>
      <c r="AP41" s="82">
        <f>AE48</f>
        <v>1</v>
      </c>
      <c r="AQ41" s="82" t="s">
        <v>131</v>
      </c>
      <c r="AR41" s="82">
        <f>AE43</f>
        <v>2</v>
      </c>
      <c r="AT41" s="82" t="s">
        <v>223</v>
      </c>
      <c r="AU41" s="82">
        <f>SUM(V18,X16,F27,H25,N27,P25)</f>
        <v>2</v>
      </c>
      <c r="AV41" s="82" t="s">
        <v>130</v>
      </c>
      <c r="AW41" s="82">
        <f>$AZ$7</f>
        <v>2</v>
      </c>
    </row>
    <row r="42" spans="2:49" x14ac:dyDescent="0.2">
      <c r="Z42" s="18"/>
      <c r="AA42" s="8" t="s">
        <v>224</v>
      </c>
      <c r="AB42" s="8" t="s">
        <v>114</v>
      </c>
      <c r="AC42" s="8" t="s">
        <v>115</v>
      </c>
      <c r="AD42" s="8" t="s">
        <v>147</v>
      </c>
      <c r="AE42" s="8" t="s">
        <v>148</v>
      </c>
      <c r="AF42" s="8" t="s">
        <v>149</v>
      </c>
      <c r="AJ42" s="82" t="s">
        <v>221</v>
      </c>
      <c r="AK42" s="82">
        <f>$AE$47</f>
        <v>2</v>
      </c>
      <c r="AL42" s="82" t="s">
        <v>180</v>
      </c>
      <c r="AM42" s="82">
        <f>AE44</f>
        <v>2</v>
      </c>
      <c r="AO42" s="82" t="s">
        <v>222</v>
      </c>
      <c r="AP42" s="82">
        <f>AE48</f>
        <v>1</v>
      </c>
      <c r="AQ42" s="82" t="s">
        <v>131</v>
      </c>
      <c r="AR42" s="82">
        <f>AE44</f>
        <v>2</v>
      </c>
      <c r="AT42" s="82" t="s">
        <v>225</v>
      </c>
      <c r="AU42" s="82">
        <f>SUM(F27,H25,N27,P25,V27,X25)</f>
        <v>2</v>
      </c>
      <c r="AV42" s="82" t="s">
        <v>130</v>
      </c>
      <c r="AW42" s="82">
        <f>$AZ$7</f>
        <v>2</v>
      </c>
    </row>
    <row r="43" spans="2:49" x14ac:dyDescent="0.2">
      <c r="Z43" s="8" t="s">
        <v>27</v>
      </c>
      <c r="AA43" s="8">
        <f>SUM(D9,H5)</f>
        <v>0</v>
      </c>
      <c r="AB43" s="8">
        <f>SUM(D9,H5,L9,P5)</f>
        <v>0</v>
      </c>
      <c r="AC43" s="8">
        <f>SUM(D9,H5,L9,P5,T9,X5)</f>
        <v>0</v>
      </c>
      <c r="AD43" s="8">
        <f>SUM(D9,H5,L9,P5,T9,X5,D18,H14)</f>
        <v>1</v>
      </c>
      <c r="AE43" s="8">
        <f>SUM(D9,H5,L9,P5,T9,X5,D18,H14,L18,P14)</f>
        <v>2</v>
      </c>
      <c r="AF43" s="8">
        <f>SUM(D9,H5,L9,P5,T9,X5,D18,H14,L18,P14,T18,X14)</f>
        <v>2</v>
      </c>
      <c r="AJ43" s="82" t="s">
        <v>221</v>
      </c>
      <c r="AK43" s="82">
        <f>$AE$47</f>
        <v>2</v>
      </c>
      <c r="AL43" s="82" t="s">
        <v>180</v>
      </c>
      <c r="AM43" s="82">
        <f>AE45</f>
        <v>1</v>
      </c>
      <c r="AO43" s="82" t="s">
        <v>222</v>
      </c>
      <c r="AP43" s="82">
        <f>AE48</f>
        <v>1</v>
      </c>
      <c r="AQ43" s="82" t="s">
        <v>131</v>
      </c>
      <c r="AR43" s="82">
        <f>AE45</f>
        <v>1</v>
      </c>
      <c r="AT43" s="82" t="s">
        <v>226</v>
      </c>
      <c r="AU43" s="82">
        <f>SUM(N27,P25,V27,X25,F36,H34)</f>
        <v>2</v>
      </c>
      <c r="AV43" s="82" t="s">
        <v>130</v>
      </c>
      <c r="AW43" s="82">
        <f>$AZ$7</f>
        <v>2</v>
      </c>
    </row>
    <row r="44" spans="2:49" x14ac:dyDescent="0.2">
      <c r="Z44" s="8" t="s">
        <v>28</v>
      </c>
      <c r="AA44" s="8">
        <f>SUM(E9,H6)</f>
        <v>0</v>
      </c>
      <c r="AB44" s="8">
        <f>SUM(E9,H6,M9,P6)</f>
        <v>0</v>
      </c>
      <c r="AC44" s="8">
        <f>SUM(E9,H6,M9,P6,U9,X6)</f>
        <v>0</v>
      </c>
      <c r="AD44" s="8">
        <f>SUM(E9,H6,M9,P6,U9,X6,E18,H15)</f>
        <v>1</v>
      </c>
      <c r="AE44" s="8">
        <f>SUM(E9,H6,M9,P6,U9,X6,E18,H15,M18,P15)</f>
        <v>2</v>
      </c>
      <c r="AF44" s="8">
        <f>SUM(E9,H6,M9,P6,U9,X6,E18,H15,M18,P15,U18,X15)</f>
        <v>2</v>
      </c>
      <c r="AJ44" s="82" t="s">
        <v>221</v>
      </c>
      <c r="AK44" s="82">
        <f>$AE$47</f>
        <v>2</v>
      </c>
      <c r="AL44" s="82" t="s">
        <v>180</v>
      </c>
      <c r="AM44" s="82">
        <f>AE46</f>
        <v>1</v>
      </c>
      <c r="AO44" s="82" t="s">
        <v>222</v>
      </c>
      <c r="AP44" s="82">
        <f>AE48</f>
        <v>1</v>
      </c>
      <c r="AQ44" s="82" t="s">
        <v>131</v>
      </c>
      <c r="AR44" s="82">
        <f>AE46</f>
        <v>1</v>
      </c>
      <c r="AT44" s="82" t="s">
        <v>227</v>
      </c>
      <c r="AU44" s="82">
        <f>SUM(V27,X25,F36,N36,P34)</f>
        <v>2</v>
      </c>
      <c r="AV44" s="82" t="s">
        <v>130</v>
      </c>
      <c r="AW44" s="82">
        <f>$AZ$7</f>
        <v>2</v>
      </c>
    </row>
    <row r="45" spans="2:49" x14ac:dyDescent="0.2">
      <c r="Z45" s="8" t="s">
        <v>35</v>
      </c>
      <c r="AA45" s="8">
        <f>SUM(F9,H7)</f>
        <v>0</v>
      </c>
      <c r="AB45" s="8">
        <f>SUM(F9,H7,N9,P7)</f>
        <v>0</v>
      </c>
      <c r="AC45" s="8">
        <f>SUM(G9,I7,O9,Q7)</f>
        <v>0</v>
      </c>
      <c r="AD45" s="8">
        <f>SUM(F9,H7,N9,P7,V9,X7,F18,H16)</f>
        <v>1</v>
      </c>
      <c r="AE45" s="8">
        <f>SUM(F9,H7,N9,P7,V9,X7,F18,H16,N18,P16)</f>
        <v>1</v>
      </c>
      <c r="AF45" s="8">
        <f>SUM(F9,H7,N9,P7,V9,X7,F18,H16,N18,P16,V18,X16)</f>
        <v>2</v>
      </c>
      <c r="AJ45" s="100" t="s">
        <v>228</v>
      </c>
      <c r="AK45" s="82">
        <f>$AF$47</f>
        <v>2</v>
      </c>
      <c r="AL45" s="82" t="s">
        <v>180</v>
      </c>
      <c r="AM45" s="82">
        <f>AF43</f>
        <v>2</v>
      </c>
      <c r="AO45" s="82" t="s">
        <v>229</v>
      </c>
      <c r="AP45" s="82">
        <f>AF48</f>
        <v>2</v>
      </c>
      <c r="AQ45" s="82" t="s">
        <v>131</v>
      </c>
      <c r="AR45" s="82">
        <f>AF43</f>
        <v>2</v>
      </c>
      <c r="AT45" s="82" t="s">
        <v>230</v>
      </c>
      <c r="AU45" s="82">
        <f>SUM(F36,H34,N36,V36,X34)</f>
        <v>1</v>
      </c>
      <c r="AV45" s="82" t="s">
        <v>130</v>
      </c>
      <c r="AW45" s="82">
        <f>$AZ$7</f>
        <v>2</v>
      </c>
    </row>
    <row r="46" spans="2:49" x14ac:dyDescent="0.2">
      <c r="Z46" s="8" t="s">
        <v>40</v>
      </c>
      <c r="AA46" s="8">
        <f>SUM(G9,H8)</f>
        <v>0</v>
      </c>
      <c r="AB46" s="8">
        <f>SUM(G9,H8,O9,P8)</f>
        <v>0</v>
      </c>
      <c r="AC46" s="8">
        <f>SUM(G9,H8,O9,P8,W9,X8)</f>
        <v>0</v>
      </c>
      <c r="AD46" s="8">
        <f>SUM(G9,H8,O9,P8,W9,X8,G18,H17)</f>
        <v>1</v>
      </c>
      <c r="AE46" s="8">
        <f>SUM(G9,H8,O9,P8,W9,X8,G18,H17,O18,P17)</f>
        <v>1</v>
      </c>
      <c r="AF46" s="8">
        <f>SUM(G9,H8,O9,P8,W9,X8,G18,H17,O18,P17,W18,X17)</f>
        <v>2</v>
      </c>
      <c r="AJ46" s="82" t="s">
        <v>228</v>
      </c>
      <c r="AK46" s="82">
        <f>$AF$47</f>
        <v>2</v>
      </c>
      <c r="AL46" s="82" t="s">
        <v>180</v>
      </c>
      <c r="AM46" s="82">
        <f>AF44</f>
        <v>2</v>
      </c>
      <c r="AO46" s="82" t="s">
        <v>229</v>
      </c>
      <c r="AP46" s="82">
        <f>AF48</f>
        <v>2</v>
      </c>
      <c r="AQ46" s="82" t="s">
        <v>131</v>
      </c>
      <c r="AR46" s="82">
        <f>AF44</f>
        <v>2</v>
      </c>
    </row>
    <row r="47" spans="2:49" x14ac:dyDescent="0.2">
      <c r="Z47" s="8" t="s">
        <v>231</v>
      </c>
      <c r="AA47" s="103">
        <v>0</v>
      </c>
      <c r="AB47" s="103">
        <v>0</v>
      </c>
      <c r="AC47" s="103">
        <v>0</v>
      </c>
      <c r="AD47" s="103">
        <v>1</v>
      </c>
      <c r="AE47" s="103">
        <v>2</v>
      </c>
      <c r="AF47" s="103">
        <v>2</v>
      </c>
      <c r="AJ47" s="82" t="s">
        <v>228</v>
      </c>
      <c r="AK47" s="82">
        <f>$AF$47</f>
        <v>2</v>
      </c>
      <c r="AL47" s="82" t="s">
        <v>180</v>
      </c>
      <c r="AM47" s="82">
        <f>AF45</f>
        <v>2</v>
      </c>
      <c r="AO47" s="82" t="s">
        <v>229</v>
      </c>
      <c r="AP47" s="82">
        <f>AF48</f>
        <v>2</v>
      </c>
      <c r="AQ47" s="82" t="s">
        <v>131</v>
      </c>
      <c r="AR47" s="82">
        <f>AF45</f>
        <v>2</v>
      </c>
    </row>
    <row r="48" spans="2:49" x14ac:dyDescent="0.2">
      <c r="Z48" s="8" t="s">
        <v>232</v>
      </c>
      <c r="AA48" s="103">
        <v>0</v>
      </c>
      <c r="AB48" s="103">
        <v>0</v>
      </c>
      <c r="AC48" s="103">
        <v>0</v>
      </c>
      <c r="AD48" s="103">
        <v>1</v>
      </c>
      <c r="AE48" s="103">
        <v>1</v>
      </c>
      <c r="AF48" s="103">
        <v>2</v>
      </c>
      <c r="AJ48" s="82" t="s">
        <v>228</v>
      </c>
      <c r="AK48" s="82">
        <f>$AF$47</f>
        <v>2</v>
      </c>
      <c r="AL48" s="82" t="s">
        <v>180</v>
      </c>
      <c r="AM48" s="82">
        <f>AF46</f>
        <v>2</v>
      </c>
      <c r="AO48" s="82" t="s">
        <v>229</v>
      </c>
      <c r="AP48" s="82">
        <f>AF48</f>
        <v>2</v>
      </c>
      <c r="AQ48" s="82" t="s">
        <v>131</v>
      </c>
      <c r="AR48" s="82">
        <f>AF46</f>
        <v>2</v>
      </c>
    </row>
    <row r="49" spans="26:44" x14ac:dyDescent="0.2">
      <c r="Z49" s="8" t="s">
        <v>233</v>
      </c>
      <c r="AA49" s="81">
        <f>AA47-AA48</f>
        <v>0</v>
      </c>
      <c r="AB49" s="81">
        <f>AB47-AB48</f>
        <v>0</v>
      </c>
      <c r="AC49" s="81">
        <f>AC47-AC48</f>
        <v>0</v>
      </c>
      <c r="AD49" s="81">
        <f>AD47-AD48</f>
        <v>0</v>
      </c>
      <c r="AE49" s="81">
        <f>AE47-AE48</f>
        <v>1</v>
      </c>
      <c r="AF49" s="81">
        <f>AF47-AF48</f>
        <v>0</v>
      </c>
      <c r="AJ49" s="100" t="s">
        <v>234</v>
      </c>
      <c r="AK49" s="82">
        <f>$AA$59</f>
        <v>2</v>
      </c>
      <c r="AL49" s="82" t="s">
        <v>180</v>
      </c>
      <c r="AM49" s="82">
        <f>AA55</f>
        <v>2</v>
      </c>
      <c r="AO49" s="82" t="s">
        <v>235</v>
      </c>
      <c r="AP49" s="82">
        <f>$AA$60</f>
        <v>2</v>
      </c>
      <c r="AQ49" s="82" t="s">
        <v>131</v>
      </c>
      <c r="AR49" s="82">
        <f>AA55</f>
        <v>2</v>
      </c>
    </row>
    <row r="50" spans="26:44" x14ac:dyDescent="0.2">
      <c r="Z50" s="8" t="s">
        <v>236</v>
      </c>
      <c r="AA50" s="81" t="s">
        <v>131</v>
      </c>
      <c r="AB50" s="81" t="s">
        <v>131</v>
      </c>
      <c r="AC50" s="81" t="s">
        <v>131</v>
      </c>
      <c r="AD50" s="81" t="s">
        <v>131</v>
      </c>
      <c r="AE50" s="81" t="s">
        <v>131</v>
      </c>
      <c r="AF50" s="81" t="s">
        <v>131</v>
      </c>
      <c r="AJ50" s="82" t="s">
        <v>234</v>
      </c>
      <c r="AK50" s="82">
        <f>$AA$59</f>
        <v>2</v>
      </c>
      <c r="AL50" s="82" t="s">
        <v>180</v>
      </c>
      <c r="AM50" s="82">
        <f>AA56</f>
        <v>2</v>
      </c>
      <c r="AO50" s="82" t="s">
        <v>235</v>
      </c>
      <c r="AP50" s="82">
        <f>$AA$60</f>
        <v>2</v>
      </c>
      <c r="AQ50" s="82" t="s">
        <v>131</v>
      </c>
      <c r="AR50" s="82">
        <f>AA56</f>
        <v>2</v>
      </c>
    </row>
    <row r="51" spans="26:44" x14ac:dyDescent="0.2">
      <c r="Z51" s="8" t="s">
        <v>237</v>
      </c>
      <c r="AA51" s="81">
        <f>$AZ$5</f>
        <v>1</v>
      </c>
      <c r="AB51" s="81">
        <f>$AZ$5</f>
        <v>1</v>
      </c>
      <c r="AC51" s="81">
        <f>$AZ$5</f>
        <v>1</v>
      </c>
      <c r="AD51" s="81">
        <f>$AZ$5</f>
        <v>1</v>
      </c>
      <c r="AE51" s="81">
        <f>$AZ$5</f>
        <v>1</v>
      </c>
      <c r="AF51" s="81">
        <f>$AZ$5</f>
        <v>1</v>
      </c>
      <c r="AJ51" s="82" t="s">
        <v>234</v>
      </c>
      <c r="AK51" s="82">
        <f>$AA$59</f>
        <v>2</v>
      </c>
      <c r="AL51" s="82" t="s">
        <v>180</v>
      </c>
      <c r="AM51" s="82">
        <f>AA57</f>
        <v>2</v>
      </c>
      <c r="AO51" s="82" t="s">
        <v>235</v>
      </c>
      <c r="AP51" s="82">
        <f>$AA$60</f>
        <v>2</v>
      </c>
      <c r="AQ51" s="82" t="s">
        <v>131</v>
      </c>
      <c r="AR51" s="82">
        <f>AA57</f>
        <v>2</v>
      </c>
    </row>
    <row r="52" spans="26:44" x14ac:dyDescent="0.2">
      <c r="Z52" s="1"/>
      <c r="AA52" s="1"/>
      <c r="AB52" s="1"/>
      <c r="AC52" s="1"/>
      <c r="AD52" s="1"/>
      <c r="AE52" s="1"/>
      <c r="AF52" s="1"/>
      <c r="AJ52" s="82" t="s">
        <v>234</v>
      </c>
      <c r="AK52" s="82">
        <f>$AA$59</f>
        <v>2</v>
      </c>
      <c r="AL52" s="82" t="s">
        <v>180</v>
      </c>
      <c r="AM52" s="82">
        <f>AA58</f>
        <v>2</v>
      </c>
      <c r="AO52" s="82" t="s">
        <v>235</v>
      </c>
      <c r="AP52" s="82">
        <f>$AA$60</f>
        <v>2</v>
      </c>
      <c r="AQ52" s="82" t="s">
        <v>131</v>
      </c>
      <c r="AR52" s="82">
        <f>AA58</f>
        <v>2</v>
      </c>
    </row>
    <row r="53" spans="26:44" x14ac:dyDescent="0.2">
      <c r="Z53" s="64" t="s">
        <v>238</v>
      </c>
      <c r="AA53" s="64"/>
      <c r="AB53" s="64"/>
      <c r="AC53" s="64"/>
      <c r="AD53" s="64"/>
      <c r="AE53" s="64"/>
      <c r="AF53" s="64"/>
      <c r="AJ53" s="100" t="s">
        <v>239</v>
      </c>
      <c r="AK53" s="82">
        <f>$AB$59</f>
        <v>3</v>
      </c>
      <c r="AL53" s="82" t="s">
        <v>180</v>
      </c>
      <c r="AM53" s="82">
        <f>AB55</f>
        <v>3</v>
      </c>
      <c r="AO53" s="82" t="s">
        <v>240</v>
      </c>
      <c r="AP53" s="82">
        <f>$AB$60</f>
        <v>2</v>
      </c>
      <c r="AQ53" s="82" t="s">
        <v>131</v>
      </c>
      <c r="AR53" s="82">
        <f>AB55</f>
        <v>3</v>
      </c>
    </row>
    <row r="54" spans="26:44" x14ac:dyDescent="0.2">
      <c r="Z54" s="8" t="s">
        <v>219</v>
      </c>
      <c r="AA54" s="8" t="s">
        <v>164</v>
      </c>
      <c r="AB54" s="8" t="s">
        <v>165</v>
      </c>
      <c r="AC54" s="8" t="s">
        <v>166</v>
      </c>
      <c r="AD54" s="8" t="s">
        <v>189</v>
      </c>
      <c r="AE54" s="8" t="s">
        <v>190</v>
      </c>
      <c r="AF54" s="8" t="s">
        <v>191</v>
      </c>
      <c r="AJ54" s="82" t="s">
        <v>239</v>
      </c>
      <c r="AK54" s="82">
        <f>$AB$59</f>
        <v>3</v>
      </c>
      <c r="AL54" s="82" t="s">
        <v>180</v>
      </c>
      <c r="AM54" s="82">
        <f>AB56</f>
        <v>3</v>
      </c>
      <c r="AO54" s="82" t="s">
        <v>240</v>
      </c>
      <c r="AP54" s="82">
        <f>$AB$60</f>
        <v>2</v>
      </c>
      <c r="AQ54" s="82" t="s">
        <v>131</v>
      </c>
      <c r="AR54" s="82">
        <f>AB56</f>
        <v>3</v>
      </c>
    </row>
    <row r="55" spans="26:44" x14ac:dyDescent="0.2">
      <c r="Z55" s="8" t="s">
        <v>27</v>
      </c>
      <c r="AA55" s="8">
        <f>SUM(D9,H5,L9,P5,T9,X5,D18,H14,L18,P14,T18,X14,D27,H23)</f>
        <v>2</v>
      </c>
      <c r="AB55" s="8">
        <f>SUM(D9,H5,L9,P5,T9,X5,D18,H14,L18,P14,T18,X14,D27,H23,L27,P23)</f>
        <v>3</v>
      </c>
      <c r="AC55" s="8">
        <f>SUM(D9,H5,L9,P5,T9,X5,D18,H14,L18,P14,T18,X14,D27,H23,L27,P23,T27,X23)</f>
        <v>4</v>
      </c>
      <c r="AD55" s="8">
        <f>SUM(D9,H5,L9,P5,T9,X5,D18,H14,L18,P14,T18,X14,D27,H23,L27,P23,T27,X23,D36,H32)</f>
        <v>4</v>
      </c>
      <c r="AE55" s="8">
        <f>SUM(D9,H5,L9,P5,T9,X5,D18,H14,L18,P14,T18,X14,D27,H23,L27,P23,T27,X23,D36,H32,L36,P32)</f>
        <v>5</v>
      </c>
      <c r="AF55" s="8">
        <f>SUM(D9,H5,L9,P5,T9,X5,D18,H14,L18,P14,T18,X14,D27,H23,L27,P23,T27,X23,D36,H32,L36,P32,T36,X32)</f>
        <v>6</v>
      </c>
      <c r="AJ55" s="82" t="s">
        <v>239</v>
      </c>
      <c r="AK55" s="82">
        <f>$AB$59</f>
        <v>3</v>
      </c>
      <c r="AL55" s="82" t="s">
        <v>180</v>
      </c>
      <c r="AM55" s="82">
        <f>AB57</f>
        <v>3</v>
      </c>
      <c r="AO55" s="82" t="s">
        <v>240</v>
      </c>
      <c r="AP55" s="82">
        <f>$AB$60</f>
        <v>2</v>
      </c>
      <c r="AQ55" s="82" t="s">
        <v>131</v>
      </c>
      <c r="AR55" s="82">
        <f>AB57</f>
        <v>3</v>
      </c>
    </row>
    <row r="56" spans="26:44" x14ac:dyDescent="0.2">
      <c r="Z56" s="8" t="s">
        <v>28</v>
      </c>
      <c r="AA56" s="8">
        <f>SUM(E9,H6,M9,P6,U9,X6,E18,H15,M18,P15,U18,X15,E27,H24)</f>
        <v>2</v>
      </c>
      <c r="AB56" s="8">
        <f>SUM(E9,H6,M9,P6,U9,X6,E18,H15,M18,P15,U18,X15,E27,H24,M27,P24)</f>
        <v>3</v>
      </c>
      <c r="AC56" s="8">
        <f>SUM(E9,H6,M9,P6,U9,X6,E18,H15,M18,P15,U18,X15,E27,H24,M27,P24,U27,X24)</f>
        <v>4</v>
      </c>
      <c r="AD56" s="8">
        <f>SUM(E9,H6,M9,P6,U9,X6,E18,H15,M18,P15,U18,X15,E27,H24,M27,P24,U27,X24,E36,H33)</f>
        <v>4</v>
      </c>
      <c r="AE56" s="8">
        <f>SUM(E9,H6,M9,P6,U9,X6,E18,H15,M18,P15,U18,X15,E27,H24,M27,P24,U27,X24,E36,H33,M36,P33)</f>
        <v>5</v>
      </c>
      <c r="AF56" s="8">
        <f>SUM(E9,H6,M9,P6,U9,X6,E18,H15,M18,P15,U18,X15,E27,H24,M27,P24,U27,X24,E36,H33,M36,P33,U36,X33)</f>
        <v>6</v>
      </c>
      <c r="AJ56" s="82" t="s">
        <v>239</v>
      </c>
      <c r="AK56" s="82">
        <f>$AB$59</f>
        <v>3</v>
      </c>
      <c r="AL56" s="82" t="s">
        <v>180</v>
      </c>
      <c r="AM56" s="82">
        <f>AB58</f>
        <v>2</v>
      </c>
      <c r="AO56" s="82" t="s">
        <v>240</v>
      </c>
      <c r="AP56" s="82">
        <f>$AB$60</f>
        <v>2</v>
      </c>
      <c r="AQ56" s="82" t="s">
        <v>131</v>
      </c>
      <c r="AR56" s="82">
        <f>AB58</f>
        <v>2</v>
      </c>
    </row>
    <row r="57" spans="26:44" x14ac:dyDescent="0.2">
      <c r="Z57" s="8" t="s">
        <v>35</v>
      </c>
      <c r="AA57" s="8">
        <f>SUM(F9,H7,N9,P7,V9,X7,F18,H16,N18,P16,V18,X16,F27,H25)</f>
        <v>2</v>
      </c>
      <c r="AB57" s="8">
        <f>SUM(F9,H7,N9,P7,V9,X7,F18,H16,N18,P16,V18,X16,F27,H25,N27,P25)</f>
        <v>3</v>
      </c>
      <c r="AC57" s="8">
        <f>SUM(F9,H7,N9,P7,V9,X7,F18,H16,N18,P16,V18,X16,F27,H25,N27,P25,V27,X25)</f>
        <v>4</v>
      </c>
      <c r="AD57" s="8">
        <f>SUM(F9,H7,N9,P7,V9,X7,F18,H16,N18,P16,V18,X16,F27,H25,N27,P25,V27,X25,F36,H34)</f>
        <v>4</v>
      </c>
      <c r="AE57" s="8">
        <f>SUM(F9,H7,N9,P7,V9,X7,F18,H16,N18,P16,V18,X16,F27,H25,N27,P25,V27,X25,F36,H34,N36,P34)</f>
        <v>5</v>
      </c>
      <c r="AF57" s="8">
        <f>SUM(F9,H7,N9,P7,V9,X7,F18,H16,N18,P16,V18,X16,F27,H25,N27,P25,V27,X25,F36,H34,N36,P34,V36,X34)</f>
        <v>6</v>
      </c>
      <c r="AJ57" s="100" t="s">
        <v>241</v>
      </c>
      <c r="AK57" s="82">
        <f>$AC$59</f>
        <v>4</v>
      </c>
      <c r="AL57" s="82" t="s">
        <v>180</v>
      </c>
      <c r="AM57" s="82">
        <f>AC55</f>
        <v>4</v>
      </c>
      <c r="AO57" s="82" t="s">
        <v>242</v>
      </c>
      <c r="AP57" s="82">
        <f>$AC$60</f>
        <v>4</v>
      </c>
      <c r="AQ57" s="82" t="s">
        <v>131</v>
      </c>
      <c r="AR57" s="82">
        <f>AC55</f>
        <v>4</v>
      </c>
    </row>
    <row r="58" spans="26:44" x14ac:dyDescent="0.2">
      <c r="Z58" s="8" t="s">
        <v>40</v>
      </c>
      <c r="AA58" s="8">
        <f>SUM(G9,H8,O9,P8,W9,X8,G18,H17,O18,P17,W18,X17,G27,H26)</f>
        <v>2</v>
      </c>
      <c r="AB58" s="8">
        <f>SUM(G9,H8,O9,P8,W9,X8,G18,H17,O18,P17,W18,X17,G27,H26)</f>
        <v>2</v>
      </c>
      <c r="AC58" s="8">
        <f>SUM(G9,H8,O9,P8,W9,X8,G18,H17,O18,P17,W18,X17,G27,H26,O27,P26,W27,X26)</f>
        <v>4</v>
      </c>
      <c r="AD58" s="8">
        <f>SUM(G9,H8,O9,P8,W9,X8,G18,H17,O18,P17,W18,X17,G27,H26,O27,P26,W27,X26,G36,H35)</f>
        <v>4</v>
      </c>
      <c r="AE58" s="8">
        <f>SUM(G9,H8,O9,P8,W9,X8,G18,H17,O18,P17,W18,X17,G27,H26,O27,P26,W27,X26,G36,H35,O36,P35)</f>
        <v>5</v>
      </c>
      <c r="AF58" s="8">
        <f>SUM(G9,H8,O9,P8,W9,X8,G18,H17,O18,P17,W18,X17,G27,H26,O27,P26,W27,X26,G36,H35,O36,P35,W36,X35)</f>
        <v>6</v>
      </c>
      <c r="AJ58" s="82" t="s">
        <v>241</v>
      </c>
      <c r="AK58" s="82">
        <f>$AC$59</f>
        <v>4</v>
      </c>
      <c r="AL58" s="82" t="s">
        <v>180</v>
      </c>
      <c r="AM58" s="82">
        <f>AC56</f>
        <v>4</v>
      </c>
      <c r="AO58" s="82" t="s">
        <v>242</v>
      </c>
      <c r="AP58" s="82">
        <f>$AC$60</f>
        <v>4</v>
      </c>
      <c r="AQ58" s="82" t="s">
        <v>131</v>
      </c>
      <c r="AR58" s="82">
        <f>AC56</f>
        <v>4</v>
      </c>
    </row>
    <row r="59" spans="26:44" x14ac:dyDescent="0.2">
      <c r="Z59" s="8" t="s">
        <v>108</v>
      </c>
      <c r="AA59" s="103">
        <v>2</v>
      </c>
      <c r="AB59" s="103">
        <v>3</v>
      </c>
      <c r="AC59" s="103">
        <v>4</v>
      </c>
      <c r="AD59" s="103">
        <v>4</v>
      </c>
      <c r="AE59" s="103">
        <v>5</v>
      </c>
      <c r="AF59" s="103">
        <v>6</v>
      </c>
      <c r="AJ59" s="82" t="s">
        <v>241</v>
      </c>
      <c r="AK59" s="82">
        <f>$AC$59</f>
        <v>4</v>
      </c>
      <c r="AL59" s="82" t="s">
        <v>180</v>
      </c>
      <c r="AM59" s="82">
        <f>AC57</f>
        <v>4</v>
      </c>
      <c r="AO59" s="82" t="s">
        <v>242</v>
      </c>
      <c r="AP59" s="82">
        <f>$AC$60</f>
        <v>4</v>
      </c>
      <c r="AQ59" s="82" t="s">
        <v>131</v>
      </c>
      <c r="AR59" s="82">
        <f>AC57</f>
        <v>4</v>
      </c>
    </row>
    <row r="60" spans="26:44" x14ac:dyDescent="0.2">
      <c r="Z60" s="8" t="s">
        <v>106</v>
      </c>
      <c r="AA60" s="103">
        <v>2</v>
      </c>
      <c r="AB60" s="103">
        <v>2</v>
      </c>
      <c r="AC60" s="103">
        <v>4</v>
      </c>
      <c r="AD60" s="103">
        <v>4</v>
      </c>
      <c r="AE60" s="103">
        <v>5</v>
      </c>
      <c r="AF60" s="103">
        <v>6</v>
      </c>
      <c r="AJ60" s="82" t="s">
        <v>241</v>
      </c>
      <c r="AK60" s="82">
        <f>$AC$59</f>
        <v>4</v>
      </c>
      <c r="AL60" s="82" t="s">
        <v>180</v>
      </c>
      <c r="AM60" s="82">
        <f>AC58</f>
        <v>4</v>
      </c>
      <c r="AO60" s="82" t="s">
        <v>242</v>
      </c>
      <c r="AP60" s="82">
        <f>$AC$60</f>
        <v>4</v>
      </c>
      <c r="AQ60" s="82" t="s">
        <v>131</v>
      </c>
      <c r="AR60" s="82">
        <f>AC58</f>
        <v>4</v>
      </c>
    </row>
    <row r="61" spans="26:44" x14ac:dyDescent="0.2">
      <c r="Z61" s="8" t="s">
        <v>243</v>
      </c>
      <c r="AA61" s="81">
        <f>AA59-AA60</f>
        <v>0</v>
      </c>
      <c r="AB61" s="81">
        <f>AB59-AB60</f>
        <v>1</v>
      </c>
      <c r="AC61" s="81">
        <f>AC59-AC60</f>
        <v>0</v>
      </c>
      <c r="AD61" s="81">
        <f>AD59-AD60</f>
        <v>0</v>
      </c>
      <c r="AE61" s="81">
        <f>AE59-AE60</f>
        <v>0</v>
      </c>
      <c r="AF61" s="81">
        <f>AF59-AF60</f>
        <v>0</v>
      </c>
      <c r="AJ61" s="100" t="s">
        <v>244</v>
      </c>
      <c r="AK61" s="82">
        <f>$AD$59</f>
        <v>4</v>
      </c>
      <c r="AL61" s="82" t="s">
        <v>180</v>
      </c>
      <c r="AM61" s="82">
        <f>AD55</f>
        <v>4</v>
      </c>
      <c r="AO61" s="82" t="s">
        <v>245</v>
      </c>
      <c r="AP61" s="82">
        <f>$AD$60</f>
        <v>4</v>
      </c>
      <c r="AQ61" s="82" t="s">
        <v>131</v>
      </c>
      <c r="AR61" s="82">
        <f>AD55</f>
        <v>4</v>
      </c>
    </row>
    <row r="62" spans="26:44" x14ac:dyDescent="0.2">
      <c r="Z62" s="8" t="s">
        <v>246</v>
      </c>
      <c r="AA62" s="81" t="s">
        <v>131</v>
      </c>
      <c r="AB62" s="81" t="s">
        <v>131</v>
      </c>
      <c r="AC62" s="81" t="s">
        <v>131</v>
      </c>
      <c r="AD62" s="81" t="s">
        <v>131</v>
      </c>
      <c r="AE62" s="81" t="s">
        <v>131</v>
      </c>
      <c r="AF62" s="81" t="s">
        <v>131</v>
      </c>
      <c r="AJ62" s="82" t="s">
        <v>244</v>
      </c>
      <c r="AK62" s="82">
        <f>$AD$59</f>
        <v>4</v>
      </c>
      <c r="AL62" s="82" t="s">
        <v>180</v>
      </c>
      <c r="AM62" s="82">
        <f>AD56</f>
        <v>4</v>
      </c>
      <c r="AO62" s="82" t="s">
        <v>245</v>
      </c>
      <c r="AP62" s="82">
        <f>$AD$60</f>
        <v>4</v>
      </c>
      <c r="AQ62" s="82" t="s">
        <v>131</v>
      </c>
      <c r="AR62" s="82">
        <f>AD56</f>
        <v>4</v>
      </c>
    </row>
    <row r="63" spans="26:44" x14ac:dyDescent="0.2">
      <c r="Z63" s="8" t="s">
        <v>237</v>
      </c>
      <c r="AA63" s="81">
        <f>$AZ$5</f>
        <v>1</v>
      </c>
      <c r="AB63" s="81">
        <f>$AZ$5</f>
        <v>1</v>
      </c>
      <c r="AC63" s="81">
        <f>$AZ$5</f>
        <v>1</v>
      </c>
      <c r="AD63" s="81">
        <f>$AZ$5</f>
        <v>1</v>
      </c>
      <c r="AE63" s="81">
        <f>$AZ$5</f>
        <v>1</v>
      </c>
      <c r="AF63" s="81">
        <f>$AZ$5</f>
        <v>1</v>
      </c>
      <c r="AJ63" s="82" t="s">
        <v>244</v>
      </c>
      <c r="AK63" s="82">
        <f>$AD$59</f>
        <v>4</v>
      </c>
      <c r="AL63" s="82" t="s">
        <v>180</v>
      </c>
      <c r="AM63" s="82">
        <f>AD57</f>
        <v>4</v>
      </c>
      <c r="AO63" s="82" t="s">
        <v>245</v>
      </c>
      <c r="AP63" s="82">
        <f>$AD$60</f>
        <v>4</v>
      </c>
      <c r="AQ63" s="82" t="s">
        <v>131</v>
      </c>
      <c r="AR63" s="82">
        <f>AD57</f>
        <v>4</v>
      </c>
    </row>
    <row r="64" spans="26:44" x14ac:dyDescent="0.2">
      <c r="AJ64" s="82" t="s">
        <v>244</v>
      </c>
      <c r="AK64" s="82">
        <f>$AD$59</f>
        <v>4</v>
      </c>
      <c r="AL64" s="82" t="s">
        <v>180</v>
      </c>
      <c r="AM64" s="82">
        <f>AD58</f>
        <v>4</v>
      </c>
      <c r="AO64" s="82" t="s">
        <v>245</v>
      </c>
      <c r="AP64" s="82">
        <f>$AD$60</f>
        <v>4</v>
      </c>
      <c r="AQ64" s="82" t="s">
        <v>131</v>
      </c>
      <c r="AR64" s="82">
        <f>AD58</f>
        <v>4</v>
      </c>
    </row>
    <row r="65" spans="36:44" x14ac:dyDescent="0.2">
      <c r="AJ65" s="100" t="s">
        <v>247</v>
      </c>
      <c r="AK65" s="82">
        <f>$AE$59</f>
        <v>5</v>
      </c>
      <c r="AL65" s="82" t="s">
        <v>180</v>
      </c>
      <c r="AM65" s="82">
        <f>AE55</f>
        <v>5</v>
      </c>
      <c r="AO65" s="82" t="s">
        <v>248</v>
      </c>
      <c r="AP65" s="82">
        <f>$AE$60</f>
        <v>5</v>
      </c>
      <c r="AQ65" s="82" t="s">
        <v>131</v>
      </c>
      <c r="AR65" s="82">
        <f>AE55</f>
        <v>5</v>
      </c>
    </row>
    <row r="66" spans="36:44" x14ac:dyDescent="0.2">
      <c r="AJ66" s="82" t="s">
        <v>247</v>
      </c>
      <c r="AK66" s="82">
        <f>$AE$59</f>
        <v>5</v>
      </c>
      <c r="AL66" s="82" t="s">
        <v>180</v>
      </c>
      <c r="AM66" s="82">
        <f>AE56</f>
        <v>5</v>
      </c>
      <c r="AO66" s="82" t="s">
        <v>248</v>
      </c>
      <c r="AP66" s="82">
        <f>$AE$60</f>
        <v>5</v>
      </c>
      <c r="AQ66" s="82" t="s">
        <v>131</v>
      </c>
      <c r="AR66" s="82">
        <f>AE56</f>
        <v>5</v>
      </c>
    </row>
    <row r="67" spans="36:44" x14ac:dyDescent="0.2">
      <c r="AJ67" s="82" t="s">
        <v>247</v>
      </c>
      <c r="AK67" s="82">
        <f>$AE$59</f>
        <v>5</v>
      </c>
      <c r="AL67" s="82" t="s">
        <v>180</v>
      </c>
      <c r="AM67" s="82">
        <f>AE57</f>
        <v>5</v>
      </c>
      <c r="AO67" s="82" t="s">
        <v>248</v>
      </c>
      <c r="AP67" s="82">
        <f>$AE$60</f>
        <v>5</v>
      </c>
      <c r="AQ67" s="82" t="s">
        <v>131</v>
      </c>
      <c r="AR67" s="82">
        <f>AE57</f>
        <v>5</v>
      </c>
    </row>
    <row r="68" spans="36:44" x14ac:dyDescent="0.2">
      <c r="AJ68" s="82" t="s">
        <v>247</v>
      </c>
      <c r="AK68" s="82">
        <f>$AE$59</f>
        <v>5</v>
      </c>
      <c r="AL68" s="82" t="s">
        <v>180</v>
      </c>
      <c r="AM68" s="82">
        <f>AE58</f>
        <v>5</v>
      </c>
      <c r="AO68" s="82" t="s">
        <v>248</v>
      </c>
      <c r="AP68" s="82">
        <f>$AE$60</f>
        <v>5</v>
      </c>
      <c r="AQ68" s="82" t="s">
        <v>131</v>
      </c>
      <c r="AR68" s="82">
        <f>AE58</f>
        <v>5</v>
      </c>
    </row>
    <row r="69" spans="36:44" x14ac:dyDescent="0.2">
      <c r="AJ69" s="100" t="s">
        <v>249</v>
      </c>
      <c r="AK69" s="82">
        <f>$AF$59</f>
        <v>6</v>
      </c>
      <c r="AL69" s="82" t="s">
        <v>180</v>
      </c>
      <c r="AM69" s="82">
        <f>AF55</f>
        <v>6</v>
      </c>
      <c r="AO69" s="82" t="s">
        <v>250</v>
      </c>
      <c r="AP69" s="82">
        <f>$AF$60</f>
        <v>6</v>
      </c>
      <c r="AQ69" s="82" t="s">
        <v>131</v>
      </c>
      <c r="AR69" s="82">
        <f>AF55</f>
        <v>6</v>
      </c>
    </row>
    <row r="70" spans="36:44" x14ac:dyDescent="0.2">
      <c r="AJ70" s="82" t="s">
        <v>249</v>
      </c>
      <c r="AK70" s="82">
        <f>$AF$59</f>
        <v>6</v>
      </c>
      <c r="AL70" s="82" t="s">
        <v>180</v>
      </c>
      <c r="AM70" s="82">
        <f>AF56</f>
        <v>6</v>
      </c>
      <c r="AO70" s="82" t="s">
        <v>250</v>
      </c>
      <c r="AP70" s="82">
        <f>$AF$60</f>
        <v>6</v>
      </c>
      <c r="AQ70" s="82" t="s">
        <v>131</v>
      </c>
      <c r="AR70" s="82">
        <f>AF56</f>
        <v>6</v>
      </c>
    </row>
    <row r="71" spans="36:44" x14ac:dyDescent="0.2">
      <c r="AJ71" s="82" t="s">
        <v>249</v>
      </c>
      <c r="AK71" s="82">
        <f>$AF$59</f>
        <v>6</v>
      </c>
      <c r="AL71" s="82" t="s">
        <v>180</v>
      </c>
      <c r="AM71" s="82">
        <f>AF57</f>
        <v>6</v>
      </c>
      <c r="AO71" s="82" t="s">
        <v>250</v>
      </c>
      <c r="AP71" s="82">
        <f>$AF$60</f>
        <v>6</v>
      </c>
      <c r="AQ71" s="82" t="s">
        <v>131</v>
      </c>
      <c r="AR71" s="82">
        <f>AF57</f>
        <v>6</v>
      </c>
    </row>
    <row r="72" spans="36:44" x14ac:dyDescent="0.2">
      <c r="AJ72" s="82" t="s">
        <v>249</v>
      </c>
      <c r="AK72" s="82">
        <f>$AF$59</f>
        <v>6</v>
      </c>
      <c r="AL72" s="82" t="s">
        <v>180</v>
      </c>
      <c r="AM72" s="82">
        <f>AF58</f>
        <v>6</v>
      </c>
      <c r="AO72" s="82" t="s">
        <v>250</v>
      </c>
      <c r="AP72" s="82">
        <f>$AF$60</f>
        <v>6</v>
      </c>
      <c r="AQ72" s="82" t="s">
        <v>131</v>
      </c>
      <c r="AR72" s="82">
        <f>AF58</f>
        <v>6</v>
      </c>
    </row>
  </sheetData>
  <mergeCells count="38">
    <mergeCell ref="B31:B35"/>
    <mergeCell ref="J31:J35"/>
    <mergeCell ref="R31:R35"/>
    <mergeCell ref="Z41:Z42"/>
    <mergeCell ref="AA41:AF41"/>
    <mergeCell ref="Z53:AF53"/>
    <mergeCell ref="AE23:AH23"/>
    <mergeCell ref="AJ23:AM23"/>
    <mergeCell ref="AO23:AR23"/>
    <mergeCell ref="C29:G30"/>
    <mergeCell ref="K29:O30"/>
    <mergeCell ref="S29:W30"/>
    <mergeCell ref="C20:G21"/>
    <mergeCell ref="K20:O21"/>
    <mergeCell ref="S20:W21"/>
    <mergeCell ref="Z21:AC21"/>
    <mergeCell ref="B22:B26"/>
    <mergeCell ref="J22:J26"/>
    <mergeCell ref="R22:R26"/>
    <mergeCell ref="Z23:AC23"/>
    <mergeCell ref="C11:G12"/>
    <mergeCell ref="K11:O12"/>
    <mergeCell ref="S11:W12"/>
    <mergeCell ref="B13:B17"/>
    <mergeCell ref="J13:J17"/>
    <mergeCell ref="R13:R17"/>
    <mergeCell ref="AJ3:AM3"/>
    <mergeCell ref="AO3:AR3"/>
    <mergeCell ref="AT3:AW3"/>
    <mergeCell ref="B4:B8"/>
    <mergeCell ref="J4:J7"/>
    <mergeCell ref="R4:R7"/>
    <mergeCell ref="C2:G2"/>
    <mergeCell ref="K2:O3"/>
    <mergeCell ref="S2:W3"/>
    <mergeCell ref="C3:G3"/>
    <mergeCell ref="Z3:AC3"/>
    <mergeCell ref="AE3:A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C547-AC24-C14A-A78A-E99B6F0293CC}">
  <sheetPr>
    <tabColor rgb="FF00B050"/>
  </sheetPr>
  <dimension ref="B2:F15"/>
  <sheetViews>
    <sheetView topLeftCell="A2" workbookViewId="0">
      <selection activeCell="J41" sqref="J41"/>
    </sheetView>
  </sheetViews>
  <sheetFormatPr baseColWidth="10" defaultColWidth="8.83203125" defaultRowHeight="15" x14ac:dyDescent="0.2"/>
  <sheetData>
    <row r="2" spans="2:6" x14ac:dyDescent="0.2">
      <c r="B2" s="104" t="s">
        <v>251</v>
      </c>
      <c r="C2" s="105" t="s">
        <v>252</v>
      </c>
      <c r="D2" s="105"/>
      <c r="E2" s="105" t="s">
        <v>253</v>
      </c>
      <c r="F2" s="105"/>
    </row>
    <row r="3" spans="2:6" x14ac:dyDescent="0.2">
      <c r="B3" s="104"/>
      <c r="C3" s="106" t="s">
        <v>2</v>
      </c>
      <c r="D3" s="106" t="s">
        <v>3</v>
      </c>
      <c r="E3" s="106" t="s">
        <v>2</v>
      </c>
      <c r="F3" s="106" t="s">
        <v>3</v>
      </c>
    </row>
    <row r="4" spans="2:6" x14ac:dyDescent="0.2">
      <c r="B4" s="107">
        <v>1</v>
      </c>
      <c r="C4" s="108"/>
      <c r="D4" s="108"/>
      <c r="E4" s="108"/>
      <c r="F4" s="108"/>
    </row>
    <row r="5" spans="2:6" x14ac:dyDescent="0.2">
      <c r="B5" s="107">
        <v>2</v>
      </c>
      <c r="C5" s="108"/>
      <c r="D5" s="108"/>
      <c r="E5" s="108"/>
      <c r="F5" s="108"/>
    </row>
    <row r="6" spans="2:6" x14ac:dyDescent="0.2">
      <c r="B6" s="107">
        <v>3</v>
      </c>
      <c r="C6" s="108"/>
      <c r="D6" s="108"/>
      <c r="E6" s="108"/>
      <c r="F6" s="108"/>
    </row>
    <row r="7" spans="2:6" x14ac:dyDescent="0.2">
      <c r="B7" s="107">
        <v>4</v>
      </c>
      <c r="C7" s="109" t="s">
        <v>40</v>
      </c>
      <c r="D7" s="109" t="s">
        <v>27</v>
      </c>
      <c r="E7" s="109" t="s">
        <v>28</v>
      </c>
      <c r="F7" s="109" t="s">
        <v>35</v>
      </c>
    </row>
    <row r="8" spans="2:6" x14ac:dyDescent="0.2">
      <c r="B8" s="107">
        <v>5</v>
      </c>
      <c r="C8" s="109" t="s">
        <v>28</v>
      </c>
      <c r="D8" s="109" t="s">
        <v>27</v>
      </c>
      <c r="E8" s="108"/>
      <c r="F8" s="108"/>
    </row>
    <row r="9" spans="2:6" x14ac:dyDescent="0.2">
      <c r="B9" s="107">
        <v>6</v>
      </c>
      <c r="C9" s="109" t="s">
        <v>40</v>
      </c>
      <c r="D9" s="109" t="s">
        <v>35</v>
      </c>
      <c r="E9" s="108"/>
      <c r="F9" s="108"/>
    </row>
    <row r="10" spans="2:6" x14ac:dyDescent="0.2">
      <c r="B10" s="107">
        <v>7</v>
      </c>
      <c r="C10" s="108"/>
      <c r="D10" s="108"/>
      <c r="E10" s="108"/>
      <c r="F10" s="108"/>
    </row>
    <row r="11" spans="2:6" x14ac:dyDescent="0.2">
      <c r="B11" s="107">
        <v>8</v>
      </c>
      <c r="C11" s="109" t="s">
        <v>27</v>
      </c>
      <c r="D11" s="109" t="s">
        <v>35</v>
      </c>
      <c r="E11" s="109" t="s">
        <v>28</v>
      </c>
      <c r="F11" s="109" t="s">
        <v>40</v>
      </c>
    </row>
    <row r="12" spans="2:6" x14ac:dyDescent="0.2">
      <c r="B12" s="107">
        <v>9</v>
      </c>
      <c r="C12" s="109" t="s">
        <v>40</v>
      </c>
      <c r="D12" s="109" t="s">
        <v>28</v>
      </c>
      <c r="E12" s="109" t="s">
        <v>35</v>
      </c>
      <c r="F12" s="109" t="s">
        <v>27</v>
      </c>
    </row>
    <row r="13" spans="2:6" x14ac:dyDescent="0.2">
      <c r="B13" s="107">
        <v>10</v>
      </c>
      <c r="C13" s="108"/>
      <c r="D13" s="108"/>
      <c r="E13" s="108"/>
      <c r="F13" s="108"/>
    </row>
    <row r="14" spans="2:6" x14ac:dyDescent="0.2">
      <c r="B14" s="107">
        <v>11</v>
      </c>
      <c r="C14" s="109" t="s">
        <v>27</v>
      </c>
      <c r="D14" s="109" t="s">
        <v>28</v>
      </c>
      <c r="E14" s="109" t="s">
        <v>35</v>
      </c>
      <c r="F14" s="109" t="s">
        <v>40</v>
      </c>
    </row>
    <row r="15" spans="2:6" x14ac:dyDescent="0.2">
      <c r="B15" s="107">
        <v>12</v>
      </c>
      <c r="C15" s="109" t="s">
        <v>27</v>
      </c>
      <c r="D15" s="109" t="s">
        <v>40</v>
      </c>
      <c r="E15" s="109" t="s">
        <v>35</v>
      </c>
      <c r="F15" s="109" t="s">
        <v>28</v>
      </c>
    </row>
  </sheetData>
  <mergeCells count="3">
    <mergeCell ref="B2:B3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902C-8B54-174D-9DF7-F6958BB56038}">
  <sheetPr>
    <tabColor rgb="FF00B050"/>
  </sheetPr>
  <dimension ref="B2:BB72"/>
  <sheetViews>
    <sheetView topLeftCell="D14" workbookViewId="0">
      <selection activeCell="I18" sqref="I18"/>
    </sheetView>
  </sheetViews>
  <sheetFormatPr baseColWidth="10" defaultColWidth="8.83203125" defaultRowHeight="15" x14ac:dyDescent="0.2"/>
  <cols>
    <col min="2" max="3" width="8.83203125" style="50"/>
    <col min="4" max="4" width="14.33203125" style="50" bestFit="1" customWidth="1"/>
    <col min="5" max="5" width="11.5" style="50" bestFit="1" customWidth="1"/>
    <col min="6" max="7" width="12.6640625" style="50" bestFit="1" customWidth="1"/>
    <col min="8" max="8" width="12.6640625" style="97" bestFit="1" customWidth="1"/>
    <col min="9" max="9" width="8.83203125" style="50"/>
    <col min="10" max="10" width="12.1640625" style="50" bestFit="1" customWidth="1"/>
    <col min="11" max="15" width="8.83203125" style="50"/>
    <col min="16" max="16" width="8.83203125" style="97"/>
    <col min="17" max="23" width="8.83203125" style="50"/>
    <col min="26" max="26" width="28" customWidth="1"/>
    <col min="27" max="27" width="19.1640625" customWidth="1"/>
    <col min="31" max="31" width="16.1640625" bestFit="1" customWidth="1"/>
    <col min="32" max="32" width="5.83203125" bestFit="1" customWidth="1"/>
    <col min="35" max="35" width="11.6640625" customWidth="1"/>
    <col min="36" max="36" width="24.1640625" customWidth="1"/>
    <col min="37" max="37" width="24.1640625" bestFit="1" customWidth="1"/>
    <col min="41" max="41" width="10.5" customWidth="1"/>
    <col min="42" max="42" width="22.1640625" bestFit="1" customWidth="1"/>
    <col min="46" max="46" width="13.5" bestFit="1" customWidth="1"/>
    <col min="51" max="51" width="36.83203125" bestFit="1" customWidth="1"/>
  </cols>
  <sheetData>
    <row r="2" spans="2:52" x14ac:dyDescent="0.2">
      <c r="B2" s="71"/>
      <c r="C2" s="130" t="s">
        <v>113</v>
      </c>
      <c r="D2" s="131"/>
      <c r="E2" s="131"/>
      <c r="F2" s="131"/>
      <c r="G2" s="131"/>
      <c r="H2" s="71"/>
      <c r="I2" s="71"/>
      <c r="J2" s="71"/>
      <c r="K2" s="72" t="s">
        <v>114</v>
      </c>
      <c r="L2" s="73"/>
      <c r="M2" s="73"/>
      <c r="N2" s="73"/>
      <c r="O2" s="73"/>
      <c r="P2" s="71"/>
      <c r="Q2"/>
      <c r="R2" s="71"/>
      <c r="S2" s="72" t="s">
        <v>115</v>
      </c>
      <c r="T2" s="73"/>
      <c r="U2" s="73"/>
      <c r="V2" s="73"/>
      <c r="W2" s="73"/>
    </row>
    <row r="3" spans="2:52" x14ac:dyDescent="0.2">
      <c r="B3" s="71"/>
      <c r="C3" s="132" t="s">
        <v>3</v>
      </c>
      <c r="D3" s="127"/>
      <c r="E3" s="127"/>
      <c r="F3" s="127"/>
      <c r="G3" s="127"/>
      <c r="H3" s="71"/>
      <c r="I3" s="71"/>
      <c r="J3" s="71"/>
      <c r="K3" s="74"/>
      <c r="L3" s="75"/>
      <c r="M3" s="75"/>
      <c r="N3" s="75"/>
      <c r="O3" s="75"/>
      <c r="P3" s="71"/>
      <c r="Q3"/>
      <c r="R3" s="71"/>
      <c r="S3" s="74"/>
      <c r="T3" s="75"/>
      <c r="U3" s="75"/>
      <c r="V3" s="75"/>
      <c r="W3" s="75"/>
      <c r="Z3" s="76" t="s">
        <v>116</v>
      </c>
      <c r="AA3" s="76"/>
      <c r="AB3" s="76"/>
      <c r="AC3" s="76"/>
      <c r="AD3" s="1"/>
      <c r="AE3" s="77" t="s">
        <v>117</v>
      </c>
      <c r="AF3" s="77"/>
      <c r="AG3" s="77"/>
      <c r="AH3" s="77"/>
      <c r="AI3" s="1"/>
      <c r="AJ3" s="78" t="s">
        <v>118</v>
      </c>
      <c r="AK3" s="78"/>
      <c r="AL3" s="78"/>
      <c r="AM3" s="78"/>
      <c r="AN3" s="1"/>
      <c r="AO3" s="79" t="s">
        <v>119</v>
      </c>
      <c r="AP3" s="79"/>
      <c r="AQ3" s="79"/>
      <c r="AR3" s="79"/>
      <c r="AT3" s="76" t="s">
        <v>120</v>
      </c>
      <c r="AU3" s="76"/>
      <c r="AV3" s="76"/>
      <c r="AW3" s="76"/>
    </row>
    <row r="4" spans="2:52" ht="15" customHeight="1" x14ac:dyDescent="0.2">
      <c r="B4" s="128" t="s">
        <v>2</v>
      </c>
      <c r="C4" s="71"/>
      <c r="D4" s="71" t="s">
        <v>27</v>
      </c>
      <c r="E4" s="71" t="s">
        <v>121</v>
      </c>
      <c r="F4" s="71" t="s">
        <v>35</v>
      </c>
      <c r="G4" s="71" t="s">
        <v>40</v>
      </c>
      <c r="H4" s="71" t="s">
        <v>122</v>
      </c>
      <c r="I4" s="71"/>
      <c r="J4" s="80"/>
      <c r="K4" s="71"/>
      <c r="L4" s="71" t="s">
        <v>27</v>
      </c>
      <c r="M4" s="71" t="s">
        <v>121</v>
      </c>
      <c r="N4" s="71" t="s">
        <v>35</v>
      </c>
      <c r="O4" s="71" t="s">
        <v>40</v>
      </c>
      <c r="P4" s="71" t="s">
        <v>122</v>
      </c>
      <c r="R4" s="80"/>
      <c r="S4" s="71"/>
      <c r="T4" s="71" t="s">
        <v>27</v>
      </c>
      <c r="U4" s="71" t="s">
        <v>121</v>
      </c>
      <c r="V4" s="71" t="s">
        <v>35</v>
      </c>
      <c r="W4" s="71" t="s">
        <v>40</v>
      </c>
      <c r="X4" t="s">
        <v>122</v>
      </c>
      <c r="Z4" s="81" t="s">
        <v>123</v>
      </c>
      <c r="AA4" s="81" t="s">
        <v>124</v>
      </c>
      <c r="AB4" s="81" t="s">
        <v>125</v>
      </c>
      <c r="AC4" s="81" t="s">
        <v>126</v>
      </c>
      <c r="AD4" s="1"/>
      <c r="AE4" s="81" t="s">
        <v>123</v>
      </c>
      <c r="AF4" s="81" t="s">
        <v>124</v>
      </c>
      <c r="AG4" s="81" t="s">
        <v>125</v>
      </c>
      <c r="AH4" s="81" t="s">
        <v>126</v>
      </c>
      <c r="AI4" s="1"/>
      <c r="AJ4" s="81" t="s">
        <v>123</v>
      </c>
      <c r="AK4" s="81" t="s">
        <v>127</v>
      </c>
      <c r="AL4" s="81" t="s">
        <v>125</v>
      </c>
      <c r="AM4" s="81" t="s">
        <v>126</v>
      </c>
      <c r="AN4" s="1"/>
      <c r="AO4" s="81" t="s">
        <v>123</v>
      </c>
      <c r="AP4" s="81" t="s">
        <v>127</v>
      </c>
      <c r="AQ4" s="81" t="s">
        <v>125</v>
      </c>
      <c r="AR4" s="81" t="s">
        <v>126</v>
      </c>
      <c r="AT4" s="82" t="s">
        <v>123</v>
      </c>
      <c r="AU4" s="82" t="s">
        <v>124</v>
      </c>
      <c r="AV4" s="82" t="s">
        <v>125</v>
      </c>
      <c r="AW4" s="82" t="s">
        <v>126</v>
      </c>
      <c r="AY4" s="63" t="s">
        <v>128</v>
      </c>
      <c r="AZ4" s="63">
        <v>2</v>
      </c>
    </row>
    <row r="5" spans="2:52" x14ac:dyDescent="0.2">
      <c r="B5" s="129"/>
      <c r="C5" s="71" t="s">
        <v>27</v>
      </c>
      <c r="D5" s="88">
        <v>0</v>
      </c>
      <c r="E5" s="123">
        <v>0</v>
      </c>
      <c r="F5" s="123">
        <v>0</v>
      </c>
      <c r="G5" s="123">
        <v>0</v>
      </c>
      <c r="H5" s="124">
        <f>SUM(D5:G5)</f>
        <v>0</v>
      </c>
      <c r="I5" s="71"/>
      <c r="J5" s="83"/>
      <c r="K5" s="71" t="s">
        <v>27</v>
      </c>
      <c r="L5" s="84">
        <v>0</v>
      </c>
      <c r="M5" s="85">
        <v>0</v>
      </c>
      <c r="N5" s="85">
        <v>0</v>
      </c>
      <c r="O5" s="85">
        <v>0</v>
      </c>
      <c r="P5" s="86">
        <f>SUM(L5:O5)</f>
        <v>0</v>
      </c>
      <c r="R5" s="83"/>
      <c r="S5" s="71" t="s">
        <v>27</v>
      </c>
      <c r="T5" s="87">
        <v>0</v>
      </c>
      <c r="U5" s="85">
        <v>0</v>
      </c>
      <c r="V5" s="85">
        <v>0</v>
      </c>
      <c r="W5" s="85">
        <v>0</v>
      </c>
      <c r="X5">
        <f>SUM(T5:W5)</f>
        <v>0</v>
      </c>
      <c r="Z5" s="81" t="s">
        <v>129</v>
      </c>
      <c r="AA5" s="81">
        <f>SUM(D5:G8)</f>
        <v>1</v>
      </c>
      <c r="AB5" s="81" t="s">
        <v>130</v>
      </c>
      <c r="AC5" s="81">
        <f>$AZ$4</f>
        <v>2</v>
      </c>
      <c r="AD5" s="1"/>
      <c r="AE5" s="81">
        <v>1</v>
      </c>
      <c r="AF5" s="81">
        <f>D9+H5</f>
        <v>0</v>
      </c>
      <c r="AG5" s="81" t="s">
        <v>131</v>
      </c>
      <c r="AH5" s="81">
        <f>$AZ$6</f>
        <v>1</v>
      </c>
      <c r="AI5" s="1"/>
      <c r="AJ5" s="81">
        <v>1</v>
      </c>
      <c r="AK5" s="81">
        <f>SUM(E9,H6)</f>
        <v>0</v>
      </c>
      <c r="AL5" s="81" t="s">
        <v>131</v>
      </c>
      <c r="AM5" s="81">
        <f>$AZ$6</f>
        <v>1</v>
      </c>
      <c r="AN5" s="1"/>
      <c r="AO5" s="81">
        <v>1</v>
      </c>
      <c r="AP5" s="81">
        <f>SUM(F9,H7)</f>
        <v>1</v>
      </c>
      <c r="AQ5" s="81" t="s">
        <v>131</v>
      </c>
      <c r="AR5" s="81">
        <f>$AZ$6</f>
        <v>1</v>
      </c>
      <c r="AT5" s="82" t="s">
        <v>132</v>
      </c>
      <c r="AU5" s="82">
        <f>SUM(D9,H5,L9,P5,T9,X5)</f>
        <v>1</v>
      </c>
      <c r="AV5" s="82" t="s">
        <v>130</v>
      </c>
      <c r="AW5" s="82">
        <f>$AZ$7</f>
        <v>2</v>
      </c>
      <c r="AY5" s="63" t="s">
        <v>133</v>
      </c>
      <c r="AZ5" s="63">
        <v>1</v>
      </c>
    </row>
    <row r="6" spans="2:52" x14ac:dyDescent="0.2">
      <c r="B6" s="129"/>
      <c r="C6" s="71" t="s">
        <v>121</v>
      </c>
      <c r="D6" s="123">
        <v>0</v>
      </c>
      <c r="E6" s="123">
        <v>0</v>
      </c>
      <c r="F6" s="123">
        <v>0</v>
      </c>
      <c r="G6" s="123">
        <v>0</v>
      </c>
      <c r="H6" s="124">
        <f>SUM(D6:G6)</f>
        <v>0</v>
      </c>
      <c r="I6" s="71"/>
      <c r="J6" s="83"/>
      <c r="K6" s="71" t="s">
        <v>121</v>
      </c>
      <c r="L6" s="85">
        <v>0</v>
      </c>
      <c r="M6" s="87">
        <v>0</v>
      </c>
      <c r="N6" s="85">
        <v>0</v>
      </c>
      <c r="O6" s="85">
        <v>0</v>
      </c>
      <c r="P6" s="86">
        <f>SUM(L6:O6)</f>
        <v>0</v>
      </c>
      <c r="R6" s="83"/>
      <c r="S6" s="71" t="s">
        <v>121</v>
      </c>
      <c r="T6" s="85">
        <v>1</v>
      </c>
      <c r="U6" s="87">
        <v>0</v>
      </c>
      <c r="V6" s="85">
        <v>0</v>
      </c>
      <c r="W6" s="85">
        <v>0</v>
      </c>
      <c r="X6">
        <f>SUM(T6:W6)</f>
        <v>1</v>
      </c>
      <c r="Z6" s="81" t="s">
        <v>134</v>
      </c>
      <c r="AA6" s="81">
        <f>SUM(L5:O8)</f>
        <v>0</v>
      </c>
      <c r="AB6" s="81" t="s">
        <v>130</v>
      </c>
      <c r="AC6" s="81">
        <f>$AZ$4</f>
        <v>2</v>
      </c>
      <c r="AD6" s="1"/>
      <c r="AE6" s="81">
        <v>2</v>
      </c>
      <c r="AF6" s="81">
        <f>SUM(L9,P5)</f>
        <v>0</v>
      </c>
      <c r="AG6" s="81" t="s">
        <v>131</v>
      </c>
      <c r="AH6" s="81">
        <f>$AZ$6</f>
        <v>1</v>
      </c>
      <c r="AI6" s="1"/>
      <c r="AJ6" s="81">
        <v>2</v>
      </c>
      <c r="AK6" s="81">
        <f>SUM(M9,P6)</f>
        <v>0</v>
      </c>
      <c r="AL6" s="81" t="s">
        <v>131</v>
      </c>
      <c r="AM6" s="81">
        <f>$AZ$6</f>
        <v>1</v>
      </c>
      <c r="AN6" s="1"/>
      <c r="AO6" s="81">
        <v>2</v>
      </c>
      <c r="AP6" s="81">
        <f>SUM(N9,P7)</f>
        <v>0</v>
      </c>
      <c r="AQ6" s="81" t="s">
        <v>131</v>
      </c>
      <c r="AR6" s="81">
        <f>$AZ$6</f>
        <v>1</v>
      </c>
      <c r="AT6" s="82" t="s">
        <v>135</v>
      </c>
      <c r="AU6" s="82">
        <f>SUM(L9,P5,T9,X5,D18,H14)</f>
        <v>1</v>
      </c>
      <c r="AV6" s="82" t="s">
        <v>130</v>
      </c>
      <c r="AW6" s="82">
        <f>$AZ$7</f>
        <v>2</v>
      </c>
      <c r="AY6" s="63" t="s">
        <v>136</v>
      </c>
      <c r="AZ6" s="63">
        <v>1</v>
      </c>
    </row>
    <row r="7" spans="2:52" x14ac:dyDescent="0.2">
      <c r="B7" s="129"/>
      <c r="C7" s="71" t="s">
        <v>35</v>
      </c>
      <c r="D7" s="123">
        <v>0</v>
      </c>
      <c r="E7" s="123">
        <v>0</v>
      </c>
      <c r="F7" s="123">
        <v>0</v>
      </c>
      <c r="G7" s="123">
        <v>1</v>
      </c>
      <c r="H7" s="124">
        <f>SUM(D7:G7)</f>
        <v>1</v>
      </c>
      <c r="I7" s="71"/>
      <c r="J7" s="83"/>
      <c r="K7" s="71" t="s">
        <v>35</v>
      </c>
      <c r="L7" s="85">
        <v>0</v>
      </c>
      <c r="M7" s="85">
        <v>0</v>
      </c>
      <c r="N7" s="87">
        <v>0</v>
      </c>
      <c r="O7" s="85">
        <v>0</v>
      </c>
      <c r="P7" s="86">
        <f>SUM(L7:O7)</f>
        <v>0</v>
      </c>
      <c r="R7" s="83"/>
      <c r="S7" s="71" t="s">
        <v>35</v>
      </c>
      <c r="T7" s="85">
        <v>0</v>
      </c>
      <c r="U7" s="85">
        <v>0</v>
      </c>
      <c r="V7" s="87">
        <v>0</v>
      </c>
      <c r="W7" s="85">
        <v>0</v>
      </c>
      <c r="X7">
        <f>SUM(T7:W7)</f>
        <v>0</v>
      </c>
      <c r="Z7" s="81" t="s">
        <v>137</v>
      </c>
      <c r="AA7" s="81">
        <f>SUM(T5:W8)</f>
        <v>1</v>
      </c>
      <c r="AB7" s="81" t="s">
        <v>130</v>
      </c>
      <c r="AC7" s="81">
        <f>$AZ$4</f>
        <v>2</v>
      </c>
      <c r="AD7" s="1"/>
      <c r="AE7" s="81">
        <v>3</v>
      </c>
      <c r="AF7" s="81">
        <f>SUM(T9,X5)</f>
        <v>1</v>
      </c>
      <c r="AG7" s="81" t="s">
        <v>131</v>
      </c>
      <c r="AH7" s="81">
        <f>$AZ$6</f>
        <v>1</v>
      </c>
      <c r="AI7" s="1"/>
      <c r="AJ7" s="81">
        <v>3</v>
      </c>
      <c r="AK7" s="81">
        <f>SUM(U9,X6)</f>
        <v>1</v>
      </c>
      <c r="AL7" s="81" t="s">
        <v>131</v>
      </c>
      <c r="AM7" s="81">
        <f>$AZ$6</f>
        <v>1</v>
      </c>
      <c r="AN7" s="1"/>
      <c r="AO7" s="81">
        <v>3</v>
      </c>
      <c r="AP7" s="81">
        <f>SUM(V9,X7)</f>
        <v>0</v>
      </c>
      <c r="AQ7" s="81" t="s">
        <v>131</v>
      </c>
      <c r="AR7" s="81">
        <f>$AZ$6</f>
        <v>1</v>
      </c>
      <c r="AT7" s="82" t="s">
        <v>138</v>
      </c>
      <c r="AU7" s="82">
        <f>SUM(T9,X5,D18,H14,L18,P14)</f>
        <v>2</v>
      </c>
      <c r="AV7" s="82" t="s">
        <v>130</v>
      </c>
      <c r="AW7" s="82">
        <f>$AZ$7</f>
        <v>2</v>
      </c>
      <c r="AY7" s="63" t="s">
        <v>139</v>
      </c>
      <c r="AZ7" s="63">
        <v>2</v>
      </c>
    </row>
    <row r="8" spans="2:52" ht="14.25" customHeight="1" x14ac:dyDescent="0.2">
      <c r="B8" s="129"/>
      <c r="C8" s="71" t="s">
        <v>40</v>
      </c>
      <c r="D8" s="88">
        <v>0</v>
      </c>
      <c r="E8" s="88">
        <v>0</v>
      </c>
      <c r="F8" s="88">
        <v>0</v>
      </c>
      <c r="G8" s="88">
        <v>0</v>
      </c>
      <c r="H8" s="124">
        <f>SUM(D8:G8)</f>
        <v>0</v>
      </c>
      <c r="I8" s="71"/>
      <c r="K8" s="110" t="s">
        <v>40</v>
      </c>
      <c r="L8" s="88">
        <v>0</v>
      </c>
      <c r="M8" s="88">
        <v>0</v>
      </c>
      <c r="N8" s="88">
        <v>0</v>
      </c>
      <c r="O8" s="84">
        <v>0</v>
      </c>
      <c r="P8" s="86">
        <f>SUM(L8:O8)</f>
        <v>0</v>
      </c>
      <c r="S8" s="110" t="s">
        <v>40</v>
      </c>
      <c r="T8" s="85">
        <v>0</v>
      </c>
      <c r="U8" s="85">
        <v>0</v>
      </c>
      <c r="V8" s="85">
        <v>0</v>
      </c>
      <c r="W8" s="87">
        <v>0</v>
      </c>
      <c r="X8">
        <f>SUM(T8:W8)</f>
        <v>0</v>
      </c>
      <c r="Z8" s="81" t="s">
        <v>140</v>
      </c>
      <c r="AA8" s="81">
        <f>SUM(D14:G17)</f>
        <v>0</v>
      </c>
      <c r="AB8" s="81" t="s">
        <v>130</v>
      </c>
      <c r="AC8" s="81">
        <f>$AZ$4</f>
        <v>2</v>
      </c>
      <c r="AD8" s="1"/>
      <c r="AE8" s="81">
        <v>4</v>
      </c>
      <c r="AF8" s="81">
        <f>SUM(D18,H14)</f>
        <v>0</v>
      </c>
      <c r="AG8" s="81" t="s">
        <v>131</v>
      </c>
      <c r="AH8" s="81">
        <f>$AZ$6</f>
        <v>1</v>
      </c>
      <c r="AI8" s="1"/>
      <c r="AJ8" s="81">
        <v>4</v>
      </c>
      <c r="AK8" s="81">
        <f>SUM(E18,H15)</f>
        <v>0</v>
      </c>
      <c r="AL8" s="81" t="s">
        <v>131</v>
      </c>
      <c r="AM8" s="81">
        <f>$AZ$6</f>
        <v>1</v>
      </c>
      <c r="AN8" s="1"/>
      <c r="AO8" s="81">
        <v>4</v>
      </c>
      <c r="AP8" s="81">
        <f>SUM(F18,H16)</f>
        <v>0</v>
      </c>
      <c r="AQ8" s="81" t="s">
        <v>131</v>
      </c>
      <c r="AR8" s="81">
        <f>$AZ$6</f>
        <v>1</v>
      </c>
      <c r="AT8" s="82" t="s">
        <v>141</v>
      </c>
      <c r="AU8" s="82">
        <f>SUM(D18,H14,P14,L18,X14,T18)</f>
        <v>1</v>
      </c>
      <c r="AV8" s="82" t="s">
        <v>130</v>
      </c>
      <c r="AW8" s="82">
        <f>$AZ$7</f>
        <v>2</v>
      </c>
      <c r="AY8" s="63" t="s">
        <v>142</v>
      </c>
      <c r="AZ8" s="63">
        <v>1</v>
      </c>
    </row>
    <row r="9" spans="2:52" ht="14.25" customHeight="1" x14ac:dyDescent="0.2">
      <c r="B9" s="125"/>
      <c r="C9" s="71" t="s">
        <v>122</v>
      </c>
      <c r="D9" s="126">
        <f>SUM(D5:D8)</f>
        <v>0</v>
      </c>
      <c r="E9" s="126">
        <f>SUM(E5:E8)</f>
        <v>0</v>
      </c>
      <c r="F9" s="126">
        <f>SUM(F5:F8)</f>
        <v>0</v>
      </c>
      <c r="G9" s="126">
        <f>SUM(G5:G8)</f>
        <v>1</v>
      </c>
      <c r="H9" s="71"/>
      <c r="I9" s="71"/>
      <c r="K9" s="89" t="s">
        <v>122</v>
      </c>
      <c r="L9" s="71">
        <f>SUM(L5:L8)</f>
        <v>0</v>
      </c>
      <c r="M9" s="71">
        <f>SUM(M5:M8)</f>
        <v>0</v>
      </c>
      <c r="N9" s="71">
        <f>SUM(N5:N8)</f>
        <v>0</v>
      </c>
      <c r="O9" s="71">
        <f>SUM(O5:O8)</f>
        <v>0</v>
      </c>
      <c r="P9" s="71"/>
      <c r="S9" s="89" t="s">
        <v>122</v>
      </c>
      <c r="T9" s="86">
        <f>SUM(T5:T8)</f>
        <v>1</v>
      </c>
      <c r="U9" s="86">
        <f>SUM(U5:U8)</f>
        <v>0</v>
      </c>
      <c r="V9" s="86">
        <f>SUM(V5:V8)</f>
        <v>0</v>
      </c>
      <c r="W9" s="86">
        <f>SUM(W5:W8)</f>
        <v>0</v>
      </c>
      <c r="Z9" s="81" t="s">
        <v>143</v>
      </c>
      <c r="AA9" s="81">
        <f>SUM(L14:O17)</f>
        <v>1</v>
      </c>
      <c r="AB9" s="81" t="s">
        <v>130</v>
      </c>
      <c r="AC9" s="81">
        <f>$AZ$4</f>
        <v>2</v>
      </c>
      <c r="AD9" s="1"/>
      <c r="AE9" s="81">
        <v>5</v>
      </c>
      <c r="AF9" s="81">
        <f>SUM(L18,P14)</f>
        <v>1</v>
      </c>
      <c r="AG9" s="81" t="s">
        <v>131</v>
      </c>
      <c r="AH9" s="81">
        <f>$AZ$6</f>
        <v>1</v>
      </c>
      <c r="AI9" s="1"/>
      <c r="AJ9" s="81">
        <v>5</v>
      </c>
      <c r="AK9" s="81">
        <f>SUM(M18,P15)</f>
        <v>0</v>
      </c>
      <c r="AL9" s="81" t="s">
        <v>131</v>
      </c>
      <c r="AM9" s="81">
        <f>$AZ$6</f>
        <v>1</v>
      </c>
      <c r="AN9" s="1"/>
      <c r="AO9" s="81">
        <v>5</v>
      </c>
      <c r="AP9" s="81">
        <f>SUM(N18,P16)</f>
        <v>0</v>
      </c>
      <c r="AQ9" s="81" t="s">
        <v>131</v>
      </c>
      <c r="AR9" s="81">
        <f>$AZ$6</f>
        <v>1</v>
      </c>
      <c r="AT9" s="82" t="s">
        <v>144</v>
      </c>
      <c r="AU9" s="82">
        <f>SUM(L18,P14,T18,X14,D27,H23)</f>
        <v>2</v>
      </c>
      <c r="AV9" s="82" t="s">
        <v>130</v>
      </c>
      <c r="AW9" s="82">
        <f>$AZ$7</f>
        <v>2</v>
      </c>
    </row>
    <row r="10" spans="2:52" x14ac:dyDescent="0.2"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R10" s="71"/>
      <c r="S10" s="71"/>
      <c r="T10" s="71"/>
      <c r="U10" s="71"/>
      <c r="V10" s="71"/>
      <c r="W10" s="71"/>
      <c r="Z10" s="81" t="s">
        <v>145</v>
      </c>
      <c r="AA10" s="81">
        <f>SUM(T14:W17)</f>
        <v>1</v>
      </c>
      <c r="AB10" s="81" t="s">
        <v>130</v>
      </c>
      <c r="AC10" s="81">
        <f>$AZ$4</f>
        <v>2</v>
      </c>
      <c r="AD10" s="1"/>
      <c r="AE10" s="81">
        <v>6</v>
      </c>
      <c r="AF10" s="81">
        <f>SUM(T18,X14)</f>
        <v>0</v>
      </c>
      <c r="AG10" s="81" t="s">
        <v>131</v>
      </c>
      <c r="AH10" s="81">
        <f>$AZ$6</f>
        <v>1</v>
      </c>
      <c r="AI10" s="1"/>
      <c r="AJ10" s="81">
        <v>6</v>
      </c>
      <c r="AK10" s="81">
        <f>SUM(U18,X15)</f>
        <v>1</v>
      </c>
      <c r="AL10" s="81" t="s">
        <v>131</v>
      </c>
      <c r="AM10" s="81">
        <f>$AZ$6</f>
        <v>1</v>
      </c>
      <c r="AN10" s="1"/>
      <c r="AO10" s="81">
        <v>6</v>
      </c>
      <c r="AP10" s="81">
        <f>SUM(V18,X16)</f>
        <v>1</v>
      </c>
      <c r="AQ10" s="81" t="s">
        <v>131</v>
      </c>
      <c r="AR10" s="81">
        <f>$AZ$6</f>
        <v>1</v>
      </c>
      <c r="AT10" s="82" t="s">
        <v>146</v>
      </c>
      <c r="AU10" s="82">
        <f>SUM(T18,X14,D27,H23,L27,P23)</f>
        <v>2</v>
      </c>
      <c r="AV10" s="82" t="s">
        <v>130</v>
      </c>
      <c r="AW10" s="82">
        <f>$AZ$7</f>
        <v>2</v>
      </c>
    </row>
    <row r="11" spans="2:52" x14ac:dyDescent="0.2">
      <c r="B11" s="71"/>
      <c r="C11" s="72" t="s">
        <v>147</v>
      </c>
      <c r="D11" s="73"/>
      <c r="E11" s="73"/>
      <c r="F11" s="73"/>
      <c r="G11" s="73"/>
      <c r="H11" s="71"/>
      <c r="I11" s="71"/>
      <c r="J11" s="71"/>
      <c r="K11" s="72" t="s">
        <v>148</v>
      </c>
      <c r="L11" s="73"/>
      <c r="M11" s="73"/>
      <c r="N11" s="73"/>
      <c r="O11" s="73"/>
      <c r="P11" s="71"/>
      <c r="R11" s="71"/>
      <c r="S11" s="72" t="s">
        <v>149</v>
      </c>
      <c r="T11" s="73"/>
      <c r="U11" s="73"/>
      <c r="V11" s="73"/>
      <c r="W11" s="73"/>
      <c r="Z11" s="81" t="s">
        <v>150</v>
      </c>
      <c r="AA11" s="81">
        <f>SUM(D23:G26)</f>
        <v>2</v>
      </c>
      <c r="AB11" s="81" t="s">
        <v>130</v>
      </c>
      <c r="AC11" s="81">
        <f>$AZ$4</f>
        <v>2</v>
      </c>
      <c r="AD11" s="1"/>
      <c r="AE11" s="81">
        <v>7</v>
      </c>
      <c r="AF11" s="81">
        <f>SUM(D27,H23)</f>
        <v>1</v>
      </c>
      <c r="AG11" s="81" t="s">
        <v>131</v>
      </c>
      <c r="AH11" s="81">
        <f>$AZ$6</f>
        <v>1</v>
      </c>
      <c r="AI11" s="1"/>
      <c r="AJ11" s="81">
        <v>7</v>
      </c>
      <c r="AK11" s="81">
        <f>SUM(E27,H24)</f>
        <v>1</v>
      </c>
      <c r="AL11" s="81" t="s">
        <v>131</v>
      </c>
      <c r="AM11" s="81">
        <f>$AZ$6</f>
        <v>1</v>
      </c>
      <c r="AN11" s="1"/>
      <c r="AO11" s="81">
        <v>7</v>
      </c>
      <c r="AP11" s="81">
        <f>SUM(F27,H25)</f>
        <v>1</v>
      </c>
      <c r="AQ11" s="81" t="s">
        <v>131</v>
      </c>
      <c r="AR11" s="81">
        <f>$AZ$6</f>
        <v>1</v>
      </c>
      <c r="AT11" s="82" t="s">
        <v>151</v>
      </c>
      <c r="AU11" s="82">
        <f>SUM(D27,H23,L27,P23,T27,X23)</f>
        <v>2</v>
      </c>
      <c r="AV11" s="82" t="s">
        <v>130</v>
      </c>
      <c r="AW11" s="82">
        <f>$AZ$7</f>
        <v>2</v>
      </c>
    </row>
    <row r="12" spans="2:52" x14ac:dyDescent="0.2">
      <c r="B12" s="71"/>
      <c r="C12" s="90"/>
      <c r="D12" s="91"/>
      <c r="E12" s="91"/>
      <c r="F12" s="91"/>
      <c r="G12" s="91"/>
      <c r="H12" s="71"/>
      <c r="I12" s="71"/>
      <c r="J12" s="71"/>
      <c r="K12" s="74"/>
      <c r="L12" s="75"/>
      <c r="M12" s="75"/>
      <c r="N12" s="75"/>
      <c r="O12" s="75"/>
      <c r="P12" s="71"/>
      <c r="R12" s="71"/>
      <c r="S12" s="74"/>
      <c r="T12" s="75"/>
      <c r="U12" s="75"/>
      <c r="V12" s="75"/>
      <c r="W12" s="75"/>
      <c r="Z12" s="81" t="s">
        <v>152</v>
      </c>
      <c r="AA12" s="81">
        <f>SUM(L23:O26)</f>
        <v>1</v>
      </c>
      <c r="AB12" s="81" t="s">
        <v>130</v>
      </c>
      <c r="AC12" s="81">
        <f>$AZ$4</f>
        <v>2</v>
      </c>
      <c r="AD12" s="1"/>
      <c r="AE12" s="81">
        <v>8</v>
      </c>
      <c r="AF12" s="81">
        <f>SUM(L27,P23)</f>
        <v>1</v>
      </c>
      <c r="AG12" s="81" t="s">
        <v>131</v>
      </c>
      <c r="AH12" s="81">
        <f>$AZ$6</f>
        <v>1</v>
      </c>
      <c r="AI12" s="1"/>
      <c r="AJ12" s="81">
        <v>8</v>
      </c>
      <c r="AK12" s="81">
        <f>SUM(M27,P24)</f>
        <v>0</v>
      </c>
      <c r="AL12" s="81" t="s">
        <v>131</v>
      </c>
      <c r="AM12" s="81">
        <f>$AZ$6</f>
        <v>1</v>
      </c>
      <c r="AN12" s="1"/>
      <c r="AO12" s="81">
        <v>8</v>
      </c>
      <c r="AP12" s="81">
        <f>SUM(N27,P25)</f>
        <v>0</v>
      </c>
      <c r="AQ12" s="81" t="s">
        <v>131</v>
      </c>
      <c r="AR12" s="81">
        <f>$AZ$6</f>
        <v>1</v>
      </c>
      <c r="AT12" s="82" t="s">
        <v>153</v>
      </c>
      <c r="AU12" s="82">
        <f>SUM(L27,P23,T27,X23,D36,H32)</f>
        <v>2</v>
      </c>
      <c r="AV12" s="82" t="s">
        <v>130</v>
      </c>
      <c r="AW12" s="82">
        <f>$AZ$7</f>
        <v>2</v>
      </c>
    </row>
    <row r="13" spans="2:52" ht="15" customHeight="1" x14ac:dyDescent="0.2">
      <c r="B13" s="92"/>
      <c r="C13" s="93"/>
      <c r="D13" s="94" t="s">
        <v>27</v>
      </c>
      <c r="E13" s="94" t="s">
        <v>121</v>
      </c>
      <c r="F13" s="94" t="s">
        <v>35</v>
      </c>
      <c r="G13" s="94" t="s">
        <v>40</v>
      </c>
      <c r="H13" s="71" t="s">
        <v>122</v>
      </c>
      <c r="I13" s="71"/>
      <c r="J13" s="80"/>
      <c r="K13" s="71"/>
      <c r="L13" s="71" t="s">
        <v>27</v>
      </c>
      <c r="M13" s="71" t="s">
        <v>121</v>
      </c>
      <c r="N13" s="71" t="s">
        <v>35</v>
      </c>
      <c r="O13" s="71" t="s">
        <v>40</v>
      </c>
      <c r="P13" s="71" t="s">
        <v>122</v>
      </c>
      <c r="R13" s="80"/>
      <c r="S13" s="71"/>
      <c r="T13" s="71" t="s">
        <v>27</v>
      </c>
      <c r="U13" s="71" t="s">
        <v>121</v>
      </c>
      <c r="V13" s="71" t="s">
        <v>35</v>
      </c>
      <c r="W13" s="71" t="s">
        <v>40</v>
      </c>
      <c r="X13" t="s">
        <v>122</v>
      </c>
      <c r="Z13" s="81" t="s">
        <v>154</v>
      </c>
      <c r="AA13" s="81">
        <f>SUM(T23:W26)</f>
        <v>1</v>
      </c>
      <c r="AB13" s="81" t="s">
        <v>130</v>
      </c>
      <c r="AC13" s="81">
        <f>$AZ$4</f>
        <v>2</v>
      </c>
      <c r="AD13" s="1"/>
      <c r="AE13" s="81">
        <v>9</v>
      </c>
      <c r="AF13" s="81">
        <f>SUM(T27,X23)</f>
        <v>0</v>
      </c>
      <c r="AG13" s="81" t="s">
        <v>131</v>
      </c>
      <c r="AH13" s="81">
        <f>$AZ$6</f>
        <v>1</v>
      </c>
      <c r="AI13" s="1"/>
      <c r="AJ13" s="81">
        <v>9</v>
      </c>
      <c r="AK13" s="81">
        <f>SUM(U27,X24)</f>
        <v>1</v>
      </c>
      <c r="AL13" s="81" t="s">
        <v>131</v>
      </c>
      <c r="AM13" s="81">
        <f>$AZ$6</f>
        <v>1</v>
      </c>
      <c r="AN13" s="1"/>
      <c r="AO13" s="81">
        <v>9</v>
      </c>
      <c r="AP13" s="81">
        <f>SUM(V27,X25)</f>
        <v>1</v>
      </c>
      <c r="AQ13" s="81" t="s">
        <v>131</v>
      </c>
      <c r="AR13" s="81">
        <f>$AZ$6</f>
        <v>1</v>
      </c>
      <c r="AT13" s="82" t="s">
        <v>155</v>
      </c>
      <c r="AU13" s="82">
        <f>SUM(T27,X23,D36,H32,L36,P32)</f>
        <v>2</v>
      </c>
      <c r="AV13" s="82" t="s">
        <v>130</v>
      </c>
      <c r="AW13" s="82">
        <f>$AZ$7</f>
        <v>2</v>
      </c>
    </row>
    <row r="14" spans="2:52" x14ac:dyDescent="0.2">
      <c r="B14" s="95"/>
      <c r="C14" s="96" t="s">
        <v>27</v>
      </c>
      <c r="D14" s="84">
        <v>0</v>
      </c>
      <c r="E14" s="85">
        <v>0</v>
      </c>
      <c r="F14" s="85">
        <v>0</v>
      </c>
      <c r="G14" s="85">
        <v>0</v>
      </c>
      <c r="H14" s="86">
        <f>SUM(D14:G14)</f>
        <v>0</v>
      </c>
      <c r="I14" s="71"/>
      <c r="J14" s="83"/>
      <c r="K14" s="71" t="s">
        <v>27</v>
      </c>
      <c r="L14" s="84">
        <v>0</v>
      </c>
      <c r="M14" s="85">
        <v>0</v>
      </c>
      <c r="N14" s="85">
        <v>0</v>
      </c>
      <c r="O14" s="85">
        <v>0</v>
      </c>
      <c r="P14" s="86">
        <f>SUM(L14:O14)</f>
        <v>0</v>
      </c>
      <c r="R14" s="83"/>
      <c r="S14" s="71" t="s">
        <v>27</v>
      </c>
      <c r="T14" s="87">
        <v>0</v>
      </c>
      <c r="U14" s="85">
        <v>0</v>
      </c>
      <c r="V14" s="85">
        <v>0</v>
      </c>
      <c r="W14" s="85">
        <v>0</v>
      </c>
      <c r="X14">
        <f>SUM(T14:W14)</f>
        <v>0</v>
      </c>
      <c r="Z14" s="81" t="s">
        <v>156</v>
      </c>
      <c r="AA14" s="81">
        <f>SUM(D32:G35)</f>
        <v>1</v>
      </c>
      <c r="AB14" s="81" t="s">
        <v>130</v>
      </c>
      <c r="AC14" s="81">
        <f>$AZ$4</f>
        <v>2</v>
      </c>
      <c r="AD14" s="1"/>
      <c r="AE14" s="81">
        <v>10</v>
      </c>
      <c r="AF14" s="81">
        <f>SUM(D36,H32)</f>
        <v>1</v>
      </c>
      <c r="AG14" s="81" t="s">
        <v>131</v>
      </c>
      <c r="AH14" s="81">
        <f>$AZ$6</f>
        <v>1</v>
      </c>
      <c r="AI14" s="1"/>
      <c r="AJ14" s="81">
        <v>10</v>
      </c>
      <c r="AK14" s="81">
        <f>SUM(E36,H33)</f>
        <v>0</v>
      </c>
      <c r="AL14" s="81" t="s">
        <v>131</v>
      </c>
      <c r="AM14" s="81">
        <f>$AZ$6</f>
        <v>1</v>
      </c>
      <c r="AN14" s="1"/>
      <c r="AO14" s="81">
        <v>10</v>
      </c>
      <c r="AP14" s="81">
        <f>SUM(F36,H34)</f>
        <v>1</v>
      </c>
      <c r="AQ14" s="81" t="s">
        <v>131</v>
      </c>
      <c r="AR14" s="81">
        <f>$AZ$6</f>
        <v>1</v>
      </c>
      <c r="AT14" s="82" t="s">
        <v>157</v>
      </c>
      <c r="AU14" s="82">
        <f>SUM(D36,H32,L36,P32,T36,X32)</f>
        <v>2</v>
      </c>
      <c r="AV14" s="82" t="s">
        <v>130</v>
      </c>
      <c r="AW14" s="82">
        <f>$AZ$7</f>
        <v>2</v>
      </c>
    </row>
    <row r="15" spans="2:52" x14ac:dyDescent="0.2">
      <c r="B15" s="95"/>
      <c r="C15" s="96" t="s">
        <v>121</v>
      </c>
      <c r="D15" s="85">
        <v>0</v>
      </c>
      <c r="E15" s="87">
        <v>0</v>
      </c>
      <c r="F15" s="85">
        <v>0</v>
      </c>
      <c r="G15" s="85">
        <v>0</v>
      </c>
      <c r="H15" s="86">
        <f>SUM(D15:G15)</f>
        <v>0</v>
      </c>
      <c r="I15" s="71"/>
      <c r="J15" s="83"/>
      <c r="K15" s="71" t="s">
        <v>121</v>
      </c>
      <c r="L15" s="85">
        <v>0</v>
      </c>
      <c r="M15" s="87">
        <v>0</v>
      </c>
      <c r="N15" s="85">
        <v>0</v>
      </c>
      <c r="O15" s="85">
        <v>0</v>
      </c>
      <c r="P15" s="86">
        <f>SUM(L15:O15)</f>
        <v>0</v>
      </c>
      <c r="R15" s="83"/>
      <c r="S15" s="71" t="s">
        <v>121</v>
      </c>
      <c r="T15" s="85">
        <v>0</v>
      </c>
      <c r="U15" s="87">
        <v>0</v>
      </c>
      <c r="V15" s="85">
        <v>0</v>
      </c>
      <c r="W15" s="85">
        <v>0</v>
      </c>
      <c r="X15">
        <f>SUM(T15:W15)</f>
        <v>0</v>
      </c>
      <c r="Z15" s="81" t="s">
        <v>158</v>
      </c>
      <c r="AA15" s="81">
        <f>SUM(L32:O35)</f>
        <v>2</v>
      </c>
      <c r="AB15" s="81" t="s">
        <v>130</v>
      </c>
      <c r="AC15" s="81">
        <f>$AZ$4</f>
        <v>2</v>
      </c>
      <c r="AD15" s="1"/>
      <c r="AE15" s="81">
        <v>11</v>
      </c>
      <c r="AF15" s="81">
        <f>SUM(L36,P32)</f>
        <v>1</v>
      </c>
      <c r="AG15" s="81" t="s">
        <v>131</v>
      </c>
      <c r="AH15" s="81">
        <f>$AZ$6</f>
        <v>1</v>
      </c>
      <c r="AI15" s="1"/>
      <c r="AJ15" s="81">
        <v>11</v>
      </c>
      <c r="AK15" s="81">
        <f>SUM(M36,P33)</f>
        <v>1</v>
      </c>
      <c r="AL15" s="81" t="s">
        <v>131</v>
      </c>
      <c r="AM15" s="81">
        <f>$AZ$6</f>
        <v>1</v>
      </c>
      <c r="AN15" s="1"/>
      <c r="AO15" s="81">
        <v>11</v>
      </c>
      <c r="AP15" s="81">
        <f>SUM(N36,P34)</f>
        <v>1</v>
      </c>
      <c r="AQ15" s="81" t="s">
        <v>131</v>
      </c>
      <c r="AR15" s="81">
        <f>$AZ$6</f>
        <v>1</v>
      </c>
      <c r="AT15" s="82" t="s">
        <v>159</v>
      </c>
      <c r="AU15" s="82">
        <f>SUM(E9,H6,M9,P6,U9,X6)</f>
        <v>1</v>
      </c>
      <c r="AV15" s="82" t="s">
        <v>131</v>
      </c>
      <c r="AW15" s="82">
        <f>$AZ$7</f>
        <v>2</v>
      </c>
    </row>
    <row r="16" spans="2:52" x14ac:dyDescent="0.2">
      <c r="B16" s="95"/>
      <c r="C16" s="96" t="s">
        <v>35</v>
      </c>
      <c r="D16" s="85">
        <v>0</v>
      </c>
      <c r="E16" s="85">
        <v>0</v>
      </c>
      <c r="F16" s="87">
        <v>0</v>
      </c>
      <c r="G16" s="85">
        <v>0</v>
      </c>
      <c r="H16" s="86">
        <f>SUM(D16:G16)</f>
        <v>0</v>
      </c>
      <c r="I16" s="71"/>
      <c r="J16" s="83"/>
      <c r="K16" s="71" t="s">
        <v>35</v>
      </c>
      <c r="L16" s="85">
        <v>0</v>
      </c>
      <c r="M16" s="85">
        <v>0</v>
      </c>
      <c r="N16" s="87">
        <v>0</v>
      </c>
      <c r="O16" s="85">
        <v>0</v>
      </c>
      <c r="P16" s="86">
        <f>SUM(L16:O16)</f>
        <v>0</v>
      </c>
      <c r="R16" s="83"/>
      <c r="S16" s="71" t="s">
        <v>35</v>
      </c>
      <c r="T16" s="85">
        <v>0</v>
      </c>
      <c r="U16" s="85">
        <v>1</v>
      </c>
      <c r="V16" s="87">
        <v>0</v>
      </c>
      <c r="W16" s="85">
        <v>0</v>
      </c>
      <c r="X16">
        <f>SUM(T16:W16)</f>
        <v>1</v>
      </c>
      <c r="Z16" s="81" t="s">
        <v>160</v>
      </c>
      <c r="AA16" s="81">
        <f>SUM(T32:W35)</f>
        <v>1</v>
      </c>
      <c r="AB16" s="81" t="s">
        <v>130</v>
      </c>
      <c r="AC16" s="81">
        <f>$AZ$4</f>
        <v>2</v>
      </c>
      <c r="AD16" s="1"/>
      <c r="AE16" s="81">
        <v>12</v>
      </c>
      <c r="AF16" s="81">
        <f>SUM(T36,X32)</f>
        <v>0</v>
      </c>
      <c r="AG16" s="81" t="s">
        <v>131</v>
      </c>
      <c r="AH16" s="81">
        <f>$AZ$6</f>
        <v>1</v>
      </c>
      <c r="AI16" s="1"/>
      <c r="AJ16" s="81">
        <v>12</v>
      </c>
      <c r="AK16" s="81">
        <f>SUM(U36,X33)</f>
        <v>1</v>
      </c>
      <c r="AL16" s="81" t="s">
        <v>131</v>
      </c>
      <c r="AM16" s="81">
        <f>$AZ$6</f>
        <v>1</v>
      </c>
      <c r="AN16" s="1"/>
      <c r="AO16" s="81">
        <v>12</v>
      </c>
      <c r="AP16" s="81">
        <f>SUM(V36,X34)</f>
        <v>0</v>
      </c>
      <c r="AQ16" s="81" t="s">
        <v>131</v>
      </c>
      <c r="AR16" s="81">
        <f>$AZ$6</f>
        <v>1</v>
      </c>
      <c r="AT16" s="82" t="s">
        <v>161</v>
      </c>
      <c r="AU16" s="82">
        <f>SUM(M9,P6,U9,X6,E18,H15)</f>
        <v>1</v>
      </c>
      <c r="AV16" s="82" t="s">
        <v>130</v>
      </c>
      <c r="AW16" s="82">
        <f>$AZ$7</f>
        <v>2</v>
      </c>
    </row>
    <row r="17" spans="2:54" x14ac:dyDescent="0.2">
      <c r="B17" s="95"/>
      <c r="C17" s="96" t="s">
        <v>40</v>
      </c>
      <c r="D17" s="88">
        <v>0</v>
      </c>
      <c r="E17" s="88">
        <v>0</v>
      </c>
      <c r="F17" s="88">
        <v>0</v>
      </c>
      <c r="G17" s="84">
        <v>0</v>
      </c>
      <c r="H17" s="71">
        <f>SUM(D17:G17)</f>
        <v>0</v>
      </c>
      <c r="I17" s="71"/>
      <c r="J17" s="83"/>
      <c r="K17" s="71" t="s">
        <v>40</v>
      </c>
      <c r="L17" s="88">
        <v>1</v>
      </c>
      <c r="M17" s="88">
        <v>0</v>
      </c>
      <c r="N17" s="88">
        <v>0</v>
      </c>
      <c r="O17" s="84">
        <v>0</v>
      </c>
      <c r="P17" s="86">
        <f>SUM(L17:O17)</f>
        <v>1</v>
      </c>
      <c r="R17" s="83"/>
      <c r="S17" s="71" t="s">
        <v>40</v>
      </c>
      <c r="T17" s="85">
        <v>0</v>
      </c>
      <c r="U17" s="85">
        <v>0</v>
      </c>
      <c r="V17" s="85">
        <v>0</v>
      </c>
      <c r="W17" s="87">
        <v>0</v>
      </c>
      <c r="X17">
        <f>SUM(T17:W17)</f>
        <v>0</v>
      </c>
      <c r="AT17" s="82" t="s">
        <v>162</v>
      </c>
      <c r="AU17" s="82">
        <f>SUM(U9,X6,E18,H15,M18,P15)</f>
        <v>1</v>
      </c>
      <c r="AV17" s="82" t="s">
        <v>130</v>
      </c>
      <c r="AW17" s="82">
        <f>$AZ$7</f>
        <v>2</v>
      </c>
    </row>
    <row r="18" spans="2:54" s="98" customFormat="1" ht="14.25" customHeight="1" x14ac:dyDescent="0.2">
      <c r="B18" s="89"/>
      <c r="C18" s="71" t="s">
        <v>122</v>
      </c>
      <c r="D18" s="71">
        <f>SUM(D14:D17)</f>
        <v>0</v>
      </c>
      <c r="E18" s="71">
        <f>SUM(E14:E17)</f>
        <v>0</v>
      </c>
      <c r="F18" s="71">
        <f>SUM(F14:F17)</f>
        <v>0</v>
      </c>
      <c r="G18" s="71">
        <f>SUM(G14:G17)</f>
        <v>0</v>
      </c>
      <c r="H18" s="71"/>
      <c r="I18" s="71"/>
      <c r="J18" s="89"/>
      <c r="K18" s="89" t="s">
        <v>122</v>
      </c>
      <c r="L18" s="71">
        <f>SUM(L14:L17)</f>
        <v>1</v>
      </c>
      <c r="M18" s="71">
        <f>SUM(M14:M17)</f>
        <v>0</v>
      </c>
      <c r="N18" s="71">
        <f>SUM(N14:N17)</f>
        <v>0</v>
      </c>
      <c r="O18" s="71">
        <f>SUM(O14:O17)</f>
        <v>0</v>
      </c>
      <c r="P18" s="71"/>
      <c r="Q18" s="97"/>
      <c r="R18" s="89"/>
      <c r="S18" s="71" t="s">
        <v>122</v>
      </c>
      <c r="T18" s="86">
        <f>SUM(T14:T17)</f>
        <v>0</v>
      </c>
      <c r="U18" s="86">
        <f>SUM(U14:U17)</f>
        <v>1</v>
      </c>
      <c r="V18" s="86">
        <f>SUM(V14:V17)</f>
        <v>0</v>
      </c>
      <c r="W18" s="86">
        <f>SUM(W14:W17)</f>
        <v>0</v>
      </c>
      <c r="AT18" s="82" t="s">
        <v>163</v>
      </c>
      <c r="AU18" s="82">
        <f>SUM(E18,H15,M18,P15,U18,X15)</f>
        <v>1</v>
      </c>
      <c r="AV18" s="82" t="s">
        <v>130</v>
      </c>
      <c r="AW18" s="82">
        <f>$AZ$7</f>
        <v>2</v>
      </c>
      <c r="AY18"/>
      <c r="AZ18"/>
      <c r="BA18"/>
      <c r="BB18"/>
    </row>
    <row r="19" spans="2:54" hidden="1" x14ac:dyDescent="0.2"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R19" s="71"/>
      <c r="S19" s="71"/>
      <c r="T19" s="71"/>
      <c r="U19" s="71"/>
      <c r="V19" s="71"/>
      <c r="W19" s="71"/>
      <c r="AT19" s="82"/>
      <c r="AU19" s="82"/>
      <c r="AV19" s="82" t="s">
        <v>130</v>
      </c>
      <c r="AW19" s="82">
        <f>$AZ$7</f>
        <v>2</v>
      </c>
    </row>
    <row r="20" spans="2:54" x14ac:dyDescent="0.2">
      <c r="B20" s="71"/>
      <c r="C20" s="72" t="s">
        <v>164</v>
      </c>
      <c r="D20" s="73"/>
      <c r="E20" s="73"/>
      <c r="F20" s="73"/>
      <c r="G20" s="73"/>
      <c r="H20" s="71"/>
      <c r="I20" s="71"/>
      <c r="J20" s="71"/>
      <c r="K20" s="72" t="s">
        <v>165</v>
      </c>
      <c r="L20" s="73"/>
      <c r="M20" s="73"/>
      <c r="N20" s="73"/>
      <c r="O20" s="73"/>
      <c r="P20" s="71"/>
      <c r="R20" s="71"/>
      <c r="S20" s="72" t="s">
        <v>166</v>
      </c>
      <c r="T20" s="73"/>
      <c r="U20" s="73"/>
      <c r="V20" s="73"/>
      <c r="W20" s="73"/>
      <c r="AT20" s="82" t="s">
        <v>167</v>
      </c>
      <c r="AU20" s="82">
        <f>SUM(M18,P15,U18,X15,E27,H24)</f>
        <v>2</v>
      </c>
      <c r="AV20" s="82" t="s">
        <v>130</v>
      </c>
      <c r="AW20" s="82">
        <f>$AZ$7</f>
        <v>2</v>
      </c>
    </row>
    <row r="21" spans="2:54" ht="15" customHeight="1" x14ac:dyDescent="0.2">
      <c r="B21" s="71"/>
      <c r="C21" s="90"/>
      <c r="D21" s="91"/>
      <c r="E21" s="91"/>
      <c r="F21" s="91"/>
      <c r="G21" s="91"/>
      <c r="H21" s="71"/>
      <c r="I21" s="71"/>
      <c r="J21" s="71"/>
      <c r="K21" s="74"/>
      <c r="L21" s="75"/>
      <c r="M21" s="75"/>
      <c r="N21" s="75"/>
      <c r="O21" s="75"/>
      <c r="P21" s="71"/>
      <c r="R21" s="71"/>
      <c r="S21" s="74"/>
      <c r="T21" s="75"/>
      <c r="U21" s="75"/>
      <c r="V21" s="75"/>
      <c r="W21" s="75"/>
      <c r="Z21" s="64"/>
      <c r="AA21" s="64"/>
      <c r="AB21" s="64"/>
      <c r="AC21" s="64"/>
      <c r="AT21" s="82" t="s">
        <v>168</v>
      </c>
      <c r="AU21" s="82">
        <f>SUM(U18,X15,E27,H24,M27,P24)</f>
        <v>2</v>
      </c>
      <c r="AV21" s="82" t="s">
        <v>130</v>
      </c>
      <c r="AW21" s="82">
        <f>$AZ$7</f>
        <v>2</v>
      </c>
    </row>
    <row r="22" spans="2:54" x14ac:dyDescent="0.2">
      <c r="B22" s="92"/>
      <c r="C22" s="93" t="s">
        <v>169</v>
      </c>
      <c r="D22" s="94" t="s">
        <v>27</v>
      </c>
      <c r="E22" s="94" t="s">
        <v>121</v>
      </c>
      <c r="F22" s="94" t="s">
        <v>35</v>
      </c>
      <c r="G22" s="94" t="s">
        <v>40</v>
      </c>
      <c r="H22" s="71" t="s">
        <v>122</v>
      </c>
      <c r="I22" s="71"/>
      <c r="J22" s="80"/>
      <c r="K22" s="71" t="s">
        <v>169</v>
      </c>
      <c r="L22" s="71" t="s">
        <v>27</v>
      </c>
      <c r="M22" s="71" t="s">
        <v>121</v>
      </c>
      <c r="N22" s="71" t="s">
        <v>35</v>
      </c>
      <c r="O22" s="71" t="s">
        <v>40</v>
      </c>
      <c r="P22" s="71" t="s">
        <v>122</v>
      </c>
      <c r="R22" s="80"/>
      <c r="S22" s="71" t="s">
        <v>169</v>
      </c>
      <c r="T22" s="71" t="s">
        <v>27</v>
      </c>
      <c r="U22" s="71" t="s">
        <v>121</v>
      </c>
      <c r="V22" s="71" t="s">
        <v>35</v>
      </c>
      <c r="W22" s="71" t="s">
        <v>40</v>
      </c>
      <c r="X22" t="s">
        <v>122</v>
      </c>
      <c r="AT22" s="82" t="s">
        <v>170</v>
      </c>
      <c r="AU22" s="82">
        <f>SUM(E27,H24,M27,P24,U27,X24)</f>
        <v>2</v>
      </c>
      <c r="AV22" s="82" t="s">
        <v>130</v>
      </c>
      <c r="AW22" s="82">
        <f>$AZ$7</f>
        <v>2</v>
      </c>
    </row>
    <row r="23" spans="2:54" x14ac:dyDescent="0.2">
      <c r="B23" s="95"/>
      <c r="C23" s="96" t="s">
        <v>27</v>
      </c>
      <c r="D23" s="84">
        <v>0</v>
      </c>
      <c r="E23" s="85">
        <v>0</v>
      </c>
      <c r="F23" s="85">
        <v>0</v>
      </c>
      <c r="G23" s="85">
        <v>0</v>
      </c>
      <c r="H23" s="86">
        <f>SUM(D23:G23)</f>
        <v>0</v>
      </c>
      <c r="I23" s="71"/>
      <c r="J23" s="83"/>
      <c r="K23" s="71" t="s">
        <v>27</v>
      </c>
      <c r="L23" s="84">
        <v>0</v>
      </c>
      <c r="M23" s="85">
        <v>0</v>
      </c>
      <c r="N23" s="85">
        <v>0</v>
      </c>
      <c r="O23" s="85">
        <v>0</v>
      </c>
      <c r="P23" s="86">
        <f>SUM(L23:O23)</f>
        <v>0</v>
      </c>
      <c r="R23" s="83"/>
      <c r="S23" s="71" t="s">
        <v>27</v>
      </c>
      <c r="T23" s="87">
        <v>0</v>
      </c>
      <c r="U23" s="85">
        <v>0</v>
      </c>
      <c r="V23" s="85">
        <v>0</v>
      </c>
      <c r="W23" s="85">
        <v>0</v>
      </c>
      <c r="X23">
        <f>SUM(T23:W23)</f>
        <v>0</v>
      </c>
      <c r="Z23" s="76" t="s">
        <v>254</v>
      </c>
      <c r="AA23" s="76"/>
      <c r="AB23" s="76"/>
      <c r="AC23" s="76"/>
      <c r="AE23" s="99" t="s">
        <v>172</v>
      </c>
      <c r="AF23" s="99"/>
      <c r="AG23" s="99"/>
      <c r="AH23" s="99"/>
      <c r="AJ23" s="76" t="s">
        <v>173</v>
      </c>
      <c r="AK23" s="76"/>
      <c r="AL23" s="76"/>
      <c r="AM23" s="76"/>
      <c r="AO23" s="76" t="s">
        <v>174</v>
      </c>
      <c r="AP23" s="76"/>
      <c r="AQ23" s="76"/>
      <c r="AR23" s="76"/>
      <c r="AT23" s="82" t="s">
        <v>175</v>
      </c>
      <c r="AU23" s="82">
        <f>SUM(M27,P24,U27,X24,E36,H33)</f>
        <v>1</v>
      </c>
      <c r="AV23" s="82" t="s">
        <v>130</v>
      </c>
      <c r="AW23" s="82">
        <f>$AZ$7</f>
        <v>2</v>
      </c>
    </row>
    <row r="24" spans="2:54" x14ac:dyDescent="0.2">
      <c r="B24" s="95"/>
      <c r="C24" s="96" t="s">
        <v>121</v>
      </c>
      <c r="D24" s="85">
        <v>1</v>
      </c>
      <c r="E24" s="87">
        <v>0</v>
      </c>
      <c r="F24" s="85">
        <v>0</v>
      </c>
      <c r="G24" s="85">
        <v>0</v>
      </c>
      <c r="H24" s="86">
        <f>SUM(D24:G24)</f>
        <v>1</v>
      </c>
      <c r="I24" s="71"/>
      <c r="J24" s="83"/>
      <c r="K24" s="71" t="s">
        <v>121</v>
      </c>
      <c r="L24" s="85">
        <v>0</v>
      </c>
      <c r="M24" s="87">
        <v>0</v>
      </c>
      <c r="N24" s="85">
        <v>0</v>
      </c>
      <c r="O24" s="85">
        <v>0</v>
      </c>
      <c r="P24" s="86">
        <f>SUM(L24:O24)</f>
        <v>0</v>
      </c>
      <c r="R24" s="83"/>
      <c r="S24" s="71" t="s">
        <v>121</v>
      </c>
      <c r="T24" s="85">
        <v>0</v>
      </c>
      <c r="U24" s="87">
        <v>0</v>
      </c>
      <c r="V24" s="85">
        <v>0</v>
      </c>
      <c r="W24" s="85">
        <v>0</v>
      </c>
      <c r="X24">
        <f>SUM(T24:W24)</f>
        <v>0</v>
      </c>
      <c r="Z24" s="81" t="s">
        <v>123</v>
      </c>
      <c r="AA24" s="81" t="s">
        <v>124</v>
      </c>
      <c r="AB24" s="81" t="s">
        <v>125</v>
      </c>
      <c r="AC24" s="81" t="s">
        <v>126</v>
      </c>
      <c r="AE24" s="81" t="s">
        <v>123</v>
      </c>
      <c r="AF24" s="81" t="s">
        <v>124</v>
      </c>
      <c r="AG24" s="81" t="s">
        <v>125</v>
      </c>
      <c r="AH24" s="81" t="s">
        <v>126</v>
      </c>
      <c r="AJ24" s="82" t="s">
        <v>123</v>
      </c>
      <c r="AK24" s="82" t="s">
        <v>127</v>
      </c>
      <c r="AL24" s="82" t="s">
        <v>125</v>
      </c>
      <c r="AM24" s="82" t="s">
        <v>126</v>
      </c>
      <c r="AO24" s="82" t="s">
        <v>123</v>
      </c>
      <c r="AP24" s="82" t="s">
        <v>127</v>
      </c>
      <c r="AQ24" s="82" t="s">
        <v>125</v>
      </c>
      <c r="AR24" s="82" t="s">
        <v>126</v>
      </c>
      <c r="AT24" s="82" t="s">
        <v>176</v>
      </c>
      <c r="AU24" s="82">
        <f>SUM(U27,X24,E36,H33,M36,P33)</f>
        <v>2</v>
      </c>
      <c r="AV24" s="82" t="s">
        <v>130</v>
      </c>
      <c r="AW24" s="82">
        <f>$AZ$7</f>
        <v>2</v>
      </c>
    </row>
    <row r="25" spans="2:54" x14ac:dyDescent="0.2">
      <c r="B25" s="95"/>
      <c r="C25" s="96" t="s">
        <v>35</v>
      </c>
      <c r="D25" s="85">
        <v>0</v>
      </c>
      <c r="E25" s="85">
        <v>0</v>
      </c>
      <c r="F25" s="87">
        <v>0</v>
      </c>
      <c r="G25" s="85">
        <v>1</v>
      </c>
      <c r="H25" s="86">
        <f>SUM(D25:G25)</f>
        <v>1</v>
      </c>
      <c r="I25" s="71"/>
      <c r="J25" s="83"/>
      <c r="K25" s="71" t="s">
        <v>35</v>
      </c>
      <c r="L25" s="85">
        <v>0</v>
      </c>
      <c r="M25" s="85">
        <v>0</v>
      </c>
      <c r="N25" s="87">
        <v>0</v>
      </c>
      <c r="O25" s="85">
        <v>0</v>
      </c>
      <c r="P25" s="86">
        <f>SUM(L25:O25)</f>
        <v>0</v>
      </c>
      <c r="R25" s="83"/>
      <c r="S25" s="71" t="s">
        <v>35</v>
      </c>
      <c r="T25" s="85">
        <v>0</v>
      </c>
      <c r="U25" s="85">
        <v>1</v>
      </c>
      <c r="V25" s="87">
        <v>0</v>
      </c>
      <c r="W25" s="85">
        <v>0</v>
      </c>
      <c r="X25">
        <f>SUM(T25:W25)</f>
        <v>1</v>
      </c>
      <c r="Z25" s="81" t="s">
        <v>83</v>
      </c>
      <c r="AA25" s="81">
        <f>SUM(E5,M5,U5,E14,M14,U14,E23,M23,U23,E32,M32,U32,D6,L6,T6,D15,L15,T15,D24,L24,T24,D33,L33,T33)</f>
        <v>2</v>
      </c>
      <c r="AB25" s="81" t="s">
        <v>178</v>
      </c>
      <c r="AC25" s="81">
        <v>2</v>
      </c>
      <c r="AE25" s="81">
        <v>1</v>
      </c>
      <c r="AF25" s="81">
        <f>SUM(G9,H8)</f>
        <v>1</v>
      </c>
      <c r="AG25" s="81" t="s">
        <v>131</v>
      </c>
      <c r="AH25" s="81">
        <f>$AZ$6</f>
        <v>1</v>
      </c>
      <c r="AJ25" s="100" t="s">
        <v>179</v>
      </c>
      <c r="AK25" s="82">
        <f>$AA$47</f>
        <v>1</v>
      </c>
      <c r="AL25" s="82" t="s">
        <v>180</v>
      </c>
      <c r="AM25" s="82">
        <f>AA43</f>
        <v>0</v>
      </c>
      <c r="AO25" s="82" t="s">
        <v>181</v>
      </c>
      <c r="AP25" s="82">
        <f>AA48</f>
        <v>0</v>
      </c>
      <c r="AQ25" s="82" t="s">
        <v>131</v>
      </c>
      <c r="AR25" s="82">
        <f>AA43</f>
        <v>0</v>
      </c>
      <c r="AT25" s="82" t="s">
        <v>182</v>
      </c>
      <c r="AU25" s="82">
        <f>SUM(E36,H33,M36,P33,U36,X33)</f>
        <v>2</v>
      </c>
      <c r="AV25" s="82" t="s">
        <v>130</v>
      </c>
      <c r="AW25" s="82">
        <f>$AZ$7</f>
        <v>2</v>
      </c>
    </row>
    <row r="26" spans="2:54" x14ac:dyDescent="0.2">
      <c r="B26" s="95"/>
      <c r="C26" s="96" t="s">
        <v>40</v>
      </c>
      <c r="D26" s="88">
        <v>0</v>
      </c>
      <c r="E26" s="88">
        <v>0</v>
      </c>
      <c r="F26" s="88">
        <v>0</v>
      </c>
      <c r="G26" s="84">
        <v>0</v>
      </c>
      <c r="H26" s="86">
        <f>SUM(D26:G26)</f>
        <v>0</v>
      </c>
      <c r="I26" s="71"/>
      <c r="J26" s="83"/>
      <c r="K26" s="71" t="s">
        <v>40</v>
      </c>
      <c r="L26" s="88">
        <v>1</v>
      </c>
      <c r="M26" s="88">
        <v>0</v>
      </c>
      <c r="N26" s="88">
        <v>0</v>
      </c>
      <c r="O26" s="84">
        <v>0</v>
      </c>
      <c r="P26" s="101">
        <f>SUM(L26:O26)</f>
        <v>1</v>
      </c>
      <c r="R26" s="83"/>
      <c r="S26" s="71" t="s">
        <v>40</v>
      </c>
      <c r="T26" s="85">
        <v>0</v>
      </c>
      <c r="U26" s="85">
        <v>0</v>
      </c>
      <c r="V26" s="85">
        <v>0</v>
      </c>
      <c r="W26" s="87">
        <v>0</v>
      </c>
      <c r="X26">
        <f>SUM(T26:W26)</f>
        <v>0</v>
      </c>
      <c r="Z26" s="81" t="s">
        <v>85</v>
      </c>
      <c r="AA26" s="81">
        <f>SUM(F14,F5,N5,,V5,V14,N14,F23,N23,V23,V32,N32,F32,D7,L7,T7,D16,L16,T16,T25,L25,D25,D34,L34,T34)</f>
        <v>2</v>
      </c>
      <c r="AB26" s="81" t="s">
        <v>178</v>
      </c>
      <c r="AC26" s="81">
        <v>2</v>
      </c>
      <c r="AE26" s="81">
        <v>2</v>
      </c>
      <c r="AF26" s="81">
        <f>SUM(O9,P8)</f>
        <v>0</v>
      </c>
      <c r="AG26" s="81" t="s">
        <v>131</v>
      </c>
      <c r="AH26" s="81">
        <f>$AZ$6</f>
        <v>1</v>
      </c>
      <c r="AJ26" s="82" t="s">
        <v>179</v>
      </c>
      <c r="AK26" s="82">
        <f>$AA$47</f>
        <v>1</v>
      </c>
      <c r="AL26" s="82" t="s">
        <v>180</v>
      </c>
      <c r="AM26" s="82">
        <f>AA44</f>
        <v>0</v>
      </c>
      <c r="AO26" s="82" t="s">
        <v>181</v>
      </c>
      <c r="AP26" s="82">
        <f>AA48</f>
        <v>0</v>
      </c>
      <c r="AQ26" s="82" t="s">
        <v>131</v>
      </c>
      <c r="AR26" s="82">
        <f>AA44</f>
        <v>0</v>
      </c>
      <c r="AT26" s="82" t="s">
        <v>184</v>
      </c>
      <c r="AU26" s="82">
        <f>SUM(G9, H8, O9, P8, W9, X8)</f>
        <v>1</v>
      </c>
      <c r="AV26" s="82" t="s">
        <v>130</v>
      </c>
      <c r="AW26" s="82">
        <f>$AZ$7</f>
        <v>2</v>
      </c>
    </row>
    <row r="27" spans="2:54" s="98" customFormat="1" ht="13.5" customHeight="1" x14ac:dyDescent="0.2">
      <c r="B27" s="89"/>
      <c r="C27" s="71" t="s">
        <v>122</v>
      </c>
      <c r="D27" s="71">
        <f>SUM(D23:D26)</f>
        <v>1</v>
      </c>
      <c r="E27" s="71">
        <f>SUM(E23:E26)</f>
        <v>0</v>
      </c>
      <c r="F27" s="71">
        <f>SUM(F23:F26)</f>
        <v>0</v>
      </c>
      <c r="G27" s="71">
        <f>SUM(G23:G26)</f>
        <v>1</v>
      </c>
      <c r="H27" s="86"/>
      <c r="I27" s="71"/>
      <c r="J27" s="89"/>
      <c r="K27" s="89" t="s">
        <v>122</v>
      </c>
      <c r="L27" s="71">
        <f>SUM(L23:L26)</f>
        <v>1</v>
      </c>
      <c r="M27" s="71">
        <f>SUM(M23:M26)</f>
        <v>0</v>
      </c>
      <c r="N27" s="71">
        <f>SUM(N23:N26)</f>
        <v>0</v>
      </c>
      <c r="O27" s="71">
        <f>SUM(O23:O26)</f>
        <v>0</v>
      </c>
      <c r="P27" s="71"/>
      <c r="Q27" s="97"/>
      <c r="R27" s="89"/>
      <c r="S27" s="71" t="s">
        <v>122</v>
      </c>
      <c r="T27" s="86">
        <f>SUM(T23:T26)</f>
        <v>0</v>
      </c>
      <c r="U27" s="86">
        <f>SUM(U23:U26)</f>
        <v>1</v>
      </c>
      <c r="V27" s="86">
        <f>SUM(V23:V26)</f>
        <v>0</v>
      </c>
      <c r="W27" s="86">
        <f>SUM(W23:W26)</f>
        <v>0</v>
      </c>
      <c r="Z27" s="81" t="s">
        <v>87</v>
      </c>
      <c r="AA27" s="81">
        <f>SUM(G5,O5,W5,G14,O14,W14,G23,O23,W23,G32,O32,W32,D8,L8,T8,T8,D17,L17,T17,D26,L26,T26,D35,L35,T35)</f>
        <v>2</v>
      </c>
      <c r="AB27" s="81" t="s">
        <v>178</v>
      </c>
      <c r="AC27" s="81">
        <v>2</v>
      </c>
      <c r="AE27" s="81">
        <v>3</v>
      </c>
      <c r="AF27" s="81">
        <f>SUM(W9,X8)</f>
        <v>0</v>
      </c>
      <c r="AG27" s="81" t="s">
        <v>131</v>
      </c>
      <c r="AH27" s="81">
        <f>$AZ$6</f>
        <v>1</v>
      </c>
      <c r="AJ27" s="82" t="s">
        <v>179</v>
      </c>
      <c r="AK27" s="82">
        <f>$AA$47</f>
        <v>1</v>
      </c>
      <c r="AL27" s="82" t="s">
        <v>180</v>
      </c>
      <c r="AM27" s="82">
        <f>AA45</f>
        <v>1</v>
      </c>
      <c r="AO27" s="82" t="s">
        <v>181</v>
      </c>
      <c r="AP27" s="82">
        <f>AA48</f>
        <v>0</v>
      </c>
      <c r="AQ27" s="82" t="s">
        <v>131</v>
      </c>
      <c r="AR27" s="82">
        <f>AA45</f>
        <v>1</v>
      </c>
      <c r="AT27" s="82" t="s">
        <v>186</v>
      </c>
      <c r="AU27" s="82">
        <f>SUM(O9, P8, W9, X8, G18, H17)</f>
        <v>0</v>
      </c>
      <c r="AV27" s="82" t="s">
        <v>130</v>
      </c>
      <c r="AW27" s="82">
        <f>$AZ$7</f>
        <v>2</v>
      </c>
      <c r="AX27"/>
      <c r="AY27"/>
      <c r="AZ27"/>
      <c r="BA27"/>
      <c r="BB27"/>
    </row>
    <row r="28" spans="2:54" x14ac:dyDescent="0.2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/>
      <c r="R28" s="71"/>
      <c r="S28" s="71"/>
      <c r="T28" s="71"/>
      <c r="U28" s="71"/>
      <c r="V28" s="71"/>
      <c r="W28" s="71"/>
      <c r="Z28" s="81" t="s">
        <v>91</v>
      </c>
      <c r="AA28" s="81">
        <f>SUM(F6,N6,V6,F15,N15,V15,F24,N24,V24,F33,N33,V33,E7,M7,U7,E16,M16,U16,E25,M25,U25,E34,M34,U34)</f>
        <v>2</v>
      </c>
      <c r="AB28" s="81" t="s">
        <v>178</v>
      </c>
      <c r="AC28" s="81">
        <v>2</v>
      </c>
      <c r="AE28" s="81">
        <v>4</v>
      </c>
      <c r="AF28" s="81">
        <f>SUM(G18,H17)</f>
        <v>0</v>
      </c>
      <c r="AG28" s="81" t="s">
        <v>131</v>
      </c>
      <c r="AH28" s="81">
        <f>$AZ$6</f>
        <v>1</v>
      </c>
      <c r="AJ28" s="82" t="s">
        <v>179</v>
      </c>
      <c r="AK28" s="82">
        <f>$AA$47</f>
        <v>1</v>
      </c>
      <c r="AL28" s="82" t="s">
        <v>180</v>
      </c>
      <c r="AM28" s="82">
        <f>AA46</f>
        <v>1</v>
      </c>
      <c r="AO28" s="82" t="s">
        <v>181</v>
      </c>
      <c r="AP28" s="82">
        <f>AA48</f>
        <v>0</v>
      </c>
      <c r="AQ28" s="82" t="s">
        <v>131</v>
      </c>
      <c r="AR28" s="82">
        <f>AA46</f>
        <v>1</v>
      </c>
      <c r="AT28" s="82" t="s">
        <v>188</v>
      </c>
      <c r="AU28" s="82">
        <f>SUM(W9, X8, G18, H17, O18, P17)</f>
        <v>1</v>
      </c>
      <c r="AV28" s="82" t="s">
        <v>130</v>
      </c>
      <c r="AW28" s="82">
        <f>$AZ$7</f>
        <v>2</v>
      </c>
    </row>
    <row r="29" spans="2:54" x14ac:dyDescent="0.2">
      <c r="B29" s="71"/>
      <c r="C29" s="72" t="s">
        <v>189</v>
      </c>
      <c r="D29" s="73"/>
      <c r="E29" s="73"/>
      <c r="F29" s="73"/>
      <c r="G29" s="73"/>
      <c r="H29" s="71"/>
      <c r="I29" s="71"/>
      <c r="J29" s="71"/>
      <c r="K29" s="72" t="s">
        <v>190</v>
      </c>
      <c r="L29" s="73"/>
      <c r="M29" s="73"/>
      <c r="N29" s="73"/>
      <c r="O29" s="73"/>
      <c r="P29" s="71"/>
      <c r="Q29"/>
      <c r="R29" s="71"/>
      <c r="S29" s="72" t="s">
        <v>191</v>
      </c>
      <c r="T29" s="73"/>
      <c r="U29" s="73"/>
      <c r="V29" s="73"/>
      <c r="W29" s="73"/>
      <c r="Z29" s="81" t="s">
        <v>93</v>
      </c>
      <c r="AA29" s="81">
        <f>SUM(G6,O6,W6,G15,O15,W15,G24,O24,W24,G33,O33,W33,E8,M8,U8,E17,M17,U17,E26,M26,U26,E35,M35,U35)</f>
        <v>2</v>
      </c>
      <c r="AB29" s="81" t="s">
        <v>178</v>
      </c>
      <c r="AC29" s="81">
        <v>2</v>
      </c>
      <c r="AE29" s="81">
        <v>5</v>
      </c>
      <c r="AF29" s="81">
        <f>SUM(O18,P17)</f>
        <v>1</v>
      </c>
      <c r="AG29" s="81" t="s">
        <v>131</v>
      </c>
      <c r="AH29" s="81">
        <f>$AZ$6</f>
        <v>1</v>
      </c>
      <c r="AJ29" s="100" t="s">
        <v>193</v>
      </c>
      <c r="AK29" s="82">
        <f>$AB$47</f>
        <v>1</v>
      </c>
      <c r="AL29" s="82" t="s">
        <v>180</v>
      </c>
      <c r="AM29" s="82">
        <f>AB43</f>
        <v>0</v>
      </c>
      <c r="AO29" s="82" t="s">
        <v>194</v>
      </c>
      <c r="AP29" s="82">
        <f>AB48</f>
        <v>0</v>
      </c>
      <c r="AQ29" s="82" t="s">
        <v>131</v>
      </c>
      <c r="AR29" s="82">
        <f>AB43</f>
        <v>0</v>
      </c>
      <c r="AT29" s="82" t="s">
        <v>195</v>
      </c>
      <c r="AU29" s="82">
        <f>SUM(G18, H17, O17:P18, W17:X18)</f>
        <v>1</v>
      </c>
      <c r="AV29" s="82" t="s">
        <v>130</v>
      </c>
      <c r="AW29" s="82">
        <f>$AZ$7</f>
        <v>2</v>
      </c>
    </row>
    <row r="30" spans="2:54" x14ac:dyDescent="0.2">
      <c r="B30" s="71"/>
      <c r="C30" s="90"/>
      <c r="D30" s="91"/>
      <c r="E30" s="91"/>
      <c r="F30" s="91"/>
      <c r="G30" s="91"/>
      <c r="H30" s="71"/>
      <c r="I30" s="71"/>
      <c r="J30" s="71"/>
      <c r="K30" s="74"/>
      <c r="L30" s="75"/>
      <c r="M30" s="75"/>
      <c r="N30" s="75"/>
      <c r="O30" s="75"/>
      <c r="P30" s="71"/>
      <c r="Q30"/>
      <c r="R30" s="71"/>
      <c r="S30" s="74"/>
      <c r="T30" s="75"/>
      <c r="U30" s="75"/>
      <c r="V30" s="75"/>
      <c r="W30" s="75"/>
      <c r="Z30" s="81" t="s">
        <v>99</v>
      </c>
      <c r="AA30" s="81">
        <f>SUM(G7,O7,W7,G16,O16,W16,G25,O25,W25,G34,O34,W34,F8,N8,V8,F17,N17,V17,F26,N26,V26,F35,N35,V35)</f>
        <v>2</v>
      </c>
      <c r="AB30" s="81" t="s">
        <v>178</v>
      </c>
      <c r="AC30" s="81">
        <v>2</v>
      </c>
      <c r="AE30" s="81">
        <v>6</v>
      </c>
      <c r="AF30" s="81">
        <f>SUM(W18,X17)</f>
        <v>0</v>
      </c>
      <c r="AG30" s="81" t="s">
        <v>131</v>
      </c>
      <c r="AH30" s="81">
        <f>$AZ$6</f>
        <v>1</v>
      </c>
      <c r="AJ30" s="82" t="s">
        <v>193</v>
      </c>
      <c r="AK30" s="82">
        <f>$AB$47</f>
        <v>1</v>
      </c>
      <c r="AL30" s="82" t="s">
        <v>180</v>
      </c>
      <c r="AM30" s="82">
        <f>AB44</f>
        <v>0</v>
      </c>
      <c r="AO30" s="82" t="s">
        <v>194</v>
      </c>
      <c r="AP30" s="82">
        <f>AB48</f>
        <v>0</v>
      </c>
      <c r="AQ30" s="82" t="s">
        <v>131</v>
      </c>
      <c r="AR30" s="82">
        <f>AB44</f>
        <v>0</v>
      </c>
      <c r="AT30" s="82" t="s">
        <v>197</v>
      </c>
      <c r="AU30" s="82">
        <f>SUM(O17:P18, W17:X18, G26:H27)</f>
        <v>2</v>
      </c>
      <c r="AV30" s="82" t="s">
        <v>130</v>
      </c>
      <c r="AW30" s="82">
        <f>$AZ$7</f>
        <v>2</v>
      </c>
    </row>
    <row r="31" spans="2:54" x14ac:dyDescent="0.2">
      <c r="B31" s="92"/>
      <c r="C31" s="93" t="s">
        <v>169</v>
      </c>
      <c r="D31" s="94" t="s">
        <v>27</v>
      </c>
      <c r="E31" s="94" t="s">
        <v>121</v>
      </c>
      <c r="F31" s="94" t="s">
        <v>35</v>
      </c>
      <c r="G31" s="94" t="s">
        <v>40</v>
      </c>
      <c r="H31" s="71" t="s">
        <v>122</v>
      </c>
      <c r="I31" s="71"/>
      <c r="J31" s="80"/>
      <c r="K31" s="71" t="s">
        <v>169</v>
      </c>
      <c r="L31" s="71" t="s">
        <v>27</v>
      </c>
      <c r="M31" s="71" t="s">
        <v>121</v>
      </c>
      <c r="N31" s="71" t="s">
        <v>35</v>
      </c>
      <c r="O31" s="71" t="s">
        <v>40</v>
      </c>
      <c r="P31" s="71" t="s">
        <v>122</v>
      </c>
      <c r="Q31"/>
      <c r="R31" s="80"/>
      <c r="S31" s="71" t="s">
        <v>169</v>
      </c>
      <c r="T31" s="71" t="s">
        <v>27</v>
      </c>
      <c r="U31" s="71" t="s">
        <v>121</v>
      </c>
      <c r="V31" s="71" t="s">
        <v>35</v>
      </c>
      <c r="W31" s="71" t="s">
        <v>40</v>
      </c>
      <c r="X31" t="s">
        <v>122</v>
      </c>
      <c r="Z31" s="98"/>
      <c r="AA31" s="98"/>
      <c r="AB31" s="98"/>
      <c r="AC31" s="98"/>
      <c r="AE31" s="81">
        <v>7</v>
      </c>
      <c r="AF31" s="81">
        <f>SUM(G27,H26)</f>
        <v>1</v>
      </c>
      <c r="AG31" s="81" t="s">
        <v>131</v>
      </c>
      <c r="AH31" s="81">
        <f>$AZ$6</f>
        <v>1</v>
      </c>
      <c r="AJ31" s="82" t="s">
        <v>193</v>
      </c>
      <c r="AK31" s="82">
        <f>$AB$47</f>
        <v>1</v>
      </c>
      <c r="AL31" s="82" t="s">
        <v>180</v>
      </c>
      <c r="AM31" s="82">
        <f>AB45</f>
        <v>1</v>
      </c>
      <c r="AO31" s="82" t="s">
        <v>194</v>
      </c>
      <c r="AP31" s="82">
        <f>AB48</f>
        <v>0</v>
      </c>
      <c r="AQ31" s="82" t="s">
        <v>131</v>
      </c>
      <c r="AR31" s="82">
        <f>AB45</f>
        <v>1</v>
      </c>
      <c r="AT31" s="82" t="s">
        <v>199</v>
      </c>
      <c r="AU31" s="82">
        <f>SUM(W17:X18, G26:H27, O26:P27)</f>
        <v>2</v>
      </c>
      <c r="AV31" s="82" t="s">
        <v>130</v>
      </c>
      <c r="AW31" s="82">
        <f>$AZ$7</f>
        <v>2</v>
      </c>
    </row>
    <row r="32" spans="2:54" x14ac:dyDescent="0.2">
      <c r="B32" s="95"/>
      <c r="C32" s="96" t="s">
        <v>27</v>
      </c>
      <c r="D32" s="87">
        <v>0</v>
      </c>
      <c r="E32" s="85">
        <v>0</v>
      </c>
      <c r="F32" s="85">
        <v>0</v>
      </c>
      <c r="G32" s="85">
        <v>0</v>
      </c>
      <c r="H32" s="86">
        <f>SUM(D32:G32)</f>
        <v>0</v>
      </c>
      <c r="I32" s="71"/>
      <c r="J32" s="83"/>
      <c r="K32" s="71" t="s">
        <v>27</v>
      </c>
      <c r="L32" s="87">
        <v>0</v>
      </c>
      <c r="M32" s="85">
        <v>0</v>
      </c>
      <c r="N32" s="85">
        <v>0</v>
      </c>
      <c r="O32" s="85">
        <v>0</v>
      </c>
      <c r="P32" s="86">
        <f>SUM(L32:O32)</f>
        <v>0</v>
      </c>
      <c r="Q32"/>
      <c r="R32" s="83"/>
      <c r="S32" s="71" t="s">
        <v>27</v>
      </c>
      <c r="T32" s="87">
        <v>0</v>
      </c>
      <c r="U32" s="85">
        <v>0</v>
      </c>
      <c r="V32" s="85">
        <v>0</v>
      </c>
      <c r="W32" s="85">
        <v>0</v>
      </c>
      <c r="X32">
        <f>SUM(T32:W32)</f>
        <v>0</v>
      </c>
      <c r="Z32" s="6"/>
      <c r="AA32" s="6"/>
      <c r="AB32" s="6"/>
      <c r="AC32" s="6"/>
      <c r="AE32" s="81">
        <v>8</v>
      </c>
      <c r="AF32" s="81">
        <f>SUM(O27,P26)</f>
        <v>1</v>
      </c>
      <c r="AG32" s="81" t="s">
        <v>131</v>
      </c>
      <c r="AH32" s="81">
        <f>$AZ$6</f>
        <v>1</v>
      </c>
      <c r="AJ32" s="82" t="s">
        <v>193</v>
      </c>
      <c r="AK32" s="82">
        <f>$AB$47</f>
        <v>1</v>
      </c>
      <c r="AL32" s="82" t="s">
        <v>180</v>
      </c>
      <c r="AM32" s="82">
        <f>AB46</f>
        <v>1</v>
      </c>
      <c r="AO32" s="82" t="s">
        <v>194</v>
      </c>
      <c r="AP32" s="82">
        <f>AB48</f>
        <v>0</v>
      </c>
      <c r="AQ32" s="82" t="s">
        <v>131</v>
      </c>
      <c r="AR32" s="82">
        <f>AB46</f>
        <v>1</v>
      </c>
      <c r="AT32" s="82" t="s">
        <v>201</v>
      </c>
      <c r="AU32" s="82">
        <f>SUM(G26:H27, O26:P27, W26:X27)</f>
        <v>2</v>
      </c>
      <c r="AV32" s="82" t="s">
        <v>130</v>
      </c>
      <c r="AW32" s="82">
        <f>$AZ$7</f>
        <v>2</v>
      </c>
    </row>
    <row r="33" spans="2:49" x14ac:dyDescent="0.2">
      <c r="B33" s="95"/>
      <c r="C33" s="96" t="s">
        <v>121</v>
      </c>
      <c r="D33" s="85">
        <v>0</v>
      </c>
      <c r="E33" s="87">
        <v>0</v>
      </c>
      <c r="F33" s="85">
        <v>0</v>
      </c>
      <c r="G33" s="85">
        <v>0</v>
      </c>
      <c r="H33" s="86">
        <f>SUM(D33:G33)</f>
        <v>0</v>
      </c>
      <c r="I33" s="71"/>
      <c r="J33" s="83"/>
      <c r="K33" s="71" t="s">
        <v>121</v>
      </c>
      <c r="L33" s="85">
        <v>0</v>
      </c>
      <c r="M33" s="87">
        <v>0</v>
      </c>
      <c r="N33" s="85">
        <v>0</v>
      </c>
      <c r="O33" s="85">
        <v>0</v>
      </c>
      <c r="P33" s="86">
        <f>SUM(L33:O33)</f>
        <v>0</v>
      </c>
      <c r="Q33"/>
      <c r="R33" s="83"/>
      <c r="S33" s="71" t="s">
        <v>121</v>
      </c>
      <c r="T33" s="85">
        <v>0</v>
      </c>
      <c r="U33" s="87">
        <v>0</v>
      </c>
      <c r="V33" s="85">
        <v>0</v>
      </c>
      <c r="W33" s="85">
        <v>0</v>
      </c>
      <c r="X33">
        <f>SUM(T33:W33)</f>
        <v>0</v>
      </c>
      <c r="Z33" s="98"/>
      <c r="AA33" s="98"/>
      <c r="AB33" s="98"/>
      <c r="AC33" s="98"/>
      <c r="AE33" s="81">
        <v>9</v>
      </c>
      <c r="AF33" s="81">
        <f>SUM(W27,X26)</f>
        <v>0</v>
      </c>
      <c r="AG33" s="81" t="s">
        <v>131</v>
      </c>
      <c r="AH33" s="81">
        <f>$AZ$6</f>
        <v>1</v>
      </c>
      <c r="AJ33" s="100" t="s">
        <v>203</v>
      </c>
      <c r="AK33" s="82">
        <f>$AC$47</f>
        <v>1</v>
      </c>
      <c r="AL33" s="82" t="s">
        <v>180</v>
      </c>
      <c r="AM33" s="82">
        <f>AC43</f>
        <v>1</v>
      </c>
      <c r="AO33" s="82" t="s">
        <v>204</v>
      </c>
      <c r="AP33" s="82">
        <f>AC48</f>
        <v>1</v>
      </c>
      <c r="AQ33" s="82" t="s">
        <v>131</v>
      </c>
      <c r="AR33" s="82">
        <f>AC43</f>
        <v>1</v>
      </c>
      <c r="AT33" s="82" t="s">
        <v>205</v>
      </c>
      <c r="AU33" s="82">
        <f>SUM(O26:P27, W26:X27, G35:H36)</f>
        <v>1</v>
      </c>
      <c r="AV33" s="82" t="s">
        <v>130</v>
      </c>
      <c r="AW33" s="82">
        <f>$AZ$7</f>
        <v>2</v>
      </c>
    </row>
    <row r="34" spans="2:49" x14ac:dyDescent="0.2">
      <c r="B34" s="95"/>
      <c r="C34" s="96" t="s">
        <v>35</v>
      </c>
      <c r="D34" s="85">
        <v>1</v>
      </c>
      <c r="E34" s="85">
        <v>0</v>
      </c>
      <c r="F34" s="87">
        <v>0</v>
      </c>
      <c r="G34" s="85">
        <v>0</v>
      </c>
      <c r="H34" s="86">
        <f>SUM(D34:G34)</f>
        <v>1</v>
      </c>
      <c r="I34" s="71"/>
      <c r="J34" s="83"/>
      <c r="K34" s="71" t="s">
        <v>35</v>
      </c>
      <c r="L34" s="85">
        <v>1</v>
      </c>
      <c r="M34" s="85">
        <v>0</v>
      </c>
      <c r="N34" s="87">
        <v>0</v>
      </c>
      <c r="O34" s="85">
        <v>0</v>
      </c>
      <c r="P34" s="86">
        <f>SUM(L34:O34)</f>
        <v>1</v>
      </c>
      <c r="Q34"/>
      <c r="R34" s="83"/>
      <c r="S34" s="71" t="s">
        <v>35</v>
      </c>
      <c r="T34" s="85">
        <v>0</v>
      </c>
      <c r="U34" s="85">
        <v>0</v>
      </c>
      <c r="V34" s="87">
        <v>0</v>
      </c>
      <c r="W34" s="85">
        <v>0</v>
      </c>
      <c r="X34">
        <f>SUM(T34:W34)</f>
        <v>0</v>
      </c>
      <c r="Z34" s="6"/>
      <c r="AA34" s="6"/>
      <c r="AB34" s="6"/>
      <c r="AC34" s="6"/>
      <c r="AE34" s="81">
        <v>10</v>
      </c>
      <c r="AF34" s="81">
        <f>SUM(G36,H35)</f>
        <v>0</v>
      </c>
      <c r="AG34" s="81" t="s">
        <v>131</v>
      </c>
      <c r="AH34" s="81">
        <f>$AZ$6</f>
        <v>1</v>
      </c>
      <c r="AJ34" s="82" t="s">
        <v>203</v>
      </c>
      <c r="AK34" s="82">
        <f>$AC$47</f>
        <v>1</v>
      </c>
      <c r="AL34" s="82" t="s">
        <v>180</v>
      </c>
      <c r="AM34" s="82">
        <f>AC44</f>
        <v>1</v>
      </c>
      <c r="AO34" s="82" t="s">
        <v>204</v>
      </c>
      <c r="AP34" s="82">
        <f>AC48</f>
        <v>1</v>
      </c>
      <c r="AQ34" s="82" t="s">
        <v>131</v>
      </c>
      <c r="AR34" s="82">
        <f>AC44</f>
        <v>1</v>
      </c>
      <c r="AT34" s="82" t="s">
        <v>207</v>
      </c>
      <c r="AU34" s="82">
        <f>SUM(W26:X27, G35:H36, O35:P36)</f>
        <v>1</v>
      </c>
      <c r="AV34" s="82" t="s">
        <v>130</v>
      </c>
      <c r="AW34" s="82">
        <f>$AZ$7</f>
        <v>2</v>
      </c>
    </row>
    <row r="35" spans="2:49" x14ac:dyDescent="0.2">
      <c r="B35" s="95"/>
      <c r="C35" s="96" t="s">
        <v>40</v>
      </c>
      <c r="D35" s="85">
        <v>0</v>
      </c>
      <c r="E35" s="85">
        <v>0</v>
      </c>
      <c r="F35" s="85">
        <v>0</v>
      </c>
      <c r="G35" s="87">
        <v>0</v>
      </c>
      <c r="H35" s="86">
        <f>SUM(D35:G35)</f>
        <v>0</v>
      </c>
      <c r="I35" s="71"/>
      <c r="J35" s="83"/>
      <c r="K35" s="71" t="s">
        <v>40</v>
      </c>
      <c r="L35" s="85">
        <v>0</v>
      </c>
      <c r="M35" s="85">
        <v>1</v>
      </c>
      <c r="N35" s="85">
        <v>0</v>
      </c>
      <c r="O35" s="87">
        <v>0</v>
      </c>
      <c r="P35" s="86">
        <f>SUM(L35:O35)</f>
        <v>1</v>
      </c>
      <c r="Q35"/>
      <c r="R35" s="83"/>
      <c r="S35" s="71" t="s">
        <v>40</v>
      </c>
      <c r="T35" s="85">
        <v>0</v>
      </c>
      <c r="U35" s="85">
        <v>1</v>
      </c>
      <c r="V35" s="85">
        <v>0</v>
      </c>
      <c r="W35" s="87">
        <v>0</v>
      </c>
      <c r="X35">
        <f>SUM(T35:W35)</f>
        <v>1</v>
      </c>
      <c r="Z35" s="98"/>
      <c r="AA35" s="98"/>
      <c r="AB35" s="98"/>
      <c r="AC35" s="98"/>
      <c r="AE35" s="81">
        <v>11</v>
      </c>
      <c r="AF35" s="81">
        <f>SUM(O36,P35)</f>
        <v>1</v>
      </c>
      <c r="AG35" s="81" t="s">
        <v>131</v>
      </c>
      <c r="AH35" s="81">
        <f>$AZ$6</f>
        <v>1</v>
      </c>
      <c r="AJ35" s="82" t="s">
        <v>203</v>
      </c>
      <c r="AK35" s="82">
        <f>$AC$47</f>
        <v>1</v>
      </c>
      <c r="AL35" s="82" t="s">
        <v>180</v>
      </c>
      <c r="AM35" s="82">
        <f>AC45</f>
        <v>1</v>
      </c>
      <c r="AO35" s="82" t="s">
        <v>204</v>
      </c>
      <c r="AP35" s="82">
        <f>AC48</f>
        <v>1</v>
      </c>
      <c r="AQ35" s="82" t="s">
        <v>131</v>
      </c>
      <c r="AR35" s="82">
        <f>AC45</f>
        <v>1</v>
      </c>
      <c r="AT35" s="82" t="s">
        <v>209</v>
      </c>
      <c r="AU35" s="82">
        <f>SUM(G35:H36, O35:P36, W35:X36)</f>
        <v>2</v>
      </c>
      <c r="AV35" s="82" t="s">
        <v>130</v>
      </c>
      <c r="AW35" s="82">
        <f>$AZ$7</f>
        <v>2</v>
      </c>
    </row>
    <row r="36" spans="2:49" x14ac:dyDescent="0.2">
      <c r="B36"/>
      <c r="C36" t="s">
        <v>122</v>
      </c>
      <c r="D36">
        <f>SUM(D32:D35)</f>
        <v>1</v>
      </c>
      <c r="E36">
        <f>SUM(E32:E35)</f>
        <v>0</v>
      </c>
      <c r="F36">
        <f>SUM(F32:F35)</f>
        <v>0</v>
      </c>
      <c r="G36">
        <f>SUM(G32:G35)</f>
        <v>0</v>
      </c>
      <c r="H36" s="98"/>
      <c r="I36"/>
      <c r="J36"/>
      <c r="K36" t="s">
        <v>122</v>
      </c>
      <c r="L36">
        <f>SUM(L32:L35)</f>
        <v>1</v>
      </c>
      <c r="M36">
        <f>SUM(M32:M35)</f>
        <v>1</v>
      </c>
      <c r="N36">
        <f>SUM(N32:N35)</f>
        <v>0</v>
      </c>
      <c r="O36">
        <f>SUM(O31:O35)</f>
        <v>0</v>
      </c>
      <c r="P36" s="98"/>
      <c r="Q36"/>
      <c r="R36"/>
      <c r="S36" t="s">
        <v>122</v>
      </c>
      <c r="T36">
        <f>SUM(T32:T35)</f>
        <v>0</v>
      </c>
      <c r="U36">
        <f>SUM(U32:U35)</f>
        <v>1</v>
      </c>
      <c r="V36">
        <f>SUM(V32:V35)</f>
        <v>0</v>
      </c>
      <c r="W36">
        <f>SUM(W32:W35)</f>
        <v>0</v>
      </c>
      <c r="Z36" s="6"/>
      <c r="AA36" s="6"/>
      <c r="AB36" s="6"/>
      <c r="AC36" s="6"/>
      <c r="AE36" s="81">
        <v>12</v>
      </c>
      <c r="AF36" s="81">
        <f>SUM(W36,X35)</f>
        <v>1</v>
      </c>
      <c r="AG36" s="81" t="s">
        <v>131</v>
      </c>
      <c r="AH36" s="81">
        <f>$AZ$6</f>
        <v>1</v>
      </c>
      <c r="AJ36" s="82" t="s">
        <v>203</v>
      </c>
      <c r="AK36" s="82">
        <f>$AC$47</f>
        <v>1</v>
      </c>
      <c r="AL36" s="82" t="s">
        <v>180</v>
      </c>
      <c r="AM36" s="82">
        <f>AC46</f>
        <v>1</v>
      </c>
      <c r="AO36" s="82" t="s">
        <v>204</v>
      </c>
      <c r="AP36" s="82">
        <f>AC48</f>
        <v>1</v>
      </c>
      <c r="AQ36" s="82" t="s">
        <v>131</v>
      </c>
      <c r="AR36" s="82">
        <f>AC46</f>
        <v>1</v>
      </c>
      <c r="AT36" s="82" t="s">
        <v>211</v>
      </c>
      <c r="AU36" s="82">
        <f>SUM(F9,H7,N9,P7,V9,X7)</f>
        <v>1</v>
      </c>
      <c r="AV36" s="82" t="s">
        <v>130</v>
      </c>
      <c r="AW36" s="82">
        <f>$AZ$7</f>
        <v>2</v>
      </c>
    </row>
    <row r="37" spans="2:49" x14ac:dyDescent="0.2">
      <c r="B37"/>
      <c r="C37"/>
      <c r="D37"/>
      <c r="E37"/>
      <c r="F37"/>
      <c r="G37"/>
      <c r="H37" s="98"/>
      <c r="I37"/>
      <c r="J37"/>
      <c r="K37"/>
      <c r="L37"/>
      <c r="M37"/>
      <c r="N37"/>
      <c r="O37"/>
      <c r="P37" s="98"/>
      <c r="Q37"/>
      <c r="R37"/>
      <c r="S37"/>
      <c r="T37"/>
      <c r="AJ37" s="100" t="s">
        <v>212</v>
      </c>
      <c r="AK37" s="82">
        <f>$AD$47</f>
        <v>1</v>
      </c>
      <c r="AL37" s="82" t="s">
        <v>180</v>
      </c>
      <c r="AM37" s="82">
        <f>AD43</f>
        <v>1</v>
      </c>
      <c r="AO37" s="82" t="s">
        <v>213</v>
      </c>
      <c r="AP37" s="82">
        <f>AD48</f>
        <v>1</v>
      </c>
      <c r="AQ37" s="82" t="s">
        <v>131</v>
      </c>
      <c r="AR37" s="82">
        <f>AD43</f>
        <v>1</v>
      </c>
      <c r="AT37" s="82" t="s">
        <v>214</v>
      </c>
      <c r="AU37" s="82">
        <f>SUM(N9,P7,V9,X7,F18,H16)</f>
        <v>0</v>
      </c>
      <c r="AV37" s="82" t="s">
        <v>130</v>
      </c>
      <c r="AW37" s="82">
        <f>$AZ$7</f>
        <v>2</v>
      </c>
    </row>
    <row r="38" spans="2:49" x14ac:dyDescent="0.2">
      <c r="B38"/>
      <c r="C38"/>
      <c r="D38"/>
      <c r="E38"/>
      <c r="F38"/>
      <c r="G38"/>
      <c r="H38" s="98"/>
      <c r="K38"/>
      <c r="L38"/>
      <c r="M38"/>
      <c r="N38"/>
      <c r="O38"/>
      <c r="P38" s="98"/>
      <c r="Q38"/>
      <c r="R38"/>
      <c r="S38"/>
      <c r="T38"/>
      <c r="AJ38" s="82" t="s">
        <v>212</v>
      </c>
      <c r="AK38" s="82">
        <f>$AD$47</f>
        <v>1</v>
      </c>
      <c r="AL38" s="82" t="s">
        <v>180</v>
      </c>
      <c r="AM38" s="82">
        <f>AD44</f>
        <v>1</v>
      </c>
      <c r="AO38" s="82" t="s">
        <v>213</v>
      </c>
      <c r="AP38" s="82">
        <f>AD48</f>
        <v>1</v>
      </c>
      <c r="AQ38" s="82" t="s">
        <v>131</v>
      </c>
      <c r="AR38" s="82">
        <f>AD44</f>
        <v>1</v>
      </c>
      <c r="AT38" s="82" t="s">
        <v>215</v>
      </c>
      <c r="AU38" s="82">
        <f>SUM(V9,X7,F18,H16,N18,P16)</f>
        <v>0</v>
      </c>
      <c r="AV38" s="82" t="s">
        <v>130</v>
      </c>
      <c r="AW38" s="82">
        <f>$AZ$7</f>
        <v>2</v>
      </c>
    </row>
    <row r="39" spans="2:49" x14ac:dyDescent="0.2">
      <c r="AJ39" s="82" t="s">
        <v>212</v>
      </c>
      <c r="AK39" s="82">
        <f>$AD$47</f>
        <v>1</v>
      </c>
      <c r="AL39" s="82" t="s">
        <v>180</v>
      </c>
      <c r="AM39" s="82">
        <f>AD45</f>
        <v>1</v>
      </c>
      <c r="AO39" s="82" t="s">
        <v>213</v>
      </c>
      <c r="AP39" s="82">
        <f>AD48</f>
        <v>1</v>
      </c>
      <c r="AQ39" s="82" t="s">
        <v>131</v>
      </c>
      <c r="AR39" s="82">
        <f>AD45</f>
        <v>1</v>
      </c>
      <c r="AT39" s="82" t="s">
        <v>217</v>
      </c>
      <c r="AU39" s="82">
        <f>SUM(F18,H16,N18,P16,V18,X16)</f>
        <v>1</v>
      </c>
      <c r="AV39" s="82" t="s">
        <v>130</v>
      </c>
      <c r="AW39" s="82">
        <f>$AZ$7</f>
        <v>2</v>
      </c>
    </row>
    <row r="40" spans="2:49" x14ac:dyDescent="0.2">
      <c r="AJ40" s="82" t="s">
        <v>212</v>
      </c>
      <c r="AK40" s="82">
        <f>$AD$47</f>
        <v>1</v>
      </c>
      <c r="AL40" s="82" t="s">
        <v>180</v>
      </c>
      <c r="AM40" s="82">
        <f>AD46</f>
        <v>1</v>
      </c>
      <c r="AO40" s="82" t="s">
        <v>213</v>
      </c>
      <c r="AP40" s="82">
        <f>AD48</f>
        <v>1</v>
      </c>
      <c r="AQ40" s="82" t="s">
        <v>131</v>
      </c>
      <c r="AR40" s="82">
        <f>AD46</f>
        <v>1</v>
      </c>
      <c r="AT40" s="82" t="s">
        <v>218</v>
      </c>
      <c r="AU40" s="82">
        <f>SUM(N18,P16,V18,X16,F27,H25)</f>
        <v>2</v>
      </c>
      <c r="AV40" s="82" t="s">
        <v>130</v>
      </c>
      <c r="AW40" s="82">
        <f>$AZ$7</f>
        <v>2</v>
      </c>
    </row>
    <row r="41" spans="2:49" x14ac:dyDescent="0.2">
      <c r="Z41" s="18" t="s">
        <v>219</v>
      </c>
      <c r="AA41" s="28" t="s">
        <v>220</v>
      </c>
      <c r="AB41" s="28"/>
      <c r="AC41" s="28"/>
      <c r="AD41" s="28"/>
      <c r="AE41" s="28"/>
      <c r="AF41" s="28"/>
      <c r="AJ41" s="100" t="s">
        <v>221</v>
      </c>
      <c r="AK41" s="82">
        <f>$AE$47</f>
        <v>2</v>
      </c>
      <c r="AL41" s="82" t="s">
        <v>180</v>
      </c>
      <c r="AM41" s="82">
        <f>AE43</f>
        <v>2</v>
      </c>
      <c r="AO41" s="82" t="s">
        <v>222</v>
      </c>
      <c r="AP41" s="82">
        <f>AE48</f>
        <v>1</v>
      </c>
      <c r="AQ41" s="82" t="s">
        <v>131</v>
      </c>
      <c r="AR41" s="82">
        <f>AE43</f>
        <v>2</v>
      </c>
      <c r="AT41" s="82" t="s">
        <v>223</v>
      </c>
      <c r="AU41" s="82">
        <f>SUM(V18,X16,F27,H25,N27,P25)</f>
        <v>2</v>
      </c>
      <c r="AV41" s="82" t="s">
        <v>130</v>
      </c>
      <c r="AW41" s="82">
        <f>$AZ$7</f>
        <v>2</v>
      </c>
    </row>
    <row r="42" spans="2:49" x14ac:dyDescent="0.2">
      <c r="C42" s="5" t="s">
        <v>255</v>
      </c>
      <c r="D42" s="5"/>
      <c r="E42" s="5"/>
      <c r="F42" s="5"/>
      <c r="G42" s="5"/>
      <c r="H42" s="5"/>
      <c r="Z42" s="18"/>
      <c r="AA42" s="8" t="s">
        <v>224</v>
      </c>
      <c r="AB42" s="8" t="s">
        <v>114</v>
      </c>
      <c r="AC42" s="8" t="s">
        <v>115</v>
      </c>
      <c r="AD42" s="8" t="s">
        <v>147</v>
      </c>
      <c r="AE42" s="8" t="s">
        <v>148</v>
      </c>
      <c r="AF42" s="8" t="s">
        <v>149</v>
      </c>
      <c r="AJ42" s="82" t="s">
        <v>221</v>
      </c>
      <c r="AK42" s="82">
        <f>$AE$47</f>
        <v>2</v>
      </c>
      <c r="AL42" s="82" t="s">
        <v>180</v>
      </c>
      <c r="AM42" s="82">
        <f>AE44</f>
        <v>1</v>
      </c>
      <c r="AO42" s="82" t="s">
        <v>222</v>
      </c>
      <c r="AP42" s="82">
        <f>AE48</f>
        <v>1</v>
      </c>
      <c r="AQ42" s="82" t="s">
        <v>131</v>
      </c>
      <c r="AR42" s="82">
        <f>AE44</f>
        <v>1</v>
      </c>
      <c r="AT42" s="82" t="s">
        <v>225</v>
      </c>
      <c r="AU42" s="82">
        <f>SUM(F27,H25,N27,P25,V27,X25)</f>
        <v>2</v>
      </c>
      <c r="AV42" s="82" t="s">
        <v>130</v>
      </c>
      <c r="AW42" s="82">
        <f>$AZ$7</f>
        <v>2</v>
      </c>
    </row>
    <row r="43" spans="2:49" x14ac:dyDescent="0.2">
      <c r="C43" s="63"/>
      <c r="D43" s="63"/>
      <c r="E43" s="5" t="s">
        <v>3</v>
      </c>
      <c r="F43" s="5"/>
      <c r="G43" s="5"/>
      <c r="H43" s="5"/>
      <c r="Z43" s="8" t="s">
        <v>27</v>
      </c>
      <c r="AA43" s="8">
        <f>SUM(D9,H5)</f>
        <v>0</v>
      </c>
      <c r="AB43" s="8">
        <f>SUM(D9,H5,L9,P5)</f>
        <v>0</v>
      </c>
      <c r="AC43" s="8">
        <f>SUM(D9,H5,L9,P5,T9,X5)</f>
        <v>1</v>
      </c>
      <c r="AD43" s="8">
        <f>SUM(D9,H5,L9,P5,T9,X5,D18,H14)</f>
        <v>1</v>
      </c>
      <c r="AE43" s="8">
        <f>SUM(D9,H5,L9,P5,T9,X5,D18,H14,L18,P14)</f>
        <v>2</v>
      </c>
      <c r="AF43" s="8">
        <f>SUM(D9,H5,L9,P5,T9,X5,D18,H14,L18,P14,T18,X14)</f>
        <v>2</v>
      </c>
      <c r="AJ43" s="82" t="s">
        <v>221</v>
      </c>
      <c r="AK43" s="82">
        <f>$AE$47</f>
        <v>2</v>
      </c>
      <c r="AL43" s="82" t="s">
        <v>180</v>
      </c>
      <c r="AM43" s="82">
        <f>AE45</f>
        <v>1</v>
      </c>
      <c r="AO43" s="82" t="s">
        <v>222</v>
      </c>
      <c r="AP43" s="82">
        <f>AE48</f>
        <v>1</v>
      </c>
      <c r="AQ43" s="82" t="s">
        <v>131</v>
      </c>
      <c r="AR43" s="82">
        <f>AE45</f>
        <v>1</v>
      </c>
      <c r="AT43" s="82" t="s">
        <v>226</v>
      </c>
      <c r="AU43" s="82">
        <f>SUM(N27,P25,V27,X25,F36,H34)</f>
        <v>2</v>
      </c>
      <c r="AV43" s="82" t="s">
        <v>130</v>
      </c>
      <c r="AW43" s="82">
        <f>$AZ$7</f>
        <v>2</v>
      </c>
    </row>
    <row r="44" spans="2:49" x14ac:dyDescent="0.2">
      <c r="C44" s="63"/>
      <c r="D44" s="111"/>
      <c r="E44" s="111" t="s">
        <v>27</v>
      </c>
      <c r="F44" s="111" t="s">
        <v>121</v>
      </c>
      <c r="G44" s="111" t="s">
        <v>35</v>
      </c>
      <c r="H44" s="111" t="s">
        <v>40</v>
      </c>
      <c r="Z44" s="8" t="s">
        <v>28</v>
      </c>
      <c r="AA44" s="8">
        <f>SUM(E9,H6)</f>
        <v>0</v>
      </c>
      <c r="AB44" s="8">
        <f>SUM(E9,H6,M9,P6)</f>
        <v>0</v>
      </c>
      <c r="AC44" s="8">
        <f>SUM(E9,H6,M9,P6,U9,X6)</f>
        <v>1</v>
      </c>
      <c r="AD44" s="8">
        <f>SUM(E9,H6,M9,P6,U9,X6,E18,H15)</f>
        <v>1</v>
      </c>
      <c r="AE44" s="8">
        <f>SUM(E9,H6,M9,P6,U9,X6,E18,H15,M18,P15)</f>
        <v>1</v>
      </c>
      <c r="AF44" s="8">
        <f>SUM(E9,H6,M9,P6,U9,X6,E18,H15,M18,P15,U18,X15)</f>
        <v>2</v>
      </c>
      <c r="AJ44" s="82" t="s">
        <v>221</v>
      </c>
      <c r="AK44" s="82">
        <f>$AE$47</f>
        <v>2</v>
      </c>
      <c r="AL44" s="82" t="s">
        <v>180</v>
      </c>
      <c r="AM44" s="82">
        <f>AE46</f>
        <v>2</v>
      </c>
      <c r="AO44" s="82" t="s">
        <v>222</v>
      </c>
      <c r="AP44" s="82">
        <f>AE48</f>
        <v>1</v>
      </c>
      <c r="AQ44" s="82" t="s">
        <v>131</v>
      </c>
      <c r="AR44" s="82">
        <f>AE46</f>
        <v>2</v>
      </c>
      <c r="AT44" s="82" t="s">
        <v>227</v>
      </c>
      <c r="AU44" s="82">
        <f>SUM(V27,X25,F36,N36,P34)</f>
        <v>2</v>
      </c>
      <c r="AV44" s="82" t="s">
        <v>130</v>
      </c>
      <c r="AW44" s="82">
        <f>$AZ$7</f>
        <v>2</v>
      </c>
    </row>
    <row r="45" spans="2:49" x14ac:dyDescent="0.2">
      <c r="C45" s="5" t="s">
        <v>2</v>
      </c>
      <c r="D45" s="111" t="s">
        <v>27</v>
      </c>
      <c r="E45" s="112">
        <v>0</v>
      </c>
      <c r="F45" s="112">
        <v>22973186.440000001</v>
      </c>
      <c r="G45" s="112">
        <v>24609297.309999999</v>
      </c>
      <c r="H45" s="112">
        <v>24593874.390000001</v>
      </c>
      <c r="Z45" s="8" t="s">
        <v>35</v>
      </c>
      <c r="AA45" s="8">
        <f>SUM(F9,H7)</f>
        <v>1</v>
      </c>
      <c r="AB45" s="8">
        <f>SUM(F9,H7,N9,P7)</f>
        <v>1</v>
      </c>
      <c r="AC45" s="8">
        <f>SUM(G9,I7,O9,Q7)</f>
        <v>1</v>
      </c>
      <c r="AD45" s="8">
        <f>SUM(F9,H7,N9,P7,V9,X7,F18,H16)</f>
        <v>1</v>
      </c>
      <c r="AE45" s="8">
        <f>SUM(F9,H7,N9,P7,V9,X7,F18,H16,N18,P16)</f>
        <v>1</v>
      </c>
      <c r="AF45" s="8">
        <f>SUM(F9,H7,N9,P7,V9,X7,F18,H16,N18,P16,V18,X16)</f>
        <v>2</v>
      </c>
      <c r="AJ45" s="100" t="s">
        <v>228</v>
      </c>
      <c r="AK45" s="82">
        <f>$AF$47</f>
        <v>2</v>
      </c>
      <c r="AL45" s="82" t="s">
        <v>180</v>
      </c>
      <c r="AM45" s="82">
        <f>AF43</f>
        <v>2</v>
      </c>
      <c r="AO45" s="82" t="s">
        <v>229</v>
      </c>
      <c r="AP45" s="82">
        <f>AF48</f>
        <v>2</v>
      </c>
      <c r="AQ45" s="82" t="s">
        <v>131</v>
      </c>
      <c r="AR45" s="82">
        <f>AF43</f>
        <v>2</v>
      </c>
      <c r="AT45" s="82" t="s">
        <v>230</v>
      </c>
      <c r="AU45" s="82">
        <f>SUM(F36,H34,N36,V36,X34)</f>
        <v>1</v>
      </c>
      <c r="AV45" s="82" t="s">
        <v>130</v>
      </c>
      <c r="AW45" s="82">
        <f>$AZ$7</f>
        <v>2</v>
      </c>
    </row>
    <row r="46" spans="2:49" x14ac:dyDescent="0.2">
      <c r="C46" s="5"/>
      <c r="D46" s="111" t="s">
        <v>121</v>
      </c>
      <c r="E46" s="112">
        <v>31782304</v>
      </c>
      <c r="F46" s="112">
        <v>0</v>
      </c>
      <c r="G46" s="112">
        <v>31705964</v>
      </c>
      <c r="H46" s="112">
        <v>31630602.899999999</v>
      </c>
      <c r="Z46" s="8" t="s">
        <v>40</v>
      </c>
      <c r="AA46" s="8">
        <f>SUM(G9,H8)</f>
        <v>1</v>
      </c>
      <c r="AB46" s="8">
        <f>SUM(G9,H8,O9,P8)</f>
        <v>1</v>
      </c>
      <c r="AC46" s="8">
        <f>SUM(G9,H8,O9,P8,W9,X8)</f>
        <v>1</v>
      </c>
      <c r="AD46" s="8">
        <f>SUM(G9,H8,O9,P8,W9,X8,G18,H17)</f>
        <v>1</v>
      </c>
      <c r="AE46" s="8">
        <f>SUM(G9,H8,O9,P8,W9,X8,G18,H17,O18,P17)</f>
        <v>2</v>
      </c>
      <c r="AF46" s="8">
        <f>SUM(G9,H8,O9,P8,W9,X8,G18,H17,O18,P17,W18,X17)</f>
        <v>2</v>
      </c>
      <c r="AJ46" s="82" t="s">
        <v>228</v>
      </c>
      <c r="AK46" s="82">
        <f>$AF$47</f>
        <v>2</v>
      </c>
      <c r="AL46" s="82" t="s">
        <v>180</v>
      </c>
      <c r="AM46" s="82">
        <f>AF44</f>
        <v>2</v>
      </c>
      <c r="AO46" s="82" t="s">
        <v>229</v>
      </c>
      <c r="AP46" s="82">
        <f>AF48</f>
        <v>2</v>
      </c>
      <c r="AQ46" s="82" t="s">
        <v>131</v>
      </c>
      <c r="AR46" s="82">
        <f>AF44</f>
        <v>2</v>
      </c>
    </row>
    <row r="47" spans="2:49" x14ac:dyDescent="0.2">
      <c r="C47" s="5"/>
      <c r="D47" s="111" t="s">
        <v>35</v>
      </c>
      <c r="E47" s="112">
        <v>33125732.960000001</v>
      </c>
      <c r="F47" s="112">
        <v>33182556.07</v>
      </c>
      <c r="G47" s="112">
        <v>0</v>
      </c>
      <c r="H47" s="112">
        <v>33212654.27</v>
      </c>
      <c r="Z47" s="8" t="s">
        <v>231</v>
      </c>
      <c r="AA47" s="103">
        <v>1</v>
      </c>
      <c r="AB47" s="103">
        <v>1</v>
      </c>
      <c r="AC47" s="103">
        <v>1</v>
      </c>
      <c r="AD47" s="103">
        <v>1</v>
      </c>
      <c r="AE47" s="103">
        <v>2</v>
      </c>
      <c r="AF47" s="103">
        <v>2</v>
      </c>
      <c r="AJ47" s="82" t="s">
        <v>228</v>
      </c>
      <c r="AK47" s="82">
        <f>$AF$47</f>
        <v>2</v>
      </c>
      <c r="AL47" s="82" t="s">
        <v>180</v>
      </c>
      <c r="AM47" s="82">
        <f>AF45</f>
        <v>2</v>
      </c>
      <c r="AO47" s="82" t="s">
        <v>229</v>
      </c>
      <c r="AP47" s="82">
        <f>AF48</f>
        <v>2</v>
      </c>
      <c r="AQ47" s="82" t="s">
        <v>131</v>
      </c>
      <c r="AR47" s="82">
        <f>AF45</f>
        <v>2</v>
      </c>
    </row>
    <row r="48" spans="2:49" x14ac:dyDescent="0.2">
      <c r="C48" s="5"/>
      <c r="D48" s="111" t="s">
        <v>40</v>
      </c>
      <c r="E48" s="112">
        <v>31712742.129999999</v>
      </c>
      <c r="F48" s="112">
        <v>31825496.739999998</v>
      </c>
      <c r="G48" s="112">
        <v>31752325.809999999</v>
      </c>
      <c r="H48" s="112">
        <v>0</v>
      </c>
      <c r="Z48" s="8" t="s">
        <v>232</v>
      </c>
      <c r="AA48" s="103">
        <v>0</v>
      </c>
      <c r="AB48" s="103">
        <v>0</v>
      </c>
      <c r="AC48" s="103">
        <v>1</v>
      </c>
      <c r="AD48" s="103">
        <v>1</v>
      </c>
      <c r="AE48" s="103">
        <v>1</v>
      </c>
      <c r="AF48" s="103">
        <v>2</v>
      </c>
      <c r="AJ48" s="82" t="s">
        <v>228</v>
      </c>
      <c r="AK48" s="82">
        <f>$AF$47</f>
        <v>2</v>
      </c>
      <c r="AL48" s="82" t="s">
        <v>180</v>
      </c>
      <c r="AM48" s="82">
        <f>AF46</f>
        <v>2</v>
      </c>
      <c r="AO48" s="82" t="s">
        <v>229</v>
      </c>
      <c r="AP48" s="82">
        <f>AF48</f>
        <v>2</v>
      </c>
      <c r="AQ48" s="82" t="s">
        <v>131</v>
      </c>
      <c r="AR48" s="82">
        <f>AF46</f>
        <v>2</v>
      </c>
    </row>
    <row r="49" spans="3:44" x14ac:dyDescent="0.2">
      <c r="Z49" s="8" t="s">
        <v>233</v>
      </c>
      <c r="AA49" s="81">
        <f>AA47-AA48</f>
        <v>1</v>
      </c>
      <c r="AB49" s="81">
        <f>AB47-AB48</f>
        <v>1</v>
      </c>
      <c r="AC49" s="81">
        <f>AC47-AC48</f>
        <v>0</v>
      </c>
      <c r="AD49" s="81">
        <f>AD47-AD48</f>
        <v>0</v>
      </c>
      <c r="AE49" s="81">
        <f>AE47-AE48</f>
        <v>1</v>
      </c>
      <c r="AF49" s="81">
        <f>AF47-AF48</f>
        <v>0</v>
      </c>
      <c r="AJ49" s="100" t="s">
        <v>234</v>
      </c>
      <c r="AK49" s="82">
        <f>$AA$59</f>
        <v>3</v>
      </c>
      <c r="AL49" s="82" t="s">
        <v>180</v>
      </c>
      <c r="AM49" s="82">
        <f>AA55</f>
        <v>3</v>
      </c>
      <c r="AO49" s="82" t="s">
        <v>235</v>
      </c>
      <c r="AP49" s="82">
        <f>$AA$60</f>
        <v>3</v>
      </c>
      <c r="AQ49" s="82" t="s">
        <v>131</v>
      </c>
      <c r="AR49" s="82">
        <f>AA55</f>
        <v>3</v>
      </c>
    </row>
    <row r="50" spans="3:44" x14ac:dyDescent="0.2">
      <c r="H50" s="113"/>
      <c r="Z50" s="8" t="s">
        <v>236</v>
      </c>
      <c r="AA50" s="81" t="s">
        <v>131</v>
      </c>
      <c r="AB50" s="81" t="s">
        <v>131</v>
      </c>
      <c r="AC50" s="81" t="s">
        <v>131</v>
      </c>
      <c r="AD50" s="81" t="s">
        <v>131</v>
      </c>
      <c r="AE50" s="81" t="s">
        <v>131</v>
      </c>
      <c r="AF50" s="81" t="s">
        <v>131</v>
      </c>
      <c r="AJ50" s="82" t="s">
        <v>234</v>
      </c>
      <c r="AK50" s="82">
        <f>$AA$59</f>
        <v>3</v>
      </c>
      <c r="AL50" s="82" t="s">
        <v>180</v>
      </c>
      <c r="AM50" s="82">
        <f>AA56</f>
        <v>3</v>
      </c>
      <c r="AO50" s="82" t="s">
        <v>235</v>
      </c>
      <c r="AP50" s="82">
        <f>$AA$60</f>
        <v>3</v>
      </c>
      <c r="AQ50" s="82" t="s">
        <v>131</v>
      </c>
      <c r="AR50" s="82">
        <f>AA56</f>
        <v>3</v>
      </c>
    </row>
    <row r="51" spans="3:44" x14ac:dyDescent="0.2">
      <c r="C51" s="102" t="s">
        <v>256</v>
      </c>
      <c r="D51" s="114">
        <f>SUMPRODUCT(E45:H48,D5:G8)+SUMPRODUCT(E45:H48,L5:O8)+SUMPRODUCT(E45:H48,T5:W8)+SUMPRODUCT(E45:H48,D14:G17)+SUMPRODUCT(E45:H48,L14:O17)+SUMPRODUCT(E45:H48,T14:W17)+SUMPRODUCT(E45:H48,D23:G26)+SUMPRODUCT(E45:H48,L23:O26)+SUMPRODUCT(E45:H48,T23:W26)+SUMPRODUCT(E45:H48,D32:G35)+SUMPRODUCT(E45:H48,L32:O35)+SUMPRODUCT(E45:H48,T32:W35)</f>
        <v>389682972.33999997</v>
      </c>
      <c r="Z51" s="8" t="s">
        <v>237</v>
      </c>
      <c r="AA51" s="81">
        <f>$AZ$5</f>
        <v>1</v>
      </c>
      <c r="AB51" s="81">
        <f>$AZ$5</f>
        <v>1</v>
      </c>
      <c r="AC51" s="81">
        <f>$AZ$5</f>
        <v>1</v>
      </c>
      <c r="AD51" s="81">
        <f>$AZ$5</f>
        <v>1</v>
      </c>
      <c r="AE51" s="81">
        <f>$AZ$5</f>
        <v>1</v>
      </c>
      <c r="AF51" s="81">
        <f>$AZ$5</f>
        <v>1</v>
      </c>
      <c r="AJ51" s="82" t="s">
        <v>234</v>
      </c>
      <c r="AK51" s="82">
        <f>$AA$59</f>
        <v>3</v>
      </c>
      <c r="AL51" s="82" t="s">
        <v>180</v>
      </c>
      <c r="AM51" s="82">
        <f>AA57</f>
        <v>3</v>
      </c>
      <c r="AO51" s="82" t="s">
        <v>235</v>
      </c>
      <c r="AP51" s="82">
        <f>$AA$60</f>
        <v>3</v>
      </c>
      <c r="AQ51" s="82" t="s">
        <v>131</v>
      </c>
      <c r="AR51" s="82">
        <f>AA57</f>
        <v>3</v>
      </c>
    </row>
    <row r="52" spans="3:44" x14ac:dyDescent="0.2">
      <c r="F52" s="115"/>
      <c r="Z52" s="1"/>
      <c r="AA52" s="1"/>
      <c r="AB52" s="1"/>
      <c r="AC52" s="1"/>
      <c r="AD52" s="1"/>
      <c r="AE52" s="1"/>
      <c r="AF52" s="1"/>
      <c r="AJ52" s="82" t="s">
        <v>234</v>
      </c>
      <c r="AK52" s="82">
        <f>$AA$59</f>
        <v>3</v>
      </c>
      <c r="AL52" s="82" t="s">
        <v>180</v>
      </c>
      <c r="AM52" s="82">
        <f>AA58</f>
        <v>3</v>
      </c>
      <c r="AO52" s="82" t="s">
        <v>235</v>
      </c>
      <c r="AP52" s="82">
        <f>$AA$60</f>
        <v>3</v>
      </c>
      <c r="AQ52" s="82" t="s">
        <v>131</v>
      </c>
      <c r="AR52" s="82">
        <f>AA58</f>
        <v>3</v>
      </c>
    </row>
    <row r="53" spans="3:44" x14ac:dyDescent="0.2">
      <c r="Z53" s="64" t="s">
        <v>238</v>
      </c>
      <c r="AA53" s="64"/>
      <c r="AB53" s="64"/>
      <c r="AC53" s="64"/>
      <c r="AD53" s="64"/>
      <c r="AE53" s="64"/>
      <c r="AF53" s="64"/>
      <c r="AJ53" s="100" t="s">
        <v>239</v>
      </c>
      <c r="AK53" s="82">
        <f>$AB$59</f>
        <v>4</v>
      </c>
      <c r="AL53" s="82" t="s">
        <v>180</v>
      </c>
      <c r="AM53" s="82">
        <f>AB55</f>
        <v>4</v>
      </c>
      <c r="AO53" s="82" t="s">
        <v>240</v>
      </c>
      <c r="AP53" s="82">
        <f>$AB$60</f>
        <v>3</v>
      </c>
      <c r="AQ53" s="82" t="s">
        <v>131</v>
      </c>
      <c r="AR53" s="82">
        <f>AB55</f>
        <v>4</v>
      </c>
    </row>
    <row r="54" spans="3:44" x14ac:dyDescent="0.2">
      <c r="Z54" s="8" t="s">
        <v>219</v>
      </c>
      <c r="AA54" s="8" t="s">
        <v>164</v>
      </c>
      <c r="AB54" s="8" t="s">
        <v>165</v>
      </c>
      <c r="AC54" s="8" t="s">
        <v>166</v>
      </c>
      <c r="AD54" s="8" t="s">
        <v>189</v>
      </c>
      <c r="AE54" s="8" t="s">
        <v>190</v>
      </c>
      <c r="AF54" s="8" t="s">
        <v>191</v>
      </c>
      <c r="AJ54" s="82" t="s">
        <v>239</v>
      </c>
      <c r="AK54" s="82">
        <f>$AB$59</f>
        <v>4</v>
      </c>
      <c r="AL54" s="82" t="s">
        <v>180</v>
      </c>
      <c r="AM54" s="82">
        <f>AB56</f>
        <v>3</v>
      </c>
      <c r="AO54" s="82" t="s">
        <v>240</v>
      </c>
      <c r="AP54" s="82">
        <f>$AB$60</f>
        <v>3</v>
      </c>
      <c r="AQ54" s="82" t="s">
        <v>131</v>
      </c>
      <c r="AR54" s="82">
        <f>AB56</f>
        <v>3</v>
      </c>
    </row>
    <row r="55" spans="3:44" x14ac:dyDescent="0.2">
      <c r="Z55" s="8" t="s">
        <v>27</v>
      </c>
      <c r="AA55" s="8">
        <f>SUM(D9,H5,L9,P5,T9,X5,D18,H14,L18,P14,T18,X14,D27,H23)</f>
        <v>3</v>
      </c>
      <c r="AB55" s="8">
        <f>SUM(D9,H5,L9,P5,T9,X5,D18,H14,L18,P14,T18,X14,D27,H23,L27,P23)</f>
        <v>4</v>
      </c>
      <c r="AC55" s="8">
        <f>SUM(D9,H5,L9,P5,T9,X5,D18,H14,L18,P14,T18,X14,D27,H23,L27,P23,T27,X23)</f>
        <v>4</v>
      </c>
      <c r="AD55" s="8">
        <f>SUM(D9,H5,L9,P5,T9,X5,D18,H14,L18,P14,T18,X14,D27,H23,L27,P23,T27,X23,D36,H32)</f>
        <v>5</v>
      </c>
      <c r="AE55" s="8">
        <f>SUM(D9,H5,L9,P5,T9,X5,D18,H14,L18,P14,T18,X14,D27,H23,L27,P23,T27,X23,D36,H32,L36,P32)</f>
        <v>6</v>
      </c>
      <c r="AF55" s="8">
        <f>SUM(D9,H5,L9,P5,T9,X5,D18,H14,L18,P14,T18,X14,D27,H23,L27,P23,T27,X23,D36,H32,L36,P32,T36,X32)</f>
        <v>6</v>
      </c>
      <c r="AJ55" s="82" t="s">
        <v>239</v>
      </c>
      <c r="AK55" s="82">
        <f>$AB$59</f>
        <v>4</v>
      </c>
      <c r="AL55" s="82" t="s">
        <v>180</v>
      </c>
      <c r="AM55" s="82">
        <f>AB57</f>
        <v>3</v>
      </c>
      <c r="AO55" s="82" t="s">
        <v>240</v>
      </c>
      <c r="AP55" s="82">
        <f>$AB$60</f>
        <v>3</v>
      </c>
      <c r="AQ55" s="82" t="s">
        <v>131</v>
      </c>
      <c r="AR55" s="82">
        <f>AB57</f>
        <v>3</v>
      </c>
    </row>
    <row r="56" spans="3:44" x14ac:dyDescent="0.2">
      <c r="Z56" s="8" t="s">
        <v>28</v>
      </c>
      <c r="AA56" s="8">
        <f>SUM(E9,H6,M9,P6,U9,X6,E18,H15,M18,P15,U18,X15,E27,H24)</f>
        <v>3</v>
      </c>
      <c r="AB56" s="8">
        <f>SUM(E9,H6,M9,P6,U9,X6,E18,H15,M18,P15,U18,X15,E27,H24,M27,P24)</f>
        <v>3</v>
      </c>
      <c r="AC56" s="8">
        <f>SUM(E9,H6,M9,P6,U9,X6,E18,H15,M18,P15,U18,X15,E27,H24,M27,P24,U27,X24)</f>
        <v>4</v>
      </c>
      <c r="AD56" s="8">
        <f>SUM(E9,H6,M9,P6,U9,X6,E18,H15,M18,P15,U18,X15,E27,H24,M27,P24,U27,X24,E36,H33)</f>
        <v>4</v>
      </c>
      <c r="AE56" s="8">
        <f>SUM(E9,H6,M9,P6,U9,X6,E18,H15,M18,P15,U18,X15,E27,H24,M27,P24,U27,X24,E36,H33,M36,P33)</f>
        <v>5</v>
      </c>
      <c r="AF56" s="8">
        <f>SUM(E9,H6,M9,P6,U9,X6,E18,H15,M18,P15,U18,X15,E27,H24,M27,P24,U27,X24,E36,H33,M36,P33,U36,X33)</f>
        <v>6</v>
      </c>
      <c r="AJ56" s="82" t="s">
        <v>239</v>
      </c>
      <c r="AK56" s="82">
        <f>$AB$59</f>
        <v>4</v>
      </c>
      <c r="AL56" s="82" t="s">
        <v>180</v>
      </c>
      <c r="AM56" s="82">
        <f>AB58</f>
        <v>3</v>
      </c>
      <c r="AO56" s="82" t="s">
        <v>240</v>
      </c>
      <c r="AP56" s="82">
        <f>$AB$60</f>
        <v>3</v>
      </c>
      <c r="AQ56" s="82" t="s">
        <v>131</v>
      </c>
      <c r="AR56" s="82">
        <f>AB58</f>
        <v>3</v>
      </c>
    </row>
    <row r="57" spans="3:44" x14ac:dyDescent="0.2">
      <c r="Z57" s="8" t="s">
        <v>35</v>
      </c>
      <c r="AA57" s="8">
        <f>SUM(F9,H7,N9,P7,V9,X7,F18,H16,N18,P16,V18,X16,F27,H25)</f>
        <v>3</v>
      </c>
      <c r="AB57" s="8">
        <f>SUM(F9,H7,N9,P7,V9,X7,F18,H16,N18,P16,V18,X16,F27,H25,N27,P25)</f>
        <v>3</v>
      </c>
      <c r="AC57" s="8">
        <f>SUM(F9,H7,N9,P7,V9,X7,F18,H16,N18,P16,V18,X16,F27,H25,N27,P25,V27,X25)</f>
        <v>4</v>
      </c>
      <c r="AD57" s="8">
        <f>SUM(F9,H7,N9,P7,V9,X7,F18,H16,N18,P16,V18,X16,F27,H25,N27,P25,V27,X25,F36,H34)</f>
        <v>5</v>
      </c>
      <c r="AE57" s="8">
        <f>SUM(F9,H7,N9,P7,V9,X7,F18,H16,N18,P16,V18,X16,F27,H25,N27,P25,V27,X25,F36,H34,N36,P34)</f>
        <v>6</v>
      </c>
      <c r="AF57" s="8">
        <f>SUM(F9,H7,N9,P7,V9,X7,F18,H16,N18,P16,V18,X16,F27,H25,N27,P25,V27,X25,F36,H34,N36,P34,V36,X34)</f>
        <v>6</v>
      </c>
      <c r="AJ57" s="100" t="s">
        <v>241</v>
      </c>
      <c r="AK57" s="82">
        <f>$AC$59</f>
        <v>4</v>
      </c>
      <c r="AL57" s="82" t="s">
        <v>180</v>
      </c>
      <c r="AM57" s="82">
        <f>AC55</f>
        <v>4</v>
      </c>
      <c r="AO57" s="82" t="s">
        <v>242</v>
      </c>
      <c r="AP57" s="82">
        <f>$AC$60</f>
        <v>4</v>
      </c>
      <c r="AQ57" s="82" t="s">
        <v>131</v>
      </c>
      <c r="AR57" s="82">
        <f>AC55</f>
        <v>4</v>
      </c>
    </row>
    <row r="58" spans="3:44" x14ac:dyDescent="0.2">
      <c r="Z58" s="8" t="s">
        <v>40</v>
      </c>
      <c r="AA58" s="8">
        <f>SUM(G9,H8,O9,P8,W9,X8,G18,H17,O18,P17,W18,X17,G27,H26)</f>
        <v>3</v>
      </c>
      <c r="AB58" s="8">
        <f>SUM(G9,H8,O9,P8,W9,X8,G18,H17,O18,P17,W18,X17,G27,H26)</f>
        <v>3</v>
      </c>
      <c r="AC58" s="8">
        <f>SUM(G9,H8,O9,P8,W9,X8,G18,H17,O18,P17,W18,X17,G27,H26,O27,P26,W27,X26)</f>
        <v>4</v>
      </c>
      <c r="AD58" s="8">
        <f>SUM(G9,H8,O9,P8,W9,X8,G18,H17,O18,P17,W18,X17,G27,H26,O27,P26,W27,X26,G36,H35)</f>
        <v>4</v>
      </c>
      <c r="AE58" s="8">
        <f>SUM(G9,H8,O9,P8,W9,X8,G18,H17,O18,P17,W18,X17,G27,H26,O27,P26,W27,X26,G36,H35,O36,P35)</f>
        <v>5</v>
      </c>
      <c r="AF58" s="8">
        <f>SUM(G9,H8,O9,P8,W9,X8,G18,H17,O18,P17,W18,X17,G27,H26,O27,P26,W27,X26,G36,H35,O36,P35,W36,X35)</f>
        <v>6</v>
      </c>
      <c r="AJ58" s="82" t="s">
        <v>241</v>
      </c>
      <c r="AK58" s="82">
        <f>$AC$59</f>
        <v>4</v>
      </c>
      <c r="AL58" s="82" t="s">
        <v>180</v>
      </c>
      <c r="AM58" s="82">
        <f>AC56</f>
        <v>4</v>
      </c>
      <c r="AO58" s="82" t="s">
        <v>242</v>
      </c>
      <c r="AP58" s="82">
        <f>$AC$60</f>
        <v>4</v>
      </c>
      <c r="AQ58" s="82" t="s">
        <v>131</v>
      </c>
      <c r="AR58" s="82">
        <f>AC56</f>
        <v>4</v>
      </c>
    </row>
    <row r="59" spans="3:44" x14ac:dyDescent="0.2">
      <c r="Z59" s="8" t="s">
        <v>108</v>
      </c>
      <c r="AA59" s="103">
        <v>3</v>
      </c>
      <c r="AB59" s="103">
        <v>4</v>
      </c>
      <c r="AC59" s="103">
        <v>4</v>
      </c>
      <c r="AD59" s="103">
        <v>5</v>
      </c>
      <c r="AE59" s="103">
        <v>6</v>
      </c>
      <c r="AF59" s="103">
        <v>6</v>
      </c>
      <c r="AJ59" s="82" t="s">
        <v>241</v>
      </c>
      <c r="AK59" s="82">
        <f>$AC$59</f>
        <v>4</v>
      </c>
      <c r="AL59" s="82" t="s">
        <v>180</v>
      </c>
      <c r="AM59" s="82">
        <f>AC57</f>
        <v>4</v>
      </c>
      <c r="AO59" s="82" t="s">
        <v>242</v>
      </c>
      <c r="AP59" s="82">
        <f>$AC$60</f>
        <v>4</v>
      </c>
      <c r="AQ59" s="82" t="s">
        <v>131</v>
      </c>
      <c r="AR59" s="82">
        <f>AC57</f>
        <v>4</v>
      </c>
    </row>
    <row r="60" spans="3:44" x14ac:dyDescent="0.2">
      <c r="Z60" s="8" t="s">
        <v>106</v>
      </c>
      <c r="AA60" s="103">
        <v>3</v>
      </c>
      <c r="AB60" s="103">
        <v>3</v>
      </c>
      <c r="AC60" s="103">
        <v>4</v>
      </c>
      <c r="AD60" s="103">
        <v>4</v>
      </c>
      <c r="AE60" s="103">
        <v>5</v>
      </c>
      <c r="AF60" s="103">
        <v>6</v>
      </c>
      <c r="AJ60" s="82" t="s">
        <v>241</v>
      </c>
      <c r="AK60" s="82">
        <f>$AC$59</f>
        <v>4</v>
      </c>
      <c r="AL60" s="82" t="s">
        <v>180</v>
      </c>
      <c r="AM60" s="82">
        <f>AC58</f>
        <v>4</v>
      </c>
      <c r="AO60" s="82" t="s">
        <v>242</v>
      </c>
      <c r="AP60" s="82">
        <f>$AC$60</f>
        <v>4</v>
      </c>
      <c r="AQ60" s="82" t="s">
        <v>131</v>
      </c>
      <c r="AR60" s="82">
        <f>AC58</f>
        <v>4</v>
      </c>
    </row>
    <row r="61" spans="3:44" x14ac:dyDescent="0.2">
      <c r="Z61" s="8" t="s">
        <v>243</v>
      </c>
      <c r="AA61" s="81">
        <f>AA59-AA60</f>
        <v>0</v>
      </c>
      <c r="AB61" s="81">
        <f>AB59-AB60</f>
        <v>1</v>
      </c>
      <c r="AC61" s="81">
        <f>AC59-AC60</f>
        <v>0</v>
      </c>
      <c r="AD61" s="81">
        <f>AD59-AD60</f>
        <v>1</v>
      </c>
      <c r="AE61" s="81">
        <f>AE59-AE60</f>
        <v>1</v>
      </c>
      <c r="AF61" s="81">
        <f>AF59-AF60</f>
        <v>0</v>
      </c>
      <c r="AJ61" s="100" t="s">
        <v>244</v>
      </c>
      <c r="AK61" s="82">
        <f>$AD$59</f>
        <v>5</v>
      </c>
      <c r="AL61" s="82" t="s">
        <v>180</v>
      </c>
      <c r="AM61" s="82">
        <f>AD55</f>
        <v>5</v>
      </c>
      <c r="AO61" s="82" t="s">
        <v>245</v>
      </c>
      <c r="AP61" s="82">
        <f>$AD$60</f>
        <v>4</v>
      </c>
      <c r="AQ61" s="82" t="s">
        <v>131</v>
      </c>
      <c r="AR61" s="82">
        <f>AD55</f>
        <v>5</v>
      </c>
    </row>
    <row r="62" spans="3:44" x14ac:dyDescent="0.2">
      <c r="Z62" s="8" t="s">
        <v>246</v>
      </c>
      <c r="AA62" s="81" t="s">
        <v>131</v>
      </c>
      <c r="AB62" s="81" t="s">
        <v>131</v>
      </c>
      <c r="AC62" s="81" t="s">
        <v>131</v>
      </c>
      <c r="AD62" s="81" t="s">
        <v>131</v>
      </c>
      <c r="AE62" s="81" t="s">
        <v>131</v>
      </c>
      <c r="AF62" s="81" t="s">
        <v>131</v>
      </c>
      <c r="AJ62" s="82" t="s">
        <v>244</v>
      </c>
      <c r="AK62" s="82">
        <f>$AD$59</f>
        <v>5</v>
      </c>
      <c r="AL62" s="82" t="s">
        <v>180</v>
      </c>
      <c r="AM62" s="82">
        <f>AD56</f>
        <v>4</v>
      </c>
      <c r="AO62" s="82" t="s">
        <v>245</v>
      </c>
      <c r="AP62" s="82">
        <f>$AD$60</f>
        <v>4</v>
      </c>
      <c r="AQ62" s="82" t="s">
        <v>131</v>
      </c>
      <c r="AR62" s="82">
        <f>AD56</f>
        <v>4</v>
      </c>
    </row>
    <row r="63" spans="3:44" x14ac:dyDescent="0.2">
      <c r="Z63" s="8" t="s">
        <v>237</v>
      </c>
      <c r="AA63" s="81">
        <f>$AZ$5</f>
        <v>1</v>
      </c>
      <c r="AB63" s="81">
        <f>$AZ$5</f>
        <v>1</v>
      </c>
      <c r="AC63" s="81">
        <f>$AZ$5</f>
        <v>1</v>
      </c>
      <c r="AD63" s="81">
        <f>$AZ$5</f>
        <v>1</v>
      </c>
      <c r="AE63" s="81">
        <f>$AZ$5</f>
        <v>1</v>
      </c>
      <c r="AF63" s="81">
        <f>$AZ$5</f>
        <v>1</v>
      </c>
      <c r="AJ63" s="82" t="s">
        <v>244</v>
      </c>
      <c r="AK63" s="82">
        <f>$AD$59</f>
        <v>5</v>
      </c>
      <c r="AL63" s="82" t="s">
        <v>180</v>
      </c>
      <c r="AM63" s="82">
        <f>AD57</f>
        <v>5</v>
      </c>
      <c r="AO63" s="82" t="s">
        <v>245</v>
      </c>
      <c r="AP63" s="82">
        <f>$AD$60</f>
        <v>4</v>
      </c>
      <c r="AQ63" s="82" t="s">
        <v>131</v>
      </c>
      <c r="AR63" s="82">
        <f>AD57</f>
        <v>5</v>
      </c>
    </row>
    <row r="64" spans="3:44" x14ac:dyDescent="0.2">
      <c r="AJ64" s="82" t="s">
        <v>244</v>
      </c>
      <c r="AK64" s="82">
        <f>$AD$59</f>
        <v>5</v>
      </c>
      <c r="AL64" s="82" t="s">
        <v>180</v>
      </c>
      <c r="AM64" s="82">
        <f>AD58</f>
        <v>4</v>
      </c>
      <c r="AO64" s="82" t="s">
        <v>245</v>
      </c>
      <c r="AP64" s="82">
        <f>$AD$60</f>
        <v>4</v>
      </c>
      <c r="AQ64" s="82" t="s">
        <v>131</v>
      </c>
      <c r="AR64" s="82">
        <f>AD58</f>
        <v>4</v>
      </c>
    </row>
    <row r="65" spans="36:44" x14ac:dyDescent="0.2">
      <c r="AJ65" s="100" t="s">
        <v>247</v>
      </c>
      <c r="AK65" s="82">
        <f>$AE$59</f>
        <v>6</v>
      </c>
      <c r="AL65" s="82" t="s">
        <v>180</v>
      </c>
      <c r="AM65" s="82">
        <f>AE55</f>
        <v>6</v>
      </c>
      <c r="AO65" s="82" t="s">
        <v>248</v>
      </c>
      <c r="AP65" s="82">
        <f>$AE$60</f>
        <v>5</v>
      </c>
      <c r="AQ65" s="82" t="s">
        <v>131</v>
      </c>
      <c r="AR65" s="82">
        <f>AE55</f>
        <v>6</v>
      </c>
    </row>
    <row r="66" spans="36:44" x14ac:dyDescent="0.2">
      <c r="AJ66" s="82" t="s">
        <v>247</v>
      </c>
      <c r="AK66" s="82">
        <f>$AE$59</f>
        <v>6</v>
      </c>
      <c r="AL66" s="82" t="s">
        <v>180</v>
      </c>
      <c r="AM66" s="82">
        <f>AE56</f>
        <v>5</v>
      </c>
      <c r="AO66" s="82" t="s">
        <v>248</v>
      </c>
      <c r="AP66" s="82">
        <f>$AE$60</f>
        <v>5</v>
      </c>
      <c r="AQ66" s="82" t="s">
        <v>131</v>
      </c>
      <c r="AR66" s="82">
        <f>AE56</f>
        <v>5</v>
      </c>
    </row>
    <row r="67" spans="36:44" x14ac:dyDescent="0.2">
      <c r="AJ67" s="82" t="s">
        <v>247</v>
      </c>
      <c r="AK67" s="82">
        <f>$AE$59</f>
        <v>6</v>
      </c>
      <c r="AL67" s="82" t="s">
        <v>180</v>
      </c>
      <c r="AM67" s="82">
        <f>AE57</f>
        <v>6</v>
      </c>
      <c r="AO67" s="82" t="s">
        <v>248</v>
      </c>
      <c r="AP67" s="82">
        <f>$AE$60</f>
        <v>5</v>
      </c>
      <c r="AQ67" s="82" t="s">
        <v>131</v>
      </c>
      <c r="AR67" s="82">
        <f>AE57</f>
        <v>6</v>
      </c>
    </row>
    <row r="68" spans="36:44" x14ac:dyDescent="0.2">
      <c r="AJ68" s="82" t="s">
        <v>247</v>
      </c>
      <c r="AK68" s="82">
        <f>$AE$59</f>
        <v>6</v>
      </c>
      <c r="AL68" s="82" t="s">
        <v>180</v>
      </c>
      <c r="AM68" s="82">
        <f>AE58</f>
        <v>5</v>
      </c>
      <c r="AO68" s="82" t="s">
        <v>248</v>
      </c>
      <c r="AP68" s="82">
        <f>$AE$60</f>
        <v>5</v>
      </c>
      <c r="AQ68" s="82" t="s">
        <v>131</v>
      </c>
      <c r="AR68" s="82">
        <f>AE58</f>
        <v>5</v>
      </c>
    </row>
    <row r="69" spans="36:44" x14ac:dyDescent="0.2">
      <c r="AJ69" s="100" t="s">
        <v>249</v>
      </c>
      <c r="AK69" s="82">
        <f>$AF$59</f>
        <v>6</v>
      </c>
      <c r="AL69" s="82" t="s">
        <v>180</v>
      </c>
      <c r="AM69" s="82">
        <f>AF55</f>
        <v>6</v>
      </c>
      <c r="AO69" s="82" t="s">
        <v>250</v>
      </c>
      <c r="AP69" s="82">
        <f>$AF$60</f>
        <v>6</v>
      </c>
      <c r="AQ69" s="82" t="s">
        <v>131</v>
      </c>
      <c r="AR69" s="82">
        <f>AF55</f>
        <v>6</v>
      </c>
    </row>
    <row r="70" spans="36:44" x14ac:dyDescent="0.2">
      <c r="AJ70" s="82" t="s">
        <v>249</v>
      </c>
      <c r="AK70" s="82">
        <f>$AF$59</f>
        <v>6</v>
      </c>
      <c r="AL70" s="82" t="s">
        <v>180</v>
      </c>
      <c r="AM70" s="82">
        <f>AF56</f>
        <v>6</v>
      </c>
      <c r="AO70" s="82" t="s">
        <v>250</v>
      </c>
      <c r="AP70" s="82">
        <f>$AF$60</f>
        <v>6</v>
      </c>
      <c r="AQ70" s="82" t="s">
        <v>131</v>
      </c>
      <c r="AR70" s="82">
        <f>AF56</f>
        <v>6</v>
      </c>
    </row>
    <row r="71" spans="36:44" x14ac:dyDescent="0.2">
      <c r="AJ71" s="82" t="s">
        <v>249</v>
      </c>
      <c r="AK71" s="82">
        <f>$AF$59</f>
        <v>6</v>
      </c>
      <c r="AL71" s="82" t="s">
        <v>180</v>
      </c>
      <c r="AM71" s="82">
        <f>AF57</f>
        <v>6</v>
      </c>
      <c r="AO71" s="82" t="s">
        <v>250</v>
      </c>
      <c r="AP71" s="82">
        <f>$AF$60</f>
        <v>6</v>
      </c>
      <c r="AQ71" s="82" t="s">
        <v>131</v>
      </c>
      <c r="AR71" s="82">
        <f>AF57</f>
        <v>6</v>
      </c>
    </row>
    <row r="72" spans="36:44" x14ac:dyDescent="0.2">
      <c r="AJ72" s="82" t="s">
        <v>249</v>
      </c>
      <c r="AK72" s="82">
        <f>$AF$59</f>
        <v>6</v>
      </c>
      <c r="AL72" s="82" t="s">
        <v>180</v>
      </c>
      <c r="AM72" s="82">
        <f>AF58</f>
        <v>6</v>
      </c>
      <c r="AO72" s="82" t="s">
        <v>250</v>
      </c>
      <c r="AP72" s="82">
        <f>$AF$60</f>
        <v>6</v>
      </c>
      <c r="AQ72" s="82" t="s">
        <v>131</v>
      </c>
      <c r="AR72" s="82">
        <f>AF58</f>
        <v>6</v>
      </c>
    </row>
  </sheetData>
  <mergeCells count="41">
    <mergeCell ref="E43:H43"/>
    <mergeCell ref="C45:C48"/>
    <mergeCell ref="Z53:AF53"/>
    <mergeCell ref="B31:B35"/>
    <mergeCell ref="J31:J35"/>
    <mergeCell ref="R31:R35"/>
    <mergeCell ref="Z41:Z42"/>
    <mergeCell ref="AA41:AF41"/>
    <mergeCell ref="C42:H42"/>
    <mergeCell ref="AE23:AH23"/>
    <mergeCell ref="AJ23:AM23"/>
    <mergeCell ref="AO23:AR23"/>
    <mergeCell ref="C29:G30"/>
    <mergeCell ref="K29:O30"/>
    <mergeCell ref="S29:W30"/>
    <mergeCell ref="C20:G21"/>
    <mergeCell ref="K20:O21"/>
    <mergeCell ref="S20:W21"/>
    <mergeCell ref="Z21:AC21"/>
    <mergeCell ref="B22:B26"/>
    <mergeCell ref="J22:J26"/>
    <mergeCell ref="R22:R26"/>
    <mergeCell ref="Z23:AC23"/>
    <mergeCell ref="C11:G12"/>
    <mergeCell ref="K11:O12"/>
    <mergeCell ref="S11:W12"/>
    <mergeCell ref="B13:B17"/>
    <mergeCell ref="J13:J17"/>
    <mergeCell ref="R13:R17"/>
    <mergeCell ref="AJ3:AM3"/>
    <mergeCell ref="AO3:AR3"/>
    <mergeCell ref="AT3:AW3"/>
    <mergeCell ref="B4:B8"/>
    <mergeCell ref="J4:J7"/>
    <mergeCell ref="R4:R7"/>
    <mergeCell ref="C2:G2"/>
    <mergeCell ref="K2:O3"/>
    <mergeCell ref="S2:W3"/>
    <mergeCell ref="C3:G3"/>
    <mergeCell ref="Z3:AC3"/>
    <mergeCell ref="AE3:AH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9D9-562D-114B-80F9-EEDEABB0806C}">
  <dimension ref="B2:F15"/>
  <sheetViews>
    <sheetView workbookViewId="0">
      <selection activeCell="I21" sqref="I21"/>
    </sheetView>
  </sheetViews>
  <sheetFormatPr baseColWidth="10" defaultRowHeight="15" x14ac:dyDescent="0.2"/>
  <sheetData>
    <row r="2" spans="2:6" x14ac:dyDescent="0.2">
      <c r="B2" s="104" t="s">
        <v>251</v>
      </c>
      <c r="C2" s="105" t="s">
        <v>252</v>
      </c>
      <c r="D2" s="105"/>
      <c r="E2" s="105" t="s">
        <v>253</v>
      </c>
      <c r="F2" s="105"/>
    </row>
    <row r="3" spans="2:6" x14ac:dyDescent="0.2">
      <c r="B3" s="104"/>
      <c r="C3" s="107" t="s">
        <v>2</v>
      </c>
      <c r="D3" s="107" t="s">
        <v>3</v>
      </c>
      <c r="E3" s="107" t="s">
        <v>2</v>
      </c>
      <c r="F3" s="107" t="s">
        <v>3</v>
      </c>
    </row>
    <row r="4" spans="2:6" x14ac:dyDescent="0.2">
      <c r="B4" s="107">
        <v>1</v>
      </c>
      <c r="C4" s="117" t="s">
        <v>35</v>
      </c>
      <c r="D4" s="117" t="s">
        <v>40</v>
      </c>
      <c r="E4" s="116"/>
      <c r="F4" s="116"/>
    </row>
    <row r="5" spans="2:6" x14ac:dyDescent="0.2">
      <c r="B5" s="107">
        <v>2</v>
      </c>
      <c r="C5" s="116"/>
      <c r="D5" s="116"/>
      <c r="E5" s="116"/>
      <c r="F5" s="116"/>
    </row>
    <row r="6" spans="2:6" x14ac:dyDescent="0.2">
      <c r="B6" s="107">
        <v>3</v>
      </c>
      <c r="C6" s="117" t="s">
        <v>28</v>
      </c>
      <c r="D6" s="117" t="s">
        <v>27</v>
      </c>
      <c r="E6" s="116"/>
      <c r="F6" s="116"/>
    </row>
    <row r="7" spans="2:6" x14ac:dyDescent="0.2">
      <c r="B7" s="107">
        <v>4</v>
      </c>
      <c r="C7" s="116"/>
      <c r="D7" s="116"/>
      <c r="E7" s="116"/>
      <c r="F7" s="116"/>
    </row>
    <row r="8" spans="2:6" x14ac:dyDescent="0.2">
      <c r="B8" s="107">
        <v>5</v>
      </c>
      <c r="C8" s="117" t="s">
        <v>40</v>
      </c>
      <c r="D8" s="117" t="s">
        <v>27</v>
      </c>
      <c r="E8" s="116"/>
      <c r="F8" s="116"/>
    </row>
    <row r="9" spans="2:6" x14ac:dyDescent="0.2">
      <c r="B9" s="107">
        <v>6</v>
      </c>
      <c r="C9" s="117" t="s">
        <v>35</v>
      </c>
      <c r="D9" s="117" t="s">
        <v>28</v>
      </c>
      <c r="E9" s="116"/>
      <c r="F9" s="116"/>
    </row>
    <row r="10" spans="2:6" x14ac:dyDescent="0.2">
      <c r="B10" s="107">
        <v>7</v>
      </c>
      <c r="C10" s="117" t="s">
        <v>28</v>
      </c>
      <c r="D10" s="117" t="s">
        <v>27</v>
      </c>
      <c r="E10" s="117" t="s">
        <v>35</v>
      </c>
      <c r="F10" s="117" t="s">
        <v>40</v>
      </c>
    </row>
    <row r="11" spans="2:6" x14ac:dyDescent="0.2">
      <c r="B11" s="107">
        <v>8</v>
      </c>
      <c r="C11" s="117" t="s">
        <v>40</v>
      </c>
      <c r="D11" s="117" t="s">
        <v>27</v>
      </c>
      <c r="E11" s="116"/>
      <c r="F11" s="116"/>
    </row>
    <row r="12" spans="2:6" x14ac:dyDescent="0.2">
      <c r="B12" s="107">
        <v>9</v>
      </c>
      <c r="C12" s="117" t="s">
        <v>35</v>
      </c>
      <c r="D12" s="117" t="s">
        <v>28</v>
      </c>
      <c r="E12" s="116"/>
      <c r="F12" s="116"/>
    </row>
    <row r="13" spans="2:6" x14ac:dyDescent="0.2">
      <c r="B13" s="107">
        <v>10</v>
      </c>
      <c r="C13" s="117" t="s">
        <v>35</v>
      </c>
      <c r="D13" s="117" t="s">
        <v>27</v>
      </c>
      <c r="E13" s="116"/>
      <c r="F13" s="116"/>
    </row>
    <row r="14" spans="2:6" x14ac:dyDescent="0.2">
      <c r="B14" s="107">
        <v>11</v>
      </c>
      <c r="C14" s="117" t="s">
        <v>40</v>
      </c>
      <c r="D14" s="117" t="s">
        <v>28</v>
      </c>
      <c r="E14" s="117" t="s">
        <v>35</v>
      </c>
      <c r="F14" s="117" t="s">
        <v>27</v>
      </c>
    </row>
    <row r="15" spans="2:6" x14ac:dyDescent="0.2">
      <c r="B15" s="107">
        <v>12</v>
      </c>
      <c r="C15" s="117" t="s">
        <v>40</v>
      </c>
      <c r="D15" s="117" t="s">
        <v>28</v>
      </c>
      <c r="E15" s="116"/>
      <c r="F15" s="116"/>
    </row>
  </sheetData>
  <mergeCells count="3">
    <mergeCell ref="B2:B3"/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9273-771D-A841-9812-D46BA8B3CFCE}">
  <sheetPr>
    <tabColor rgb="FFFF0000"/>
  </sheetPr>
  <dimension ref="C2:AF173"/>
  <sheetViews>
    <sheetView zoomScale="80" zoomScaleNormal="80" workbookViewId="0">
      <selection activeCell="H14" sqref="H14"/>
    </sheetView>
  </sheetViews>
  <sheetFormatPr baseColWidth="10" defaultColWidth="8.83203125" defaultRowHeight="15" x14ac:dyDescent="0.2"/>
  <cols>
    <col min="2" max="2" width="11.1640625" customWidth="1"/>
    <col min="3" max="3" width="23.83203125" bestFit="1" customWidth="1"/>
    <col min="4" max="4" width="12.1640625" bestFit="1" customWidth="1"/>
    <col min="5" max="5" width="9.1640625" customWidth="1"/>
    <col min="6" max="6" width="12" customWidth="1"/>
    <col min="7" max="7" width="9.1640625" bestFit="1" customWidth="1"/>
    <col min="8" max="8" width="32.6640625" customWidth="1"/>
    <col min="9" max="9" width="14.5" bestFit="1" customWidth="1"/>
    <col min="10" max="11" width="9.1640625" bestFit="1" customWidth="1"/>
    <col min="12" max="13" width="11.33203125" bestFit="1" customWidth="1"/>
    <col min="14" max="14" width="23.83203125" bestFit="1" customWidth="1"/>
    <col min="15" max="15" width="9.1640625" bestFit="1" customWidth="1"/>
    <col min="16" max="16" width="12" bestFit="1" customWidth="1"/>
    <col min="17" max="17" width="25.83203125" bestFit="1" customWidth="1"/>
    <col min="18" max="18" width="25.5" bestFit="1" customWidth="1"/>
    <col min="19" max="19" width="22" bestFit="1" customWidth="1"/>
    <col min="20" max="20" width="23.5" bestFit="1" customWidth="1"/>
    <col min="21" max="21" width="25.5" bestFit="1" customWidth="1"/>
    <col min="22" max="24" width="9.1640625" bestFit="1" customWidth="1"/>
    <col min="25" max="25" width="10.83203125" bestFit="1" customWidth="1"/>
    <col min="26" max="26" width="13.5" bestFit="1" customWidth="1"/>
  </cols>
  <sheetData>
    <row r="2" spans="3:32" x14ac:dyDescent="0.2">
      <c r="C2" s="119" t="s">
        <v>257</v>
      </c>
      <c r="D2" s="120"/>
      <c r="E2" s="120"/>
      <c r="F2" s="121"/>
      <c r="H2" s="5" t="s">
        <v>1</v>
      </c>
      <c r="I2" s="5"/>
      <c r="L2" t="s">
        <v>2</v>
      </c>
      <c r="M2" t="s">
        <v>3</v>
      </c>
      <c r="N2" t="s">
        <v>5</v>
      </c>
      <c r="O2" t="s">
        <v>75</v>
      </c>
      <c r="P2" t="s">
        <v>76</v>
      </c>
      <c r="Q2" t="s">
        <v>77</v>
      </c>
      <c r="R2" t="s">
        <v>78</v>
      </c>
      <c r="S2" t="s">
        <v>13</v>
      </c>
      <c r="T2" t="s">
        <v>16</v>
      </c>
      <c r="U2" t="s">
        <v>79</v>
      </c>
      <c r="W2" t="s">
        <v>14</v>
      </c>
      <c r="Z2" t="s">
        <v>13</v>
      </c>
    </row>
    <row r="3" spans="3:32" x14ac:dyDescent="0.2">
      <c r="C3" s="108" t="s">
        <v>20</v>
      </c>
      <c r="D3" s="108" t="s">
        <v>80</v>
      </c>
      <c r="E3" s="108" t="s">
        <v>81</v>
      </c>
      <c r="F3" s="108" t="s">
        <v>23</v>
      </c>
      <c r="H3" s="63" t="s">
        <v>4</v>
      </c>
      <c r="I3" s="63" t="s">
        <v>26</v>
      </c>
      <c r="L3" t="s">
        <v>27</v>
      </c>
      <c r="M3" t="s">
        <v>28</v>
      </c>
      <c r="N3" s="63" t="s">
        <v>82</v>
      </c>
      <c r="O3" s="23">
        <v>6355.6112657827498</v>
      </c>
      <c r="P3">
        <f>ROUND(MIN(O3,F4*$I$4), 0)</f>
        <v>5921</v>
      </c>
      <c r="Q3" s="64">
        <f>W3/30</f>
        <v>10.989166869020968</v>
      </c>
      <c r="R3" s="65">
        <f>IF(Q3&gt;$I$18,1,IF(Q3&gt;$I$17,0.2,0))</f>
        <v>0.2</v>
      </c>
      <c r="S3" s="64">
        <f>SUMPRODUCT(P3:P11, $D$4:$D$12)</f>
        <v>33788900</v>
      </c>
      <c r="T3" s="64">
        <f>(1-R3)*S3</f>
        <v>27031120</v>
      </c>
      <c r="U3" s="66">
        <f>SUM(T3:T110)</f>
        <v>408048820</v>
      </c>
      <c r="W3" s="23">
        <v>329.67500607062902</v>
      </c>
      <c r="X3" t="s">
        <v>83</v>
      </c>
      <c r="Z3" s="66">
        <f>T3</f>
        <v>27031120</v>
      </c>
      <c r="AA3" t="s">
        <v>83</v>
      </c>
    </row>
    <row r="4" spans="3:32" x14ac:dyDescent="0.2">
      <c r="C4" s="108" t="s">
        <v>82</v>
      </c>
      <c r="D4" s="108">
        <v>400</v>
      </c>
      <c r="E4" s="108">
        <v>14684</v>
      </c>
      <c r="F4" s="118">
        <f>E4/SUM(E4:E11)</f>
        <v>0.17884198475141891</v>
      </c>
      <c r="H4" s="63" t="s">
        <v>29</v>
      </c>
      <c r="I4" s="63">
        <v>33108</v>
      </c>
      <c r="L4" t="s">
        <v>27</v>
      </c>
      <c r="M4" t="s">
        <v>28</v>
      </c>
      <c r="N4" s="63" t="s">
        <v>84</v>
      </c>
      <c r="O4" s="23">
        <v>13697.133695897375</v>
      </c>
      <c r="P4">
        <f t="shared" ref="P4:P9" si="0">ROUND(MIN(O4,F5*$I$4), 0)</f>
        <v>13478</v>
      </c>
      <c r="Q4" s="64"/>
      <c r="R4" s="65"/>
      <c r="S4" s="64"/>
      <c r="T4" s="64"/>
      <c r="W4" s="23">
        <v>105.50601916538335</v>
      </c>
      <c r="X4" t="s">
        <v>85</v>
      </c>
      <c r="Z4" s="66">
        <f>T12</f>
        <v>30142100</v>
      </c>
      <c r="AA4" t="s">
        <v>85</v>
      </c>
    </row>
    <row r="5" spans="3:32" x14ac:dyDescent="0.2">
      <c r="C5" s="108" t="s">
        <v>84</v>
      </c>
      <c r="D5" s="108">
        <v>500</v>
      </c>
      <c r="E5" s="108">
        <v>33424</v>
      </c>
      <c r="F5" s="118">
        <f>E5/SUM(E4:E11)</f>
        <v>0.40708352617348303</v>
      </c>
      <c r="H5" s="63" t="s">
        <v>32</v>
      </c>
      <c r="I5" s="63">
        <v>35000</v>
      </c>
      <c r="L5" t="s">
        <v>27</v>
      </c>
      <c r="M5" t="s">
        <v>28</v>
      </c>
      <c r="N5" s="63" t="s">
        <v>86</v>
      </c>
      <c r="O5" s="23">
        <v>681.58193514698439</v>
      </c>
      <c r="P5">
        <f t="shared" si="0"/>
        <v>682</v>
      </c>
      <c r="Q5" s="64"/>
      <c r="R5" s="65"/>
      <c r="S5" s="64"/>
      <c r="T5" s="64"/>
      <c r="W5" s="23">
        <v>249.94318788058808</v>
      </c>
      <c r="X5" t="s">
        <v>87</v>
      </c>
      <c r="Z5" s="66">
        <f>T21</f>
        <v>26886000</v>
      </c>
      <c r="AA5" t="s">
        <v>87</v>
      </c>
    </row>
    <row r="6" spans="3:32" x14ac:dyDescent="0.2">
      <c r="C6" s="108" t="s">
        <v>86</v>
      </c>
      <c r="D6" s="108">
        <v>900</v>
      </c>
      <c r="E6" s="108">
        <v>1801</v>
      </c>
      <c r="F6" s="118">
        <f>E6/SUM(E4:E11)</f>
        <v>2.193505955715782E-2</v>
      </c>
      <c r="H6" s="63" t="s">
        <v>34</v>
      </c>
      <c r="I6" s="63">
        <v>50000</v>
      </c>
      <c r="L6" t="s">
        <v>27</v>
      </c>
      <c r="M6" t="s">
        <v>28</v>
      </c>
      <c r="N6" s="63" t="s">
        <v>88</v>
      </c>
      <c r="O6" s="23">
        <v>5695.6634448221812</v>
      </c>
      <c r="P6">
        <f t="shared" si="0"/>
        <v>5696</v>
      </c>
      <c r="Q6" s="64"/>
      <c r="R6" s="65"/>
      <c r="S6" s="64"/>
      <c r="T6" s="64"/>
      <c r="W6" s="23">
        <v>164.20886140853307</v>
      </c>
      <c r="X6" t="s">
        <v>89</v>
      </c>
      <c r="Z6" s="66">
        <f>T30</f>
        <v>35391800</v>
      </c>
      <c r="AA6" t="s">
        <v>89</v>
      </c>
    </row>
    <row r="7" spans="3:32" x14ac:dyDescent="0.2">
      <c r="C7" s="108" t="s">
        <v>88</v>
      </c>
      <c r="D7" s="108">
        <v>1000</v>
      </c>
      <c r="E7" s="108">
        <v>14164</v>
      </c>
      <c r="F7" s="118">
        <f>E7/SUM(E4:E11)</f>
        <v>0.17250870825518233</v>
      </c>
      <c r="H7" s="63" t="s">
        <v>37</v>
      </c>
      <c r="I7" s="63">
        <v>41820</v>
      </c>
      <c r="L7" t="s">
        <v>27</v>
      </c>
      <c r="M7" t="s">
        <v>28</v>
      </c>
      <c r="N7" s="63" t="s">
        <v>90</v>
      </c>
      <c r="O7" s="23">
        <v>3621.1888141117852</v>
      </c>
      <c r="P7">
        <f t="shared" si="0"/>
        <v>3097</v>
      </c>
      <c r="Q7" s="64"/>
      <c r="R7" s="65"/>
      <c r="S7" s="64"/>
      <c r="T7" s="64"/>
      <c r="W7" s="23">
        <v>19.129569728818584</v>
      </c>
      <c r="X7" t="s">
        <v>91</v>
      </c>
      <c r="Z7" s="66">
        <f>T39</f>
        <v>35059000</v>
      </c>
      <c r="AA7" t="s">
        <v>91</v>
      </c>
    </row>
    <row r="8" spans="3:32" x14ac:dyDescent="0.2">
      <c r="C8" s="108" t="s">
        <v>90</v>
      </c>
      <c r="D8" s="108">
        <v>1800</v>
      </c>
      <c r="E8" s="108">
        <v>7681</v>
      </c>
      <c r="F8" s="118">
        <f>E8/SUM(E4:E11)</f>
        <v>9.3549801476140601E-2</v>
      </c>
      <c r="L8" t="s">
        <v>27</v>
      </c>
      <c r="M8" t="s">
        <v>28</v>
      </c>
      <c r="N8" s="63" t="s">
        <v>92</v>
      </c>
      <c r="O8" s="23">
        <v>2691.121662291041</v>
      </c>
      <c r="P8">
        <f t="shared" si="0"/>
        <v>2691</v>
      </c>
      <c r="Q8" s="64"/>
      <c r="R8" s="65"/>
      <c r="S8" s="64"/>
      <c r="T8" s="64"/>
      <c r="W8" s="23">
        <v>200.17562903077871</v>
      </c>
      <c r="X8" t="s">
        <v>93</v>
      </c>
      <c r="Z8" s="66">
        <f>T48</f>
        <v>35314700</v>
      </c>
      <c r="AA8" t="s">
        <v>93</v>
      </c>
    </row>
    <row r="9" spans="3:32" x14ac:dyDescent="0.2">
      <c r="C9" s="108" t="s">
        <v>92</v>
      </c>
      <c r="D9" s="108">
        <v>2100</v>
      </c>
      <c r="E9" s="108">
        <f>7027</f>
        <v>7027</v>
      </c>
      <c r="F9" s="118">
        <f>E9/SUM(E4:E11)</f>
        <v>8.5584488344335366E-2</v>
      </c>
      <c r="H9" s="48"/>
      <c r="I9" s="48"/>
      <c r="L9" t="s">
        <v>27</v>
      </c>
      <c r="M9" t="s">
        <v>28</v>
      </c>
      <c r="N9" s="63" t="s">
        <v>94</v>
      </c>
      <c r="O9" s="23">
        <v>875.36576108148176</v>
      </c>
      <c r="P9">
        <f t="shared" si="0"/>
        <v>843</v>
      </c>
      <c r="Q9" s="64"/>
      <c r="R9" s="65"/>
      <c r="S9" s="64"/>
      <c r="T9" s="64"/>
      <c r="W9" s="23">
        <v>139.01469164350701</v>
      </c>
      <c r="X9" t="s">
        <v>95</v>
      </c>
      <c r="Z9" s="66">
        <f>T57</f>
        <v>36021500</v>
      </c>
      <c r="AA9" t="s">
        <v>95</v>
      </c>
    </row>
    <row r="10" spans="3:32" x14ac:dyDescent="0.2">
      <c r="C10" s="108" t="s">
        <v>94</v>
      </c>
      <c r="D10" s="108">
        <v>3000</v>
      </c>
      <c r="E10" s="108">
        <v>2091</v>
      </c>
      <c r="F10" s="118">
        <f>E10/SUM(E4:E11)</f>
        <v>2.5467079141597446E-2</v>
      </c>
      <c r="H10" s="48"/>
      <c r="I10" s="48"/>
      <c r="L10" t="s">
        <v>27</v>
      </c>
      <c r="M10" t="s">
        <v>28</v>
      </c>
      <c r="N10" s="63" t="s">
        <v>96</v>
      </c>
      <c r="O10" s="23">
        <v>526.61433393058576</v>
      </c>
      <c r="P10">
        <f>ROUND(MIN(O10,F11*$I$4), 0)</f>
        <v>498</v>
      </c>
      <c r="Q10" s="64"/>
      <c r="R10" s="65"/>
      <c r="S10" s="64"/>
      <c r="T10" s="64"/>
      <c r="W10" s="23">
        <v>373.8979390784923</v>
      </c>
      <c r="X10" t="s">
        <v>97</v>
      </c>
      <c r="Z10" s="66">
        <f>T66</f>
        <v>28805200</v>
      </c>
      <c r="AA10" t="s">
        <v>97</v>
      </c>
    </row>
    <row r="11" spans="3:32" x14ac:dyDescent="0.2">
      <c r="C11" s="108" t="s">
        <v>96</v>
      </c>
      <c r="D11" s="108">
        <v>9000</v>
      </c>
      <c r="E11" s="108">
        <f>680+554</f>
        <v>1234</v>
      </c>
      <c r="F11" s="118">
        <f>E11/SUM(E4:E11)</f>
        <v>1.5029352300684482E-2</v>
      </c>
      <c r="L11" t="s">
        <v>27</v>
      </c>
      <c r="M11" t="s">
        <v>28</v>
      </c>
      <c r="N11" s="63" t="s">
        <v>98</v>
      </c>
      <c r="O11" s="23">
        <v>9.4330314446920962</v>
      </c>
      <c r="P11">
        <f>ROUND(O11,0)</f>
        <v>9</v>
      </c>
      <c r="Q11" s="64"/>
      <c r="R11" s="65"/>
      <c r="S11" s="64"/>
      <c r="T11" s="64"/>
      <c r="W11" s="23">
        <v>424.06739069591885</v>
      </c>
      <c r="X11" t="s">
        <v>99</v>
      </c>
      <c r="Z11" s="66">
        <f>T75</f>
        <v>28793200</v>
      </c>
      <c r="AA11" t="s">
        <v>99</v>
      </c>
    </row>
    <row r="12" spans="3:32" x14ac:dyDescent="0.2">
      <c r="C12" t="s">
        <v>98</v>
      </c>
      <c r="D12">
        <v>15000</v>
      </c>
      <c r="E12">
        <v>6</v>
      </c>
      <c r="F12">
        <f>SUM(E6:E11)</f>
        <v>33998</v>
      </c>
      <c r="L12" t="s">
        <v>27</v>
      </c>
      <c r="M12" t="s">
        <v>35</v>
      </c>
      <c r="N12" s="63" t="s">
        <v>82</v>
      </c>
      <c r="O12" s="23">
        <v>0</v>
      </c>
      <c r="P12">
        <f>MIN(O12,F13*$I$4)</f>
        <v>0</v>
      </c>
      <c r="Q12" s="64">
        <f>W4/30</f>
        <v>3.5168673055127782</v>
      </c>
      <c r="R12" s="65">
        <f t="shared" ref="R12" si="1">IF(Q12&gt;$I$18,1,IF(Q12&gt;$I$17,0.2,0))</f>
        <v>0</v>
      </c>
      <c r="S12" s="64">
        <f>SUMPRODUCT(P12:P20, $D$4:$D$12)</f>
        <v>30142100</v>
      </c>
      <c r="T12" s="64">
        <f>(1-R12)*S12</f>
        <v>30142100</v>
      </c>
      <c r="W12" s="23">
        <v>223.51436258819129</v>
      </c>
      <c r="X12" t="s">
        <v>100</v>
      </c>
      <c r="Z12" s="66">
        <f>T84</f>
        <v>41135900</v>
      </c>
      <c r="AA12" t="s">
        <v>100</v>
      </c>
    </row>
    <row r="13" spans="3:32" x14ac:dyDescent="0.2">
      <c r="C13" s="63" t="s">
        <v>101</v>
      </c>
      <c r="D13" s="63">
        <v>20000</v>
      </c>
      <c r="L13" t="s">
        <v>27</v>
      </c>
      <c r="M13" t="s">
        <v>35</v>
      </c>
      <c r="N13" s="63" t="s">
        <v>84</v>
      </c>
      <c r="O13" s="23">
        <v>13658.675926893124</v>
      </c>
      <c r="P13">
        <f t="shared" ref="P13:P19" si="2">ROUND(MIN(O13,F5*$I$4), 0)</f>
        <v>13478</v>
      </c>
      <c r="Q13" s="64"/>
      <c r="R13" s="65"/>
      <c r="S13" s="64"/>
      <c r="T13" s="64"/>
      <c r="W13" s="23">
        <v>218.59132329500369</v>
      </c>
      <c r="X13" t="s">
        <v>102</v>
      </c>
      <c r="Z13" s="66">
        <f>T93</f>
        <v>41776300</v>
      </c>
      <c r="AA13" t="s">
        <v>102</v>
      </c>
    </row>
    <row r="14" spans="3:32" x14ac:dyDescent="0.2">
      <c r="C14" s="63" t="s">
        <v>36</v>
      </c>
      <c r="D14" s="63">
        <f>2500^2</f>
        <v>6250000</v>
      </c>
      <c r="L14" t="s">
        <v>27</v>
      </c>
      <c r="M14" t="s">
        <v>35</v>
      </c>
      <c r="N14" s="63" t="s">
        <v>86</v>
      </c>
      <c r="O14" s="23">
        <v>647.29949434848368</v>
      </c>
      <c r="P14">
        <f t="shared" si="2"/>
        <v>647</v>
      </c>
      <c r="Q14" s="64"/>
      <c r="R14" s="65"/>
      <c r="S14" s="64"/>
      <c r="T14" s="64"/>
      <c r="W14" s="23">
        <v>120.92042886885692</v>
      </c>
      <c r="X14" t="s">
        <v>103</v>
      </c>
      <c r="Z14" s="66">
        <f>T102</f>
        <v>41692000</v>
      </c>
      <c r="AA14" t="s">
        <v>103</v>
      </c>
    </row>
    <row r="15" spans="3:32" x14ac:dyDescent="0.2">
      <c r="C15" s="63" t="s">
        <v>38</v>
      </c>
      <c r="D15" s="63">
        <v>35000</v>
      </c>
      <c r="L15" t="s">
        <v>27</v>
      </c>
      <c r="M15" t="s">
        <v>35</v>
      </c>
      <c r="N15" s="63" t="s">
        <v>88</v>
      </c>
      <c r="O15" s="23">
        <v>5430.8122248794925</v>
      </c>
      <c r="P15">
        <f t="shared" si="2"/>
        <v>5431</v>
      </c>
      <c r="Q15" s="64"/>
      <c r="R15" s="65"/>
      <c r="S15" s="64"/>
      <c r="T15" s="64"/>
      <c r="AF15">
        <v>0</v>
      </c>
    </row>
    <row r="16" spans="3:32" x14ac:dyDescent="0.2">
      <c r="L16" t="s">
        <v>27</v>
      </c>
      <c r="M16" t="s">
        <v>35</v>
      </c>
      <c r="N16" s="63" t="s">
        <v>90</v>
      </c>
      <c r="O16" s="23">
        <v>2803.3361497514102</v>
      </c>
      <c r="P16">
        <f t="shared" si="2"/>
        <v>2803</v>
      </c>
      <c r="Q16" s="64"/>
      <c r="R16" s="65"/>
      <c r="S16" s="64"/>
      <c r="T16" s="64"/>
    </row>
    <row r="17" spans="3:20" x14ac:dyDescent="0.2">
      <c r="C17" s="67" t="s">
        <v>43</v>
      </c>
      <c r="D17" s="68"/>
      <c r="E17" s="68"/>
      <c r="F17" s="69"/>
      <c r="H17" s="63" t="s">
        <v>53</v>
      </c>
      <c r="I17" s="63">
        <v>8</v>
      </c>
      <c r="J17" s="70"/>
      <c r="L17" t="s">
        <v>27</v>
      </c>
      <c r="M17" t="s">
        <v>35</v>
      </c>
      <c r="N17" s="63" t="s">
        <v>92</v>
      </c>
      <c r="O17" s="23">
        <v>2594.0794613031544</v>
      </c>
      <c r="P17">
        <f t="shared" si="2"/>
        <v>2594</v>
      </c>
      <c r="Q17" s="64"/>
      <c r="R17" s="65"/>
      <c r="S17" s="64"/>
      <c r="T17" s="64"/>
    </row>
    <row r="18" spans="3:20" x14ac:dyDescent="0.2">
      <c r="C18" s="4" t="s">
        <v>20</v>
      </c>
      <c r="D18" s="63" t="s">
        <v>46</v>
      </c>
      <c r="E18" s="63" t="s">
        <v>47</v>
      </c>
      <c r="F18" s="63" t="s">
        <v>48</v>
      </c>
      <c r="H18" s="63" t="s">
        <v>54</v>
      </c>
      <c r="I18" s="63">
        <v>17</v>
      </c>
      <c r="J18" s="70"/>
      <c r="L18" t="s">
        <v>27</v>
      </c>
      <c r="M18" t="s">
        <v>35</v>
      </c>
      <c r="N18" s="63" t="s">
        <v>94</v>
      </c>
      <c r="O18" s="23">
        <v>799.85433748923469</v>
      </c>
      <c r="P18">
        <f t="shared" si="2"/>
        <v>800</v>
      </c>
      <c r="Q18" s="64"/>
      <c r="R18" s="65"/>
      <c r="S18" s="64"/>
      <c r="T18" s="64"/>
    </row>
    <row r="19" spans="3:20" x14ac:dyDescent="0.2">
      <c r="C19" s="63" t="s">
        <v>82</v>
      </c>
      <c r="D19" s="63">
        <f t="shared" ref="D19:D26" si="3">F4*$D$15</f>
        <v>6259.4694662996617</v>
      </c>
      <c r="E19" s="63">
        <f t="shared" ref="E19:E26" si="4">F4^2 * $D$14</f>
        <v>199902.84693641719</v>
      </c>
      <c r="F19" s="63">
        <f t="shared" ref="F19:F26" si="5">SQRT(E19)</f>
        <v>447.10496187854727</v>
      </c>
      <c r="L19" t="s">
        <v>27</v>
      </c>
      <c r="M19" t="s">
        <v>35</v>
      </c>
      <c r="N19" s="63" t="s">
        <v>96</v>
      </c>
      <c r="O19" s="23">
        <v>536.49666368085502</v>
      </c>
      <c r="P19">
        <f t="shared" si="2"/>
        <v>498</v>
      </c>
      <c r="Q19" s="64"/>
      <c r="R19" s="65"/>
      <c r="S19" s="64"/>
      <c r="T19" s="64"/>
    </row>
    <row r="20" spans="3:20" x14ac:dyDescent="0.2">
      <c r="C20" s="63" t="s">
        <v>84</v>
      </c>
      <c r="D20" s="63">
        <f t="shared" si="3"/>
        <v>14247.923416071906</v>
      </c>
      <c r="E20" s="63">
        <f t="shared" si="4"/>
        <v>1035731.2330114802</v>
      </c>
      <c r="F20" s="63">
        <f t="shared" si="5"/>
        <v>1017.7088154337075</v>
      </c>
      <c r="L20" t="s">
        <v>27</v>
      </c>
      <c r="M20" t="s">
        <v>35</v>
      </c>
      <c r="N20" s="63" t="s">
        <v>98</v>
      </c>
      <c r="O20" s="23">
        <v>1.3229483279181251</v>
      </c>
      <c r="P20">
        <f>ROUND(O20,0)</f>
        <v>1</v>
      </c>
      <c r="Q20" s="64"/>
      <c r="R20" s="65"/>
      <c r="S20" s="64"/>
      <c r="T20" s="64"/>
    </row>
    <row r="21" spans="3:20" x14ac:dyDescent="0.2">
      <c r="C21" s="63" t="s">
        <v>86</v>
      </c>
      <c r="D21" s="63">
        <f t="shared" si="3"/>
        <v>767.72708450052369</v>
      </c>
      <c r="E21" s="63">
        <f t="shared" si="4"/>
        <v>3007.167736100379</v>
      </c>
      <c r="F21" s="63">
        <f t="shared" si="5"/>
        <v>54.837648892894549</v>
      </c>
      <c r="L21" t="s">
        <v>27</v>
      </c>
      <c r="M21" t="s">
        <v>40</v>
      </c>
      <c r="N21" s="63" t="s">
        <v>82</v>
      </c>
      <c r="O21" s="23">
        <v>6086.8234102177466</v>
      </c>
      <c r="P21">
        <f t="shared" ref="P21:P28" si="6">ROUND(MIN(O21,F4*$I$4),0)</f>
        <v>5921</v>
      </c>
      <c r="Q21" s="64">
        <f>W5/30</f>
        <v>8.331439596019603</v>
      </c>
      <c r="R21" s="65">
        <f t="shared" ref="R21" si="7">IF(Q21&gt;$I$18,1,IF(Q21&gt;$I$17,0.2,0))</f>
        <v>0.2</v>
      </c>
      <c r="S21" s="64">
        <f>SUMPRODUCT(P21:P29, $D$4:$D$12)</f>
        <v>33607500</v>
      </c>
      <c r="T21" s="64">
        <f>(1-R21)*S21</f>
        <v>26886000</v>
      </c>
    </row>
    <row r="22" spans="3:20" x14ac:dyDescent="0.2">
      <c r="C22" s="63" t="s">
        <v>88</v>
      </c>
      <c r="D22" s="63">
        <f t="shared" si="3"/>
        <v>6037.8047889313812</v>
      </c>
      <c r="E22" s="63">
        <f t="shared" si="4"/>
        <v>185995.34014919758</v>
      </c>
      <c r="F22" s="63">
        <f t="shared" si="5"/>
        <v>431.27177063795585</v>
      </c>
      <c r="L22" t="s">
        <v>27</v>
      </c>
      <c r="M22" t="s">
        <v>40</v>
      </c>
      <c r="N22" s="63" t="s">
        <v>84</v>
      </c>
      <c r="O22" s="23">
        <v>14991.801181479004</v>
      </c>
      <c r="P22">
        <f t="shared" si="6"/>
        <v>13478</v>
      </c>
      <c r="Q22" s="64"/>
      <c r="R22" s="65"/>
      <c r="S22" s="64"/>
      <c r="T22" s="64"/>
    </row>
    <row r="23" spans="3:20" x14ac:dyDescent="0.2">
      <c r="C23" s="63" t="s">
        <v>90</v>
      </c>
      <c r="D23" s="63">
        <f t="shared" si="3"/>
        <v>3274.243051664921</v>
      </c>
      <c r="E23" s="63">
        <f t="shared" si="4"/>
        <v>54697.283476408236</v>
      </c>
      <c r="F23" s="63">
        <f t="shared" si="5"/>
        <v>233.8745036903515</v>
      </c>
      <c r="L23" t="s">
        <v>27</v>
      </c>
      <c r="M23" t="s">
        <v>40</v>
      </c>
      <c r="N23" s="63" t="s">
        <v>86</v>
      </c>
      <c r="O23" s="23">
        <v>751.10115596572325</v>
      </c>
      <c r="P23">
        <f t="shared" si="6"/>
        <v>726</v>
      </c>
      <c r="Q23" s="64"/>
      <c r="R23" s="65"/>
      <c r="S23" s="64"/>
      <c r="T23" s="64"/>
    </row>
    <row r="24" spans="3:20" x14ac:dyDescent="0.2">
      <c r="C24" s="63" t="s">
        <v>92</v>
      </c>
      <c r="D24" s="63">
        <f t="shared" si="3"/>
        <v>2995.4570920517376</v>
      </c>
      <c r="E24" s="63">
        <f t="shared" si="4"/>
        <v>45779.404032260478</v>
      </c>
      <c r="F24" s="63">
        <f t="shared" si="5"/>
        <v>213.96122086083841</v>
      </c>
      <c r="L24" t="s">
        <v>27</v>
      </c>
      <c r="M24" t="s">
        <v>40</v>
      </c>
      <c r="N24" s="63" t="s">
        <v>88</v>
      </c>
      <c r="O24" s="23">
        <v>5540.9769742909948</v>
      </c>
      <c r="P24">
        <f t="shared" si="6"/>
        <v>5541</v>
      </c>
      <c r="Q24" s="64"/>
      <c r="R24" s="65"/>
      <c r="S24" s="64"/>
      <c r="T24" s="64"/>
    </row>
    <row r="25" spans="3:20" x14ac:dyDescent="0.2">
      <c r="C25" s="63" t="s">
        <v>94</v>
      </c>
      <c r="D25" s="63">
        <f t="shared" si="3"/>
        <v>891.34776995591062</v>
      </c>
      <c r="E25" s="63">
        <f t="shared" si="4"/>
        <v>4053.5757500274226</v>
      </c>
      <c r="F25" s="63">
        <f t="shared" si="5"/>
        <v>63.667697853993609</v>
      </c>
      <c r="L25" t="s">
        <v>27</v>
      </c>
      <c r="M25" t="s">
        <v>40</v>
      </c>
      <c r="N25" s="63" t="s">
        <v>90</v>
      </c>
      <c r="O25" s="23">
        <v>2945.3770719000345</v>
      </c>
      <c r="P25">
        <f t="shared" si="6"/>
        <v>2945</v>
      </c>
      <c r="Q25" s="64"/>
      <c r="R25" s="65"/>
      <c r="S25" s="64"/>
      <c r="T25" s="64"/>
    </row>
    <row r="26" spans="3:20" x14ac:dyDescent="0.2">
      <c r="C26" s="63" t="s">
        <v>96</v>
      </c>
      <c r="D26" s="63">
        <f t="shared" si="3"/>
        <v>526.02733052395683</v>
      </c>
      <c r="E26" s="63">
        <f t="shared" si="4"/>
        <v>1411.7589411130621</v>
      </c>
      <c r="F26" s="63">
        <f t="shared" si="5"/>
        <v>37.573380751711206</v>
      </c>
      <c r="L26" t="s">
        <v>27</v>
      </c>
      <c r="M26" t="s">
        <v>40</v>
      </c>
      <c r="N26" s="63" t="s">
        <v>92</v>
      </c>
      <c r="O26" s="23">
        <v>2797.1409076178306</v>
      </c>
      <c r="P26">
        <f t="shared" si="6"/>
        <v>2797</v>
      </c>
      <c r="Q26" s="64"/>
      <c r="R26" s="65"/>
      <c r="S26" s="64"/>
      <c r="T26" s="64"/>
    </row>
    <row r="27" spans="3:20" x14ac:dyDescent="0.2">
      <c r="L27" t="s">
        <v>27</v>
      </c>
      <c r="M27" t="s">
        <v>40</v>
      </c>
      <c r="N27" s="63" t="s">
        <v>94</v>
      </c>
      <c r="O27" s="23">
        <v>933.38229728835972</v>
      </c>
      <c r="P27">
        <f t="shared" si="6"/>
        <v>843</v>
      </c>
      <c r="Q27" s="64"/>
      <c r="R27" s="65"/>
      <c r="S27" s="64"/>
      <c r="T27" s="64"/>
    </row>
    <row r="28" spans="3:20" x14ac:dyDescent="0.2">
      <c r="J28" t="s">
        <v>104</v>
      </c>
      <c r="L28" t="s">
        <v>27</v>
      </c>
      <c r="M28" t="s">
        <v>40</v>
      </c>
      <c r="N28" s="63" t="s">
        <v>96</v>
      </c>
      <c r="O28" s="23">
        <v>463.1533306428525</v>
      </c>
      <c r="P28">
        <f t="shared" si="6"/>
        <v>463</v>
      </c>
      <c r="Q28" s="64"/>
      <c r="R28" s="65"/>
      <c r="S28" s="64"/>
      <c r="T28" s="64"/>
    </row>
    <row r="29" spans="3:20" x14ac:dyDescent="0.2">
      <c r="C29" s="5" t="s">
        <v>105</v>
      </c>
      <c r="D29" s="5"/>
      <c r="E29" s="5"/>
      <c r="F29" s="5"/>
      <c r="L29" t="s">
        <v>27</v>
      </c>
      <c r="M29" t="s">
        <v>40</v>
      </c>
      <c r="N29" s="63" t="s">
        <v>98</v>
      </c>
      <c r="O29" s="23">
        <v>28.775070594225994</v>
      </c>
      <c r="P29">
        <f>ROUND(O29,0)</f>
        <v>29</v>
      </c>
      <c r="Q29" s="64"/>
      <c r="R29" s="65"/>
      <c r="S29" s="64"/>
      <c r="T29" s="64"/>
    </row>
    <row r="30" spans="3:20" x14ac:dyDescent="0.2">
      <c r="C30" s="63" t="s">
        <v>20</v>
      </c>
      <c r="D30" s="63" t="s">
        <v>106</v>
      </c>
      <c r="E30" s="63" t="s">
        <v>107</v>
      </c>
      <c r="F30" s="63" t="s">
        <v>108</v>
      </c>
      <c r="L30" t="s">
        <v>28</v>
      </c>
      <c r="M30" t="s">
        <v>27</v>
      </c>
      <c r="N30" s="63" t="s">
        <v>82</v>
      </c>
      <c r="O30" s="23">
        <v>6284.3262252590084</v>
      </c>
      <c r="P30">
        <f t="shared" ref="P30:P37" si="8">ROUND(MIN(O30,F4*$I$6),0)</f>
        <v>6284</v>
      </c>
      <c r="Q30" s="64">
        <f>W6/30</f>
        <v>5.473628713617769</v>
      </c>
      <c r="R30" s="65">
        <f t="shared" ref="R30" si="9">IF(Q30&gt;$I$18,1,IF(Q30&gt;$I$17,0.2,0))</f>
        <v>0</v>
      </c>
      <c r="S30" s="64">
        <f>SUMPRODUCT(P30:P38, $D$4:$D$12)</f>
        <v>35391800</v>
      </c>
      <c r="T30" s="64">
        <f>(1-R30)*S30</f>
        <v>35391800</v>
      </c>
    </row>
    <row r="31" spans="3:20" x14ac:dyDescent="0.2">
      <c r="C31" s="63" t="s">
        <v>98</v>
      </c>
      <c r="D31" s="63">
        <v>0</v>
      </c>
      <c r="E31" s="63">
        <f>F31/2</f>
        <v>21.375</v>
      </c>
      <c r="F31" s="63">
        <f>0.75*57</f>
        <v>42.75</v>
      </c>
      <c r="L31" t="s">
        <v>28</v>
      </c>
      <c r="M31" t="s">
        <v>27</v>
      </c>
      <c r="N31" s="63" t="s">
        <v>84</v>
      </c>
      <c r="O31" s="23">
        <v>14136.031770957678</v>
      </c>
      <c r="P31">
        <f t="shared" si="8"/>
        <v>14136</v>
      </c>
      <c r="Q31" s="64"/>
      <c r="R31" s="65"/>
      <c r="S31" s="64"/>
      <c r="T31" s="64"/>
    </row>
    <row r="32" spans="3:20" x14ac:dyDescent="0.2">
      <c r="C32" s="1"/>
      <c r="L32" t="s">
        <v>28</v>
      </c>
      <c r="M32" t="s">
        <v>27</v>
      </c>
      <c r="N32" s="63" t="s">
        <v>86</v>
      </c>
      <c r="O32" s="23">
        <v>689.39305510144868</v>
      </c>
      <c r="P32">
        <f t="shared" si="8"/>
        <v>689</v>
      </c>
      <c r="Q32" s="64"/>
      <c r="R32" s="65"/>
      <c r="S32" s="64"/>
      <c r="T32" s="64"/>
    </row>
    <row r="33" spans="3:20" x14ac:dyDescent="0.2">
      <c r="L33" t="s">
        <v>28</v>
      </c>
      <c r="M33" t="s">
        <v>27</v>
      </c>
      <c r="N33" s="63" t="s">
        <v>88</v>
      </c>
      <c r="O33" s="23">
        <v>5934.1385633647324</v>
      </c>
      <c r="P33">
        <f t="shared" si="8"/>
        <v>5934</v>
      </c>
      <c r="Q33" s="64"/>
      <c r="R33" s="65"/>
      <c r="S33" s="64"/>
      <c r="T33" s="64"/>
    </row>
    <row r="34" spans="3:20" x14ac:dyDescent="0.2">
      <c r="C34" s="67" t="s">
        <v>109</v>
      </c>
      <c r="D34" s="68"/>
      <c r="E34" s="68"/>
      <c r="F34" s="69"/>
      <c r="L34" t="s">
        <v>28</v>
      </c>
      <c r="M34" t="s">
        <v>27</v>
      </c>
      <c r="N34" s="63" t="s">
        <v>90</v>
      </c>
      <c r="O34" s="23">
        <v>3294.7759296407644</v>
      </c>
      <c r="P34">
        <f t="shared" si="8"/>
        <v>3295</v>
      </c>
      <c r="Q34" s="64"/>
      <c r="R34" s="65"/>
      <c r="S34" s="64"/>
      <c r="T34" s="64"/>
    </row>
    <row r="35" spans="3:20" x14ac:dyDescent="0.2">
      <c r="C35" s="63" t="s">
        <v>20</v>
      </c>
      <c r="D35" s="63" t="s">
        <v>106</v>
      </c>
      <c r="E35" s="63" t="s">
        <v>107</v>
      </c>
      <c r="F35" s="63" t="s">
        <v>108</v>
      </c>
      <c r="L35" t="s">
        <v>28</v>
      </c>
      <c r="M35" t="s">
        <v>27</v>
      </c>
      <c r="N35" s="63" t="s">
        <v>92</v>
      </c>
      <c r="O35" s="23">
        <v>2990.847002180049</v>
      </c>
      <c r="P35">
        <f t="shared" si="8"/>
        <v>2991</v>
      </c>
      <c r="Q35" s="64"/>
      <c r="R35" s="65"/>
      <c r="S35" s="64"/>
      <c r="T35" s="64"/>
    </row>
    <row r="36" spans="3:20" x14ac:dyDescent="0.2">
      <c r="C36" s="63" t="s">
        <v>98</v>
      </c>
      <c r="D36" s="63">
        <v>0</v>
      </c>
      <c r="E36" s="63">
        <f>3.75</f>
        <v>3.75</v>
      </c>
      <c r="F36" s="63">
        <f>8</f>
        <v>8</v>
      </c>
      <c r="L36" t="s">
        <v>28</v>
      </c>
      <c r="M36" t="s">
        <v>27</v>
      </c>
      <c r="N36" s="63" t="s">
        <v>94</v>
      </c>
      <c r="O36" s="23">
        <v>922.02891618746924</v>
      </c>
      <c r="P36">
        <f t="shared" si="8"/>
        <v>922</v>
      </c>
      <c r="Q36" s="64"/>
      <c r="R36" s="65"/>
      <c r="S36" s="64"/>
      <c r="T36" s="64"/>
    </row>
    <row r="37" spans="3:20" x14ac:dyDescent="0.2">
      <c r="C37" s="48"/>
      <c r="D37" s="48"/>
      <c r="E37" s="48"/>
      <c r="F37" s="48"/>
      <c r="L37" t="s">
        <v>28</v>
      </c>
      <c r="M37" t="s">
        <v>27</v>
      </c>
      <c r="N37" s="63" t="s">
        <v>96</v>
      </c>
      <c r="O37" s="23">
        <v>467.22600408597737</v>
      </c>
      <c r="P37">
        <f t="shared" si="8"/>
        <v>467</v>
      </c>
      <c r="Q37" s="64"/>
      <c r="R37" s="65"/>
      <c r="S37" s="64"/>
      <c r="T37" s="64"/>
    </row>
    <row r="38" spans="3:20" x14ac:dyDescent="0.2">
      <c r="C38" s="48"/>
      <c r="D38" s="48"/>
      <c r="E38" s="48"/>
      <c r="F38" s="48"/>
      <c r="L38" t="s">
        <v>28</v>
      </c>
      <c r="M38" t="s">
        <v>27</v>
      </c>
      <c r="N38" s="63" t="s">
        <v>98</v>
      </c>
      <c r="O38" s="23">
        <v>4.9345128081037029</v>
      </c>
      <c r="P38">
        <f>ROUND(O38,0)</f>
        <v>5</v>
      </c>
      <c r="Q38" s="64"/>
      <c r="R38" s="65"/>
      <c r="S38" s="64"/>
      <c r="T38" s="64"/>
    </row>
    <row r="39" spans="3:20" x14ac:dyDescent="0.2">
      <c r="C39" s="67" t="s">
        <v>110</v>
      </c>
      <c r="D39" s="68"/>
      <c r="E39" s="68"/>
      <c r="F39" s="69"/>
      <c r="L39" t="s">
        <v>28</v>
      </c>
      <c r="M39" t="s">
        <v>35</v>
      </c>
      <c r="N39" s="63" t="s">
        <v>82</v>
      </c>
      <c r="O39" s="23">
        <v>6443.4724679823885</v>
      </c>
      <c r="P39">
        <f t="shared" ref="P39:P46" si="10">ROUND(MIN(O39,F4*$I$6),0)</f>
        <v>6443</v>
      </c>
      <c r="Q39" s="64">
        <f>W7/30</f>
        <v>0.6376523242939528</v>
      </c>
      <c r="R39" s="65">
        <f t="shared" ref="R39" si="11">IF(Q39&gt;$I$18,1,IF(Q39&gt;$I$17,0.2,0))</f>
        <v>0</v>
      </c>
      <c r="S39" s="64">
        <f>SUMPRODUCT(P39:P47, $D$4:$D$12)</f>
        <v>35059000</v>
      </c>
      <c r="T39" s="64">
        <f>(1-R39)*S39</f>
        <v>35059000</v>
      </c>
    </row>
    <row r="40" spans="3:20" x14ac:dyDescent="0.2">
      <c r="C40" s="63" t="s">
        <v>20</v>
      </c>
      <c r="D40" s="63" t="s">
        <v>106</v>
      </c>
      <c r="E40" s="63" t="s">
        <v>107</v>
      </c>
      <c r="F40" s="63" t="s">
        <v>108</v>
      </c>
      <c r="L40" t="s">
        <v>28</v>
      </c>
      <c r="M40" t="s">
        <v>35</v>
      </c>
      <c r="N40" s="63" t="s">
        <v>84</v>
      </c>
      <c r="O40" s="23">
        <v>13670.524080192015</v>
      </c>
      <c r="P40">
        <f t="shared" si="10"/>
        <v>13671</v>
      </c>
      <c r="Q40" s="64"/>
      <c r="R40" s="65"/>
      <c r="S40" s="64"/>
      <c r="T40" s="64"/>
    </row>
    <row r="41" spans="3:20" x14ac:dyDescent="0.2">
      <c r="C41" s="63" t="s">
        <v>98</v>
      </c>
      <c r="D41" s="63">
        <v>0</v>
      </c>
      <c r="E41" s="63">
        <v>3</v>
      </c>
      <c r="F41" s="63">
        <v>6</v>
      </c>
      <c r="L41" t="s">
        <v>28</v>
      </c>
      <c r="M41" t="s">
        <v>35</v>
      </c>
      <c r="N41" s="63" t="s">
        <v>86</v>
      </c>
      <c r="O41" s="23">
        <v>761.03496541250092</v>
      </c>
      <c r="P41">
        <f t="shared" si="10"/>
        <v>761</v>
      </c>
      <c r="Q41" s="64"/>
      <c r="R41" s="65"/>
      <c r="S41" s="64"/>
      <c r="T41" s="64"/>
    </row>
    <row r="42" spans="3:20" x14ac:dyDescent="0.2">
      <c r="C42" s="48"/>
      <c r="D42" s="48"/>
      <c r="E42" s="48"/>
      <c r="F42" s="48"/>
      <c r="L42" t="s">
        <v>28</v>
      </c>
      <c r="M42" t="s">
        <v>35</v>
      </c>
      <c r="N42" s="63" t="s">
        <v>88</v>
      </c>
      <c r="O42" s="23">
        <v>5873.1619851041414</v>
      </c>
      <c r="P42">
        <f t="shared" si="10"/>
        <v>5873</v>
      </c>
      <c r="Q42" s="64"/>
      <c r="R42" s="65"/>
      <c r="S42" s="64"/>
      <c r="T42" s="64"/>
    </row>
    <row r="43" spans="3:20" x14ac:dyDescent="0.2">
      <c r="C43" s="48"/>
      <c r="D43" s="48"/>
      <c r="E43" s="48"/>
      <c r="F43" s="48"/>
      <c r="L43" t="s">
        <v>28</v>
      </c>
      <c r="M43" t="s">
        <v>35</v>
      </c>
      <c r="N43" s="63" t="s">
        <v>90</v>
      </c>
      <c r="O43" s="23">
        <v>3162.7141691559609</v>
      </c>
      <c r="P43">
        <f t="shared" si="10"/>
        <v>3163</v>
      </c>
      <c r="Q43" s="64"/>
      <c r="R43" s="65"/>
      <c r="S43" s="64"/>
      <c r="T43" s="64"/>
    </row>
    <row r="44" spans="3:20" x14ac:dyDescent="0.2">
      <c r="C44" s="67" t="s">
        <v>111</v>
      </c>
      <c r="D44" s="68"/>
      <c r="E44" s="68"/>
      <c r="F44" s="69"/>
      <c r="L44" t="s">
        <v>28</v>
      </c>
      <c r="M44" t="s">
        <v>35</v>
      </c>
      <c r="N44" s="63" t="s">
        <v>92</v>
      </c>
      <c r="O44" s="23">
        <v>2899.7846507472841</v>
      </c>
      <c r="P44">
        <f t="shared" si="10"/>
        <v>2900</v>
      </c>
      <c r="Q44" s="64"/>
      <c r="R44" s="65"/>
      <c r="S44" s="64"/>
      <c r="T44" s="64"/>
    </row>
    <row r="45" spans="3:20" x14ac:dyDescent="0.2">
      <c r="C45" s="63" t="s">
        <v>20</v>
      </c>
      <c r="D45" s="63" t="s">
        <v>106</v>
      </c>
      <c r="E45" s="63" t="s">
        <v>107</v>
      </c>
      <c r="F45" s="63" t="s">
        <v>108</v>
      </c>
      <c r="L45" t="s">
        <v>28</v>
      </c>
      <c r="M45" t="s">
        <v>35</v>
      </c>
      <c r="N45" s="63" t="s">
        <v>94</v>
      </c>
      <c r="O45" s="23">
        <v>857.38728218948131</v>
      </c>
      <c r="P45">
        <f t="shared" si="10"/>
        <v>857</v>
      </c>
      <c r="Q45" s="64"/>
      <c r="R45" s="65"/>
      <c r="S45" s="64"/>
      <c r="T45" s="64"/>
    </row>
    <row r="46" spans="3:20" x14ac:dyDescent="0.2">
      <c r="C46" s="63" t="s">
        <v>98</v>
      </c>
      <c r="D46" s="63">
        <v>0</v>
      </c>
      <c r="E46" s="63">
        <v>0</v>
      </c>
      <c r="F46" s="63">
        <v>0</v>
      </c>
      <c r="L46" t="s">
        <v>28</v>
      </c>
      <c r="M46" t="s">
        <v>35</v>
      </c>
      <c r="N46" s="63" t="s">
        <v>96</v>
      </c>
      <c r="O46" s="23">
        <v>515.85838429917169</v>
      </c>
      <c r="P46">
        <f t="shared" si="10"/>
        <v>516</v>
      </c>
      <c r="Q46" s="64"/>
      <c r="R46" s="65"/>
      <c r="S46" s="64"/>
      <c r="T46" s="64"/>
    </row>
    <row r="47" spans="3:20" x14ac:dyDescent="0.2">
      <c r="L47" t="s">
        <v>28</v>
      </c>
      <c r="M47" t="s">
        <v>35</v>
      </c>
      <c r="N47" s="63" t="s">
        <v>98</v>
      </c>
      <c r="O47" s="23">
        <v>5.8906844506816531</v>
      </c>
      <c r="P47">
        <f>ROUND(O47,0)</f>
        <v>6</v>
      </c>
      <c r="Q47" s="64"/>
      <c r="R47" s="65"/>
      <c r="S47" s="64"/>
      <c r="T47" s="64"/>
    </row>
    <row r="48" spans="3:20" x14ac:dyDescent="0.2">
      <c r="C48" s="43" t="s">
        <v>55</v>
      </c>
      <c r="D48" s="43" t="s">
        <v>46</v>
      </c>
      <c r="E48" s="43" t="s">
        <v>56</v>
      </c>
      <c r="F48" s="43" t="s">
        <v>57</v>
      </c>
      <c r="G48" s="43" t="s">
        <v>58</v>
      </c>
      <c r="H48" s="43" t="s">
        <v>59</v>
      </c>
      <c r="L48" t="s">
        <v>28</v>
      </c>
      <c r="M48" t="s">
        <v>40</v>
      </c>
      <c r="N48" s="63" t="s">
        <v>82</v>
      </c>
      <c r="O48" s="23">
        <v>5916.1299532139792</v>
      </c>
      <c r="P48">
        <f t="shared" ref="P48:P55" si="12">ROUND(MIN(O48,F4*$I$6),0)</f>
        <v>5916</v>
      </c>
      <c r="Q48" s="64">
        <f>W8/30</f>
        <v>6.6725209676926234</v>
      </c>
      <c r="R48" s="65">
        <f t="shared" ref="R48" si="13">IF(Q48&gt;$I$18,1,IF(Q48&gt;$I$17,0.2,0))</f>
        <v>0</v>
      </c>
      <c r="S48" s="64">
        <f>SUMPRODUCT(P48:P56, $D$4:$D$12)</f>
        <v>35314700</v>
      </c>
      <c r="T48" s="64">
        <f>(1-R48)*S48</f>
        <v>35314700</v>
      </c>
    </row>
    <row r="49" spans="3:20" x14ac:dyDescent="0.2">
      <c r="C49" s="43" t="s">
        <v>60</v>
      </c>
      <c r="D49" s="43">
        <v>82.23</v>
      </c>
      <c r="E49" s="43">
        <v>71.44</v>
      </c>
      <c r="F49" s="43">
        <f>D49*G49</f>
        <v>1.3248834917656176</v>
      </c>
      <c r="G49" s="43">
        <f>D49/E49^2</f>
        <v>1.6111923771927734E-2</v>
      </c>
      <c r="H49" s="43">
        <f>1/G49</f>
        <v>62.065834853459812</v>
      </c>
      <c r="L49" t="s">
        <v>28</v>
      </c>
      <c r="M49" t="s">
        <v>40</v>
      </c>
      <c r="N49" s="63" t="s">
        <v>84</v>
      </c>
      <c r="O49" s="23">
        <v>13876.651050633982</v>
      </c>
      <c r="P49">
        <f t="shared" si="12"/>
        <v>13877</v>
      </c>
      <c r="Q49" s="64"/>
      <c r="R49" s="65"/>
      <c r="S49" s="64"/>
      <c r="T49" s="64"/>
    </row>
    <row r="50" spans="3:20" x14ac:dyDescent="0.2">
      <c r="C50" s="43" t="s">
        <v>61</v>
      </c>
      <c r="D50" s="43">
        <v>69.89</v>
      </c>
      <c r="E50" s="43">
        <v>68.66</v>
      </c>
      <c r="F50" s="43">
        <f t="shared" ref="F50:F52" si="14">D50*G50</f>
        <v>1.0361496455514068</v>
      </c>
      <c r="G50" s="43">
        <f t="shared" ref="G50:G52" si="15">D50/E50^2</f>
        <v>1.4825434905586016E-2</v>
      </c>
      <c r="H50" s="43">
        <f>1/G50</f>
        <v>67.451646873658589</v>
      </c>
      <c r="L50" t="s">
        <v>28</v>
      </c>
      <c r="M50" t="s">
        <v>40</v>
      </c>
      <c r="N50" s="63" t="s">
        <v>86</v>
      </c>
      <c r="O50" s="23">
        <v>716.45011324400014</v>
      </c>
      <c r="P50">
        <f t="shared" si="12"/>
        <v>716</v>
      </c>
      <c r="Q50" s="64"/>
      <c r="R50" s="65"/>
      <c r="S50" s="64"/>
      <c r="T50" s="64"/>
    </row>
    <row r="51" spans="3:20" x14ac:dyDescent="0.2">
      <c r="C51" s="43" t="s">
        <v>62</v>
      </c>
      <c r="D51" s="43">
        <v>96.89</v>
      </c>
      <c r="E51" s="43">
        <v>118.27</v>
      </c>
      <c r="F51" s="43">
        <f t="shared" si="14"/>
        <v>0.67113319214212852</v>
      </c>
      <c r="G51" s="43">
        <f t="shared" si="15"/>
        <v>6.9267539698846994E-3</v>
      </c>
      <c r="H51" s="43">
        <f>1/G51</f>
        <v>144.36776653937454</v>
      </c>
      <c r="L51" t="s">
        <v>28</v>
      </c>
      <c r="M51" t="s">
        <v>40</v>
      </c>
      <c r="N51" s="63" t="s">
        <v>88</v>
      </c>
      <c r="O51" s="23">
        <v>5980.1476347224771</v>
      </c>
      <c r="P51">
        <f t="shared" si="12"/>
        <v>5980</v>
      </c>
      <c r="Q51" s="64"/>
      <c r="R51" s="65"/>
      <c r="S51" s="64"/>
      <c r="T51" s="64"/>
    </row>
    <row r="52" spans="3:20" x14ac:dyDescent="0.2">
      <c r="C52" s="43" t="s">
        <v>63</v>
      </c>
      <c r="D52" s="43">
        <v>47.45</v>
      </c>
      <c r="E52" s="43">
        <v>80.67</v>
      </c>
      <c r="F52" s="43">
        <f t="shared" si="14"/>
        <v>0.34597786921172102</v>
      </c>
      <c r="G52" s="43">
        <f t="shared" si="15"/>
        <v>7.2914197937138251E-3</v>
      </c>
      <c r="H52" s="43">
        <f>1/G52</f>
        <v>137.14750052687037</v>
      </c>
      <c r="L52" t="s">
        <v>28</v>
      </c>
      <c r="M52" t="s">
        <v>40</v>
      </c>
      <c r="N52" s="63" t="s">
        <v>90</v>
      </c>
      <c r="O52" s="23">
        <v>3633.9057494110134</v>
      </c>
      <c r="P52">
        <f t="shared" si="12"/>
        <v>3634</v>
      </c>
      <c r="Q52" s="64"/>
      <c r="R52" s="65"/>
      <c r="S52" s="64"/>
      <c r="T52" s="64"/>
    </row>
    <row r="53" spans="3:20" x14ac:dyDescent="0.2">
      <c r="C53" s="48"/>
      <c r="D53" s="48"/>
      <c r="E53" s="48"/>
      <c r="F53" s="48"/>
      <c r="L53" t="s">
        <v>28</v>
      </c>
      <c r="M53" t="s">
        <v>40</v>
      </c>
      <c r="N53" s="63" t="s">
        <v>92</v>
      </c>
      <c r="O53" s="23">
        <v>2901.5930393795898</v>
      </c>
      <c r="P53">
        <f t="shared" si="12"/>
        <v>2902</v>
      </c>
      <c r="Q53" s="64"/>
      <c r="R53" s="65"/>
      <c r="S53" s="64"/>
      <c r="T53" s="64"/>
    </row>
    <row r="54" spans="3:20" x14ac:dyDescent="0.2">
      <c r="C54" s="48"/>
      <c r="D54" s="48"/>
      <c r="E54" s="48"/>
      <c r="F54" s="48"/>
      <c r="L54" t="s">
        <v>28</v>
      </c>
      <c r="M54" t="s">
        <v>40</v>
      </c>
      <c r="N54" s="63" t="s">
        <v>94</v>
      </c>
      <c r="O54" s="23">
        <v>827.56380266294002</v>
      </c>
      <c r="P54">
        <f t="shared" si="12"/>
        <v>828</v>
      </c>
      <c r="Q54" s="64"/>
      <c r="R54" s="65"/>
      <c r="S54" s="64"/>
      <c r="T54" s="64"/>
    </row>
    <row r="55" spans="3:20" x14ac:dyDescent="0.2">
      <c r="C55" s="48"/>
      <c r="D55" s="48"/>
      <c r="E55" s="48"/>
      <c r="F55" s="48"/>
      <c r="L55" t="s">
        <v>28</v>
      </c>
      <c r="M55" t="s">
        <v>40</v>
      </c>
      <c r="N55" s="63" t="s">
        <v>96</v>
      </c>
      <c r="O55" s="23">
        <v>463.66046927374038</v>
      </c>
      <c r="P55">
        <f t="shared" si="12"/>
        <v>464</v>
      </c>
      <c r="Q55" s="64"/>
      <c r="R55" s="65"/>
      <c r="S55" s="64"/>
      <c r="T55" s="64"/>
    </row>
    <row r="56" spans="3:20" x14ac:dyDescent="0.2">
      <c r="C56" s="48"/>
      <c r="D56" s="48"/>
      <c r="E56" s="48"/>
      <c r="F56" s="48"/>
      <c r="L56" t="s">
        <v>28</v>
      </c>
      <c r="M56" t="s">
        <v>40</v>
      </c>
      <c r="N56" s="63" t="s">
        <v>98</v>
      </c>
      <c r="O56" s="23">
        <v>5.9087686617123154</v>
      </c>
      <c r="P56">
        <f>ROUND(O56,0)</f>
        <v>6</v>
      </c>
      <c r="Q56" s="64"/>
      <c r="R56" s="65"/>
      <c r="S56" s="64"/>
      <c r="T56" s="64"/>
    </row>
    <row r="57" spans="3:20" x14ac:dyDescent="0.2">
      <c r="C57" s="48"/>
      <c r="D57" s="48"/>
      <c r="E57" s="48"/>
      <c r="F57" s="48"/>
      <c r="L57" t="s">
        <v>35</v>
      </c>
      <c r="M57" t="s">
        <v>27</v>
      </c>
      <c r="N57" s="63" t="s">
        <v>82</v>
      </c>
      <c r="O57" s="23">
        <v>9564.9224895889456</v>
      </c>
      <c r="P57">
        <f t="shared" ref="P57:P64" si="16">ROUND(MIN(O57,F4*$I$5),0)</f>
        <v>6259</v>
      </c>
      <c r="Q57" s="64">
        <f>W9/30</f>
        <v>4.6338230547835666</v>
      </c>
      <c r="R57" s="65">
        <f t="shared" ref="R57" si="17">IF(Q57&gt;$I$18,1,IF(Q57&gt;$I$17,0.2,0))</f>
        <v>0</v>
      </c>
      <c r="S57" s="64">
        <f>SUMPRODUCT(P57:P65, $D$4:$D$12)</f>
        <v>36021500</v>
      </c>
      <c r="T57" s="64">
        <f>(1-R57)*S57</f>
        <v>36021500</v>
      </c>
    </row>
    <row r="58" spans="3:20" x14ac:dyDescent="0.2">
      <c r="C58" s="48"/>
      <c r="D58" s="48"/>
      <c r="E58" s="48"/>
      <c r="F58" s="48"/>
      <c r="L58" t="s">
        <v>35</v>
      </c>
      <c r="M58" t="s">
        <v>27</v>
      </c>
      <c r="N58" s="63" t="s">
        <v>84</v>
      </c>
      <c r="O58" s="23">
        <v>20896.60824443242</v>
      </c>
      <c r="P58">
        <f t="shared" si="16"/>
        <v>14248</v>
      </c>
      <c r="Q58" s="64"/>
      <c r="R58" s="65"/>
      <c r="S58" s="64"/>
      <c r="T58" s="64"/>
    </row>
    <row r="59" spans="3:20" x14ac:dyDescent="0.2">
      <c r="C59" s="48"/>
      <c r="D59" s="48"/>
      <c r="E59" s="48"/>
      <c r="F59" s="48"/>
      <c r="L59" t="s">
        <v>35</v>
      </c>
      <c r="M59" t="s">
        <v>27</v>
      </c>
      <c r="N59" s="63" t="s">
        <v>86</v>
      </c>
      <c r="O59" s="23">
        <v>977.78710674387378</v>
      </c>
      <c r="P59">
        <f t="shared" si="16"/>
        <v>768</v>
      </c>
      <c r="Q59" s="64"/>
      <c r="R59" s="65"/>
      <c r="S59" s="64"/>
      <c r="T59" s="64"/>
    </row>
    <row r="60" spans="3:20" x14ac:dyDescent="0.2">
      <c r="C60" s="48"/>
      <c r="D60" s="48"/>
      <c r="E60" s="48"/>
      <c r="F60" s="48"/>
      <c r="L60" t="s">
        <v>35</v>
      </c>
      <c r="M60" t="s">
        <v>27</v>
      </c>
      <c r="N60" s="63" t="s">
        <v>88</v>
      </c>
      <c r="O60" s="23">
        <v>7794.3613020703897</v>
      </c>
      <c r="P60">
        <f t="shared" si="16"/>
        <v>6038</v>
      </c>
      <c r="Q60" s="64"/>
      <c r="R60" s="65"/>
      <c r="S60" s="64"/>
      <c r="T60" s="64"/>
    </row>
    <row r="61" spans="3:20" x14ac:dyDescent="0.2">
      <c r="C61" s="46"/>
      <c r="D61" s="46"/>
      <c r="E61" s="46"/>
      <c r="F61" s="46"/>
      <c r="L61" t="s">
        <v>35</v>
      </c>
      <c r="M61" t="s">
        <v>27</v>
      </c>
      <c r="N61" s="63" t="s">
        <v>90</v>
      </c>
      <c r="O61" s="23">
        <v>5011.9652325674488</v>
      </c>
      <c r="P61">
        <f t="shared" si="16"/>
        <v>3274</v>
      </c>
      <c r="Q61" s="64"/>
      <c r="R61" s="65"/>
      <c r="S61" s="64"/>
      <c r="T61" s="64"/>
    </row>
    <row r="62" spans="3:20" x14ac:dyDescent="0.2">
      <c r="C62" s="48"/>
      <c r="D62" s="48"/>
      <c r="E62" s="48"/>
      <c r="F62" s="48"/>
      <c r="L62" t="s">
        <v>35</v>
      </c>
      <c r="M62" t="s">
        <v>27</v>
      </c>
      <c r="N62" s="63" t="s">
        <v>92</v>
      </c>
      <c r="O62" s="23">
        <v>4390.9250097341692</v>
      </c>
      <c r="P62">
        <f t="shared" si="16"/>
        <v>2995</v>
      </c>
      <c r="Q62" s="64"/>
      <c r="R62" s="65"/>
      <c r="S62" s="64"/>
      <c r="T62" s="64"/>
    </row>
    <row r="63" spans="3:20" x14ac:dyDescent="0.2">
      <c r="C63" s="48"/>
      <c r="D63" s="48"/>
      <c r="E63" s="48"/>
      <c r="F63" s="48"/>
      <c r="L63" t="s">
        <v>35</v>
      </c>
      <c r="M63" t="s">
        <v>27</v>
      </c>
      <c r="N63" s="63" t="s">
        <v>94</v>
      </c>
      <c r="O63" s="23">
        <v>1133.5476017233086</v>
      </c>
      <c r="P63">
        <f t="shared" si="16"/>
        <v>891</v>
      </c>
      <c r="Q63" s="64"/>
      <c r="R63" s="65"/>
      <c r="S63" s="64"/>
      <c r="T63" s="64"/>
    </row>
    <row r="64" spans="3:20" x14ac:dyDescent="0.2">
      <c r="C64" s="48"/>
      <c r="D64" s="48"/>
      <c r="E64" s="48"/>
      <c r="F64" s="48"/>
      <c r="L64" t="s">
        <v>35</v>
      </c>
      <c r="M64" t="s">
        <v>27</v>
      </c>
      <c r="N64" s="63" t="s">
        <v>96</v>
      </c>
      <c r="O64" s="23">
        <v>720.69013711685193</v>
      </c>
      <c r="P64">
        <f t="shared" si="16"/>
        <v>526</v>
      </c>
      <c r="Q64" s="64"/>
      <c r="R64" s="65"/>
      <c r="S64" s="64"/>
      <c r="T64" s="64"/>
    </row>
    <row r="65" spans="3:20" x14ac:dyDescent="0.2">
      <c r="C65" s="48"/>
      <c r="D65" s="48"/>
      <c r="E65" s="48"/>
      <c r="F65" s="48"/>
      <c r="L65" t="s">
        <v>35</v>
      </c>
      <c r="M65" t="s">
        <v>27</v>
      </c>
      <c r="N65" s="63" t="s">
        <v>98</v>
      </c>
      <c r="O65" s="23">
        <v>4.8386828780277167</v>
      </c>
      <c r="P65">
        <f>ROUND(O65,0)</f>
        <v>5</v>
      </c>
      <c r="Q65" s="64"/>
      <c r="R65" s="65"/>
      <c r="S65" s="64"/>
      <c r="T65" s="64"/>
    </row>
    <row r="66" spans="3:20" x14ac:dyDescent="0.2">
      <c r="C66" s="48"/>
      <c r="D66" s="48"/>
      <c r="E66" s="48"/>
      <c r="F66" s="48"/>
      <c r="L66" t="s">
        <v>35</v>
      </c>
      <c r="M66" t="s">
        <v>28</v>
      </c>
      <c r="N66" s="63" t="s">
        <v>82</v>
      </c>
      <c r="O66" s="23">
        <v>9167.7890279479234</v>
      </c>
      <c r="P66">
        <f t="shared" ref="P66:P73" si="18">ROUND(MIN(O66,F4*$I$5),0)</f>
        <v>6259</v>
      </c>
      <c r="Q66" s="64">
        <f>W10/30</f>
        <v>12.463264635949743</v>
      </c>
      <c r="R66" s="65">
        <f t="shared" ref="R66" si="19">IF(Q66&gt;$I$18,1,IF(Q66&gt;$I$17,0.2,0))</f>
        <v>0.2</v>
      </c>
      <c r="S66" s="64">
        <f>SUMPRODUCT(P66:P74, $D$4:$D$12)</f>
        <v>36006500</v>
      </c>
      <c r="T66" s="64">
        <f>(1-R66)*S66</f>
        <v>28805200</v>
      </c>
    </row>
    <row r="67" spans="3:20" x14ac:dyDescent="0.2">
      <c r="C67" s="46"/>
      <c r="D67" s="46"/>
      <c r="E67" s="46"/>
      <c r="F67" s="46"/>
      <c r="L67" t="s">
        <v>35</v>
      </c>
      <c r="M67" t="s">
        <v>28</v>
      </c>
      <c r="N67" s="63" t="s">
        <v>84</v>
      </c>
      <c r="O67" s="23">
        <v>19114.913213528594</v>
      </c>
      <c r="P67">
        <f t="shared" si="18"/>
        <v>14248</v>
      </c>
      <c r="Q67" s="64"/>
      <c r="R67" s="65"/>
      <c r="S67" s="64"/>
      <c r="T67" s="64"/>
    </row>
    <row r="68" spans="3:20" x14ac:dyDescent="0.2">
      <c r="C68" s="2"/>
      <c r="D68" s="48"/>
      <c r="E68" s="48"/>
      <c r="F68" s="48"/>
      <c r="L68" t="s">
        <v>35</v>
      </c>
      <c r="M68" t="s">
        <v>28</v>
      </c>
      <c r="N68" s="63" t="s">
        <v>86</v>
      </c>
      <c r="O68" s="23">
        <v>1191.7079509288594</v>
      </c>
      <c r="P68">
        <f t="shared" si="18"/>
        <v>768</v>
      </c>
      <c r="Q68" s="64"/>
      <c r="R68" s="65"/>
      <c r="S68" s="64"/>
      <c r="T68" s="64"/>
    </row>
    <row r="69" spans="3:20" x14ac:dyDescent="0.2">
      <c r="C69" s="48"/>
      <c r="D69" s="48"/>
      <c r="E69" s="48"/>
      <c r="F69" s="48"/>
      <c r="L69" t="s">
        <v>35</v>
      </c>
      <c r="M69" t="s">
        <v>28</v>
      </c>
      <c r="N69" s="63" t="s">
        <v>88</v>
      </c>
      <c r="O69" s="23">
        <v>8702.9557062685271</v>
      </c>
      <c r="P69">
        <f t="shared" si="18"/>
        <v>6038</v>
      </c>
      <c r="Q69" s="64"/>
      <c r="R69" s="65"/>
      <c r="S69" s="64"/>
      <c r="T69" s="64"/>
    </row>
    <row r="70" spans="3:20" x14ac:dyDescent="0.2">
      <c r="C70" s="48"/>
      <c r="D70" s="48"/>
      <c r="E70" s="48"/>
      <c r="F70" s="48"/>
      <c r="L70" t="s">
        <v>35</v>
      </c>
      <c r="M70" t="s">
        <v>28</v>
      </c>
      <c r="N70" s="63" t="s">
        <v>90</v>
      </c>
      <c r="O70" s="23">
        <v>4912.8112194662945</v>
      </c>
      <c r="P70">
        <f t="shared" si="18"/>
        <v>3274</v>
      </c>
      <c r="Q70" s="64"/>
      <c r="R70" s="65"/>
      <c r="S70" s="64"/>
      <c r="T70" s="64"/>
    </row>
    <row r="71" spans="3:20" x14ac:dyDescent="0.2">
      <c r="C71" s="48"/>
      <c r="D71" s="48"/>
      <c r="E71" s="48"/>
      <c r="F71" s="48"/>
      <c r="L71" t="s">
        <v>35</v>
      </c>
      <c r="M71" t="s">
        <v>28</v>
      </c>
      <c r="N71" s="63" t="s">
        <v>92</v>
      </c>
      <c r="O71" s="23">
        <v>4164.9848446430324</v>
      </c>
      <c r="P71">
        <f t="shared" si="18"/>
        <v>2995</v>
      </c>
      <c r="Q71" s="64"/>
      <c r="R71" s="65"/>
      <c r="S71" s="64"/>
      <c r="T71" s="64"/>
    </row>
    <row r="72" spans="3:20" x14ac:dyDescent="0.2">
      <c r="C72" s="48"/>
      <c r="D72" s="48"/>
      <c r="E72" s="48"/>
      <c r="F72" s="48"/>
      <c r="L72" t="s">
        <v>35</v>
      </c>
      <c r="M72" t="s">
        <v>28</v>
      </c>
      <c r="N72" s="63" t="s">
        <v>94</v>
      </c>
      <c r="O72" s="23">
        <v>1283.6334330195082</v>
      </c>
      <c r="P72">
        <f t="shared" si="18"/>
        <v>891</v>
      </c>
      <c r="Q72" s="64"/>
      <c r="R72" s="65"/>
      <c r="S72" s="64"/>
      <c r="T72" s="64"/>
    </row>
    <row r="73" spans="3:20" x14ac:dyDescent="0.2">
      <c r="C73" s="48"/>
      <c r="D73" s="48"/>
      <c r="E73" s="48"/>
      <c r="F73" s="48"/>
      <c r="L73" t="s">
        <v>35</v>
      </c>
      <c r="M73" t="s">
        <v>28</v>
      </c>
      <c r="N73" s="63" t="s">
        <v>96</v>
      </c>
      <c r="O73" s="23">
        <v>707.26961896672617</v>
      </c>
      <c r="P73">
        <f t="shared" si="18"/>
        <v>526</v>
      </c>
      <c r="Q73" s="64"/>
      <c r="R73" s="65"/>
      <c r="S73" s="64"/>
      <c r="T73" s="64"/>
    </row>
    <row r="74" spans="3:20" x14ac:dyDescent="0.2">
      <c r="C74" s="48"/>
      <c r="D74" s="48"/>
      <c r="E74" s="48"/>
      <c r="F74" s="48"/>
      <c r="L74" t="s">
        <v>35</v>
      </c>
      <c r="M74" t="s">
        <v>28</v>
      </c>
      <c r="N74" s="63" t="s">
        <v>98</v>
      </c>
      <c r="O74" s="23">
        <v>4.354581642218383</v>
      </c>
      <c r="P74">
        <f>ROUND(O74,0)</f>
        <v>4</v>
      </c>
      <c r="Q74" s="64"/>
      <c r="R74" s="65"/>
      <c r="S74" s="64"/>
      <c r="T74" s="64"/>
    </row>
    <row r="75" spans="3:20" x14ac:dyDescent="0.2">
      <c r="C75" s="48"/>
      <c r="D75" s="48"/>
      <c r="E75" s="48"/>
      <c r="F75" s="48"/>
      <c r="L75" t="s">
        <v>35</v>
      </c>
      <c r="M75" t="s">
        <v>40</v>
      </c>
      <c r="N75" s="63" t="s">
        <v>82</v>
      </c>
      <c r="O75" s="23">
        <v>8297.689393657758</v>
      </c>
      <c r="P75">
        <f t="shared" ref="P75:P82" si="20">ROUND(MIN(O75,F4*$I$5),0)</f>
        <v>6259</v>
      </c>
      <c r="Q75" s="64">
        <f>W11/30</f>
        <v>14.135579689863961</v>
      </c>
      <c r="R75" s="65">
        <f t="shared" ref="R75" si="21">IF(Q75&gt;$I$18,1,IF(Q75&gt;$I$17,0.2,0))</f>
        <v>0.2</v>
      </c>
      <c r="S75" s="64">
        <f>SUMPRODUCT(P75:P83, $D$4:$D$12)</f>
        <v>35991500</v>
      </c>
      <c r="T75" s="64">
        <f>(1-R75)*S75</f>
        <v>28793200</v>
      </c>
    </row>
    <row r="76" spans="3:20" x14ac:dyDescent="0.2">
      <c r="C76" s="48"/>
      <c r="D76" s="48"/>
      <c r="E76" s="48"/>
      <c r="F76" s="48"/>
      <c r="L76" t="s">
        <v>35</v>
      </c>
      <c r="M76" t="s">
        <v>40</v>
      </c>
      <c r="N76" s="63" t="s">
        <v>84</v>
      </c>
      <c r="O76" s="23">
        <v>22260.027034484061</v>
      </c>
      <c r="P76">
        <f t="shared" si="20"/>
        <v>14248</v>
      </c>
      <c r="Q76" s="64"/>
      <c r="R76" s="65"/>
      <c r="S76" s="64"/>
      <c r="T76" s="64"/>
    </row>
    <row r="77" spans="3:20" x14ac:dyDescent="0.2">
      <c r="C77" s="48"/>
      <c r="D77" s="48"/>
      <c r="E77" s="48"/>
      <c r="F77" s="48"/>
      <c r="L77" t="s">
        <v>35</v>
      </c>
      <c r="M77" t="s">
        <v>40</v>
      </c>
      <c r="N77" s="63" t="s">
        <v>86</v>
      </c>
      <c r="O77" s="23">
        <v>1061.6011371919358</v>
      </c>
      <c r="P77">
        <f t="shared" si="20"/>
        <v>768</v>
      </c>
      <c r="Q77" s="64"/>
      <c r="R77" s="65"/>
      <c r="S77" s="64"/>
      <c r="T77" s="64"/>
    </row>
    <row r="78" spans="3:20" x14ac:dyDescent="0.2">
      <c r="C78" s="46"/>
      <c r="D78" s="46"/>
      <c r="E78" s="46"/>
      <c r="F78" s="46"/>
      <c r="L78" t="s">
        <v>35</v>
      </c>
      <c r="M78" t="s">
        <v>40</v>
      </c>
      <c r="N78" s="63" t="s">
        <v>88</v>
      </c>
      <c r="O78" s="23">
        <v>8746.5228039025224</v>
      </c>
      <c r="P78">
        <f t="shared" si="20"/>
        <v>6038</v>
      </c>
      <c r="Q78" s="64"/>
      <c r="R78" s="65"/>
      <c r="S78" s="64"/>
      <c r="T78" s="64"/>
    </row>
    <row r="79" spans="3:20" x14ac:dyDescent="0.2">
      <c r="C79" s="48"/>
      <c r="D79" s="48"/>
      <c r="E79" s="48"/>
      <c r="F79" s="48"/>
      <c r="L79" t="s">
        <v>35</v>
      </c>
      <c r="M79" t="s">
        <v>40</v>
      </c>
      <c r="N79" s="63" t="s">
        <v>90</v>
      </c>
      <c r="O79" s="23">
        <v>4486.7135981534875</v>
      </c>
      <c r="P79">
        <f t="shared" si="20"/>
        <v>3274</v>
      </c>
      <c r="Q79" s="64"/>
      <c r="R79" s="65"/>
      <c r="S79" s="64"/>
      <c r="T79" s="64"/>
    </row>
    <row r="80" spans="3:20" x14ac:dyDescent="0.2">
      <c r="C80" s="48"/>
      <c r="D80" s="48"/>
      <c r="E80" s="48"/>
      <c r="F80" s="48"/>
      <c r="L80" t="s">
        <v>35</v>
      </c>
      <c r="M80" t="s">
        <v>40</v>
      </c>
      <c r="N80" s="63" t="s">
        <v>92</v>
      </c>
      <c r="O80" s="23">
        <v>4409.0496243965226</v>
      </c>
      <c r="P80">
        <f t="shared" si="20"/>
        <v>2995</v>
      </c>
      <c r="Q80" s="64"/>
      <c r="R80" s="65"/>
      <c r="S80" s="64"/>
      <c r="T80" s="64"/>
    </row>
    <row r="81" spans="12:20" x14ac:dyDescent="0.2">
      <c r="L81" t="s">
        <v>35</v>
      </c>
      <c r="M81" t="s">
        <v>40</v>
      </c>
      <c r="N81" s="63" t="s">
        <v>94</v>
      </c>
      <c r="O81" s="23">
        <v>1284.2618721106751</v>
      </c>
      <c r="P81">
        <f t="shared" si="20"/>
        <v>891</v>
      </c>
      <c r="Q81" s="64"/>
      <c r="R81" s="65"/>
      <c r="S81" s="64"/>
      <c r="T81" s="64"/>
    </row>
    <row r="82" spans="12:20" x14ac:dyDescent="0.2">
      <c r="L82" t="s">
        <v>35</v>
      </c>
      <c r="M82" t="s">
        <v>40</v>
      </c>
      <c r="N82" s="63" t="s">
        <v>96</v>
      </c>
      <c r="O82" s="23">
        <v>788.4910409070169</v>
      </c>
      <c r="P82">
        <f t="shared" si="20"/>
        <v>526</v>
      </c>
      <c r="Q82" s="64"/>
      <c r="R82" s="65"/>
      <c r="S82" s="64"/>
      <c r="T82" s="64"/>
    </row>
    <row r="83" spans="12:20" x14ac:dyDescent="0.2">
      <c r="L83" t="s">
        <v>35</v>
      </c>
      <c r="M83" t="s">
        <v>40</v>
      </c>
      <c r="N83" s="63" t="s">
        <v>98</v>
      </c>
      <c r="O83" s="23">
        <v>2.6120403192407737</v>
      </c>
      <c r="P83">
        <f>ROUND(O83,0)</f>
        <v>3</v>
      </c>
      <c r="Q83" s="64"/>
      <c r="R83" s="65"/>
      <c r="S83" s="64"/>
      <c r="T83" s="64"/>
    </row>
    <row r="84" spans="12:20" x14ac:dyDescent="0.2">
      <c r="L84" t="s">
        <v>112</v>
      </c>
      <c r="M84" t="s">
        <v>27</v>
      </c>
      <c r="N84" s="63" t="s">
        <v>82</v>
      </c>
      <c r="O84" s="23">
        <v>7266.6185877150801</v>
      </c>
      <c r="P84">
        <f t="shared" ref="P84:P91" si="22">ROUND(MIN(O84,F4*$I$7),0)</f>
        <v>7267</v>
      </c>
      <c r="Q84" s="64">
        <f>W12/30</f>
        <v>7.4504787529397101</v>
      </c>
      <c r="R84" s="65">
        <f t="shared" ref="R84" si="23">IF(Q84&gt;$I$18,1,IF(Q84&gt;$I$17,0.2,0))</f>
        <v>0</v>
      </c>
      <c r="S84" s="64">
        <f>SUMPRODUCT(P84:P92, $D$4:$D$12)</f>
        <v>41135900</v>
      </c>
      <c r="T84" s="64">
        <f>(1-R84)*S84</f>
        <v>41135900</v>
      </c>
    </row>
    <row r="85" spans="12:20" x14ac:dyDescent="0.2">
      <c r="L85" t="s">
        <v>112</v>
      </c>
      <c r="M85" t="s">
        <v>27</v>
      </c>
      <c r="N85" s="63" t="s">
        <v>84</v>
      </c>
      <c r="O85" s="23">
        <v>15265.471768902758</v>
      </c>
      <c r="P85">
        <f t="shared" si="22"/>
        <v>15265</v>
      </c>
      <c r="Q85" s="64"/>
      <c r="R85" s="65"/>
      <c r="S85" s="64"/>
      <c r="T85" s="64"/>
    </row>
    <row r="86" spans="12:20" x14ac:dyDescent="0.2">
      <c r="L86" t="s">
        <v>112</v>
      </c>
      <c r="M86" t="s">
        <v>27</v>
      </c>
      <c r="N86" s="63" t="s">
        <v>86</v>
      </c>
      <c r="O86" s="23">
        <v>877.69665534373451</v>
      </c>
      <c r="P86">
        <f t="shared" si="22"/>
        <v>878</v>
      </c>
      <c r="Q86" s="64"/>
      <c r="R86" s="65"/>
      <c r="S86" s="64"/>
      <c r="T86" s="64"/>
    </row>
    <row r="87" spans="12:20" x14ac:dyDescent="0.2">
      <c r="L87" t="s">
        <v>112</v>
      </c>
      <c r="M87" t="s">
        <v>27</v>
      </c>
      <c r="N87" s="63" t="s">
        <v>88</v>
      </c>
      <c r="O87" s="23">
        <v>7498.29440705861</v>
      </c>
      <c r="P87">
        <f t="shared" si="22"/>
        <v>7214</v>
      </c>
      <c r="Q87" s="64"/>
      <c r="R87" s="65"/>
      <c r="S87" s="64"/>
      <c r="T87" s="64"/>
    </row>
    <row r="88" spans="12:20" x14ac:dyDescent="0.2">
      <c r="L88" t="s">
        <v>112</v>
      </c>
      <c r="M88" t="s">
        <v>27</v>
      </c>
      <c r="N88" s="63" t="s">
        <v>90</v>
      </c>
      <c r="O88" s="23">
        <v>3893.23071578179</v>
      </c>
      <c r="P88">
        <f t="shared" si="22"/>
        <v>3893</v>
      </c>
      <c r="Q88" s="64"/>
      <c r="R88" s="65"/>
      <c r="S88" s="64"/>
      <c r="T88" s="64"/>
    </row>
    <row r="89" spans="12:20" x14ac:dyDescent="0.2">
      <c r="L89" t="s">
        <v>112</v>
      </c>
      <c r="M89" t="s">
        <v>27</v>
      </c>
      <c r="N89" s="63" t="s">
        <v>92</v>
      </c>
      <c r="O89" s="23">
        <v>3419.8817993472776</v>
      </c>
      <c r="P89">
        <f t="shared" si="22"/>
        <v>3420</v>
      </c>
      <c r="Q89" s="64"/>
      <c r="R89" s="65"/>
      <c r="S89" s="64"/>
      <c r="T89" s="64"/>
    </row>
    <row r="90" spans="12:20" x14ac:dyDescent="0.2">
      <c r="L90" t="s">
        <v>112</v>
      </c>
      <c r="M90" t="s">
        <v>27</v>
      </c>
      <c r="N90" s="63" t="s">
        <v>94</v>
      </c>
      <c r="O90" s="23">
        <v>1115.344306526373</v>
      </c>
      <c r="P90">
        <f t="shared" si="22"/>
        <v>1065</v>
      </c>
      <c r="Q90" s="64"/>
      <c r="R90" s="65"/>
      <c r="S90" s="64"/>
      <c r="T90" s="64"/>
    </row>
    <row r="91" spans="12:20" x14ac:dyDescent="0.2">
      <c r="L91" t="s">
        <v>112</v>
      </c>
      <c r="M91" t="s">
        <v>27</v>
      </c>
      <c r="N91" s="63" t="s">
        <v>96</v>
      </c>
      <c r="O91" s="23">
        <v>577.46088187123064</v>
      </c>
      <c r="P91">
        <f t="shared" si="22"/>
        <v>577</v>
      </c>
      <c r="Q91" s="64"/>
      <c r="R91" s="65"/>
      <c r="S91" s="64"/>
      <c r="T91" s="64"/>
    </row>
    <row r="92" spans="12:20" x14ac:dyDescent="0.2">
      <c r="L92" t="s">
        <v>112</v>
      </c>
      <c r="M92" t="s">
        <v>27</v>
      </c>
      <c r="N92" s="63" t="s">
        <v>98</v>
      </c>
      <c r="O92" s="23">
        <v>1.2227712167626281</v>
      </c>
      <c r="P92">
        <f>ROUND(O92,0)</f>
        <v>1</v>
      </c>
      <c r="Q92" s="64"/>
      <c r="R92" s="65"/>
      <c r="S92" s="64"/>
      <c r="T92" s="64"/>
    </row>
    <row r="93" spans="12:20" x14ac:dyDescent="0.2">
      <c r="L93" t="s">
        <v>112</v>
      </c>
      <c r="M93" t="s">
        <v>28</v>
      </c>
      <c r="N93" s="63" t="s">
        <v>82</v>
      </c>
      <c r="O93" s="23">
        <v>7753.0086384814731</v>
      </c>
      <c r="P93">
        <f t="shared" ref="P93:P100" si="24">ROUND(MIN(O93,F4*$I$7),0)</f>
        <v>7479</v>
      </c>
      <c r="Q93" s="64">
        <f>W13/30</f>
        <v>7.2863774431667894</v>
      </c>
      <c r="R93" s="65">
        <f t="shared" ref="R93" si="25">IF(Q93&gt;$I$18,1,IF(Q93&gt;$I$17,0.2,0))</f>
        <v>0</v>
      </c>
      <c r="S93" s="64">
        <f>SUMPRODUCT(P93:P101, $D$4:$D$12)</f>
        <v>41776300</v>
      </c>
      <c r="T93" s="64">
        <f>(1-R93)*S93</f>
        <v>41776300</v>
      </c>
    </row>
    <row r="94" spans="12:20" x14ac:dyDescent="0.2">
      <c r="L94" t="s">
        <v>112</v>
      </c>
      <c r="M94" t="s">
        <v>28</v>
      </c>
      <c r="N94" s="63" t="s">
        <v>84</v>
      </c>
      <c r="O94" s="23">
        <v>15357.645164123749</v>
      </c>
      <c r="P94">
        <f t="shared" si="24"/>
        <v>15358</v>
      </c>
      <c r="Q94" s="64"/>
      <c r="R94" s="65"/>
      <c r="S94" s="64"/>
      <c r="T94" s="64"/>
    </row>
    <row r="95" spans="12:20" x14ac:dyDescent="0.2">
      <c r="L95" t="s">
        <v>112</v>
      </c>
      <c r="M95" t="s">
        <v>28</v>
      </c>
      <c r="N95" s="63" t="s">
        <v>86</v>
      </c>
      <c r="O95" s="23">
        <v>819.61322546541703</v>
      </c>
      <c r="P95">
        <f t="shared" si="24"/>
        <v>820</v>
      </c>
      <c r="Q95" s="64"/>
      <c r="R95" s="65"/>
      <c r="S95" s="64"/>
      <c r="T95" s="64"/>
    </row>
    <row r="96" spans="12:20" x14ac:dyDescent="0.2">
      <c r="L96" t="s">
        <v>112</v>
      </c>
      <c r="M96" t="s">
        <v>28</v>
      </c>
      <c r="N96" s="63" t="s">
        <v>88</v>
      </c>
      <c r="O96" s="23">
        <v>7254.9073081797605</v>
      </c>
      <c r="P96">
        <f t="shared" si="24"/>
        <v>7214</v>
      </c>
      <c r="Q96" s="64"/>
      <c r="R96" s="65"/>
      <c r="S96" s="64"/>
      <c r="T96" s="64"/>
    </row>
    <row r="97" spans="12:20" x14ac:dyDescent="0.2">
      <c r="L97" t="s">
        <v>112</v>
      </c>
      <c r="M97" t="s">
        <v>28</v>
      </c>
      <c r="N97" s="63" t="s">
        <v>90</v>
      </c>
      <c r="O97" s="23">
        <v>3820.7152320050373</v>
      </c>
      <c r="P97">
        <f t="shared" si="24"/>
        <v>3821</v>
      </c>
      <c r="Q97" s="64"/>
      <c r="R97" s="65"/>
      <c r="S97" s="64"/>
      <c r="T97" s="64"/>
    </row>
    <row r="98" spans="12:20" x14ac:dyDescent="0.2">
      <c r="L98" t="s">
        <v>112</v>
      </c>
      <c r="M98" t="s">
        <v>28</v>
      </c>
      <c r="N98" s="63" t="s">
        <v>92</v>
      </c>
      <c r="O98" s="23">
        <v>3611.5040887294067</v>
      </c>
      <c r="P98">
        <f t="shared" si="24"/>
        <v>3579</v>
      </c>
      <c r="Q98" s="64"/>
      <c r="R98" s="65"/>
      <c r="S98" s="64"/>
      <c r="T98" s="64"/>
    </row>
    <row r="99" spans="12:20" x14ac:dyDescent="0.2">
      <c r="L99" t="s">
        <v>112</v>
      </c>
      <c r="M99" t="s">
        <v>28</v>
      </c>
      <c r="N99" s="63" t="s">
        <v>94</v>
      </c>
      <c r="O99" s="23">
        <v>1012.8730012370975</v>
      </c>
      <c r="P99">
        <f t="shared" si="24"/>
        <v>1013</v>
      </c>
      <c r="Q99" s="64"/>
      <c r="R99" s="65"/>
      <c r="S99" s="64"/>
      <c r="T99" s="64"/>
    </row>
    <row r="100" spans="12:20" x14ac:dyDescent="0.2">
      <c r="L100" t="s">
        <v>112</v>
      </c>
      <c r="M100" t="s">
        <v>28</v>
      </c>
      <c r="N100" s="63" t="s">
        <v>96</v>
      </c>
      <c r="O100" s="23">
        <v>652.86570413366621</v>
      </c>
      <c r="P100">
        <f t="shared" si="24"/>
        <v>629</v>
      </c>
      <c r="Q100" s="64"/>
      <c r="R100" s="65"/>
      <c r="S100" s="64"/>
      <c r="T100" s="64"/>
    </row>
    <row r="101" spans="12:20" x14ac:dyDescent="0.2">
      <c r="L101" t="s">
        <v>112</v>
      </c>
      <c r="M101" t="s">
        <v>28</v>
      </c>
      <c r="N101" s="63" t="s">
        <v>98</v>
      </c>
      <c r="O101" s="23">
        <v>4.1052532746763291</v>
      </c>
      <c r="P101">
        <f>ROUND(O101,0)</f>
        <v>4</v>
      </c>
      <c r="Q101" s="64"/>
      <c r="R101" s="65"/>
      <c r="S101" s="64"/>
      <c r="T101" s="64"/>
    </row>
    <row r="102" spans="12:20" x14ac:dyDescent="0.2">
      <c r="L102" t="s">
        <v>112</v>
      </c>
      <c r="M102" t="s">
        <v>35</v>
      </c>
      <c r="N102" s="63" t="s">
        <v>82</v>
      </c>
      <c r="O102" s="23">
        <v>7748.6057734179176</v>
      </c>
      <c r="P102">
        <f t="shared" ref="P102:P109" si="26">ROUND(MIN(O102,F4*$I$7),0)</f>
        <v>7479</v>
      </c>
      <c r="Q102" s="64">
        <f>W14/30</f>
        <v>4.0306809622952304</v>
      </c>
      <c r="R102" s="65">
        <f t="shared" ref="R102" si="27">IF(Q102&gt;$I$18,1,IF(Q102&gt;$I$17,0.2,0))</f>
        <v>0</v>
      </c>
      <c r="S102" s="64">
        <f>SUMPRODUCT(P102:P110, $D$4:$D$12)</f>
        <v>41692000</v>
      </c>
      <c r="T102" s="64">
        <f>(1-R102)*S102</f>
        <v>41692000</v>
      </c>
    </row>
    <row r="103" spans="12:20" x14ac:dyDescent="0.2">
      <c r="L103" t="s">
        <v>112</v>
      </c>
      <c r="M103" t="s">
        <v>35</v>
      </c>
      <c r="N103" s="63" t="s">
        <v>84</v>
      </c>
      <c r="O103" s="23">
        <v>17647.944587321545</v>
      </c>
      <c r="P103">
        <f t="shared" si="26"/>
        <v>17024</v>
      </c>
      <c r="Q103" s="64"/>
      <c r="R103" s="65"/>
      <c r="S103" s="64"/>
      <c r="T103" s="64"/>
    </row>
    <row r="104" spans="12:20" x14ac:dyDescent="0.2">
      <c r="L104" t="s">
        <v>112</v>
      </c>
      <c r="M104" t="s">
        <v>35</v>
      </c>
      <c r="N104" s="63" t="s">
        <v>86</v>
      </c>
      <c r="O104" s="23">
        <v>964.06090400905782</v>
      </c>
      <c r="P104">
        <f t="shared" si="26"/>
        <v>917</v>
      </c>
      <c r="Q104" s="64"/>
      <c r="R104" s="65"/>
      <c r="S104" s="64"/>
      <c r="T104" s="64"/>
    </row>
    <row r="105" spans="12:20" x14ac:dyDescent="0.2">
      <c r="L105" t="s">
        <v>112</v>
      </c>
      <c r="M105" t="s">
        <v>35</v>
      </c>
      <c r="N105" s="63" t="s">
        <v>88</v>
      </c>
      <c r="O105" s="23">
        <v>6782.9391029960616</v>
      </c>
      <c r="P105">
        <f t="shared" si="26"/>
        <v>6783</v>
      </c>
      <c r="Q105" s="64"/>
      <c r="R105" s="65"/>
      <c r="S105" s="64"/>
      <c r="T105" s="64"/>
    </row>
    <row r="106" spans="12:20" x14ac:dyDescent="0.2">
      <c r="L106" t="s">
        <v>112</v>
      </c>
      <c r="M106" t="s">
        <v>35</v>
      </c>
      <c r="N106" s="63" t="s">
        <v>90</v>
      </c>
      <c r="O106" s="23">
        <v>3743.9038609687123</v>
      </c>
      <c r="P106">
        <f t="shared" si="26"/>
        <v>3744</v>
      </c>
      <c r="Q106" s="64"/>
      <c r="R106" s="65"/>
      <c r="S106" s="64"/>
      <c r="T106" s="64"/>
    </row>
    <row r="107" spans="12:20" x14ac:dyDescent="0.2">
      <c r="L107" t="s">
        <v>112</v>
      </c>
      <c r="M107" t="s">
        <v>35</v>
      </c>
      <c r="N107" s="63" t="s">
        <v>92</v>
      </c>
      <c r="O107" s="23">
        <v>3730.9133992863567</v>
      </c>
      <c r="P107">
        <f t="shared" si="26"/>
        <v>3579</v>
      </c>
      <c r="Q107" s="64"/>
      <c r="R107" s="65"/>
      <c r="S107" s="64"/>
      <c r="T107" s="64"/>
    </row>
    <row r="108" spans="12:20" x14ac:dyDescent="0.2">
      <c r="L108" t="s">
        <v>112</v>
      </c>
      <c r="M108" t="s">
        <v>35</v>
      </c>
      <c r="N108" s="63" t="s">
        <v>94</v>
      </c>
      <c r="O108" s="23">
        <v>1026.7316908794301</v>
      </c>
      <c r="P108">
        <f t="shared" si="26"/>
        <v>1027</v>
      </c>
      <c r="Q108" s="64"/>
      <c r="R108" s="65"/>
      <c r="S108" s="64"/>
      <c r="T108" s="64"/>
    </row>
    <row r="109" spans="12:20" x14ac:dyDescent="0.2">
      <c r="L109" t="s">
        <v>112</v>
      </c>
      <c r="M109" t="s">
        <v>35</v>
      </c>
      <c r="N109" s="63" t="s">
        <v>96</v>
      </c>
      <c r="O109" s="23">
        <v>580.75826277451108</v>
      </c>
      <c r="P109">
        <f t="shared" si="26"/>
        <v>581</v>
      </c>
      <c r="Q109" s="64"/>
      <c r="R109" s="65"/>
      <c r="S109" s="64"/>
      <c r="T109" s="64"/>
    </row>
    <row r="110" spans="12:20" x14ac:dyDescent="0.2">
      <c r="L110" t="s">
        <v>112</v>
      </c>
      <c r="M110" t="s">
        <v>35</v>
      </c>
      <c r="N110" s="63" t="s">
        <v>98</v>
      </c>
      <c r="O110" s="23">
        <v>1.2016392581913689</v>
      </c>
      <c r="P110">
        <f>ROUND(O110,0)</f>
        <v>1</v>
      </c>
      <c r="Q110" s="64"/>
      <c r="R110" s="65"/>
      <c r="S110" s="64"/>
      <c r="T110" s="64"/>
    </row>
    <row r="111" spans="12:20" x14ac:dyDescent="0.2">
      <c r="S111" s="50"/>
    </row>
    <row r="112" spans="12:20" x14ac:dyDescent="0.2">
      <c r="S112" s="50"/>
    </row>
    <row r="113" spans="19:19" x14ac:dyDescent="0.2">
      <c r="S113" s="50"/>
    </row>
    <row r="114" spans="19:19" x14ac:dyDescent="0.2">
      <c r="S114" s="50"/>
    </row>
    <row r="115" spans="19:19" x14ac:dyDescent="0.2">
      <c r="S115" s="50"/>
    </row>
    <row r="116" spans="19:19" x14ac:dyDescent="0.2">
      <c r="S116" s="50"/>
    </row>
    <row r="117" spans="19:19" x14ac:dyDescent="0.2">
      <c r="S117" s="50"/>
    </row>
    <row r="118" spans="19:19" x14ac:dyDescent="0.2">
      <c r="S118" s="50"/>
    </row>
    <row r="119" spans="19:19" x14ac:dyDescent="0.2">
      <c r="S119" s="50"/>
    </row>
    <row r="120" spans="19:19" x14ac:dyDescent="0.2">
      <c r="S120" s="50"/>
    </row>
    <row r="121" spans="19:19" x14ac:dyDescent="0.2">
      <c r="S121" s="50"/>
    </row>
    <row r="122" spans="19:19" x14ac:dyDescent="0.2">
      <c r="S122" s="50"/>
    </row>
    <row r="123" spans="19:19" x14ac:dyDescent="0.2">
      <c r="S123" s="50"/>
    </row>
    <row r="124" spans="19:19" x14ac:dyDescent="0.2">
      <c r="S124" s="50"/>
    </row>
    <row r="125" spans="19:19" x14ac:dyDescent="0.2">
      <c r="S125" s="50"/>
    </row>
    <row r="126" spans="19:19" x14ac:dyDescent="0.2">
      <c r="S126" s="50"/>
    </row>
    <row r="127" spans="19:19" x14ac:dyDescent="0.2">
      <c r="S127" s="50"/>
    </row>
    <row r="128" spans="19:19" x14ac:dyDescent="0.2">
      <c r="S128" s="50"/>
    </row>
    <row r="129" spans="19:19" x14ac:dyDescent="0.2">
      <c r="S129" s="50"/>
    </row>
    <row r="130" spans="19:19" x14ac:dyDescent="0.2">
      <c r="S130" s="50"/>
    </row>
    <row r="131" spans="19:19" x14ac:dyDescent="0.2">
      <c r="S131" s="50"/>
    </row>
    <row r="132" spans="19:19" x14ac:dyDescent="0.2">
      <c r="S132" s="50"/>
    </row>
    <row r="133" spans="19:19" x14ac:dyDescent="0.2">
      <c r="S133" s="50"/>
    </row>
    <row r="134" spans="19:19" x14ac:dyDescent="0.2">
      <c r="S134" s="50"/>
    </row>
    <row r="135" spans="19:19" x14ac:dyDescent="0.2">
      <c r="S135" s="50"/>
    </row>
    <row r="136" spans="19:19" x14ac:dyDescent="0.2">
      <c r="S136" s="50"/>
    </row>
    <row r="137" spans="19:19" x14ac:dyDescent="0.2">
      <c r="S137" s="50"/>
    </row>
    <row r="138" spans="19:19" x14ac:dyDescent="0.2">
      <c r="S138" s="50"/>
    </row>
    <row r="139" spans="19:19" x14ac:dyDescent="0.2">
      <c r="S139" s="50"/>
    </row>
    <row r="140" spans="19:19" x14ac:dyDescent="0.2">
      <c r="S140" s="50"/>
    </row>
    <row r="141" spans="19:19" x14ac:dyDescent="0.2">
      <c r="S141" s="50"/>
    </row>
    <row r="142" spans="19:19" x14ac:dyDescent="0.2">
      <c r="S142" s="50"/>
    </row>
    <row r="143" spans="19:19" x14ac:dyDescent="0.2">
      <c r="S143" s="50"/>
    </row>
    <row r="144" spans="19:19" x14ac:dyDescent="0.2">
      <c r="S144" s="50"/>
    </row>
    <row r="145" spans="19:19" x14ac:dyDescent="0.2">
      <c r="S145" s="50"/>
    </row>
    <row r="146" spans="19:19" x14ac:dyDescent="0.2">
      <c r="S146" s="50"/>
    </row>
    <row r="147" spans="19:19" x14ac:dyDescent="0.2">
      <c r="S147" s="50"/>
    </row>
    <row r="148" spans="19:19" x14ac:dyDescent="0.2">
      <c r="S148" s="50"/>
    </row>
    <row r="149" spans="19:19" x14ac:dyDescent="0.2">
      <c r="S149" s="50"/>
    </row>
    <row r="150" spans="19:19" x14ac:dyDescent="0.2">
      <c r="S150" s="50"/>
    </row>
    <row r="151" spans="19:19" x14ac:dyDescent="0.2">
      <c r="S151" s="50"/>
    </row>
    <row r="152" spans="19:19" x14ac:dyDescent="0.2">
      <c r="S152" s="50"/>
    </row>
    <row r="153" spans="19:19" x14ac:dyDescent="0.2">
      <c r="S153" s="50"/>
    </row>
    <row r="154" spans="19:19" x14ac:dyDescent="0.2">
      <c r="S154" s="50"/>
    </row>
    <row r="155" spans="19:19" x14ac:dyDescent="0.2">
      <c r="S155" s="50"/>
    </row>
    <row r="156" spans="19:19" x14ac:dyDescent="0.2">
      <c r="S156" s="50"/>
    </row>
    <row r="157" spans="19:19" x14ac:dyDescent="0.2">
      <c r="S157" s="50"/>
    </row>
    <row r="158" spans="19:19" x14ac:dyDescent="0.2">
      <c r="S158" s="50"/>
    </row>
    <row r="159" spans="19:19" x14ac:dyDescent="0.2">
      <c r="S159" s="50"/>
    </row>
    <row r="160" spans="19:19" x14ac:dyDescent="0.2">
      <c r="S160" s="50"/>
    </row>
    <row r="161" spans="19:19" x14ac:dyDescent="0.2">
      <c r="S161" s="50"/>
    </row>
    <row r="162" spans="19:19" x14ac:dyDescent="0.2">
      <c r="S162" s="50"/>
    </row>
    <row r="163" spans="19:19" x14ac:dyDescent="0.2">
      <c r="S163" s="50"/>
    </row>
    <row r="164" spans="19:19" x14ac:dyDescent="0.2">
      <c r="S164" s="50"/>
    </row>
    <row r="165" spans="19:19" x14ac:dyDescent="0.2">
      <c r="S165" s="50"/>
    </row>
    <row r="166" spans="19:19" x14ac:dyDescent="0.2">
      <c r="S166" s="50"/>
    </row>
    <row r="167" spans="19:19" x14ac:dyDescent="0.2">
      <c r="S167" s="50"/>
    </row>
    <row r="168" spans="19:19" x14ac:dyDescent="0.2">
      <c r="S168" s="50"/>
    </row>
    <row r="169" spans="19:19" x14ac:dyDescent="0.2">
      <c r="S169" s="50"/>
    </row>
    <row r="170" spans="19:19" x14ac:dyDescent="0.2">
      <c r="S170" s="50"/>
    </row>
    <row r="171" spans="19:19" x14ac:dyDescent="0.2">
      <c r="S171" s="50"/>
    </row>
    <row r="172" spans="19:19" x14ac:dyDescent="0.2">
      <c r="S172" s="50"/>
    </row>
    <row r="173" spans="19:19" x14ac:dyDescent="0.2">
      <c r="S173" s="50"/>
    </row>
  </sheetData>
  <mergeCells count="58">
    <mergeCell ref="Q102:Q110"/>
    <mergeCell ref="R102:R110"/>
    <mergeCell ref="S102:S110"/>
    <mergeCell ref="T102:T110"/>
    <mergeCell ref="Q84:Q92"/>
    <mergeCell ref="R84:R92"/>
    <mergeCell ref="S84:S92"/>
    <mergeCell ref="T84:T92"/>
    <mergeCell ref="Q93:Q101"/>
    <mergeCell ref="R93:R101"/>
    <mergeCell ref="S93:S101"/>
    <mergeCell ref="T93:T101"/>
    <mergeCell ref="Q66:Q74"/>
    <mergeCell ref="R66:R74"/>
    <mergeCell ref="S66:S74"/>
    <mergeCell ref="T66:T74"/>
    <mergeCell ref="C67:F67"/>
    <mergeCell ref="Q75:Q83"/>
    <mergeCell ref="R75:R83"/>
    <mergeCell ref="S75:S83"/>
    <mergeCell ref="T75:T83"/>
    <mergeCell ref="C78:F78"/>
    <mergeCell ref="C44:F44"/>
    <mergeCell ref="Q48:Q56"/>
    <mergeCell ref="R48:R56"/>
    <mergeCell ref="S48:S56"/>
    <mergeCell ref="T48:T56"/>
    <mergeCell ref="Q57:Q65"/>
    <mergeCell ref="R57:R65"/>
    <mergeCell ref="S57:S65"/>
    <mergeCell ref="T57:T65"/>
    <mergeCell ref="C61:F61"/>
    <mergeCell ref="Q30:Q38"/>
    <mergeCell ref="R30:R38"/>
    <mergeCell ref="S30:S38"/>
    <mergeCell ref="T30:T38"/>
    <mergeCell ref="C34:F34"/>
    <mergeCell ref="C39:F39"/>
    <mergeCell ref="Q39:Q47"/>
    <mergeCell ref="R39:R47"/>
    <mergeCell ref="S39:S47"/>
    <mergeCell ref="T39:T47"/>
    <mergeCell ref="Q12:Q20"/>
    <mergeCell ref="R12:R20"/>
    <mergeCell ref="S12:S20"/>
    <mergeCell ref="T12:T20"/>
    <mergeCell ref="C17:F17"/>
    <mergeCell ref="Q21:Q29"/>
    <mergeCell ref="R21:R29"/>
    <mergeCell ref="S21:S29"/>
    <mergeCell ref="T21:T29"/>
    <mergeCell ref="C29:F29"/>
    <mergeCell ref="H2:I2"/>
    <mergeCell ref="Q3:Q11"/>
    <mergeCell ref="R3:R11"/>
    <mergeCell ref="S3:S11"/>
    <mergeCell ref="T3:T11"/>
    <mergeCell ref="C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6AD3-A539-1F47-ADB7-D784309F2DA1}">
  <sheetPr>
    <tabColor rgb="FF7030A0"/>
  </sheetPr>
  <dimension ref="A1:AF173"/>
  <sheetViews>
    <sheetView tabSelected="1" zoomScale="106" zoomScaleNormal="70" workbookViewId="0">
      <selection activeCell="B11" sqref="B11:E11"/>
    </sheetView>
  </sheetViews>
  <sheetFormatPr baseColWidth="10" defaultColWidth="8.83203125" defaultRowHeight="15" x14ac:dyDescent="0.2"/>
  <cols>
    <col min="1" max="1" width="11.1640625" customWidth="1"/>
    <col min="2" max="2" width="23.83203125" bestFit="1" customWidth="1"/>
    <col min="3" max="3" width="17.5" bestFit="1" customWidth="1"/>
    <col min="4" max="4" width="12.6640625" bestFit="1" customWidth="1"/>
    <col min="5" max="5" width="12" customWidth="1"/>
    <col min="6" max="6" width="18.5" bestFit="1" customWidth="1"/>
    <col min="7" max="7" width="14.83203125" bestFit="1" customWidth="1"/>
    <col min="8" max="8" width="37.83203125" bestFit="1" customWidth="1"/>
    <col min="9" max="9" width="9.83203125" customWidth="1"/>
    <col min="10" max="11" width="9.1640625" bestFit="1" customWidth="1"/>
    <col min="12" max="13" width="11.33203125" bestFit="1" customWidth="1"/>
    <col min="14" max="14" width="34.5" bestFit="1" customWidth="1"/>
    <col min="15" max="15" width="14.5" style="48" customWidth="1"/>
    <col min="16" max="16" width="13.5" bestFit="1" customWidth="1"/>
    <col min="17" max="17" width="12" bestFit="1" customWidth="1"/>
    <col min="18" max="18" width="9.1640625" bestFit="1" customWidth="1"/>
    <col min="19" max="19" width="25.5" bestFit="1" customWidth="1"/>
    <col min="20" max="20" width="22" bestFit="1" customWidth="1"/>
    <col min="21" max="21" width="23.5" bestFit="1" customWidth="1"/>
    <col min="22" max="22" width="25.5" bestFit="1" customWidth="1"/>
    <col min="23" max="25" width="22" bestFit="1" customWidth="1"/>
    <col min="26" max="26" width="20.5" bestFit="1" customWidth="1"/>
    <col min="27" max="27" width="14" bestFit="1" customWidth="1"/>
  </cols>
  <sheetData>
    <row r="1" spans="1:3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1"/>
      <c r="Q1" s="1"/>
      <c r="R1" s="1"/>
      <c r="S1" s="3"/>
      <c r="T1" s="1"/>
    </row>
    <row r="2" spans="1:32" x14ac:dyDescent="0.2">
      <c r="A2" s="1"/>
      <c r="B2" s="4" t="s">
        <v>0</v>
      </c>
      <c r="C2" s="2"/>
      <c r="D2" s="2"/>
      <c r="E2" s="2"/>
      <c r="F2" s="1"/>
      <c r="G2" s="1"/>
      <c r="H2" s="5" t="s">
        <v>1</v>
      </c>
      <c r="I2" s="5"/>
      <c r="J2" s="1"/>
      <c r="K2" s="1"/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Q2" s="6" t="s">
        <v>7</v>
      </c>
      <c r="R2" s="6" t="s">
        <v>8</v>
      </c>
      <c r="S2" s="7" t="s">
        <v>9</v>
      </c>
      <c r="T2" s="6" t="s">
        <v>10</v>
      </c>
      <c r="U2" s="6" t="s">
        <v>11</v>
      </c>
      <c r="V2" s="6" t="s">
        <v>12</v>
      </c>
      <c r="W2" s="8" t="s">
        <v>13</v>
      </c>
      <c r="X2" s="8" t="s">
        <v>14</v>
      </c>
      <c r="Y2" s="8" t="s">
        <v>15</v>
      </c>
      <c r="Z2" s="9" t="s">
        <v>16</v>
      </c>
      <c r="AA2" s="8" t="s">
        <v>17</v>
      </c>
      <c r="AC2" s="10" t="s">
        <v>14</v>
      </c>
      <c r="AD2" s="6" t="s">
        <v>18</v>
      </c>
      <c r="AF2" s="10" t="s">
        <v>19</v>
      </c>
    </row>
    <row r="3" spans="1:32" x14ac:dyDescent="0.2">
      <c r="A3" s="1"/>
      <c r="B3" s="11" t="s">
        <v>20</v>
      </c>
      <c r="C3" s="4" t="s">
        <v>21</v>
      </c>
      <c r="D3" s="6" t="s">
        <v>22</v>
      </c>
      <c r="E3" s="4" t="s">
        <v>23</v>
      </c>
      <c r="F3" s="12" t="s">
        <v>24</v>
      </c>
      <c r="G3" s="13" t="s">
        <v>25</v>
      </c>
      <c r="H3" s="4" t="s">
        <v>4</v>
      </c>
      <c r="I3" s="4" t="s">
        <v>26</v>
      </c>
      <c r="J3" s="1"/>
      <c r="K3" s="1"/>
      <c r="L3" s="6" t="s">
        <v>27</v>
      </c>
      <c r="M3" s="6" t="s">
        <v>28</v>
      </c>
      <c r="N3" s="4" t="s">
        <v>29</v>
      </c>
      <c r="O3" s="6" t="s">
        <v>30</v>
      </c>
      <c r="P3" s="14">
        <v>21850.403274938817</v>
      </c>
      <c r="Q3" s="15">
        <f>ROUND(MIN(P3,E4*$I$4*F4),0)</f>
        <v>19865</v>
      </c>
      <c r="R3" s="6">
        <f>ROUND(MAX(0, P3-Q3), 0)</f>
        <v>1985</v>
      </c>
      <c r="S3" s="16">
        <v>2633</v>
      </c>
      <c r="T3" s="15">
        <f>ROUND(MIN(S3,E4*$I$4-Q3),0)</f>
        <v>0</v>
      </c>
      <c r="U3" s="17">
        <f>SUMPRODUCT(Q3:Q5,$C$4:$C$6)</f>
        <v>35630200</v>
      </c>
      <c r="V3" s="17">
        <f>SUMPRODUCT(AF3:AF5,$D$4:$D$6)</f>
        <v>720000</v>
      </c>
      <c r="W3" s="18">
        <f>SUM(U3:V3)</f>
        <v>36350200</v>
      </c>
      <c r="X3" s="19">
        <f>AC3/30</f>
        <v>6.795886177781667</v>
      </c>
      <c r="Y3" s="20">
        <f>IF(X3&gt;$I$21,1,IF(X3&gt;$I$20,0.2,0))</f>
        <v>0</v>
      </c>
      <c r="Z3" s="21">
        <f>(1-Y3)*W3</f>
        <v>36350200</v>
      </c>
      <c r="AA3" s="22">
        <f>SUM(Z3:Z38)</f>
        <v>493666960</v>
      </c>
      <c r="AC3" s="23">
        <v>203.87658533345001</v>
      </c>
      <c r="AD3" s="24">
        <f>IF(R3 = 0, 1, R3)</f>
        <v>1985</v>
      </c>
      <c r="AF3">
        <f>MAX(0, T3)</f>
        <v>0</v>
      </c>
    </row>
    <row r="4" spans="1:32" x14ac:dyDescent="0.2">
      <c r="A4" s="1"/>
      <c r="B4" s="4" t="s">
        <v>30</v>
      </c>
      <c r="C4" s="25">
        <v>600</v>
      </c>
      <c r="D4" s="26">
        <f>C4*G4</f>
        <v>1800</v>
      </c>
      <c r="E4" s="27">
        <v>0.6</v>
      </c>
      <c r="F4" s="6">
        <f>$G$10</f>
        <v>1</v>
      </c>
      <c r="G4" s="13">
        <f>$G$9</f>
        <v>3</v>
      </c>
      <c r="H4" s="4" t="s">
        <v>29</v>
      </c>
      <c r="I4" s="4">
        <v>33108</v>
      </c>
      <c r="J4" s="1"/>
      <c r="K4" s="1"/>
      <c r="L4" s="6" t="s">
        <v>27</v>
      </c>
      <c r="M4" s="6" t="s">
        <v>28</v>
      </c>
      <c r="N4" s="4" t="s">
        <v>29</v>
      </c>
      <c r="O4" s="6" t="s">
        <v>31</v>
      </c>
      <c r="P4" s="14">
        <v>11175.180448387435</v>
      </c>
      <c r="Q4" s="15">
        <f t="shared" ref="Q4:Q5" si="0">ROUND(MIN(P4,E5*$I$4*F5),0)</f>
        <v>9932</v>
      </c>
      <c r="R4" s="6">
        <f t="shared" ref="R4:R38" si="1">ROUND(MAX(0, P4-Q4), 0)</f>
        <v>1243</v>
      </c>
      <c r="S4" s="16">
        <v>608</v>
      </c>
      <c r="T4" s="15">
        <f>ROUND(MIN(S4,E5*$I$4-Q4),0)</f>
        <v>0</v>
      </c>
      <c r="U4" s="17"/>
      <c r="V4" s="17"/>
      <c r="W4" s="18"/>
      <c r="X4" s="28"/>
      <c r="Y4" s="29"/>
      <c r="Z4" s="28"/>
      <c r="AC4" s="23">
        <v>142.53850130846533</v>
      </c>
      <c r="AD4" s="24">
        <f>IF(R4 &lt;= 0, 1, R4)</f>
        <v>1243</v>
      </c>
      <c r="AF4">
        <f>MAX(0, T4)</f>
        <v>0</v>
      </c>
    </row>
    <row r="5" spans="1:32" x14ac:dyDescent="0.2">
      <c r="A5" s="1"/>
      <c r="B5" s="4" t="s">
        <v>31</v>
      </c>
      <c r="C5" s="4">
        <v>1600</v>
      </c>
      <c r="D5" s="30">
        <f>C5*G4</f>
        <v>4800</v>
      </c>
      <c r="E5" s="31">
        <v>0.3</v>
      </c>
      <c r="F5" s="6">
        <f t="shared" ref="F5:F6" si="2">$G$10</f>
        <v>1</v>
      </c>
      <c r="G5" s="13">
        <f t="shared" ref="G5:G6" si="3">$G$9</f>
        <v>3</v>
      </c>
      <c r="H5" s="4" t="s">
        <v>32</v>
      </c>
      <c r="I5" s="4">
        <v>35000</v>
      </c>
      <c r="J5" s="1"/>
      <c r="K5" s="1"/>
      <c r="L5" s="6" t="s">
        <v>27</v>
      </c>
      <c r="M5" s="6" t="s">
        <v>28</v>
      </c>
      <c r="N5" s="4" t="s">
        <v>29</v>
      </c>
      <c r="O5" s="6" t="s">
        <v>33</v>
      </c>
      <c r="P5" s="14">
        <v>1564.3068056245538</v>
      </c>
      <c r="Q5" s="15">
        <f t="shared" si="0"/>
        <v>1564</v>
      </c>
      <c r="R5" s="6">
        <f t="shared" si="1"/>
        <v>0</v>
      </c>
      <c r="S5" s="16">
        <v>48</v>
      </c>
      <c r="T5" s="15">
        <f>ROUND(MIN(S5,E6*$I$4-Q5),0)</f>
        <v>48</v>
      </c>
      <c r="U5" s="17"/>
      <c r="V5" s="17"/>
      <c r="W5" s="18"/>
      <c r="X5" s="28"/>
      <c r="Y5" s="29"/>
      <c r="Z5" s="28"/>
      <c r="AC5" s="23">
        <v>143.9203817541808</v>
      </c>
      <c r="AD5" s="24">
        <f>IF(R5 = 0, 1, R5)</f>
        <v>1</v>
      </c>
      <c r="AF5">
        <f>MAX(0, T5)</f>
        <v>48</v>
      </c>
    </row>
    <row r="6" spans="1:32" x14ac:dyDescent="0.2">
      <c r="A6" s="1"/>
      <c r="B6" s="4" t="s">
        <v>33</v>
      </c>
      <c r="C6" s="32">
        <v>5000</v>
      </c>
      <c r="D6" s="6">
        <f>C6*G4</f>
        <v>15000</v>
      </c>
      <c r="E6" s="33">
        <v>0.1</v>
      </c>
      <c r="F6" s="6">
        <f t="shared" si="2"/>
        <v>1</v>
      </c>
      <c r="G6" s="13">
        <f t="shared" si="3"/>
        <v>3</v>
      </c>
      <c r="H6" s="4" t="s">
        <v>34</v>
      </c>
      <c r="I6" s="4">
        <v>50000</v>
      </c>
      <c r="J6" s="1"/>
      <c r="K6" s="1"/>
      <c r="L6" s="6" t="s">
        <v>27</v>
      </c>
      <c r="M6" s="6" t="s">
        <v>35</v>
      </c>
      <c r="N6" s="4" t="s">
        <v>29</v>
      </c>
      <c r="O6" s="6" t="s">
        <v>30</v>
      </c>
      <c r="P6" s="14">
        <v>19887.690087353221</v>
      </c>
      <c r="Q6" s="15">
        <f>ROUND(MIN(P6,E4*$I$4*F4),0)</f>
        <v>19865</v>
      </c>
      <c r="R6" s="6">
        <f t="shared" si="1"/>
        <v>23</v>
      </c>
      <c r="S6" s="16">
        <v>2162</v>
      </c>
      <c r="T6" s="15">
        <f>ROUND(MIN(S6,E4*$I$4-Q6),0)</f>
        <v>0</v>
      </c>
      <c r="U6" s="18">
        <f>SUMPRODUCT(Q6:Q8,$C$4:$C$6)</f>
        <v>37980200</v>
      </c>
      <c r="V6" s="17">
        <f>SUMPRODUCT(AF6:AF8,$D$4:$D$6)</f>
        <v>1635000</v>
      </c>
      <c r="W6" s="18">
        <f>SUM(U6:V6)</f>
        <v>39615200</v>
      </c>
      <c r="X6" s="19">
        <f>AC4/30</f>
        <v>4.7512833769488445</v>
      </c>
      <c r="Y6" s="20">
        <f t="shared" ref="Y6" si="4">IF(X6&gt;$I$21,1,IF(X6&gt;$I$20,0.2,0))</f>
        <v>0</v>
      </c>
      <c r="Z6" s="28">
        <f>(1-Y6)*W6</f>
        <v>39615200</v>
      </c>
      <c r="AC6" s="23">
        <v>32.19634566946992</v>
      </c>
      <c r="AD6" s="24">
        <f>IF(R6 = 0, 1, R6)</f>
        <v>23</v>
      </c>
      <c r="AF6">
        <f>MAX(0, T6)</f>
        <v>0</v>
      </c>
    </row>
    <row r="7" spans="1:32" x14ac:dyDescent="0.2">
      <c r="A7" s="1"/>
      <c r="B7" s="32" t="s">
        <v>36</v>
      </c>
      <c r="C7" s="4">
        <f>2500^2</f>
        <v>6250000</v>
      </c>
      <c r="D7" s="2"/>
      <c r="E7" s="34"/>
      <c r="F7" s="13"/>
      <c r="G7" s="13"/>
      <c r="H7" s="4" t="s">
        <v>37</v>
      </c>
      <c r="I7" s="4">
        <v>41820</v>
      </c>
      <c r="J7" s="1"/>
      <c r="K7" s="1"/>
      <c r="L7" s="6" t="s">
        <v>27</v>
      </c>
      <c r="M7" s="6" t="s">
        <v>35</v>
      </c>
      <c r="N7" s="4" t="s">
        <v>29</v>
      </c>
      <c r="O7" s="6" t="s">
        <v>31</v>
      </c>
      <c r="P7" s="14">
        <v>11695.048555147585</v>
      </c>
      <c r="Q7" s="15">
        <f t="shared" ref="Q7:Q8" si="5">ROUND(MIN(P7,E5*$I$4*F5),0)</f>
        <v>9932</v>
      </c>
      <c r="R7" s="6">
        <f t="shared" si="1"/>
        <v>1763</v>
      </c>
      <c r="S7" s="16">
        <v>711</v>
      </c>
      <c r="T7" s="15">
        <f t="shared" ref="T7" si="6">ROUND(MIN(S7,E5*$I$4-Q7),0)</f>
        <v>0</v>
      </c>
      <c r="U7" s="18"/>
      <c r="V7" s="17"/>
      <c r="W7" s="18"/>
      <c r="X7" s="19"/>
      <c r="Y7" s="29"/>
      <c r="Z7" s="28"/>
      <c r="AC7" s="23">
        <v>285.31890012991164</v>
      </c>
      <c r="AD7" s="24">
        <f>IF(R7 = 0, 1, R7)</f>
        <v>1763</v>
      </c>
      <c r="AF7">
        <f t="shared" ref="AF7:AF38" si="7">MAX(0, T7)</f>
        <v>0</v>
      </c>
    </row>
    <row r="8" spans="1:32" x14ac:dyDescent="0.2">
      <c r="A8" s="1"/>
      <c r="B8" s="4" t="s">
        <v>38</v>
      </c>
      <c r="C8" s="35">
        <v>35000</v>
      </c>
      <c r="D8" s="2"/>
      <c r="E8" s="34"/>
      <c r="F8" s="1"/>
      <c r="G8" s="1"/>
      <c r="H8" s="1"/>
      <c r="I8" s="1"/>
      <c r="J8" s="1"/>
      <c r="K8" s="1"/>
      <c r="L8" s="6" t="s">
        <v>27</v>
      </c>
      <c r="M8" s="6" t="s">
        <v>35</v>
      </c>
      <c r="N8" s="4" t="s">
        <v>29</v>
      </c>
      <c r="O8" s="6" t="s">
        <v>33</v>
      </c>
      <c r="P8" s="14">
        <v>2033.8122962996968</v>
      </c>
      <c r="Q8" s="15">
        <f t="shared" si="5"/>
        <v>2034</v>
      </c>
      <c r="R8" s="6">
        <f t="shared" si="1"/>
        <v>0</v>
      </c>
      <c r="S8" s="16">
        <v>109</v>
      </c>
      <c r="T8" s="15">
        <f>ROUND(MIN(S8,E6*$I$4-Q8),0)</f>
        <v>109</v>
      </c>
      <c r="U8" s="18"/>
      <c r="V8" s="17"/>
      <c r="W8" s="18"/>
      <c r="X8" s="19"/>
      <c r="Y8" s="29"/>
      <c r="Z8" s="28"/>
      <c r="AC8" s="23">
        <v>84.432267376148616</v>
      </c>
      <c r="AD8" s="24">
        <f t="shared" ref="AD8:AD38" si="8">IF(R8 = 0, 1, R8)</f>
        <v>1</v>
      </c>
      <c r="AF8">
        <f t="shared" si="7"/>
        <v>109</v>
      </c>
    </row>
    <row r="9" spans="1:32" x14ac:dyDescent="0.2">
      <c r="A9" s="1"/>
      <c r="B9" s="2"/>
      <c r="C9" s="2"/>
      <c r="D9" s="2"/>
      <c r="E9" s="34"/>
      <c r="F9" s="36" t="s">
        <v>25</v>
      </c>
      <c r="G9" s="36">
        <v>3</v>
      </c>
      <c r="H9" s="37" t="s">
        <v>39</v>
      </c>
      <c r="I9" s="33">
        <v>0.7</v>
      </c>
      <c r="J9" s="1"/>
      <c r="K9" s="1"/>
      <c r="L9" s="6" t="s">
        <v>27</v>
      </c>
      <c r="M9" s="6" t="s">
        <v>40</v>
      </c>
      <c r="N9" s="4" t="s">
        <v>29</v>
      </c>
      <c r="O9" s="6" t="s">
        <v>30</v>
      </c>
      <c r="P9" s="14">
        <v>20687.107445906349</v>
      </c>
      <c r="Q9" s="15">
        <f>ROUND(MIN(P9,E4*$I$4*F4),0)</f>
        <v>19865</v>
      </c>
      <c r="R9" s="6">
        <f t="shared" si="1"/>
        <v>822</v>
      </c>
      <c r="S9" s="16">
        <v>2291</v>
      </c>
      <c r="T9" s="15">
        <f>ROUND(MIN(S9,E4*$I$4-Q9),0)</f>
        <v>0</v>
      </c>
      <c r="U9" s="18">
        <f>SUMPRODUCT(Q9:Q11,$C$4:$C$6)</f>
        <v>36715200</v>
      </c>
      <c r="V9" s="17">
        <f>SUMPRODUCT(AF9:AF11,$D$4:$D$6)</f>
        <v>960000</v>
      </c>
      <c r="W9" s="18">
        <f>SUM(U9:V9)</f>
        <v>37675200</v>
      </c>
      <c r="X9" s="19">
        <f>AC5/30</f>
        <v>4.7973460584726935</v>
      </c>
      <c r="Y9" s="20">
        <f>IF(X9&gt;$I$21,1,IF(X9&gt;$I$20,0.2,0))</f>
        <v>0</v>
      </c>
      <c r="Z9" s="28">
        <f>(1-Y9)*W9</f>
        <v>37675200</v>
      </c>
      <c r="AC9" s="23">
        <v>186.28691509482832</v>
      </c>
      <c r="AD9" s="24">
        <f t="shared" si="8"/>
        <v>822</v>
      </c>
      <c r="AF9">
        <f t="shared" si="7"/>
        <v>0</v>
      </c>
    </row>
    <row r="10" spans="1:32" x14ac:dyDescent="0.2">
      <c r="A10" s="1"/>
      <c r="B10" s="2"/>
      <c r="C10" s="2"/>
      <c r="D10" s="2"/>
      <c r="E10" s="34"/>
      <c r="F10" s="36" t="s">
        <v>41</v>
      </c>
      <c r="G10" s="36">
        <v>1</v>
      </c>
      <c r="H10" s="38" t="s">
        <v>42</v>
      </c>
      <c r="I10" s="39">
        <v>0.3</v>
      </c>
      <c r="J10" s="1"/>
      <c r="K10" s="1"/>
      <c r="L10" s="6" t="s">
        <v>27</v>
      </c>
      <c r="M10" s="6" t="s">
        <v>40</v>
      </c>
      <c r="N10" s="4" t="s">
        <v>29</v>
      </c>
      <c r="O10" s="6" t="s">
        <v>31</v>
      </c>
      <c r="P10" s="14">
        <v>11303.113227858998</v>
      </c>
      <c r="Q10" s="15">
        <f t="shared" ref="Q10:Q11" si="9">ROUND(MIN(P10,E5*$I$4*F5),0)</f>
        <v>9932</v>
      </c>
      <c r="R10" s="6">
        <f>ROUND(MAX(0, P10-Q10), 0)</f>
        <v>1371</v>
      </c>
      <c r="S10" s="16">
        <v>626</v>
      </c>
      <c r="T10" s="15">
        <f t="shared" ref="T10:T11" si="10">ROUND(MIN(S10,E5*$I$4-Q10),0)</f>
        <v>0</v>
      </c>
      <c r="U10" s="18"/>
      <c r="V10" s="17"/>
      <c r="W10" s="18"/>
      <c r="X10" s="19"/>
      <c r="Y10" s="29"/>
      <c r="Z10" s="28"/>
      <c r="AC10" s="23">
        <v>102.46248352433311</v>
      </c>
      <c r="AD10" s="24">
        <f>IF(R10 = 0, 1, R10)</f>
        <v>1371</v>
      </c>
      <c r="AF10">
        <f>MAX(0, T10)</f>
        <v>0</v>
      </c>
    </row>
    <row r="11" spans="1:32" x14ac:dyDescent="0.2">
      <c r="A11" s="1"/>
      <c r="B11" s="5" t="s">
        <v>43</v>
      </c>
      <c r="C11" s="5"/>
      <c r="D11" s="5"/>
      <c r="E11" s="5"/>
      <c r="F11" s="1"/>
      <c r="G11" s="1"/>
      <c r="H11" s="40" t="s">
        <v>44</v>
      </c>
      <c r="I11" s="39">
        <v>0.2</v>
      </c>
      <c r="J11" s="1"/>
      <c r="K11" s="1"/>
      <c r="L11" s="6" t="s">
        <v>27</v>
      </c>
      <c r="M11" s="6" t="s">
        <v>40</v>
      </c>
      <c r="N11" s="4" t="s">
        <v>29</v>
      </c>
      <c r="O11" s="6" t="s">
        <v>33</v>
      </c>
      <c r="P11" s="14">
        <v>1780.5244608939054</v>
      </c>
      <c r="Q11" s="15">
        <f t="shared" si="9"/>
        <v>1781</v>
      </c>
      <c r="R11" s="6">
        <f t="shared" si="1"/>
        <v>0</v>
      </c>
      <c r="S11" s="16">
        <v>64</v>
      </c>
      <c r="T11" s="15">
        <f t="shared" si="10"/>
        <v>64</v>
      </c>
      <c r="U11" s="18"/>
      <c r="V11" s="17"/>
      <c r="W11" s="18"/>
      <c r="X11" s="19"/>
      <c r="Y11" s="29"/>
      <c r="Z11" s="28"/>
      <c r="AC11" s="23">
        <v>83.012131192535676</v>
      </c>
      <c r="AD11" s="24">
        <f t="shared" si="8"/>
        <v>1</v>
      </c>
      <c r="AF11">
        <f t="shared" si="7"/>
        <v>64</v>
      </c>
    </row>
    <row r="12" spans="1:32" ht="15" customHeight="1" x14ac:dyDescent="0.2">
      <c r="A12" s="1" t="s">
        <v>45</v>
      </c>
      <c r="B12" s="4" t="s">
        <v>20</v>
      </c>
      <c r="C12" s="4" t="s">
        <v>46</v>
      </c>
      <c r="D12" s="4" t="s">
        <v>47</v>
      </c>
      <c r="E12" s="4" t="s">
        <v>48</v>
      </c>
      <c r="F12" s="1"/>
      <c r="G12" s="1"/>
      <c r="H12" s="40" t="s">
        <v>49</v>
      </c>
      <c r="I12" s="39">
        <v>0.15</v>
      </c>
      <c r="J12" s="1"/>
      <c r="K12" s="1"/>
      <c r="L12" s="6" t="s">
        <v>28</v>
      </c>
      <c r="M12" s="6" t="s">
        <v>27</v>
      </c>
      <c r="N12" s="4" t="s">
        <v>34</v>
      </c>
      <c r="O12" s="6" t="s">
        <v>30</v>
      </c>
      <c r="P12" s="14">
        <v>21716.001842430353</v>
      </c>
      <c r="Q12" s="6">
        <f>ROUND(MIN(P12,E4*$I$6*$F$4),0)</f>
        <v>21716</v>
      </c>
      <c r="R12" s="6">
        <f t="shared" si="1"/>
        <v>0</v>
      </c>
      <c r="S12" s="16">
        <v>990</v>
      </c>
      <c r="T12" s="15">
        <f>ROUND(MIN(S12,E4*$I$6-Q12),0)</f>
        <v>990</v>
      </c>
      <c r="U12" s="18">
        <f>SUMPRODUCT(Q12:Q14,$C$4:$C$6)</f>
        <v>40551200</v>
      </c>
      <c r="V12" s="17">
        <f t="shared" ref="V12" si="11">SUMPRODUCT(AF12:AF14,$D$4:$D$6)</f>
        <v>2980200</v>
      </c>
      <c r="W12" s="18">
        <f>SUM(U12:V12)</f>
        <v>43531400</v>
      </c>
      <c r="X12" s="19">
        <f>AC6/30</f>
        <v>1.073211522315664</v>
      </c>
      <c r="Y12" s="20">
        <f t="shared" ref="Y12" si="12">IF(X12&gt;$I$21,1,IF(X12&gt;$I$20,0.2,0))</f>
        <v>0</v>
      </c>
      <c r="Z12" s="28">
        <f>(1-Y12)*W12</f>
        <v>43531400</v>
      </c>
      <c r="AC12" s="23">
        <v>58.690518357059595</v>
      </c>
      <c r="AD12" s="24">
        <f t="shared" si="8"/>
        <v>1</v>
      </c>
      <c r="AF12">
        <f t="shared" si="7"/>
        <v>990</v>
      </c>
    </row>
    <row r="13" spans="1:32" x14ac:dyDescent="0.2">
      <c r="A13" s="1"/>
      <c r="B13" s="4" t="s">
        <v>30</v>
      </c>
      <c r="C13" s="4">
        <f>E4*$C$8</f>
        <v>21000</v>
      </c>
      <c r="D13" s="4">
        <f>E4^2 * $C$7</f>
        <v>2250000</v>
      </c>
      <c r="E13" s="4">
        <f>SQRT(D13)</f>
        <v>1500</v>
      </c>
      <c r="F13" s="1"/>
      <c r="G13" s="1"/>
      <c r="H13" s="40" t="s">
        <v>50</v>
      </c>
      <c r="I13" s="39">
        <f>MAX(0,$I$9-I10*(G9-1))</f>
        <v>9.9999999999999978E-2</v>
      </c>
      <c r="J13" s="1"/>
      <c r="K13" s="1"/>
      <c r="L13" s="6" t="s">
        <v>28</v>
      </c>
      <c r="M13" s="6" t="s">
        <v>27</v>
      </c>
      <c r="N13" s="4" t="s">
        <v>34</v>
      </c>
      <c r="O13" s="6" t="s">
        <v>31</v>
      </c>
      <c r="P13" s="14">
        <v>12025.775213206689</v>
      </c>
      <c r="Q13" s="6">
        <f t="shared" ref="Q13:Q14" si="13">ROUND(MIN(P13,E5*$I$6*$F$4),0)</f>
        <v>12026</v>
      </c>
      <c r="R13" s="6">
        <f t="shared" si="1"/>
        <v>0</v>
      </c>
      <c r="S13" s="16">
        <v>209</v>
      </c>
      <c r="T13" s="15">
        <f t="shared" ref="T13:T14" si="14">ROUND(MIN(S13,E5*$I$6-Q13),0)</f>
        <v>209</v>
      </c>
      <c r="U13" s="18"/>
      <c r="V13" s="17"/>
      <c r="W13" s="18"/>
      <c r="X13" s="19"/>
      <c r="Y13" s="29"/>
      <c r="Z13" s="28"/>
      <c r="AC13" s="23">
        <v>61.83284002349933</v>
      </c>
      <c r="AD13" s="24">
        <f t="shared" si="8"/>
        <v>1</v>
      </c>
      <c r="AF13">
        <f t="shared" si="7"/>
        <v>209</v>
      </c>
    </row>
    <row r="14" spans="1:32" x14ac:dyDescent="0.2">
      <c r="A14" s="1"/>
      <c r="B14" s="4" t="s">
        <v>31</v>
      </c>
      <c r="C14" s="4">
        <f>E5*$C$8</f>
        <v>10500</v>
      </c>
      <c r="D14" s="4">
        <f>E5^2 * $C$7</f>
        <v>562500</v>
      </c>
      <c r="E14" s="4">
        <f>SQRT(D14)</f>
        <v>750</v>
      </c>
      <c r="F14" s="1"/>
      <c r="G14" s="1"/>
      <c r="H14" s="40" t="s">
        <v>51</v>
      </c>
      <c r="I14" s="39">
        <f>MAX(0,$I$9-I11*(G9-1))</f>
        <v>0.29999999999999993</v>
      </c>
      <c r="J14" s="1"/>
      <c r="K14" s="1"/>
      <c r="L14" s="6" t="s">
        <v>28</v>
      </c>
      <c r="M14" s="6" t="s">
        <v>27</v>
      </c>
      <c r="N14" s="4" t="s">
        <v>34</v>
      </c>
      <c r="O14" s="6" t="s">
        <v>33</v>
      </c>
      <c r="P14" s="14">
        <v>1655.5201123762972</v>
      </c>
      <c r="Q14" s="6">
        <f t="shared" si="13"/>
        <v>1656</v>
      </c>
      <c r="R14" s="6">
        <f t="shared" si="1"/>
        <v>0</v>
      </c>
      <c r="S14" s="16">
        <v>13</v>
      </c>
      <c r="T14" s="15">
        <f t="shared" si="14"/>
        <v>13</v>
      </c>
      <c r="U14" s="18"/>
      <c r="V14" s="17"/>
      <c r="W14" s="18"/>
      <c r="X14" s="19"/>
      <c r="Y14" s="29"/>
      <c r="Z14" s="28"/>
      <c r="AC14" s="23">
        <v>112.28776524398093</v>
      </c>
      <c r="AD14" s="24">
        <f t="shared" si="8"/>
        <v>1</v>
      </c>
      <c r="AF14">
        <f t="shared" si="7"/>
        <v>13</v>
      </c>
    </row>
    <row r="15" spans="1:32" x14ac:dyDescent="0.2">
      <c r="A15" s="1"/>
      <c r="B15" s="4" t="s">
        <v>33</v>
      </c>
      <c r="C15" s="4">
        <f>E6*$C$8</f>
        <v>3500</v>
      </c>
      <c r="D15" s="4">
        <f>E6^2 * $C$7</f>
        <v>62500.000000000015</v>
      </c>
      <c r="E15" s="4">
        <f>SQRT(D15)</f>
        <v>250.00000000000003</v>
      </c>
      <c r="F15" s="1"/>
      <c r="G15" s="1"/>
      <c r="H15" s="40" t="s">
        <v>52</v>
      </c>
      <c r="I15" s="39">
        <f>MAX(0,$I$9-I12*(G9-1))</f>
        <v>0.39999999999999997</v>
      </c>
      <c r="J15" s="1"/>
      <c r="K15" s="1"/>
      <c r="L15" s="6" t="s">
        <v>28</v>
      </c>
      <c r="M15" s="6" t="s">
        <v>35</v>
      </c>
      <c r="N15" s="4" t="s">
        <v>34</v>
      </c>
      <c r="O15" s="6" t="s">
        <v>30</v>
      </c>
      <c r="P15" s="14">
        <v>21012.371090170182</v>
      </c>
      <c r="Q15" s="6">
        <f>ROUND(MIN(P15,E4*$I$6*F4),0)</f>
        <v>21012</v>
      </c>
      <c r="R15" s="6">
        <f t="shared" si="1"/>
        <v>0</v>
      </c>
      <c r="S15" s="16">
        <v>799</v>
      </c>
      <c r="T15" s="15">
        <f>ROUND(MIN(S15,E4*$I$6-Q15),0)</f>
        <v>799</v>
      </c>
      <c r="U15" s="18">
        <f>SUMPRODUCT(Q15:Q17,$C$4:$C$6)</f>
        <v>43717400</v>
      </c>
      <c r="V15" s="17">
        <f t="shared" ref="V15" si="15">SUMPRODUCT(AF15:AF17,$D$4:$D$6)</f>
        <v>4078800</v>
      </c>
      <c r="W15" s="18">
        <f>SUM(U15:V15)</f>
        <v>47796200</v>
      </c>
      <c r="X15" s="19">
        <f>AC7/30</f>
        <v>9.5106300043303875</v>
      </c>
      <c r="Y15" s="20">
        <f t="shared" ref="Y15" si="16">IF(X15&gt;$I$21,1,IF(X15&gt;$I$20,0.2,0))</f>
        <v>0.2</v>
      </c>
      <c r="Z15" s="28">
        <f>(1-Y15)*W15</f>
        <v>38236960</v>
      </c>
      <c r="AD15" s="24">
        <f t="shared" si="8"/>
        <v>1</v>
      </c>
      <c r="AF15">
        <f t="shared" si="7"/>
        <v>799</v>
      </c>
    </row>
    <row r="16" spans="1:32" x14ac:dyDescent="0.2">
      <c r="A16" s="1"/>
      <c r="B16" s="2"/>
      <c r="C16" s="2"/>
      <c r="D16" s="2"/>
      <c r="E16" s="2"/>
      <c r="F16" s="1"/>
      <c r="G16" s="1"/>
      <c r="J16" s="1"/>
      <c r="K16" s="1"/>
      <c r="L16" s="6" t="s">
        <v>28</v>
      </c>
      <c r="M16" s="6" t="s">
        <v>35</v>
      </c>
      <c r="N16" s="4" t="s">
        <v>34</v>
      </c>
      <c r="O16" s="6" t="s">
        <v>31</v>
      </c>
      <c r="P16" s="14">
        <v>13421.867531717309</v>
      </c>
      <c r="Q16" s="6">
        <f t="shared" ref="Q16:Q17" si="17">ROUND(MIN(P16,E5*$I$6*F5),0)</f>
        <v>13422</v>
      </c>
      <c r="R16" s="6">
        <f t="shared" si="1"/>
        <v>0</v>
      </c>
      <c r="S16" s="16">
        <v>422</v>
      </c>
      <c r="T16" s="15">
        <f t="shared" ref="T16:T17" si="18">ROUND(MIN(S16,E5*$I$6-Q16),0)</f>
        <v>422</v>
      </c>
      <c r="U16" s="18"/>
      <c r="V16" s="17"/>
      <c r="W16" s="18"/>
      <c r="X16" s="19"/>
      <c r="Y16" s="29"/>
      <c r="Z16" s="28"/>
      <c r="AD16" s="24">
        <f t="shared" si="8"/>
        <v>1</v>
      </c>
      <c r="AF16">
        <f t="shared" si="7"/>
        <v>422</v>
      </c>
    </row>
    <row r="17" spans="1:32" x14ac:dyDescent="0.2">
      <c r="A17" s="1"/>
      <c r="B17" s="1"/>
      <c r="C17" s="1"/>
      <c r="D17" s="1"/>
      <c r="E17" s="1"/>
      <c r="F17" s="1"/>
      <c r="G17" s="1"/>
      <c r="J17" s="1"/>
      <c r="K17" s="1"/>
      <c r="L17" s="6" t="s">
        <v>28</v>
      </c>
      <c r="M17" s="6" t="s">
        <v>35</v>
      </c>
      <c r="N17" s="4" t="s">
        <v>34</v>
      </c>
      <c r="O17" s="6" t="s">
        <v>33</v>
      </c>
      <c r="P17" s="14">
        <v>1927.4604404014747</v>
      </c>
      <c r="Q17" s="6">
        <f t="shared" si="17"/>
        <v>1927</v>
      </c>
      <c r="R17" s="6">
        <f t="shared" si="1"/>
        <v>0</v>
      </c>
      <c r="S17" s="16">
        <v>41</v>
      </c>
      <c r="T17" s="15">
        <f t="shared" si="18"/>
        <v>41</v>
      </c>
      <c r="U17" s="18"/>
      <c r="V17" s="17"/>
      <c r="W17" s="18"/>
      <c r="X17" s="19"/>
      <c r="Y17" s="29"/>
      <c r="Z17" s="28"/>
      <c r="AD17" s="24">
        <f t="shared" si="8"/>
        <v>1</v>
      </c>
      <c r="AF17">
        <f t="shared" si="7"/>
        <v>41</v>
      </c>
    </row>
    <row r="18" spans="1:32" x14ac:dyDescent="0.2">
      <c r="A18" s="1"/>
      <c r="B18" s="1"/>
      <c r="C18" s="1"/>
      <c r="D18" s="1"/>
      <c r="E18" s="1"/>
      <c r="F18" s="1"/>
      <c r="G18" s="1"/>
      <c r="J18" s="1"/>
      <c r="K18" s="1"/>
      <c r="L18" s="6" t="s">
        <v>28</v>
      </c>
      <c r="M18" s="6" t="s">
        <v>40</v>
      </c>
      <c r="N18" s="4" t="s">
        <v>34</v>
      </c>
      <c r="O18" s="6" t="s">
        <v>30</v>
      </c>
      <c r="P18" s="14">
        <v>21586.228382686313</v>
      </c>
      <c r="Q18" s="6">
        <f>ROUND(MIN(P18,E4*$I$6*F4),0)</f>
        <v>21586</v>
      </c>
      <c r="R18" s="6">
        <f t="shared" si="1"/>
        <v>0</v>
      </c>
      <c r="S18" s="16">
        <v>940</v>
      </c>
      <c r="T18" s="15">
        <f>ROUND(MIN(S18,E4*$I$6-Q18),0)</f>
        <v>940</v>
      </c>
      <c r="U18" s="18">
        <f>SUMPRODUCT(Q18:Q20,$C$4:$C$6)</f>
        <v>39817400</v>
      </c>
      <c r="V18" s="17">
        <f t="shared" ref="V18" si="19">SUMPRODUCT(AF18:AF20,$D$4:$D$6)</f>
        <v>2901600</v>
      </c>
      <c r="W18" s="18">
        <f>SUM(U18:V18)</f>
        <v>42719000</v>
      </c>
      <c r="X18" s="19">
        <f>AC8/30</f>
        <v>2.8144089125382874</v>
      </c>
      <c r="Y18" s="20">
        <f t="shared" ref="Y18" si="20">IF(X18&gt;$I$21,1,IF(X18&gt;$I$20,0.2,0))</f>
        <v>0</v>
      </c>
      <c r="Z18" s="28">
        <f>(1-Y18)*W18</f>
        <v>42719000</v>
      </c>
      <c r="AD18" s="24">
        <f t="shared" si="8"/>
        <v>1</v>
      </c>
      <c r="AF18">
        <f t="shared" si="7"/>
        <v>940</v>
      </c>
    </row>
    <row r="19" spans="1:32" x14ac:dyDescent="0.2">
      <c r="A19" s="1"/>
      <c r="B19" s="1"/>
      <c r="C19" s="1"/>
      <c r="D19" s="1"/>
      <c r="E19" s="1"/>
      <c r="F19" s="1"/>
      <c r="G19" s="1"/>
      <c r="H19" s="2"/>
      <c r="I19" s="41"/>
      <c r="J19" s="1"/>
      <c r="K19" s="1"/>
      <c r="L19" s="8" t="s">
        <v>28</v>
      </c>
      <c r="M19" s="6" t="s">
        <v>40</v>
      </c>
      <c r="N19" s="4" t="s">
        <v>34</v>
      </c>
      <c r="O19" s="6" t="s">
        <v>31</v>
      </c>
      <c r="P19" s="14">
        <v>12263.322463967024</v>
      </c>
      <c r="Q19" s="6">
        <f t="shared" ref="Q19:Q20" si="21">ROUND(MIN(P19,E5*$I$6*F5),0)</f>
        <v>12263</v>
      </c>
      <c r="R19" s="6">
        <f t="shared" si="1"/>
        <v>0</v>
      </c>
      <c r="S19" s="16">
        <v>252</v>
      </c>
      <c r="T19" s="15">
        <f t="shared" ref="T19:T20" si="22">ROUND(MIN(S19,E5*$I$6-Q19),0)</f>
        <v>252</v>
      </c>
      <c r="U19" s="18"/>
      <c r="V19" s="17"/>
      <c r="W19" s="18"/>
      <c r="X19" s="19"/>
      <c r="Y19" s="29"/>
      <c r="Z19" s="28"/>
      <c r="AD19" s="24">
        <f t="shared" si="8"/>
        <v>1</v>
      </c>
      <c r="AF19">
        <f t="shared" si="7"/>
        <v>252</v>
      </c>
    </row>
    <row r="20" spans="1:32" x14ac:dyDescent="0.2">
      <c r="A20" s="1"/>
      <c r="B20" s="1"/>
      <c r="C20" s="1"/>
      <c r="D20" s="1"/>
      <c r="E20" s="1"/>
      <c r="F20" s="1"/>
      <c r="G20" s="1"/>
      <c r="H20" s="4" t="s">
        <v>53</v>
      </c>
      <c r="I20" s="4">
        <v>8</v>
      </c>
      <c r="J20" s="2"/>
      <c r="K20" s="1"/>
      <c r="L20" s="6" t="s">
        <v>28</v>
      </c>
      <c r="M20" s="6" t="s">
        <v>40</v>
      </c>
      <c r="N20" s="4" t="s">
        <v>34</v>
      </c>
      <c r="O20" s="6" t="s">
        <v>33</v>
      </c>
      <c r="P20" s="14">
        <v>1449.1255236887177</v>
      </c>
      <c r="Q20" s="6">
        <f t="shared" si="21"/>
        <v>1449</v>
      </c>
      <c r="R20" s="6">
        <f t="shared" si="1"/>
        <v>0</v>
      </c>
      <c r="S20" s="16">
        <v>0</v>
      </c>
      <c r="T20" s="15">
        <f t="shared" si="22"/>
        <v>0</v>
      </c>
      <c r="U20" s="18"/>
      <c r="V20" s="17"/>
      <c r="W20" s="18"/>
      <c r="X20" s="19"/>
      <c r="Y20" s="29"/>
      <c r="Z20" s="28"/>
      <c r="AD20" s="24">
        <f t="shared" si="8"/>
        <v>1</v>
      </c>
      <c r="AF20">
        <f t="shared" si="7"/>
        <v>0</v>
      </c>
    </row>
    <row r="21" spans="1:32" x14ac:dyDescent="0.2">
      <c r="A21" s="1"/>
      <c r="B21" s="1"/>
      <c r="C21" s="1"/>
      <c r="D21" s="1"/>
      <c r="E21" s="1"/>
      <c r="F21" s="1"/>
      <c r="G21" s="1"/>
      <c r="H21" s="4" t="s">
        <v>54</v>
      </c>
      <c r="I21" s="4">
        <v>17</v>
      </c>
      <c r="J21" s="1"/>
      <c r="K21" s="1"/>
      <c r="L21" s="6" t="s">
        <v>35</v>
      </c>
      <c r="M21" s="6" t="s">
        <v>27</v>
      </c>
      <c r="N21" s="4" t="s">
        <v>32</v>
      </c>
      <c r="O21" s="6" t="s">
        <v>30</v>
      </c>
      <c r="P21" s="14">
        <v>20229.139165915913</v>
      </c>
      <c r="Q21" s="6">
        <f>ROUND(MIN(P21,E4*$I$5*F4),0)</f>
        <v>20229</v>
      </c>
      <c r="R21" s="6">
        <f t="shared" si="1"/>
        <v>0</v>
      </c>
      <c r="S21" s="16">
        <v>2056</v>
      </c>
      <c r="T21" s="15">
        <f>ROUND(MIN(S21,E4*$I$5-Q21),0)</f>
        <v>771</v>
      </c>
      <c r="U21" s="18">
        <f>SUMPRODUCT(Q21:Q23,$C$4:$C$6)</f>
        <v>37127400</v>
      </c>
      <c r="V21" s="17">
        <f t="shared" ref="V21" si="23">SUMPRODUCT(AF21:AF23,$D$4:$D$6)</f>
        <v>2227800</v>
      </c>
      <c r="W21" s="18">
        <f>SUM(U21:V21)</f>
        <v>39355200</v>
      </c>
      <c r="X21" s="19">
        <f>AC9/30</f>
        <v>6.2095638364942776</v>
      </c>
      <c r="Y21" s="20">
        <f t="shared" ref="Y21" si="24">IF(X21&gt;$I$21,1,IF(X21&gt;$I$20,0.2,0))</f>
        <v>0</v>
      </c>
      <c r="Z21" s="28">
        <f>(1-Y21)*W21</f>
        <v>39355200</v>
      </c>
      <c r="AD21" s="24">
        <f t="shared" si="8"/>
        <v>1</v>
      </c>
      <c r="AF21">
        <f t="shared" si="7"/>
        <v>771</v>
      </c>
    </row>
    <row r="22" spans="1:3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6" t="s">
        <v>35</v>
      </c>
      <c r="M22" s="6" t="s">
        <v>27</v>
      </c>
      <c r="N22" s="4" t="s">
        <v>32</v>
      </c>
      <c r="O22" s="6" t="s">
        <v>31</v>
      </c>
      <c r="P22" s="14">
        <v>13576.747011823154</v>
      </c>
      <c r="Q22" s="6">
        <f>ROUND(MIN(P22,E5*$I$5*F5),0)</f>
        <v>10500</v>
      </c>
      <c r="R22" s="6">
        <f t="shared" si="1"/>
        <v>3077</v>
      </c>
      <c r="S22" s="16">
        <v>876</v>
      </c>
      <c r="T22" s="15">
        <f t="shared" ref="T22:T23" si="25">ROUND(MIN(S22,E5*$I$5-Q22),0)</f>
        <v>0</v>
      </c>
      <c r="U22" s="18"/>
      <c r="V22" s="17"/>
      <c r="W22" s="18"/>
      <c r="X22" s="19"/>
      <c r="Y22" s="29"/>
      <c r="Z22" s="28"/>
      <c r="AD22" s="24">
        <f t="shared" si="8"/>
        <v>3077</v>
      </c>
      <c r="AF22">
        <f t="shared" si="7"/>
        <v>0</v>
      </c>
    </row>
    <row r="23" spans="1:32" x14ac:dyDescent="0.2">
      <c r="A23" s="1"/>
      <c r="B23" s="1"/>
      <c r="C23" s="1"/>
      <c r="D23" s="1"/>
      <c r="E23" s="1"/>
      <c r="F23" s="1"/>
      <c r="G23" s="1"/>
      <c r="H23" s="1"/>
      <c r="I23" s="1"/>
      <c r="J23" s="42"/>
      <c r="K23" s="1"/>
      <c r="L23" s="6" t="s">
        <v>35</v>
      </c>
      <c r="M23" s="6" t="s">
        <v>27</v>
      </c>
      <c r="N23" s="4" t="s">
        <v>32</v>
      </c>
      <c r="O23" s="6" t="s">
        <v>33</v>
      </c>
      <c r="P23" s="14">
        <v>1637.6748065581537</v>
      </c>
      <c r="Q23" s="6">
        <f>ROUND(MIN(P23,E6*$I$5*F6),0)</f>
        <v>1638</v>
      </c>
      <c r="R23" s="6">
        <f t="shared" si="1"/>
        <v>0</v>
      </c>
      <c r="S23" s="16">
        <v>56</v>
      </c>
      <c r="T23" s="15">
        <f t="shared" si="25"/>
        <v>56</v>
      </c>
      <c r="U23" s="18"/>
      <c r="V23" s="17"/>
      <c r="W23" s="18"/>
      <c r="X23" s="19"/>
      <c r="Y23" s="29"/>
      <c r="Z23" s="28"/>
      <c r="AD23" s="24">
        <f t="shared" si="8"/>
        <v>1</v>
      </c>
      <c r="AF23">
        <f t="shared" si="7"/>
        <v>56</v>
      </c>
    </row>
    <row r="24" spans="1:32" x14ac:dyDescent="0.2">
      <c r="A24" s="1"/>
      <c r="B24" s="43" t="s">
        <v>55</v>
      </c>
      <c r="C24" s="43" t="s">
        <v>46</v>
      </c>
      <c r="D24" s="43" t="s">
        <v>56</v>
      </c>
      <c r="E24" s="43" t="s">
        <v>57</v>
      </c>
      <c r="F24" s="43" t="s">
        <v>58</v>
      </c>
      <c r="G24" s="43" t="s">
        <v>59</v>
      </c>
      <c r="H24" s="1"/>
      <c r="I24" s="1"/>
      <c r="J24" s="42"/>
      <c r="K24" s="1"/>
      <c r="L24" s="6" t="s">
        <v>35</v>
      </c>
      <c r="M24" s="6" t="s">
        <v>28</v>
      </c>
      <c r="N24" s="4" t="s">
        <v>32</v>
      </c>
      <c r="O24" s="6" t="s">
        <v>30</v>
      </c>
      <c r="P24" s="14">
        <v>21307.955686655201</v>
      </c>
      <c r="Q24" s="6">
        <f>ROUND(MIN(P24,E4*$I$5*F4),0)</f>
        <v>21000</v>
      </c>
      <c r="R24" s="6">
        <f t="shared" si="1"/>
        <v>308</v>
      </c>
      <c r="S24" s="16">
        <v>2374</v>
      </c>
      <c r="T24" s="15">
        <f>ROUND(MIN(S24,E4*$I$5-Q24),0)</f>
        <v>0</v>
      </c>
      <c r="U24" s="18">
        <f>SUMPRODUCT(Q24:Q26,$C$4:$C$6)</f>
        <v>38060000</v>
      </c>
      <c r="V24" s="17">
        <f t="shared" ref="V24" si="26">SUMPRODUCT(AF24:AF26,$D$4:$D$6)</f>
        <v>960000</v>
      </c>
      <c r="W24" s="18">
        <f>SUM(U24:V24)</f>
        <v>39020000</v>
      </c>
      <c r="X24" s="19">
        <f>AC10/30</f>
        <v>3.4154161174777702</v>
      </c>
      <c r="Y24" s="20">
        <f t="shared" ref="Y24" si="27">IF(X24&gt;$I$21,1,IF(X24&gt;$I$20,0.2,0))</f>
        <v>0</v>
      </c>
      <c r="Z24" s="28">
        <f>(1-Y24)*W24</f>
        <v>39020000</v>
      </c>
      <c r="AD24" s="24">
        <f t="shared" si="8"/>
        <v>308</v>
      </c>
      <c r="AF24">
        <f t="shared" si="7"/>
        <v>0</v>
      </c>
    </row>
    <row r="25" spans="1:32" x14ac:dyDescent="0.2">
      <c r="A25" s="1"/>
      <c r="B25" s="43" t="s">
        <v>60</v>
      </c>
      <c r="C25" s="43">
        <v>82.23</v>
      </c>
      <c r="D25" s="43">
        <v>71.44</v>
      </c>
      <c r="E25" s="43">
        <v>1.3248834920000001</v>
      </c>
      <c r="F25" s="43">
        <v>1.6111924E-2</v>
      </c>
      <c r="G25" s="43">
        <v>62.065834850000002</v>
      </c>
      <c r="H25" s="1"/>
      <c r="I25" s="1"/>
      <c r="J25" s="1"/>
      <c r="K25" s="1"/>
      <c r="L25" s="6" t="s">
        <v>35</v>
      </c>
      <c r="M25" s="6" t="s">
        <v>28</v>
      </c>
      <c r="N25" s="4" t="s">
        <v>32</v>
      </c>
      <c r="O25" s="6" t="s">
        <v>31</v>
      </c>
      <c r="P25" s="14">
        <v>12707.90811041895</v>
      </c>
      <c r="Q25" s="6">
        <f t="shared" ref="Q25:Q26" si="28">ROUND(MIN(P25,E5*$I$5*F5),0)</f>
        <v>10500</v>
      </c>
      <c r="R25" s="6">
        <f t="shared" si="1"/>
        <v>2208</v>
      </c>
      <c r="S25" s="16">
        <v>796</v>
      </c>
      <c r="T25" s="15">
        <f t="shared" ref="T25:T26" si="29">ROUND(MIN(S25,E5*$I$5-Q25),0)</f>
        <v>0</v>
      </c>
      <c r="U25" s="18"/>
      <c r="V25" s="17"/>
      <c r="W25" s="18"/>
      <c r="X25" s="19"/>
      <c r="Y25" s="29"/>
      <c r="Z25" s="28"/>
      <c r="AD25" s="24">
        <f t="shared" si="8"/>
        <v>2208</v>
      </c>
      <c r="AF25">
        <f t="shared" si="7"/>
        <v>0</v>
      </c>
    </row>
    <row r="26" spans="1:32" x14ac:dyDescent="0.2">
      <c r="A26" s="1"/>
      <c r="B26" s="43" t="s">
        <v>61</v>
      </c>
      <c r="C26" s="43">
        <v>69.89</v>
      </c>
      <c r="D26" s="43">
        <v>68.66</v>
      </c>
      <c r="E26" s="43">
        <v>1.0361496459999999</v>
      </c>
      <c r="F26" s="43">
        <v>1.4825435E-2</v>
      </c>
      <c r="G26" s="43">
        <v>67.451646870000005</v>
      </c>
      <c r="H26" s="1"/>
      <c r="I26" s="1"/>
      <c r="J26" s="1"/>
      <c r="K26" s="1"/>
      <c r="L26" s="6" t="s">
        <v>35</v>
      </c>
      <c r="M26" s="6" t="s">
        <v>28</v>
      </c>
      <c r="N26" s="4" t="s">
        <v>32</v>
      </c>
      <c r="O26" s="6" t="s">
        <v>33</v>
      </c>
      <c r="P26" s="14">
        <v>1731.6761183488916</v>
      </c>
      <c r="Q26" s="6">
        <f t="shared" si="28"/>
        <v>1732</v>
      </c>
      <c r="R26" s="6">
        <f t="shared" si="1"/>
        <v>0</v>
      </c>
      <c r="S26" s="16">
        <v>64</v>
      </c>
      <c r="T26" s="15">
        <f t="shared" si="29"/>
        <v>64</v>
      </c>
      <c r="U26" s="18"/>
      <c r="V26" s="17"/>
      <c r="W26" s="18"/>
      <c r="X26" s="19"/>
      <c r="Y26" s="29"/>
      <c r="Z26" s="28"/>
      <c r="AD26" s="24">
        <f t="shared" si="8"/>
        <v>1</v>
      </c>
      <c r="AF26">
        <f t="shared" si="7"/>
        <v>64</v>
      </c>
    </row>
    <row r="27" spans="1:32" x14ac:dyDescent="0.2">
      <c r="A27" s="1"/>
      <c r="B27" s="43" t="s">
        <v>62</v>
      </c>
      <c r="C27" s="43">
        <v>96.89</v>
      </c>
      <c r="D27" s="43">
        <v>118.27</v>
      </c>
      <c r="E27" s="43">
        <v>0.67113319199999999</v>
      </c>
      <c r="F27" s="43">
        <v>6.9267540000000002E-3</v>
      </c>
      <c r="G27" s="43">
        <v>144.36776649999999</v>
      </c>
      <c r="H27" s="1"/>
      <c r="I27" s="1"/>
      <c r="J27" s="1"/>
      <c r="K27" s="1"/>
      <c r="L27" s="6" t="s">
        <v>35</v>
      </c>
      <c r="M27" s="6" t="s">
        <v>40</v>
      </c>
      <c r="N27" s="4" t="s">
        <v>32</v>
      </c>
      <c r="O27" s="6" t="s">
        <v>30</v>
      </c>
      <c r="P27" s="14">
        <v>22481.497346419797</v>
      </c>
      <c r="Q27" s="44">
        <f>ROUND(MIN(P27,E4*$I$5*F4),0)</f>
        <v>21000</v>
      </c>
      <c r="R27" s="6">
        <f t="shared" si="1"/>
        <v>1481</v>
      </c>
      <c r="S27" s="16">
        <v>1978</v>
      </c>
      <c r="T27" s="15">
        <f>ROUND(MIN(S27,E4*$I$5-Q27),0)</f>
        <v>0</v>
      </c>
      <c r="U27" s="18">
        <f>SUMPRODUCT(Q27:Q29,$C$4:$C$6)</f>
        <v>38755000</v>
      </c>
      <c r="V27" s="17">
        <f t="shared" ref="V27" si="30">SUMPRODUCT(AF27:AF29,$D$4:$D$6)</f>
        <v>990000</v>
      </c>
      <c r="W27" s="18">
        <f>SUM(U27:V27)</f>
        <v>39745000</v>
      </c>
      <c r="X27" s="19">
        <f>AC11/30</f>
        <v>2.7670710397511891</v>
      </c>
      <c r="Y27" s="20">
        <f t="shared" ref="Y27" si="31">IF(X27&gt;$I$21,1,IF(X27&gt;$I$20,0.2,0))</f>
        <v>0</v>
      </c>
      <c r="Z27" s="28">
        <f>(1-Y27)*W27</f>
        <v>39745000</v>
      </c>
      <c r="AD27" s="24">
        <f t="shared" si="8"/>
        <v>1481</v>
      </c>
      <c r="AF27">
        <f t="shared" si="7"/>
        <v>0</v>
      </c>
    </row>
    <row r="28" spans="1:32" x14ac:dyDescent="0.2">
      <c r="A28" s="1"/>
      <c r="B28" s="43" t="s">
        <v>63</v>
      </c>
      <c r="C28" s="43">
        <v>47.45</v>
      </c>
      <c r="D28" s="43">
        <v>80.67</v>
      </c>
      <c r="E28" s="43">
        <v>0.34597786899999999</v>
      </c>
      <c r="F28" s="43">
        <v>7.2914199999999998E-3</v>
      </c>
      <c r="G28" s="43">
        <v>137.14750050000001</v>
      </c>
      <c r="H28" s="1"/>
      <c r="I28" s="1"/>
      <c r="J28" s="1"/>
      <c r="K28" s="1"/>
      <c r="L28" s="6" t="s">
        <v>35</v>
      </c>
      <c r="M28" s="6" t="s">
        <v>40</v>
      </c>
      <c r="N28" s="4" t="s">
        <v>32</v>
      </c>
      <c r="O28" s="6" t="s">
        <v>31</v>
      </c>
      <c r="P28" s="14">
        <v>12794.976415330468</v>
      </c>
      <c r="Q28" s="44">
        <f>ROUND(MIN(P28,E5*$I$5*F5),0)</f>
        <v>10500</v>
      </c>
      <c r="R28" s="6">
        <f t="shared" si="1"/>
        <v>2295</v>
      </c>
      <c r="S28" s="16">
        <v>580</v>
      </c>
      <c r="T28" s="15">
        <f t="shared" ref="T28:T29" si="32">ROUND(MIN(S28,E5*$I$5-Q28),0)</f>
        <v>0</v>
      </c>
      <c r="U28" s="18"/>
      <c r="V28" s="17"/>
      <c r="W28" s="18"/>
      <c r="X28" s="19"/>
      <c r="Y28" s="29"/>
      <c r="Z28" s="28"/>
      <c r="AD28" s="24">
        <f t="shared" si="8"/>
        <v>2295</v>
      </c>
      <c r="AF28">
        <f t="shared" si="7"/>
        <v>0</v>
      </c>
    </row>
    <row r="29" spans="1:32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6" t="s">
        <v>35</v>
      </c>
      <c r="M29" s="6" t="s">
        <v>40</v>
      </c>
      <c r="N29" s="4" t="s">
        <v>32</v>
      </c>
      <c r="O29" s="6" t="s">
        <v>33</v>
      </c>
      <c r="P29" s="14">
        <v>1871.134477770159</v>
      </c>
      <c r="Q29" s="44">
        <f t="shared" ref="Q29" si="33">ROUND(MIN(P29,E6*$I$5*F6),0)</f>
        <v>1871</v>
      </c>
      <c r="R29" s="6">
        <f t="shared" si="1"/>
        <v>0</v>
      </c>
      <c r="S29" s="16">
        <v>66</v>
      </c>
      <c r="T29" s="15">
        <f t="shared" si="32"/>
        <v>66</v>
      </c>
      <c r="U29" s="18"/>
      <c r="V29" s="17"/>
      <c r="W29" s="18"/>
      <c r="X29" s="19"/>
      <c r="Y29" s="29"/>
      <c r="Z29" s="28"/>
      <c r="AD29" s="24">
        <f t="shared" si="8"/>
        <v>1</v>
      </c>
      <c r="AF29">
        <f t="shared" si="7"/>
        <v>66</v>
      </c>
    </row>
    <row r="30" spans="1:32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6" t="s">
        <v>40</v>
      </c>
      <c r="M30" s="6" t="s">
        <v>27</v>
      </c>
      <c r="N30" s="4" t="s">
        <v>37</v>
      </c>
      <c r="O30" s="6" t="s">
        <v>30</v>
      </c>
      <c r="P30" s="14">
        <v>24296.670955441066</v>
      </c>
      <c r="Q30" s="45">
        <f>ROUND(MIN(P30,E4*$I$7*F4),0)</f>
        <v>24297</v>
      </c>
      <c r="R30" s="6">
        <f t="shared" si="1"/>
        <v>0</v>
      </c>
      <c r="S30" s="16">
        <v>2490</v>
      </c>
      <c r="T30" s="15">
        <f>ROUND(MIN(S30,E4*$I$7-Q30),0)</f>
        <v>795</v>
      </c>
      <c r="U30" s="18">
        <f>SUMPRODUCT(Q30:Q32,$C$4:$C$6)</f>
        <v>43858800</v>
      </c>
      <c r="V30" s="17">
        <f t="shared" ref="V30" si="34">SUMPRODUCT(AF30:AF32,$D$4:$D$6)</f>
        <v>4977600</v>
      </c>
      <c r="W30" s="18">
        <f>SUM(U30:V30)</f>
        <v>48836400</v>
      </c>
      <c r="X30" s="19">
        <f>AC12/30</f>
        <v>1.9563506119019864</v>
      </c>
      <c r="Y30" s="20">
        <f t="shared" ref="Y30" si="35">IF(X30&gt;$I$21,1,IF(X30&gt;$I$20,0.2,0))</f>
        <v>0</v>
      </c>
      <c r="Z30" s="28">
        <f>(1-Y30)*W30</f>
        <v>48836400</v>
      </c>
      <c r="AD30" s="24">
        <f t="shared" si="8"/>
        <v>1</v>
      </c>
      <c r="AF30">
        <f t="shared" si="7"/>
        <v>795</v>
      </c>
    </row>
    <row r="31" spans="1:32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6" t="s">
        <v>40</v>
      </c>
      <c r="M31" s="6" t="s">
        <v>27</v>
      </c>
      <c r="N31" s="4" t="s">
        <v>37</v>
      </c>
      <c r="O31" s="6" t="s">
        <v>31</v>
      </c>
      <c r="P31" s="14">
        <v>12016.210661190516</v>
      </c>
      <c r="Q31" s="45">
        <f>ROUND(MIN(P31,E5*$I$7*F5),0)</f>
        <v>12016</v>
      </c>
      <c r="R31" s="6">
        <f t="shared" si="1"/>
        <v>0</v>
      </c>
      <c r="S31" s="16">
        <v>492</v>
      </c>
      <c r="T31" s="15">
        <f t="shared" ref="T31:T32" si="36">ROUND(MIN(S31,E5*$I$7-Q31),0)</f>
        <v>492</v>
      </c>
      <c r="U31" s="18"/>
      <c r="V31" s="17"/>
      <c r="W31" s="18"/>
      <c r="X31" s="19"/>
      <c r="Y31" s="29"/>
      <c r="Z31" s="28"/>
      <c r="AD31" s="24">
        <f t="shared" si="8"/>
        <v>1</v>
      </c>
      <c r="AF31">
        <f t="shared" si="7"/>
        <v>492</v>
      </c>
    </row>
    <row r="32" spans="1:32" x14ac:dyDescent="0.2">
      <c r="A32" s="1"/>
      <c r="B32" s="46"/>
      <c r="C32" s="46"/>
      <c r="D32" s="46"/>
      <c r="E32" s="46"/>
      <c r="F32" s="1"/>
      <c r="G32" s="1"/>
      <c r="H32" s="1"/>
      <c r="I32" s="1"/>
      <c r="J32" s="1"/>
      <c r="K32" s="1"/>
      <c r="L32" s="6" t="s">
        <v>40</v>
      </c>
      <c r="M32" s="6" t="s">
        <v>27</v>
      </c>
      <c r="N32" s="4" t="s">
        <v>37</v>
      </c>
      <c r="O32" s="6" t="s">
        <v>33</v>
      </c>
      <c r="P32" s="14">
        <v>2010.9305827442527</v>
      </c>
      <c r="Q32" s="45">
        <f t="shared" ref="Q32" si="37">ROUND(MIN(P32,E6*$I$7*F6),0)</f>
        <v>2011</v>
      </c>
      <c r="R32" s="6">
        <f t="shared" si="1"/>
        <v>0</v>
      </c>
      <c r="S32" s="16">
        <v>79</v>
      </c>
      <c r="T32" s="15">
        <f t="shared" si="36"/>
        <v>79</v>
      </c>
      <c r="U32" s="18"/>
      <c r="V32" s="17"/>
      <c r="W32" s="18"/>
      <c r="X32" s="19"/>
      <c r="Y32" s="29"/>
      <c r="Z32" s="28"/>
      <c r="AD32" s="24">
        <f t="shared" si="8"/>
        <v>1</v>
      </c>
      <c r="AF32">
        <f t="shared" si="7"/>
        <v>79</v>
      </c>
    </row>
    <row r="33" spans="1:32" x14ac:dyDescent="0.2">
      <c r="A33" s="1"/>
      <c r="B33" s="2"/>
      <c r="C33" s="2"/>
      <c r="D33" s="2"/>
      <c r="E33" s="2"/>
      <c r="F33" s="1"/>
      <c r="G33" s="1"/>
      <c r="H33" s="1"/>
      <c r="I33" s="1"/>
      <c r="J33" s="1"/>
      <c r="K33" s="1"/>
      <c r="L33" s="6" t="s">
        <v>40</v>
      </c>
      <c r="M33" s="6" t="s">
        <v>28</v>
      </c>
      <c r="N33" s="4" t="s">
        <v>37</v>
      </c>
      <c r="O33" s="6" t="s">
        <v>30</v>
      </c>
      <c r="P33" s="14">
        <v>20101.119026486045</v>
      </c>
      <c r="Q33" s="47">
        <f>ROUND(MIN(P33,E4*$I$7*F4),0)</f>
        <v>20101</v>
      </c>
      <c r="R33" s="6">
        <f t="shared" si="1"/>
        <v>0</v>
      </c>
      <c r="S33" s="16">
        <v>1304</v>
      </c>
      <c r="T33" s="15">
        <f>ROUND(MIN(S33,E4*$I$7-Q33),0)</f>
        <v>1304</v>
      </c>
      <c r="U33" s="18">
        <f>SUMPRODUCT(Q33:Q35,$C$4:$C$6)</f>
        <v>39145600</v>
      </c>
      <c r="V33" s="17">
        <f t="shared" ref="V33" si="38">SUMPRODUCT(AF33:AF35,$D$4:$D$6)</f>
        <v>4822800</v>
      </c>
      <c r="W33" s="18">
        <f>SUM(U33:V33)</f>
        <v>43968400</v>
      </c>
      <c r="X33" s="19">
        <f>AC13/30</f>
        <v>2.0610946674499777</v>
      </c>
      <c r="Y33" s="20">
        <f t="shared" ref="Y33" si="39">IF(X33&gt;$I$21,1,IF(X33&gt;$I$20,0.2,0))</f>
        <v>0</v>
      </c>
      <c r="Z33" s="28">
        <f>(1-Y33)*W33</f>
        <v>43968400</v>
      </c>
      <c r="AD33" s="24">
        <f t="shared" si="8"/>
        <v>1</v>
      </c>
      <c r="AF33">
        <f t="shared" si="7"/>
        <v>1304</v>
      </c>
    </row>
    <row r="34" spans="1:32" x14ac:dyDescent="0.2">
      <c r="A34" s="1"/>
      <c r="B34" s="2"/>
      <c r="C34" s="2"/>
      <c r="D34" s="2"/>
      <c r="E34" s="2"/>
      <c r="F34" s="1"/>
      <c r="G34" s="1"/>
      <c r="H34" s="1"/>
      <c r="I34" s="1"/>
      <c r="J34" s="1"/>
      <c r="K34" s="1"/>
      <c r="L34" s="6" t="s">
        <v>40</v>
      </c>
      <c r="M34" s="8" t="s">
        <v>28</v>
      </c>
      <c r="N34" s="4" t="s">
        <v>37</v>
      </c>
      <c r="O34" s="6" t="s">
        <v>31</v>
      </c>
      <c r="P34" s="14">
        <v>11574.760624650637</v>
      </c>
      <c r="Q34" s="47">
        <f>ROUND(MIN(P34,E5*$I$7*F5),0)</f>
        <v>11575</v>
      </c>
      <c r="R34" s="6">
        <f t="shared" si="1"/>
        <v>0</v>
      </c>
      <c r="S34" s="16">
        <v>397</v>
      </c>
      <c r="T34" s="15">
        <f t="shared" ref="T34:T35" si="40">ROUND(MIN(S34,E5*$I$7-Q34),0)</f>
        <v>397</v>
      </c>
      <c r="U34" s="18"/>
      <c r="V34" s="17"/>
      <c r="W34" s="18"/>
      <c r="X34" s="19"/>
      <c r="Y34" s="29"/>
      <c r="Z34" s="28"/>
      <c r="AD34" s="24">
        <f t="shared" si="8"/>
        <v>1</v>
      </c>
      <c r="AF34">
        <f t="shared" si="7"/>
        <v>397</v>
      </c>
    </row>
    <row r="35" spans="1:32" x14ac:dyDescent="0.2">
      <c r="A35" s="1"/>
      <c r="B35" s="2"/>
      <c r="C35" s="2"/>
      <c r="D35" s="2"/>
      <c r="E35" s="2"/>
      <c r="F35" s="1"/>
      <c r="G35" s="1"/>
      <c r="H35" s="1"/>
      <c r="I35" s="1"/>
      <c r="J35" s="1"/>
      <c r="K35" s="1"/>
      <c r="L35" s="6" t="s">
        <v>40</v>
      </c>
      <c r="M35" s="6" t="s">
        <v>28</v>
      </c>
      <c r="N35" s="4" t="s">
        <v>37</v>
      </c>
      <c r="O35" s="6" t="s">
        <v>33</v>
      </c>
      <c r="P35" s="14">
        <v>1713.2427350272044</v>
      </c>
      <c r="Q35" s="47">
        <f t="shared" ref="Q35" si="41">ROUND(MIN(P35,E6*$I$7*F6),0)</f>
        <v>1713</v>
      </c>
      <c r="R35" s="6">
        <f t="shared" si="1"/>
        <v>0</v>
      </c>
      <c r="S35" s="16">
        <v>38</v>
      </c>
      <c r="T35" s="15">
        <f t="shared" si="40"/>
        <v>38</v>
      </c>
      <c r="U35" s="18"/>
      <c r="V35" s="17"/>
      <c r="W35" s="18"/>
      <c r="X35" s="19"/>
      <c r="Y35" s="29"/>
      <c r="Z35" s="28"/>
      <c r="AD35" s="24">
        <f t="shared" si="8"/>
        <v>1</v>
      </c>
      <c r="AF35">
        <f t="shared" si="7"/>
        <v>38</v>
      </c>
    </row>
    <row r="36" spans="1:32" x14ac:dyDescent="0.2">
      <c r="A36" s="1"/>
      <c r="B36" s="2"/>
      <c r="C36" s="2"/>
      <c r="D36" s="2"/>
      <c r="E36" s="2"/>
      <c r="F36" s="1"/>
      <c r="G36" s="1"/>
      <c r="H36" s="1"/>
      <c r="I36" s="1"/>
      <c r="J36" s="1"/>
      <c r="K36" s="1"/>
      <c r="L36" s="6" t="s">
        <v>40</v>
      </c>
      <c r="M36" s="6" t="s">
        <v>35</v>
      </c>
      <c r="N36" s="4" t="s">
        <v>37</v>
      </c>
      <c r="O36" s="6" t="s">
        <v>30</v>
      </c>
      <c r="P36" s="14">
        <v>20186.891384037124</v>
      </c>
      <c r="Q36" s="47">
        <f>ROUND(MIN(P36,E4*$I$7*F4),0)</f>
        <v>20187</v>
      </c>
      <c r="R36" s="6">
        <f t="shared" si="1"/>
        <v>0</v>
      </c>
      <c r="S36" s="16">
        <v>1383</v>
      </c>
      <c r="T36" s="15">
        <f>ROUND(MIN(S36,E4*$I$7-Q36),0)</f>
        <v>1383</v>
      </c>
      <c r="U36" s="18">
        <f>SUMPRODUCT(Q36:Q38,$C$4:$C$6)</f>
        <v>39496600</v>
      </c>
      <c r="V36" s="17">
        <f t="shared" ref="V36" si="42">SUMPRODUCT(AF36:AF38,$D$4:$D$6)</f>
        <v>5117400</v>
      </c>
      <c r="W36" s="18">
        <f>SUM(U36:V36)</f>
        <v>44614000</v>
      </c>
      <c r="X36" s="19">
        <f>AC14/30</f>
        <v>3.7429255081326978</v>
      </c>
      <c r="Y36" s="20">
        <f t="shared" ref="Y36" si="43">IF(X36&gt;$I$21,1,IF(X36&gt;$I$20,0.2,0))</f>
        <v>0</v>
      </c>
      <c r="Z36" s="28">
        <f>(1-Y36)*W36</f>
        <v>44614000</v>
      </c>
      <c r="AD36" s="24">
        <f t="shared" si="8"/>
        <v>1</v>
      </c>
      <c r="AF36">
        <f t="shared" si="7"/>
        <v>1383</v>
      </c>
    </row>
    <row r="37" spans="1:32" x14ac:dyDescent="0.2">
      <c r="A37" s="1"/>
      <c r="B37" s="48"/>
      <c r="C37" s="48"/>
      <c r="D37" s="48"/>
      <c r="E37" s="48"/>
      <c r="G37" s="1"/>
      <c r="H37" s="1"/>
      <c r="I37" s="1"/>
      <c r="J37" s="1"/>
      <c r="K37" s="1"/>
      <c r="L37" s="6" t="s">
        <v>40</v>
      </c>
      <c r="M37" s="6" t="s">
        <v>35</v>
      </c>
      <c r="N37" s="4" t="s">
        <v>37</v>
      </c>
      <c r="O37" s="6" t="s">
        <v>31</v>
      </c>
      <c r="P37" s="14">
        <v>11483.922024406253</v>
      </c>
      <c r="Q37" s="47">
        <f t="shared" ref="Q37" si="44">ROUND(MIN(P37,E5*$I$7*F5),0)</f>
        <v>11484</v>
      </c>
      <c r="R37" s="6">
        <f t="shared" si="1"/>
        <v>0</v>
      </c>
      <c r="S37" s="16">
        <v>385</v>
      </c>
      <c r="T37" s="15">
        <f t="shared" ref="T37:T38" si="45">ROUND(MIN(S37,E5*$I$7-Q37),0)</f>
        <v>385</v>
      </c>
      <c r="U37" s="18"/>
      <c r="V37" s="17"/>
      <c r="W37" s="18"/>
      <c r="X37" s="19"/>
      <c r="Y37" s="29"/>
      <c r="Z37" s="28"/>
      <c r="AD37" s="24">
        <f t="shared" si="8"/>
        <v>1</v>
      </c>
      <c r="AF37">
        <f t="shared" si="7"/>
        <v>385</v>
      </c>
    </row>
    <row r="38" spans="1:32" x14ac:dyDescent="0.2">
      <c r="A38" s="1"/>
      <c r="B38" s="48"/>
      <c r="C38" s="48"/>
      <c r="D38" s="48"/>
      <c r="E38" s="48"/>
      <c r="G38" s="1"/>
      <c r="H38" s="1"/>
      <c r="I38" s="1"/>
      <c r="J38" s="1"/>
      <c r="K38" s="1"/>
      <c r="L38" s="6" t="s">
        <v>40</v>
      </c>
      <c r="M38" s="6" t="s">
        <v>35</v>
      </c>
      <c r="N38" s="4" t="s">
        <v>37</v>
      </c>
      <c r="O38" s="6" t="s">
        <v>33</v>
      </c>
      <c r="P38" s="14">
        <v>1801.6220243505627</v>
      </c>
      <c r="Q38" s="47">
        <f>ROUND(MIN(P38,E6*$I$7*F6),0)</f>
        <v>1802</v>
      </c>
      <c r="R38" s="6">
        <f t="shared" si="1"/>
        <v>0</v>
      </c>
      <c r="S38" s="16">
        <v>52</v>
      </c>
      <c r="T38" s="15">
        <f t="shared" si="45"/>
        <v>52</v>
      </c>
      <c r="U38" s="18"/>
      <c r="V38" s="17"/>
      <c r="W38" s="18"/>
      <c r="X38" s="19"/>
      <c r="Y38" s="29"/>
      <c r="Z38" s="28"/>
      <c r="AD38" s="24">
        <f t="shared" si="8"/>
        <v>1</v>
      </c>
      <c r="AF38">
        <f t="shared" si="7"/>
        <v>52</v>
      </c>
    </row>
    <row r="39" spans="1:32" x14ac:dyDescent="0.2">
      <c r="A39" s="1"/>
      <c r="B39" s="48"/>
      <c r="C39" s="48"/>
      <c r="D39" s="48"/>
      <c r="E39" s="48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34"/>
      <c r="T39" s="2"/>
      <c r="U39" s="49"/>
      <c r="V39" s="49"/>
      <c r="Z39" s="50"/>
    </row>
    <row r="40" spans="1:32" x14ac:dyDescent="0.2">
      <c r="A40" s="1"/>
      <c r="B40" s="48"/>
      <c r="C40" s="48"/>
      <c r="D40" s="48"/>
      <c r="E40" s="48"/>
      <c r="H40" s="1"/>
      <c r="I40" s="1"/>
      <c r="J40" s="1"/>
      <c r="K40" s="1"/>
      <c r="L40" s="2"/>
      <c r="M40" s="2"/>
      <c r="N40" s="2"/>
      <c r="O40" s="2"/>
      <c r="P40" s="2"/>
      <c r="Q40" s="2"/>
      <c r="R40" s="2"/>
      <c r="S40" s="51"/>
      <c r="T40" s="2"/>
      <c r="U40" s="49"/>
      <c r="V40" s="49"/>
      <c r="Z40" s="50"/>
    </row>
    <row r="41" spans="1:32" x14ac:dyDescent="0.2">
      <c r="A41" s="1"/>
      <c r="B41" s="48"/>
      <c r="C41" s="48"/>
      <c r="D41" s="48"/>
      <c r="E41" s="48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51"/>
      <c r="T41" s="2"/>
      <c r="U41" s="49"/>
      <c r="V41" s="49"/>
      <c r="Z41" s="50"/>
    </row>
    <row r="42" spans="1:32" x14ac:dyDescent="0.2">
      <c r="A42" s="1"/>
      <c r="B42" s="48"/>
      <c r="C42" s="48"/>
      <c r="D42" s="48"/>
      <c r="E42" s="48"/>
      <c r="H42" s="1"/>
      <c r="I42" s="1"/>
      <c r="J42" s="1"/>
      <c r="K42" s="1"/>
      <c r="L42" s="2"/>
      <c r="M42" s="2"/>
      <c r="N42" s="2"/>
      <c r="O42" s="2"/>
      <c r="P42" s="2"/>
      <c r="Q42" s="2"/>
      <c r="R42" s="2"/>
      <c r="S42" s="51"/>
      <c r="T42" s="2"/>
      <c r="U42" s="49"/>
      <c r="V42" s="49"/>
    </row>
    <row r="43" spans="1:32" x14ac:dyDescent="0.2">
      <c r="A43" s="1"/>
      <c r="B43" s="46"/>
      <c r="C43" s="46"/>
      <c r="D43" s="46"/>
      <c r="E43" s="46"/>
      <c r="H43" s="1"/>
      <c r="I43" s="1"/>
      <c r="J43" s="1"/>
      <c r="K43" s="1"/>
      <c r="L43" s="2"/>
      <c r="M43" s="2"/>
      <c r="N43" s="2"/>
      <c r="O43" s="2"/>
      <c r="P43" s="2"/>
      <c r="Q43" s="2"/>
      <c r="R43" s="2"/>
      <c r="S43" s="51"/>
      <c r="T43" s="2"/>
      <c r="U43" s="49"/>
      <c r="V43" s="49"/>
    </row>
    <row r="44" spans="1:32" x14ac:dyDescent="0.2">
      <c r="A44" s="1"/>
      <c r="B44" s="48"/>
      <c r="C44" s="48"/>
      <c r="D44" s="48"/>
      <c r="E44" s="48"/>
      <c r="H44" s="1"/>
      <c r="I44" s="1"/>
      <c r="J44" s="1"/>
      <c r="K44" s="1"/>
      <c r="L44" s="2"/>
      <c r="M44" s="2"/>
      <c r="N44" s="2"/>
      <c r="O44" s="2"/>
      <c r="P44" s="2"/>
      <c r="Q44" s="2"/>
      <c r="R44" s="2"/>
      <c r="S44" s="51"/>
      <c r="T44" s="2"/>
      <c r="U44" s="49"/>
      <c r="V44" s="49"/>
    </row>
    <row r="45" spans="1:32" x14ac:dyDescent="0.2">
      <c r="A45" s="1"/>
      <c r="B45" s="48"/>
      <c r="C45" s="48"/>
      <c r="D45" s="48"/>
      <c r="E45" s="48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51"/>
      <c r="T45" s="2"/>
      <c r="U45" s="49"/>
      <c r="V45" s="49"/>
    </row>
    <row r="46" spans="1:32" x14ac:dyDescent="0.2">
      <c r="A46" s="1"/>
      <c r="B46" s="48"/>
      <c r="C46" s="48"/>
      <c r="D46" s="48"/>
      <c r="E46" s="48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51"/>
      <c r="T46" s="2"/>
      <c r="U46" s="49"/>
      <c r="V46" s="49"/>
    </row>
    <row r="47" spans="1:32" x14ac:dyDescent="0.2">
      <c r="A47" s="1"/>
      <c r="B47" s="48"/>
      <c r="C47" s="48"/>
      <c r="D47" s="48"/>
      <c r="E47" s="48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51"/>
      <c r="T47" s="2"/>
      <c r="U47" s="49"/>
      <c r="V47" s="49"/>
    </row>
    <row r="48" spans="1:32" x14ac:dyDescent="0.2">
      <c r="A48" s="1"/>
      <c r="B48" s="48"/>
      <c r="C48" s="48"/>
      <c r="D48" s="48"/>
      <c r="E48" s="48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51"/>
      <c r="T48" s="2"/>
      <c r="U48" s="49"/>
      <c r="V48" s="49"/>
    </row>
    <row r="49" spans="1:22" x14ac:dyDescent="0.2">
      <c r="A49" s="1"/>
      <c r="B49" s="46"/>
      <c r="C49" s="46"/>
      <c r="D49" s="46"/>
      <c r="E49" s="46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51"/>
      <c r="T49" s="2"/>
      <c r="U49" s="49"/>
      <c r="V49" s="49"/>
    </row>
    <row r="50" spans="1:22" x14ac:dyDescent="0.2">
      <c r="A50" s="1"/>
      <c r="B50" s="2"/>
      <c r="C50" s="48"/>
      <c r="D50" s="48"/>
      <c r="E50" s="48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51"/>
      <c r="T50" s="2"/>
      <c r="U50" s="49"/>
      <c r="V50" s="49"/>
    </row>
    <row r="51" spans="1:22" x14ac:dyDescent="0.2">
      <c r="A51" s="1"/>
      <c r="B51" s="48"/>
      <c r="C51" s="48"/>
      <c r="D51" s="48"/>
      <c r="E51" s="48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51"/>
      <c r="T51" s="2"/>
      <c r="U51" s="49"/>
      <c r="V51" s="49"/>
    </row>
    <row r="52" spans="1:22" x14ac:dyDescent="0.2">
      <c r="A52" s="1"/>
      <c r="B52" s="48"/>
      <c r="C52" s="48"/>
      <c r="D52" s="48"/>
      <c r="E52" s="48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51"/>
      <c r="T52" s="2"/>
      <c r="U52" s="49"/>
      <c r="V52" s="49"/>
    </row>
    <row r="53" spans="1:22" x14ac:dyDescent="0.2">
      <c r="A53" s="1"/>
      <c r="B53" s="48"/>
      <c r="C53" s="48"/>
      <c r="D53" s="48"/>
      <c r="E53" s="48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51"/>
      <c r="T53" s="2"/>
      <c r="U53" s="49"/>
      <c r="V53" s="49"/>
    </row>
    <row r="54" spans="1:22" x14ac:dyDescent="0.2">
      <c r="A54" s="1"/>
      <c r="B54" s="48"/>
      <c r="C54" s="48"/>
      <c r="D54" s="48"/>
      <c r="E54" s="48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51"/>
      <c r="T54" s="2"/>
      <c r="U54" s="49"/>
      <c r="V54" s="49"/>
    </row>
    <row r="55" spans="1:22" x14ac:dyDescent="0.2">
      <c r="B55" s="48"/>
      <c r="C55" s="48"/>
      <c r="D55" s="48"/>
      <c r="E55" s="48"/>
      <c r="H55" s="1"/>
      <c r="I55" s="1"/>
      <c r="J55" s="1"/>
      <c r="K55" s="1"/>
      <c r="L55" s="49"/>
      <c r="M55" s="49"/>
      <c r="N55" s="49"/>
      <c r="O55" s="49"/>
      <c r="P55" s="49"/>
      <c r="Q55" s="49"/>
      <c r="R55" s="49"/>
      <c r="S55" s="52"/>
      <c r="T55" s="49"/>
      <c r="U55" s="49"/>
      <c r="V55" s="49"/>
    </row>
    <row r="56" spans="1:22" x14ac:dyDescent="0.2">
      <c r="B56" s="48"/>
      <c r="C56" s="48"/>
      <c r="D56" s="48"/>
      <c r="E56" s="48"/>
      <c r="J56" s="1"/>
      <c r="L56" s="49"/>
      <c r="M56" s="49"/>
      <c r="N56" s="49"/>
      <c r="O56" s="49"/>
      <c r="P56" s="49"/>
      <c r="Q56" s="49"/>
      <c r="R56" s="49"/>
      <c r="S56" s="52"/>
      <c r="T56" s="49"/>
      <c r="U56" s="49"/>
      <c r="V56" s="49"/>
    </row>
    <row r="57" spans="1:22" x14ac:dyDescent="0.2">
      <c r="B57" s="48"/>
      <c r="C57" s="48"/>
      <c r="D57" s="48"/>
      <c r="E57" s="48"/>
      <c r="J57" s="1"/>
      <c r="L57" s="49"/>
      <c r="M57" s="49"/>
      <c r="N57" s="49"/>
      <c r="O57" s="49"/>
      <c r="P57" s="49"/>
      <c r="Q57" s="49"/>
      <c r="R57" s="49"/>
      <c r="S57" s="52"/>
      <c r="T57" s="49"/>
      <c r="U57" s="49"/>
      <c r="V57" s="49"/>
    </row>
    <row r="58" spans="1:22" x14ac:dyDescent="0.2">
      <c r="B58" s="48"/>
      <c r="C58" s="48"/>
      <c r="D58" s="48"/>
      <c r="E58" s="48"/>
      <c r="J58" s="1"/>
      <c r="L58" s="49"/>
      <c r="M58" s="49"/>
      <c r="N58" s="49"/>
      <c r="O58" s="49"/>
      <c r="P58" s="49"/>
      <c r="Q58" s="49"/>
      <c r="R58" s="49"/>
      <c r="S58" s="52"/>
      <c r="T58" s="49"/>
      <c r="U58" s="49"/>
      <c r="V58" s="49"/>
    </row>
    <row r="59" spans="1:22" x14ac:dyDescent="0.2">
      <c r="B59" s="48"/>
      <c r="C59" s="48"/>
      <c r="D59" s="48"/>
      <c r="E59" s="48"/>
      <c r="L59" s="49"/>
      <c r="M59" s="49"/>
      <c r="N59" s="49"/>
      <c r="O59" s="49"/>
      <c r="P59" s="49"/>
      <c r="Q59" s="49"/>
      <c r="R59" s="49"/>
      <c r="S59" s="52"/>
      <c r="T59" s="49"/>
      <c r="U59" s="49"/>
      <c r="V59" s="49"/>
    </row>
    <row r="60" spans="1:22" x14ac:dyDescent="0.2">
      <c r="B60" s="46"/>
      <c r="C60" s="46"/>
      <c r="D60" s="46"/>
      <c r="E60" s="46"/>
      <c r="L60" s="49"/>
      <c r="M60" s="49"/>
      <c r="N60" s="49"/>
      <c r="O60" s="49"/>
      <c r="P60" s="49"/>
      <c r="Q60" s="49"/>
      <c r="R60" s="49"/>
      <c r="S60" s="52"/>
      <c r="T60" s="49"/>
      <c r="U60" s="49"/>
      <c r="V60" s="49"/>
    </row>
    <row r="61" spans="1:22" x14ac:dyDescent="0.2">
      <c r="B61" s="48"/>
      <c r="C61" s="48"/>
      <c r="D61" s="48"/>
      <c r="E61" s="48"/>
      <c r="L61" s="49"/>
      <c r="M61" s="49"/>
      <c r="N61" s="49"/>
      <c r="O61" s="49"/>
      <c r="P61" s="49"/>
      <c r="Q61" s="49"/>
      <c r="R61" s="49"/>
      <c r="S61" s="52"/>
      <c r="T61" s="49"/>
      <c r="U61" s="49"/>
      <c r="V61" s="49"/>
    </row>
    <row r="62" spans="1:22" x14ac:dyDescent="0.2">
      <c r="B62" s="48"/>
      <c r="C62" s="48"/>
      <c r="D62" s="48"/>
      <c r="E62" s="48"/>
      <c r="L62" s="49"/>
      <c r="M62" s="49"/>
      <c r="N62" s="49"/>
      <c r="O62" s="49"/>
      <c r="P62" s="49"/>
      <c r="Q62" s="49"/>
      <c r="R62" s="49"/>
      <c r="S62" s="52"/>
      <c r="T62" s="49"/>
      <c r="U62" s="49"/>
      <c r="V62" s="49"/>
    </row>
    <row r="63" spans="1:22" x14ac:dyDescent="0.2">
      <c r="L63" s="49"/>
      <c r="M63" s="49"/>
      <c r="N63" s="49"/>
      <c r="O63" s="49"/>
      <c r="P63" s="49"/>
      <c r="Q63" s="49"/>
      <c r="R63" s="49"/>
      <c r="S63" s="52"/>
      <c r="T63" s="49"/>
      <c r="U63" s="49"/>
      <c r="V63" s="49"/>
    </row>
    <row r="64" spans="1:22" x14ac:dyDescent="0.2">
      <c r="L64" s="49"/>
      <c r="M64" s="49"/>
      <c r="N64" s="49"/>
      <c r="O64" s="49"/>
      <c r="P64" s="49"/>
      <c r="Q64" s="49"/>
      <c r="R64" s="49"/>
      <c r="S64" s="52"/>
      <c r="T64" s="49"/>
      <c r="U64" s="49"/>
      <c r="V64" s="49"/>
    </row>
    <row r="65" spans="12:22" x14ac:dyDescent="0.2">
      <c r="L65" s="49"/>
      <c r="M65" s="49"/>
      <c r="N65" s="49"/>
      <c r="O65" s="49"/>
      <c r="P65" s="49"/>
      <c r="Q65" s="49"/>
      <c r="R65" s="49"/>
      <c r="S65" s="52"/>
      <c r="T65" s="49"/>
      <c r="U65" s="49"/>
      <c r="V65" s="49"/>
    </row>
    <row r="66" spans="12:22" x14ac:dyDescent="0.2">
      <c r="L66" s="49"/>
      <c r="M66" s="49"/>
      <c r="N66" s="49"/>
      <c r="O66" s="49"/>
      <c r="P66" s="49"/>
      <c r="Q66" s="49"/>
      <c r="R66" s="49"/>
      <c r="S66" s="52"/>
      <c r="T66" s="49"/>
      <c r="U66" s="49"/>
      <c r="V66" s="49"/>
    </row>
    <row r="67" spans="12:22" x14ac:dyDescent="0.2">
      <c r="L67" s="49"/>
      <c r="M67" s="49"/>
      <c r="N67" s="49"/>
      <c r="O67" s="49"/>
      <c r="P67" s="49"/>
      <c r="Q67" s="49"/>
      <c r="R67" s="49"/>
      <c r="S67" s="52"/>
      <c r="T67" s="49"/>
      <c r="U67" s="49"/>
      <c r="V67" s="49"/>
    </row>
    <row r="68" spans="12:22" x14ac:dyDescent="0.2">
      <c r="L68" s="49"/>
      <c r="M68" s="49"/>
      <c r="N68" s="49"/>
      <c r="O68" s="49"/>
      <c r="P68" s="49"/>
      <c r="Q68" s="49"/>
      <c r="R68" s="49"/>
      <c r="S68" s="52"/>
      <c r="T68" s="49"/>
      <c r="U68" s="49"/>
      <c r="V68" s="49"/>
    </row>
    <row r="69" spans="12:22" x14ac:dyDescent="0.2">
      <c r="L69" s="49"/>
      <c r="M69" s="49"/>
      <c r="N69" s="49"/>
      <c r="O69" s="49"/>
      <c r="P69" s="49"/>
      <c r="Q69" s="49"/>
      <c r="R69" s="49"/>
      <c r="S69" s="52"/>
      <c r="T69" s="49"/>
      <c r="U69" s="49"/>
      <c r="V69" s="49"/>
    </row>
    <row r="70" spans="12:22" x14ac:dyDescent="0.2">
      <c r="L70" s="49"/>
      <c r="M70" s="49"/>
      <c r="N70" s="49"/>
      <c r="O70" s="49"/>
      <c r="P70" s="49"/>
      <c r="Q70" s="49"/>
      <c r="R70" s="49"/>
      <c r="S70" s="52"/>
      <c r="T70" s="49"/>
      <c r="U70" s="49"/>
      <c r="V70" s="49"/>
    </row>
    <row r="71" spans="12:22" x14ac:dyDescent="0.2">
      <c r="L71" s="49"/>
      <c r="M71" s="49"/>
      <c r="N71" s="49"/>
      <c r="O71" s="49"/>
      <c r="P71" s="49"/>
      <c r="Q71" s="49"/>
      <c r="R71" s="49"/>
      <c r="S71" s="52"/>
      <c r="T71" s="49"/>
      <c r="U71" s="49"/>
      <c r="V71" s="49"/>
    </row>
    <row r="72" spans="12:22" x14ac:dyDescent="0.2">
      <c r="L72" s="49"/>
      <c r="M72" s="49"/>
      <c r="N72" s="49"/>
      <c r="O72" s="49"/>
      <c r="P72" s="49"/>
      <c r="Q72" s="49"/>
      <c r="R72" s="49"/>
      <c r="S72" s="52"/>
      <c r="T72" s="49"/>
      <c r="U72" s="49"/>
      <c r="V72" s="49"/>
    </row>
    <row r="73" spans="12:22" x14ac:dyDescent="0.2">
      <c r="L73" s="49"/>
      <c r="M73" s="49"/>
      <c r="N73" s="49"/>
      <c r="O73" s="49"/>
      <c r="P73" s="49"/>
      <c r="Q73" s="49"/>
      <c r="R73" s="49"/>
      <c r="S73" s="52"/>
      <c r="T73" s="49"/>
      <c r="U73" s="49"/>
      <c r="V73" s="49"/>
    </row>
    <row r="74" spans="12:22" x14ac:dyDescent="0.2">
      <c r="L74" s="49"/>
      <c r="M74" s="49"/>
      <c r="N74" s="49"/>
      <c r="O74" s="49"/>
      <c r="P74" s="49"/>
      <c r="Q74" s="49"/>
      <c r="R74" s="49"/>
      <c r="S74" s="52"/>
      <c r="T74" s="49"/>
      <c r="U74" s="49"/>
      <c r="V74" s="49"/>
    </row>
    <row r="75" spans="12:22" x14ac:dyDescent="0.2">
      <c r="L75" s="49"/>
      <c r="M75" s="49"/>
      <c r="N75" s="49"/>
      <c r="O75" s="49"/>
      <c r="P75" s="49"/>
      <c r="Q75" s="49"/>
      <c r="R75" s="49"/>
      <c r="S75" s="52"/>
      <c r="T75" s="49"/>
      <c r="U75" s="49"/>
      <c r="V75" s="49"/>
    </row>
    <row r="76" spans="12:22" x14ac:dyDescent="0.2">
      <c r="L76" s="49"/>
      <c r="M76" s="49"/>
      <c r="N76" s="49"/>
      <c r="O76" s="49"/>
      <c r="P76" s="49"/>
      <c r="Q76" s="49"/>
      <c r="R76" s="49"/>
      <c r="S76" s="52"/>
      <c r="T76" s="49"/>
      <c r="U76" s="49"/>
      <c r="V76" s="49"/>
    </row>
    <row r="77" spans="12:22" x14ac:dyDescent="0.2">
      <c r="L77" s="49"/>
      <c r="M77" s="49"/>
      <c r="N77" s="49"/>
      <c r="O77" s="49"/>
      <c r="P77" s="49"/>
      <c r="Q77" s="49"/>
      <c r="R77" s="49"/>
      <c r="S77" s="52"/>
      <c r="T77" s="49"/>
      <c r="U77" s="49"/>
      <c r="V77" s="49"/>
    </row>
    <row r="78" spans="12:22" x14ac:dyDescent="0.2">
      <c r="L78" s="49"/>
      <c r="M78" s="49"/>
      <c r="N78" s="49"/>
      <c r="O78" s="49"/>
      <c r="P78" s="49"/>
      <c r="Q78" s="49"/>
      <c r="R78" s="49"/>
      <c r="S78" s="52"/>
      <c r="T78" s="49"/>
      <c r="U78" s="49"/>
      <c r="V78" s="49"/>
    </row>
    <row r="79" spans="12:22" x14ac:dyDescent="0.2">
      <c r="L79" s="49"/>
      <c r="M79" s="49"/>
      <c r="N79" s="49"/>
      <c r="O79" s="49"/>
      <c r="P79" s="49"/>
      <c r="Q79" s="49"/>
      <c r="R79" s="49"/>
      <c r="S79" s="52"/>
      <c r="T79" s="49"/>
      <c r="U79" s="49"/>
      <c r="V79" s="49"/>
    </row>
    <row r="80" spans="12:22" x14ac:dyDescent="0.2">
      <c r="L80" s="49"/>
      <c r="M80" s="49"/>
      <c r="N80" s="49"/>
      <c r="O80" s="49"/>
      <c r="P80" s="49"/>
      <c r="Q80" s="49"/>
      <c r="R80" s="49"/>
      <c r="S80" s="52"/>
      <c r="T80" s="49"/>
      <c r="U80" s="49"/>
      <c r="V80" s="49"/>
    </row>
    <row r="81" spans="12:22" x14ac:dyDescent="0.2">
      <c r="L81" s="49"/>
      <c r="M81" s="49"/>
      <c r="N81" s="49"/>
      <c r="O81" s="49"/>
      <c r="P81" s="49"/>
      <c r="Q81" s="49"/>
      <c r="R81" s="49"/>
      <c r="S81" s="52"/>
      <c r="T81" s="49"/>
      <c r="U81" s="49"/>
      <c r="V81" s="49"/>
    </row>
    <row r="82" spans="12:22" x14ac:dyDescent="0.2">
      <c r="L82" s="49"/>
      <c r="M82" s="49"/>
      <c r="N82" s="49"/>
      <c r="O82" s="49"/>
      <c r="P82" s="49"/>
      <c r="Q82" s="49"/>
      <c r="R82" s="49"/>
      <c r="S82" s="52"/>
      <c r="T82" s="49"/>
      <c r="U82" s="49"/>
      <c r="V82" s="49"/>
    </row>
    <row r="83" spans="12:22" x14ac:dyDescent="0.2">
      <c r="L83" s="49"/>
      <c r="M83" s="49"/>
      <c r="N83" s="49"/>
      <c r="O83" s="49"/>
      <c r="P83" s="49"/>
      <c r="Q83" s="49"/>
      <c r="R83" s="49"/>
      <c r="S83" s="52"/>
      <c r="T83" s="49"/>
      <c r="U83" s="49"/>
      <c r="V83" s="49"/>
    </row>
    <row r="84" spans="12:22" x14ac:dyDescent="0.2">
      <c r="L84" s="49"/>
      <c r="M84" s="49"/>
      <c r="N84" s="49"/>
      <c r="O84" s="49"/>
      <c r="P84" s="49"/>
      <c r="Q84" s="49"/>
      <c r="R84" s="49"/>
      <c r="S84" s="52"/>
      <c r="T84" s="49"/>
      <c r="U84" s="49"/>
      <c r="V84" s="49"/>
    </row>
    <row r="85" spans="12:22" x14ac:dyDescent="0.2">
      <c r="L85" s="49"/>
      <c r="M85" s="49"/>
      <c r="N85" s="49"/>
      <c r="O85" s="49"/>
      <c r="P85" s="49"/>
      <c r="Q85" s="49"/>
      <c r="R85" s="49"/>
      <c r="S85" s="52"/>
      <c r="T85" s="49"/>
      <c r="U85" s="49"/>
      <c r="V85" s="49"/>
    </row>
    <row r="86" spans="12:22" x14ac:dyDescent="0.2">
      <c r="L86" s="49"/>
      <c r="M86" s="49"/>
      <c r="N86" s="49"/>
      <c r="O86" s="49"/>
      <c r="P86" s="49"/>
      <c r="Q86" s="49"/>
      <c r="R86" s="49"/>
      <c r="S86" s="52"/>
      <c r="T86" s="49"/>
      <c r="U86" s="49"/>
      <c r="V86" s="49"/>
    </row>
    <row r="87" spans="12:22" x14ac:dyDescent="0.2">
      <c r="L87" s="49"/>
      <c r="M87" s="49"/>
      <c r="N87" s="49"/>
      <c r="O87" s="49"/>
      <c r="P87" s="49"/>
      <c r="Q87" s="49"/>
      <c r="R87" s="49"/>
      <c r="S87" s="52"/>
      <c r="T87" s="49"/>
      <c r="U87" s="49"/>
      <c r="V87" s="49"/>
    </row>
    <row r="88" spans="12:22" x14ac:dyDescent="0.2">
      <c r="L88" s="49"/>
      <c r="M88" s="49"/>
      <c r="N88" s="49"/>
      <c r="O88" s="49"/>
      <c r="P88" s="49"/>
      <c r="Q88" s="49"/>
      <c r="R88" s="49"/>
      <c r="S88" s="52"/>
      <c r="T88" s="49"/>
      <c r="U88" s="49"/>
      <c r="V88" s="49"/>
    </row>
    <row r="89" spans="12:22" x14ac:dyDescent="0.2">
      <c r="L89" s="49"/>
      <c r="M89" s="49"/>
      <c r="N89" s="49"/>
      <c r="O89" s="49"/>
      <c r="P89" s="49"/>
      <c r="Q89" s="49"/>
      <c r="R89" s="49"/>
      <c r="S89" s="52"/>
      <c r="T89" s="49"/>
      <c r="U89" s="49"/>
      <c r="V89" s="49"/>
    </row>
    <row r="90" spans="12:22" x14ac:dyDescent="0.2">
      <c r="L90" s="49"/>
      <c r="M90" s="49"/>
      <c r="N90" s="49"/>
      <c r="O90" s="49"/>
      <c r="P90" s="49"/>
      <c r="Q90" s="49"/>
      <c r="R90" s="49"/>
      <c r="S90" s="52"/>
      <c r="T90" s="49"/>
      <c r="U90" s="49"/>
      <c r="V90" s="49"/>
    </row>
    <row r="91" spans="12:22" x14ac:dyDescent="0.2">
      <c r="L91" s="49"/>
      <c r="M91" s="49"/>
      <c r="N91" s="49"/>
      <c r="O91" s="49"/>
      <c r="P91" s="49"/>
      <c r="Q91" s="49"/>
      <c r="R91" s="49"/>
      <c r="S91" s="52"/>
      <c r="T91" s="49"/>
      <c r="U91" s="49"/>
      <c r="V91" s="49"/>
    </row>
    <row r="92" spans="12:22" x14ac:dyDescent="0.2">
      <c r="L92" s="49"/>
      <c r="M92" s="49"/>
      <c r="N92" s="49"/>
      <c r="O92" s="49"/>
      <c r="P92" s="49"/>
      <c r="Q92" s="49"/>
      <c r="R92" s="49"/>
      <c r="S92" s="52"/>
      <c r="T92" s="49"/>
      <c r="U92" s="49"/>
      <c r="V92" s="49"/>
    </row>
    <row r="93" spans="12:22" x14ac:dyDescent="0.2">
      <c r="L93" s="49"/>
      <c r="M93" s="49"/>
      <c r="N93" s="49"/>
      <c r="O93" s="49"/>
      <c r="P93" s="49"/>
      <c r="Q93" s="49"/>
      <c r="R93" s="49"/>
      <c r="S93" s="52"/>
      <c r="T93" s="49"/>
      <c r="U93" s="49"/>
      <c r="V93" s="49"/>
    </row>
    <row r="94" spans="12:22" x14ac:dyDescent="0.2">
      <c r="L94" s="49"/>
      <c r="M94" s="49"/>
      <c r="N94" s="49"/>
      <c r="O94" s="49"/>
      <c r="P94" s="49"/>
      <c r="Q94" s="49"/>
      <c r="R94" s="49"/>
      <c r="S94" s="52"/>
      <c r="T94" s="49"/>
      <c r="U94" s="49"/>
      <c r="V94" s="49"/>
    </row>
    <row r="95" spans="12:22" x14ac:dyDescent="0.2">
      <c r="L95" s="49"/>
      <c r="M95" s="49"/>
      <c r="N95" s="49"/>
      <c r="O95" s="49"/>
      <c r="P95" s="49"/>
      <c r="Q95" s="49"/>
      <c r="R95" s="49"/>
      <c r="S95" s="52"/>
      <c r="T95" s="49"/>
      <c r="U95" s="49"/>
      <c r="V95" s="49"/>
    </row>
    <row r="96" spans="12:22" x14ac:dyDescent="0.2">
      <c r="L96" s="49"/>
      <c r="M96" s="49"/>
      <c r="N96" s="49"/>
      <c r="O96" s="49"/>
      <c r="P96" s="49"/>
      <c r="Q96" s="49"/>
      <c r="R96" s="49"/>
      <c r="S96" s="52"/>
      <c r="T96" s="49"/>
      <c r="U96" s="49"/>
      <c r="V96" s="49"/>
    </row>
    <row r="97" spans="12:22" x14ac:dyDescent="0.2">
      <c r="L97" s="49"/>
      <c r="M97" s="49"/>
      <c r="N97" s="49"/>
      <c r="O97" s="49"/>
      <c r="P97" s="49"/>
      <c r="Q97" s="49"/>
      <c r="R97" s="49"/>
      <c r="S97" s="52"/>
      <c r="T97" s="49"/>
      <c r="U97" s="49"/>
      <c r="V97" s="49"/>
    </row>
    <row r="98" spans="12:22" x14ac:dyDescent="0.2">
      <c r="L98" s="49"/>
      <c r="M98" s="49"/>
      <c r="N98" s="49"/>
      <c r="O98" s="49"/>
      <c r="P98" s="49"/>
      <c r="Q98" s="49"/>
      <c r="R98" s="49"/>
      <c r="S98" s="52"/>
      <c r="T98" s="49"/>
      <c r="U98" s="49"/>
      <c r="V98" s="49"/>
    </row>
    <row r="99" spans="12:22" x14ac:dyDescent="0.2">
      <c r="L99" s="49"/>
      <c r="M99" s="49"/>
      <c r="N99" s="49"/>
      <c r="O99" s="49"/>
      <c r="P99" s="49"/>
      <c r="Q99" s="49"/>
      <c r="R99" s="49"/>
      <c r="S99" s="52"/>
      <c r="T99" s="49"/>
      <c r="U99" s="49"/>
      <c r="V99" s="49"/>
    </row>
    <row r="100" spans="12:22" x14ac:dyDescent="0.2">
      <c r="L100" s="49"/>
      <c r="M100" s="49"/>
      <c r="N100" s="49"/>
      <c r="O100" s="49"/>
      <c r="P100" s="49"/>
      <c r="Q100" s="49"/>
      <c r="R100" s="49"/>
      <c r="S100" s="52"/>
      <c r="T100" s="49"/>
      <c r="U100" s="49"/>
      <c r="V100" s="49"/>
    </row>
    <row r="101" spans="12:22" x14ac:dyDescent="0.2">
      <c r="L101" s="49"/>
      <c r="M101" s="49"/>
      <c r="N101" s="49"/>
      <c r="O101" s="49"/>
      <c r="P101" s="49"/>
      <c r="Q101" s="49"/>
      <c r="R101" s="49"/>
      <c r="S101" s="52"/>
      <c r="T101" s="49"/>
      <c r="U101" s="49"/>
      <c r="V101" s="49"/>
    </row>
    <row r="102" spans="12:22" x14ac:dyDescent="0.2">
      <c r="L102" s="49"/>
      <c r="M102" s="49"/>
      <c r="N102" s="49"/>
      <c r="O102" s="49"/>
      <c r="P102" s="49"/>
      <c r="Q102" s="49"/>
      <c r="R102" s="49"/>
      <c r="S102" s="52"/>
      <c r="T102" s="49"/>
      <c r="U102" s="49"/>
      <c r="V102" s="49"/>
    </row>
    <row r="103" spans="12:22" x14ac:dyDescent="0.2">
      <c r="L103" s="49"/>
      <c r="M103" s="49"/>
      <c r="N103" s="49"/>
      <c r="O103" s="49"/>
      <c r="P103" s="49"/>
      <c r="Q103" s="49"/>
      <c r="R103" s="49"/>
      <c r="S103" s="52"/>
      <c r="T103" s="49"/>
      <c r="U103" s="49"/>
      <c r="V103" s="49"/>
    </row>
    <row r="104" spans="12:22" x14ac:dyDescent="0.2">
      <c r="L104" s="49"/>
      <c r="M104" s="49"/>
      <c r="N104" s="49"/>
      <c r="O104" s="49"/>
      <c r="P104" s="49"/>
      <c r="Q104" s="49"/>
      <c r="R104" s="49"/>
      <c r="S104" s="52"/>
      <c r="T104" s="49"/>
      <c r="U104" s="49"/>
      <c r="V104" s="49"/>
    </row>
    <row r="105" spans="12:22" x14ac:dyDescent="0.2">
      <c r="L105" s="49"/>
      <c r="M105" s="49"/>
      <c r="N105" s="49"/>
      <c r="O105" s="49"/>
      <c r="P105" s="49"/>
      <c r="Q105" s="49"/>
      <c r="R105" s="49"/>
      <c r="S105" s="52"/>
      <c r="T105" s="49"/>
      <c r="U105" s="49"/>
      <c r="V105" s="49"/>
    </row>
    <row r="106" spans="12:22" x14ac:dyDescent="0.2">
      <c r="L106" s="49"/>
      <c r="M106" s="49"/>
      <c r="N106" s="49"/>
      <c r="O106" s="49"/>
      <c r="P106" s="49"/>
      <c r="Q106" s="49"/>
      <c r="R106" s="49"/>
      <c r="S106" s="52"/>
      <c r="T106" s="49"/>
      <c r="U106" s="49"/>
      <c r="V106" s="49"/>
    </row>
    <row r="107" spans="12:22" x14ac:dyDescent="0.2">
      <c r="L107" s="49"/>
      <c r="M107" s="49"/>
      <c r="N107" s="49"/>
      <c r="O107" s="49"/>
      <c r="P107" s="49"/>
      <c r="Q107" s="49"/>
      <c r="R107" s="49"/>
      <c r="S107" s="52"/>
      <c r="T107" s="49"/>
      <c r="U107" s="49"/>
      <c r="V107" s="49"/>
    </row>
    <row r="108" spans="12:22" x14ac:dyDescent="0.2">
      <c r="L108" s="49"/>
      <c r="M108" s="49"/>
      <c r="N108" s="49"/>
      <c r="O108" s="49"/>
      <c r="P108" s="49"/>
      <c r="Q108" s="49"/>
      <c r="R108" s="49"/>
      <c r="S108" s="52"/>
      <c r="T108" s="49"/>
      <c r="U108" s="49"/>
      <c r="V108" s="49"/>
    </row>
    <row r="109" spans="12:22" x14ac:dyDescent="0.2">
      <c r="L109" s="49"/>
      <c r="M109" s="49"/>
      <c r="N109" s="49"/>
      <c r="O109" s="49"/>
      <c r="P109" s="49"/>
      <c r="Q109" s="49"/>
      <c r="R109" s="49"/>
      <c r="S109" s="52"/>
      <c r="T109" s="49"/>
      <c r="U109" s="49"/>
      <c r="V109" s="49"/>
    </row>
    <row r="110" spans="12:22" x14ac:dyDescent="0.2">
      <c r="L110" s="49"/>
      <c r="M110" s="49"/>
      <c r="N110" s="49"/>
      <c r="O110" s="49"/>
      <c r="P110" s="49"/>
      <c r="Q110" s="49"/>
      <c r="R110" s="49"/>
      <c r="S110" s="52"/>
      <c r="T110" s="49"/>
      <c r="U110" s="49"/>
      <c r="V110" s="49"/>
    </row>
    <row r="111" spans="12:22" x14ac:dyDescent="0.2"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 spans="12:22" x14ac:dyDescent="0.2"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</row>
    <row r="113" spans="12:22" x14ac:dyDescent="0.2"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</row>
    <row r="114" spans="12:22" x14ac:dyDescent="0.2"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</row>
    <row r="115" spans="12:22" x14ac:dyDescent="0.2"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</row>
    <row r="116" spans="12:22" x14ac:dyDescent="0.2"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</row>
    <row r="117" spans="12:22" x14ac:dyDescent="0.2"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 spans="12:22" x14ac:dyDescent="0.2">
      <c r="N118" s="49"/>
      <c r="O118" s="49"/>
      <c r="P118" s="49"/>
      <c r="Q118" s="49"/>
      <c r="R118" s="49"/>
      <c r="S118" s="49"/>
      <c r="T118" s="49"/>
      <c r="U118" s="49"/>
      <c r="V118" s="49"/>
    </row>
    <row r="119" spans="12:22" x14ac:dyDescent="0.2">
      <c r="O119" s="49"/>
      <c r="P119" s="49"/>
      <c r="Q119" s="49"/>
      <c r="R119" s="49"/>
      <c r="S119" s="49"/>
      <c r="T119" s="49"/>
      <c r="U119" s="49"/>
      <c r="V119" s="49"/>
    </row>
    <row r="120" spans="12:22" x14ac:dyDescent="0.2">
      <c r="T120" s="50"/>
    </row>
    <row r="121" spans="12:22" x14ac:dyDescent="0.2">
      <c r="T121" s="50"/>
    </row>
    <row r="122" spans="12:22" x14ac:dyDescent="0.2">
      <c r="T122" s="50"/>
    </row>
    <row r="123" spans="12:22" x14ac:dyDescent="0.2">
      <c r="T123" s="50"/>
    </row>
    <row r="124" spans="12:22" x14ac:dyDescent="0.2">
      <c r="T124" s="50"/>
    </row>
    <row r="125" spans="12:22" x14ac:dyDescent="0.2">
      <c r="T125" s="50"/>
    </row>
    <row r="126" spans="12:22" x14ac:dyDescent="0.2">
      <c r="T126" s="50"/>
    </row>
    <row r="127" spans="12:22" x14ac:dyDescent="0.2">
      <c r="T127" s="50"/>
    </row>
    <row r="128" spans="12:22" x14ac:dyDescent="0.2">
      <c r="T128" s="50"/>
    </row>
    <row r="129" spans="20:20" x14ac:dyDescent="0.2">
      <c r="T129" s="50"/>
    </row>
    <row r="130" spans="20:20" x14ac:dyDescent="0.2">
      <c r="T130" s="50"/>
    </row>
    <row r="131" spans="20:20" x14ac:dyDescent="0.2">
      <c r="T131" s="50"/>
    </row>
    <row r="132" spans="20:20" x14ac:dyDescent="0.2">
      <c r="T132" s="50"/>
    </row>
    <row r="133" spans="20:20" x14ac:dyDescent="0.2">
      <c r="T133" s="50"/>
    </row>
    <row r="134" spans="20:20" x14ac:dyDescent="0.2">
      <c r="T134" s="50"/>
    </row>
    <row r="135" spans="20:20" x14ac:dyDescent="0.2">
      <c r="T135" s="50"/>
    </row>
    <row r="136" spans="20:20" x14ac:dyDescent="0.2">
      <c r="T136" s="50"/>
    </row>
    <row r="137" spans="20:20" x14ac:dyDescent="0.2">
      <c r="T137" s="50"/>
    </row>
    <row r="138" spans="20:20" x14ac:dyDescent="0.2">
      <c r="T138" s="50"/>
    </row>
    <row r="139" spans="20:20" x14ac:dyDescent="0.2">
      <c r="T139" s="50"/>
    </row>
    <row r="140" spans="20:20" x14ac:dyDescent="0.2">
      <c r="T140" s="50"/>
    </row>
    <row r="141" spans="20:20" x14ac:dyDescent="0.2">
      <c r="T141" s="50"/>
    </row>
    <row r="142" spans="20:20" x14ac:dyDescent="0.2">
      <c r="T142" s="50"/>
    </row>
    <row r="143" spans="20:20" x14ac:dyDescent="0.2">
      <c r="T143" s="50"/>
    </row>
    <row r="144" spans="20:20" x14ac:dyDescent="0.2">
      <c r="T144" s="50"/>
    </row>
    <row r="145" spans="20:20" x14ac:dyDescent="0.2">
      <c r="T145" s="50"/>
    </row>
    <row r="146" spans="20:20" x14ac:dyDescent="0.2">
      <c r="T146" s="50"/>
    </row>
    <row r="147" spans="20:20" x14ac:dyDescent="0.2">
      <c r="T147" s="50"/>
    </row>
    <row r="148" spans="20:20" x14ac:dyDescent="0.2">
      <c r="T148" s="50"/>
    </row>
    <row r="149" spans="20:20" x14ac:dyDescent="0.2">
      <c r="T149" s="50"/>
    </row>
    <row r="150" spans="20:20" x14ac:dyDescent="0.2">
      <c r="T150" s="50"/>
    </row>
    <row r="151" spans="20:20" x14ac:dyDescent="0.2">
      <c r="T151" s="50"/>
    </row>
    <row r="152" spans="20:20" x14ac:dyDescent="0.2">
      <c r="T152" s="50"/>
    </row>
    <row r="153" spans="20:20" x14ac:dyDescent="0.2">
      <c r="T153" s="50"/>
    </row>
    <row r="154" spans="20:20" x14ac:dyDescent="0.2">
      <c r="T154" s="50"/>
    </row>
    <row r="155" spans="20:20" x14ac:dyDescent="0.2">
      <c r="T155" s="50"/>
    </row>
    <row r="156" spans="20:20" x14ac:dyDescent="0.2">
      <c r="T156" s="50"/>
    </row>
    <row r="157" spans="20:20" x14ac:dyDescent="0.2">
      <c r="T157" s="50"/>
    </row>
    <row r="158" spans="20:20" x14ac:dyDescent="0.2">
      <c r="T158" s="50"/>
    </row>
    <row r="159" spans="20:20" x14ac:dyDescent="0.2">
      <c r="T159" s="50"/>
    </row>
    <row r="160" spans="20:20" x14ac:dyDescent="0.2">
      <c r="T160" s="50"/>
    </row>
    <row r="161" spans="20:20" x14ac:dyDescent="0.2">
      <c r="T161" s="50"/>
    </row>
    <row r="162" spans="20:20" x14ac:dyDescent="0.2">
      <c r="T162" s="50"/>
    </row>
    <row r="163" spans="20:20" x14ac:dyDescent="0.2">
      <c r="T163" s="50"/>
    </row>
    <row r="164" spans="20:20" x14ac:dyDescent="0.2">
      <c r="T164" s="50"/>
    </row>
    <row r="165" spans="20:20" x14ac:dyDescent="0.2">
      <c r="T165" s="50"/>
    </row>
    <row r="166" spans="20:20" x14ac:dyDescent="0.2">
      <c r="T166" s="50"/>
    </row>
    <row r="167" spans="20:20" x14ac:dyDescent="0.2">
      <c r="T167" s="50"/>
    </row>
    <row r="168" spans="20:20" x14ac:dyDescent="0.2">
      <c r="T168" s="50"/>
    </row>
    <row r="169" spans="20:20" x14ac:dyDescent="0.2">
      <c r="T169" s="50"/>
    </row>
    <row r="170" spans="20:20" x14ac:dyDescent="0.2">
      <c r="T170" s="50"/>
    </row>
    <row r="171" spans="20:20" x14ac:dyDescent="0.2">
      <c r="T171" s="50"/>
    </row>
    <row r="172" spans="20:20" x14ac:dyDescent="0.2">
      <c r="T172" s="50"/>
    </row>
    <row r="173" spans="20:20" x14ac:dyDescent="0.2">
      <c r="T173" s="50"/>
    </row>
  </sheetData>
  <mergeCells count="78">
    <mergeCell ref="B43:E43"/>
    <mergeCell ref="B49:E49"/>
    <mergeCell ref="B60:E60"/>
    <mergeCell ref="Z33:Z35"/>
    <mergeCell ref="U36:U38"/>
    <mergeCell ref="V36:V38"/>
    <mergeCell ref="W36:W38"/>
    <mergeCell ref="X36:X38"/>
    <mergeCell ref="Y36:Y38"/>
    <mergeCell ref="Z36:Z38"/>
    <mergeCell ref="B32:E32"/>
    <mergeCell ref="U33:U35"/>
    <mergeCell ref="V33:V35"/>
    <mergeCell ref="W33:W35"/>
    <mergeCell ref="X33:X35"/>
    <mergeCell ref="Y33:Y35"/>
    <mergeCell ref="U30:U32"/>
    <mergeCell ref="V30:V32"/>
    <mergeCell ref="W30:W32"/>
    <mergeCell ref="X30:X32"/>
    <mergeCell ref="Y30:Y32"/>
    <mergeCell ref="Z30:Z32"/>
    <mergeCell ref="U27:U29"/>
    <mergeCell ref="V27:V29"/>
    <mergeCell ref="W27:W29"/>
    <mergeCell ref="X27:X29"/>
    <mergeCell ref="Y27:Y29"/>
    <mergeCell ref="Z27:Z29"/>
    <mergeCell ref="U24:U26"/>
    <mergeCell ref="V24:V26"/>
    <mergeCell ref="W24:W26"/>
    <mergeCell ref="X24:X26"/>
    <mergeCell ref="Y24:Y26"/>
    <mergeCell ref="Z24:Z26"/>
    <mergeCell ref="U21:U23"/>
    <mergeCell ref="V21:V23"/>
    <mergeCell ref="W21:W23"/>
    <mergeCell ref="X21:X23"/>
    <mergeCell ref="Y21:Y23"/>
    <mergeCell ref="Z21:Z23"/>
    <mergeCell ref="U18:U20"/>
    <mergeCell ref="V18:V20"/>
    <mergeCell ref="W18:W20"/>
    <mergeCell ref="X18:X20"/>
    <mergeCell ref="Y18:Y20"/>
    <mergeCell ref="Z18:Z20"/>
    <mergeCell ref="Z12:Z14"/>
    <mergeCell ref="U15:U17"/>
    <mergeCell ref="V15:V17"/>
    <mergeCell ref="W15:W17"/>
    <mergeCell ref="X15:X17"/>
    <mergeCell ref="Y15:Y17"/>
    <mergeCell ref="Z15:Z17"/>
    <mergeCell ref="B11:E11"/>
    <mergeCell ref="U12:U14"/>
    <mergeCell ref="V12:V14"/>
    <mergeCell ref="W12:W14"/>
    <mergeCell ref="X12:X14"/>
    <mergeCell ref="Y12:Y14"/>
    <mergeCell ref="U9:U11"/>
    <mergeCell ref="V9:V11"/>
    <mergeCell ref="W9:W11"/>
    <mergeCell ref="X9:X11"/>
    <mergeCell ref="Y9:Y11"/>
    <mergeCell ref="Z9:Z11"/>
    <mergeCell ref="Z3:Z5"/>
    <mergeCell ref="U6:U8"/>
    <mergeCell ref="V6:V8"/>
    <mergeCell ref="W6:W8"/>
    <mergeCell ref="X6:X8"/>
    <mergeCell ref="Y6:Y8"/>
    <mergeCell ref="Z6:Z8"/>
    <mergeCell ref="H2:I2"/>
    <mergeCell ref="U3:U5"/>
    <mergeCell ref="V3:V5"/>
    <mergeCell ref="W3:W5"/>
    <mergeCell ref="X3:X5"/>
    <mergeCell ref="Y3:Y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FD63-856C-AE42-AB81-E547EAEBB5F1}">
  <dimension ref="B4:H11"/>
  <sheetViews>
    <sheetView workbookViewId="0">
      <selection activeCell="H31" sqref="H31"/>
    </sheetView>
  </sheetViews>
  <sheetFormatPr baseColWidth="10" defaultColWidth="8.83203125" defaultRowHeight="15" x14ac:dyDescent="0.2"/>
  <cols>
    <col min="2" max="2" width="18" bestFit="1" customWidth="1"/>
    <col min="3" max="7" width="13.83203125" bestFit="1" customWidth="1"/>
    <col min="8" max="8" width="2.5" bestFit="1" customWidth="1"/>
  </cols>
  <sheetData>
    <row r="4" spans="2:8" ht="82" x14ac:dyDescent="0.2">
      <c r="B4" s="53"/>
      <c r="C4" s="54" t="s">
        <v>64</v>
      </c>
      <c r="D4" s="54" t="s">
        <v>65</v>
      </c>
      <c r="E4" s="54" t="s">
        <v>66</v>
      </c>
      <c r="F4" s="54" t="s">
        <v>67</v>
      </c>
      <c r="G4" s="55" t="s">
        <v>68</v>
      </c>
    </row>
    <row r="5" spans="2:8" x14ac:dyDescent="0.2">
      <c r="B5" s="56" t="s">
        <v>69</v>
      </c>
      <c r="C5" s="57">
        <v>387480660.51600003</v>
      </c>
      <c r="D5" s="57">
        <v>494780250.94800001</v>
      </c>
      <c r="E5" s="57">
        <v>544452801.45599997</v>
      </c>
      <c r="F5" s="57">
        <v>536499164.24000001</v>
      </c>
      <c r="G5" s="58">
        <v>470919147.57600003</v>
      </c>
      <c r="H5" s="59">
        <v>1</v>
      </c>
    </row>
    <row r="6" spans="2:8" x14ac:dyDescent="0.2">
      <c r="B6" s="56" t="s">
        <v>70</v>
      </c>
      <c r="C6" s="57">
        <v>425348902.01600003</v>
      </c>
      <c r="D6" s="57">
        <v>508180832.296</v>
      </c>
      <c r="E6" s="57">
        <v>546526843.63199997</v>
      </c>
      <c r="F6" s="57">
        <v>540387296.71800005</v>
      </c>
      <c r="G6" s="58">
        <v>489762641.60800004</v>
      </c>
      <c r="H6" s="59">
        <v>2</v>
      </c>
    </row>
    <row r="7" spans="2:8" x14ac:dyDescent="0.2">
      <c r="B7" s="56" t="s">
        <v>71</v>
      </c>
      <c r="C7" s="57">
        <v>463214510.96400005</v>
      </c>
      <c r="D7" s="57">
        <v>521583323.01000005</v>
      </c>
      <c r="E7" s="57">
        <v>548599814.54400003</v>
      </c>
      <c r="F7" s="57">
        <v>544273329.43400002</v>
      </c>
      <c r="G7" s="58">
        <v>508604591.96399999</v>
      </c>
      <c r="H7" s="59">
        <v>3</v>
      </c>
    </row>
    <row r="8" spans="2:8" x14ac:dyDescent="0.2">
      <c r="B8" s="56" t="s">
        <v>72</v>
      </c>
      <c r="C8" s="57">
        <v>500850673.15600002</v>
      </c>
      <c r="D8" s="57">
        <v>534963106.78799999</v>
      </c>
      <c r="E8" s="57">
        <v>550672929.19200003</v>
      </c>
      <c r="F8" s="57">
        <v>548160290.69000006</v>
      </c>
      <c r="G8" s="58">
        <v>527437715.38800001</v>
      </c>
      <c r="H8" s="59">
        <v>4</v>
      </c>
    </row>
    <row r="9" spans="2:8" x14ac:dyDescent="0.2">
      <c r="B9" s="56" t="s">
        <v>73</v>
      </c>
      <c r="C9" s="57">
        <v>530569209.31599998</v>
      </c>
      <c r="D9" s="57">
        <v>545297289.65999997</v>
      </c>
      <c r="E9" s="57">
        <v>552213991.71200001</v>
      </c>
      <c r="F9" s="57">
        <v>551398159.06200004</v>
      </c>
      <c r="G9" s="58">
        <v>543163981.84800005</v>
      </c>
      <c r="H9" s="59">
        <v>5</v>
      </c>
    </row>
    <row r="10" spans="2:8" x14ac:dyDescent="0.2">
      <c r="B10" s="60" t="s">
        <v>74</v>
      </c>
      <c r="C10" s="61">
        <v>540700155.08000004</v>
      </c>
      <c r="D10" s="61">
        <v>540712749.98800004</v>
      </c>
      <c r="E10" s="61">
        <v>540720460.13999999</v>
      </c>
      <c r="F10" s="61">
        <v>540722985.77600002</v>
      </c>
      <c r="G10" s="62">
        <v>540720858.77200007</v>
      </c>
      <c r="H10" s="59">
        <v>6</v>
      </c>
    </row>
    <row r="11" spans="2:8" x14ac:dyDescent="0.2">
      <c r="C11" s="59">
        <v>1</v>
      </c>
      <c r="D11" s="59">
        <v>2</v>
      </c>
      <c r="E11" s="59">
        <v>3</v>
      </c>
      <c r="F11" s="59">
        <v>4</v>
      </c>
      <c r="G11" s="59">
        <v>5</v>
      </c>
    </row>
  </sheetData>
  <conditionalFormatting sqref="C5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Match Scheduling</vt:lpstr>
      <vt:lpstr>Match Schedule</vt:lpstr>
      <vt:lpstr>Updated Match Scheduling</vt:lpstr>
      <vt:lpstr>Updated Match Schedule</vt:lpstr>
      <vt:lpstr>Revenue Forecast</vt:lpstr>
      <vt:lpstr> Pricing Strategy (Time)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2020-12-10T17:36:03Z</dcterms:created>
  <dcterms:modified xsi:type="dcterms:W3CDTF">2020-12-10T18:20:39Z</dcterms:modified>
</cp:coreProperties>
</file>