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iakhamitkar/Desktop/Babson Grad/Semester 2/Investment Banking/Tesla DCF Assignment/"/>
    </mc:Choice>
  </mc:AlternateContent>
  <xr:revisionPtr revIDLastSave="0" documentId="13_ncr:1_{F8C5457C-5E76-AF44-80EB-AAC4E4D8FAD6}" xr6:coauthVersionLast="47" xr6:coauthVersionMax="47" xr10:uidLastSave="{00000000-0000-0000-0000-000000000000}"/>
  <bookViews>
    <workbookView xWindow="0" yWindow="900" windowWidth="29240" windowHeight="16580" activeTab="1" xr2:uid="{50D51AE1-18A6-494D-898D-C381F4449294}"/>
  </bookViews>
  <sheets>
    <sheet name="Assumptions" sheetId="1" r:id="rId1"/>
    <sheet name="DCF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2" l="1"/>
  <c r="H18" i="2" s="1"/>
  <c r="I18" i="2" s="1"/>
  <c r="J18" i="2" s="1"/>
  <c r="C36" i="2"/>
  <c r="C37" i="2" s="1"/>
  <c r="E32" i="2"/>
  <c r="D32" i="2" s="1"/>
  <c r="M57" i="2"/>
  <c r="M56" i="2"/>
  <c r="M55" i="2"/>
  <c r="M43" i="2"/>
  <c r="F17" i="2"/>
  <c r="C34" i="2" l="1"/>
  <c r="C33" i="2" s="1"/>
  <c r="G32" i="2"/>
  <c r="H32" i="2" s="1"/>
  <c r="M52" i="2" l="1"/>
  <c r="M51" i="2"/>
  <c r="M29" i="2"/>
  <c r="M27" i="2"/>
  <c r="M6" i="2" l="1"/>
  <c r="M8" i="2"/>
  <c r="C12" i="2"/>
  <c r="D12" i="2"/>
  <c r="E12" i="2"/>
  <c r="F12" i="2"/>
  <c r="G12" i="2"/>
  <c r="H12" i="2"/>
  <c r="H14" i="2" s="1"/>
  <c r="H16" i="2" s="1"/>
  <c r="H19" i="2" s="1"/>
  <c r="I12" i="2"/>
  <c r="J12" i="2"/>
  <c r="P6" i="2"/>
  <c r="M47" i="2"/>
  <c r="S41" i="2"/>
  <c r="S44" i="2" s="1"/>
  <c r="R44" i="2"/>
  <c r="Q44" i="2"/>
  <c r="S33" i="2"/>
  <c r="S36" i="2" s="1"/>
  <c r="R36" i="2"/>
  <c r="Q36" i="2"/>
  <c r="G17" i="2"/>
  <c r="H17" i="2" s="1"/>
  <c r="I17" i="2" s="1"/>
  <c r="J17" i="2" s="1"/>
  <c r="M7" i="2" s="1"/>
  <c r="M9" i="2" l="1"/>
  <c r="M48" i="2"/>
  <c r="P16" i="2"/>
  <c r="E13" i="2" l="1"/>
  <c r="D13" i="2"/>
  <c r="C13" i="2"/>
  <c r="B13" i="2"/>
  <c r="E11" i="2"/>
  <c r="D11" i="2"/>
  <c r="C11" i="2"/>
  <c r="B11" i="2"/>
  <c r="E8" i="2"/>
  <c r="E9" i="2" s="1"/>
  <c r="D8" i="2"/>
  <c r="D9" i="2" s="1"/>
  <c r="C8" i="2"/>
  <c r="C9" i="2" s="1"/>
  <c r="B8" i="2"/>
  <c r="B10" i="2" s="1"/>
  <c r="E7" i="2"/>
  <c r="D7" i="2"/>
  <c r="C7" i="2"/>
  <c r="B7" i="2"/>
  <c r="J20" i="1"/>
  <c r="I20" i="1"/>
  <c r="H20" i="1"/>
  <c r="G20" i="1"/>
  <c r="F20" i="1"/>
  <c r="F7" i="1"/>
  <c r="F25" i="1" s="1"/>
  <c r="B14" i="2" l="1"/>
  <c r="B16" i="2" s="1"/>
  <c r="F16" i="1"/>
  <c r="F26" i="1"/>
  <c r="F7" i="2"/>
  <c r="D14" i="2"/>
  <c r="C14" i="2"/>
  <c r="E14" i="2"/>
  <c r="C10" i="2"/>
  <c r="C16" i="2" s="1"/>
  <c r="D10" i="2"/>
  <c r="E10" i="2"/>
  <c r="G7" i="1"/>
  <c r="G7" i="2" s="1"/>
  <c r="F11" i="2"/>
  <c r="F9" i="1"/>
  <c r="F18" i="1" s="1"/>
  <c r="F11" i="1"/>
  <c r="F8" i="1"/>
  <c r="F17" i="1" s="1"/>
  <c r="F10" i="1"/>
  <c r="F21" i="1" l="1"/>
  <c r="F12" i="1"/>
  <c r="F13" i="1" s="1"/>
  <c r="D16" i="2"/>
  <c r="F19" i="1"/>
  <c r="F8" i="2"/>
  <c r="E16" i="2"/>
  <c r="F32" i="1"/>
  <c r="F30" i="1"/>
  <c r="F24" i="1"/>
  <c r="H7" i="1"/>
  <c r="H7" i="2" s="1"/>
  <c r="G26" i="1"/>
  <c r="G25" i="1"/>
  <c r="G8" i="1"/>
  <c r="G17" i="1" s="1"/>
  <c r="G16" i="1"/>
  <c r="G10" i="1"/>
  <c r="G11" i="1"/>
  <c r="G9" i="1"/>
  <c r="G18" i="1" s="1"/>
  <c r="G21" i="1" l="1"/>
  <c r="G12" i="1"/>
  <c r="G13" i="1" s="1"/>
  <c r="G19" i="1"/>
  <c r="G8" i="2"/>
  <c r="F9" i="2"/>
  <c r="F10" i="2" s="1"/>
  <c r="G32" i="1"/>
  <c r="G30" i="1"/>
  <c r="G11" i="2"/>
  <c r="I7" i="1"/>
  <c r="I7" i="2" s="1"/>
  <c r="H11" i="1"/>
  <c r="H26" i="1"/>
  <c r="H8" i="1"/>
  <c r="H17" i="1" s="1"/>
  <c r="H9" i="1"/>
  <c r="H18" i="1" s="1"/>
  <c r="H25" i="1"/>
  <c r="H16" i="1"/>
  <c r="H10" i="1"/>
  <c r="F27" i="1"/>
  <c r="G24" i="1"/>
  <c r="H21" i="1" l="1"/>
  <c r="H12" i="1"/>
  <c r="H13" i="1" s="1"/>
  <c r="H30" i="1"/>
  <c r="H11" i="2"/>
  <c r="H32" i="1"/>
  <c r="G9" i="2"/>
  <c r="G10" i="2"/>
  <c r="F31" i="1"/>
  <c r="F13" i="2"/>
  <c r="F14" i="2" s="1"/>
  <c r="F16" i="2" s="1"/>
  <c r="F19" i="2" s="1"/>
  <c r="H19" i="1"/>
  <c r="H8" i="2"/>
  <c r="H24" i="1"/>
  <c r="G27" i="1"/>
  <c r="J7" i="1"/>
  <c r="J7" i="2" s="1"/>
  <c r="I9" i="1"/>
  <c r="I18" i="1" s="1"/>
  <c r="I16" i="1"/>
  <c r="I10" i="1"/>
  <c r="I26" i="1"/>
  <c r="I25" i="1"/>
  <c r="I8" i="1"/>
  <c r="I17" i="1" s="1"/>
  <c r="I11" i="1"/>
  <c r="I21" i="1" l="1"/>
  <c r="I12" i="1"/>
  <c r="I13" i="1" s="1"/>
  <c r="G31" i="1"/>
  <c r="G13" i="2"/>
  <c r="G14" i="2" s="1"/>
  <c r="G16" i="2" s="1"/>
  <c r="G19" i="2" s="1"/>
  <c r="I30" i="1"/>
  <c r="I11" i="2"/>
  <c r="I32" i="1"/>
  <c r="H9" i="2"/>
  <c r="H10" i="2" s="1"/>
  <c r="I19" i="1"/>
  <c r="I8" i="2"/>
  <c r="J26" i="1"/>
  <c r="J25" i="1"/>
  <c r="J8" i="1"/>
  <c r="J17" i="1" s="1"/>
  <c r="J16" i="1"/>
  <c r="J10" i="1"/>
  <c r="J11" i="1"/>
  <c r="J9" i="1"/>
  <c r="J18" i="1" s="1"/>
  <c r="I24" i="1"/>
  <c r="H27" i="1"/>
  <c r="J21" i="1" l="1"/>
  <c r="J12" i="1"/>
  <c r="J13" i="1" s="1"/>
  <c r="J30" i="1"/>
  <c r="J11" i="2"/>
  <c r="H31" i="1"/>
  <c r="H13" i="2"/>
  <c r="J32" i="1"/>
  <c r="I9" i="2"/>
  <c r="I10" i="2" s="1"/>
  <c r="J19" i="1"/>
  <c r="J8" i="2"/>
  <c r="J24" i="1"/>
  <c r="J27" i="1" s="1"/>
  <c r="I27" i="1"/>
  <c r="I31" i="1" l="1"/>
  <c r="I13" i="2"/>
  <c r="I14" i="2" s="1"/>
  <c r="I16" i="2" s="1"/>
  <c r="I19" i="2" s="1"/>
  <c r="J31" i="1"/>
  <c r="J13" i="2"/>
  <c r="J14" i="2" s="1"/>
  <c r="J16" i="2" s="1"/>
  <c r="J9" i="2"/>
  <c r="J10" i="2" s="1"/>
  <c r="J19" i="2" l="1"/>
  <c r="M14" i="2"/>
  <c r="M26" i="2" s="1"/>
  <c r="M32" i="2" s="1"/>
  <c r="M33" i="2" s="1"/>
  <c r="C32" i="2" l="1"/>
  <c r="M20" i="2"/>
  <c r="M19" i="2" l="1"/>
  <c r="M21" i="2" s="1"/>
</calcChain>
</file>

<file path=xl/sharedStrings.xml><?xml version="1.0" encoding="utf-8"?>
<sst xmlns="http://schemas.openxmlformats.org/spreadsheetml/2006/main" count="132" uniqueCount="98">
  <si>
    <t>INCOME STATEMENT</t>
  </si>
  <si>
    <t>Revenue</t>
  </si>
  <si>
    <t>Gross Profit</t>
  </si>
  <si>
    <t>EBITDA</t>
  </si>
  <si>
    <t>EBIT</t>
  </si>
  <si>
    <t>Net Income</t>
  </si>
  <si>
    <t>Diluter EPS</t>
  </si>
  <si>
    <r>
      <t xml:space="preserve">        </t>
    </r>
    <r>
      <rPr>
        <i/>
        <sz val="12"/>
        <color theme="1"/>
        <rFont val="Aptos Narrow"/>
        <scheme val="minor"/>
      </rPr>
      <t>Growth over Prior Year</t>
    </r>
  </si>
  <si>
    <t>Key Drivers</t>
  </si>
  <si>
    <t xml:space="preserve">        Year over Year Revenue Growth</t>
  </si>
  <si>
    <t xml:space="preserve">        Gross Profit Margin</t>
  </si>
  <si>
    <t xml:space="preserve">        EBITDA Margin</t>
  </si>
  <si>
    <t xml:space="preserve">        EBIT Margin</t>
  </si>
  <si>
    <t xml:space="preserve">        Effective Tax Rate</t>
  </si>
  <si>
    <t xml:space="preserve">        Net Income Margin</t>
  </si>
  <si>
    <t>BALANCE SHEET &amp; CASH FLOW</t>
  </si>
  <si>
    <t>Gross PP&amp;E</t>
  </si>
  <si>
    <t>Capital Spending</t>
  </si>
  <si>
    <t>Depreciation &amp; Ammortization</t>
  </si>
  <si>
    <t xml:space="preserve">        Capital Spending (% of Revenue)</t>
  </si>
  <si>
    <t xml:space="preserve">        Depreciation &amp; Ammortization (% of Gross Profit)</t>
  </si>
  <si>
    <t>Increase/(Decrease) in Net Operating Capital (NOC)</t>
  </si>
  <si>
    <t xml:space="preserve">        NOC Investment (% of New Revenue)</t>
  </si>
  <si>
    <t xml:space="preserve">ACTUAL </t>
  </si>
  <si>
    <t>PROJECTED</t>
  </si>
  <si>
    <t>NM</t>
  </si>
  <si>
    <t>NA</t>
  </si>
  <si>
    <t>For the Fiscal Period Ending ($Ms)</t>
  </si>
  <si>
    <t>KEY FINANCIALS</t>
  </si>
  <si>
    <t>TESLA DCF MODEL</t>
  </si>
  <si>
    <t>For the Fiscal Period Ending (in Millions $)</t>
  </si>
  <si>
    <t>Discounted Cash Flow Analysis</t>
  </si>
  <si>
    <t xml:space="preserve">        Net Operating Profit Adjusted for Taxes</t>
  </si>
  <si>
    <t>Unlevered Cash Flow</t>
  </si>
  <si>
    <t>PV of Unlevered Cash Flow</t>
  </si>
  <si>
    <t>Terminal Value Analysis</t>
  </si>
  <si>
    <t xml:space="preserve">Terminal Value </t>
  </si>
  <si>
    <t>PV of Terminal Value</t>
  </si>
  <si>
    <t>Value of Project Period</t>
  </si>
  <si>
    <t xml:space="preserve">PV of Projected Period of FCFF </t>
  </si>
  <si>
    <t xml:space="preserve">        Discount Period</t>
  </si>
  <si>
    <t xml:space="preserve">        Discount Rate</t>
  </si>
  <si>
    <t>Distribution of Value</t>
  </si>
  <si>
    <t>Period Cash Flow</t>
  </si>
  <si>
    <t>Terminal Cash Flow</t>
  </si>
  <si>
    <t>Total</t>
  </si>
  <si>
    <t xml:space="preserve">Implied TEV </t>
  </si>
  <si>
    <t xml:space="preserve">                - Capital Spending</t>
  </si>
  <si>
    <t xml:space="preserve">                - Working Capital Investment</t>
  </si>
  <si>
    <t xml:space="preserve">                + Depreciation &amp; Ammortization</t>
  </si>
  <si>
    <t xml:space="preserve">        - Taxes</t>
  </si>
  <si>
    <t>- Debt</t>
  </si>
  <si>
    <t>- Min. Int.</t>
  </si>
  <si>
    <t>+ Cash</t>
  </si>
  <si>
    <t>Implied Equity Value</t>
  </si>
  <si>
    <t>Implied Share Price</t>
  </si>
  <si>
    <t>Key Assumptions</t>
  </si>
  <si>
    <t>Stub Period</t>
  </si>
  <si>
    <t>Current Fiscal Year Ending</t>
  </si>
  <si>
    <t>Transaction/Valuation Date</t>
  </si>
  <si>
    <t>Estimated Gordon Growth Rate</t>
  </si>
  <si>
    <t>Gordon Growth Increment</t>
  </si>
  <si>
    <t>Discount Rate Increment</t>
  </si>
  <si>
    <t>Basic Shares</t>
  </si>
  <si>
    <t>Diluted Shares</t>
  </si>
  <si>
    <t>Actual Share Price</t>
  </si>
  <si>
    <t>Dilutive Shares</t>
  </si>
  <si>
    <t xml:space="preserve">    Options Class</t>
  </si>
  <si>
    <t>A</t>
  </si>
  <si>
    <t>B</t>
  </si>
  <si>
    <t>C</t>
  </si>
  <si>
    <t xml:space="preserve">    Total</t>
  </si>
  <si>
    <t xml:space="preserve">    Convert. Class</t>
  </si>
  <si>
    <t># of Options</t>
  </si>
  <si>
    <t>Wgt Avg Ex Price</t>
  </si>
  <si>
    <t>Face Amount</t>
  </si>
  <si>
    <t>Conversion Price</t>
  </si>
  <si>
    <t>Share Price Sensitivity Analysis</t>
  </si>
  <si>
    <t>Beta</t>
  </si>
  <si>
    <t>Risk Free Rate</t>
  </si>
  <si>
    <t>Weighted Average Cost of Capital (WACC)</t>
  </si>
  <si>
    <t>Equity Market Risk Premium</t>
  </si>
  <si>
    <t>Cost of Equity</t>
  </si>
  <si>
    <t>Capital</t>
  </si>
  <si>
    <t>Total Debt</t>
  </si>
  <si>
    <t>Total Equity</t>
  </si>
  <si>
    <t>Capital Ratios</t>
  </si>
  <si>
    <t>Debt to Total Capital</t>
  </si>
  <si>
    <t>Equity to Total Capital</t>
  </si>
  <si>
    <t>Cost of Capital</t>
  </si>
  <si>
    <t>Cost of Debt (after tax)</t>
  </si>
  <si>
    <t xml:space="preserve">        Total Capital</t>
  </si>
  <si>
    <t xml:space="preserve">        WACC</t>
  </si>
  <si>
    <t xml:space="preserve">        Total Net Investment</t>
  </si>
  <si>
    <t>Gordon Growth Rate</t>
  </si>
  <si>
    <t>Implied Total Enterprise Value (TEV) &amp; Equity Value</t>
  </si>
  <si>
    <t>- Preferred Stock</t>
  </si>
  <si>
    <t xml:space="preserve">    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</si>
</sst>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&quot;$&quot;#,##0.0"/>
    <numFmt numFmtId="166" formatCode="0.0%"/>
    <numFmt numFmtId="167" formatCode="0.00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"/>
      <name val="Aptos Narrow (Body)"/>
    </font>
    <font>
      <b/>
      <sz val="12"/>
      <color rgb="FF000000"/>
      <name val="Aptos Narrow"/>
      <scheme val="minor"/>
    </font>
    <font>
      <b/>
      <u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B0F0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ont="0" applyFill="0" applyBorder="0" applyAlignment="0" applyProtection="0"/>
    <xf numFmtId="44" fontId="1" fillId="0" borderId="0" applyFont="0" applyFill="0" applyBorder="0" applyAlignment="0" applyProtection="0"/>
  </cellStyleXfs>
  <cellXfs count="165">
    <xf numFmtId="0" fontId="0" fillId="0" borderId="0" xfId="0"/>
    <xf numFmtId="164" fontId="0" fillId="0" borderId="0" xfId="0" applyNumberFormat="1"/>
    <xf numFmtId="0" fontId="5" fillId="0" borderId="0" xfId="0" applyFont="1"/>
    <xf numFmtId="0" fontId="0" fillId="0" borderId="5" xfId="0" applyBorder="1"/>
    <xf numFmtId="0" fontId="5" fillId="0" borderId="5" xfId="0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6" fillId="0" borderId="5" xfId="0" applyFont="1" applyBorder="1"/>
    <xf numFmtId="0" fontId="0" fillId="0" borderId="7" xfId="0" applyBorder="1"/>
    <xf numFmtId="0" fontId="0" fillId="0" borderId="11" xfId="0" applyBorder="1"/>
    <xf numFmtId="0" fontId="5" fillId="0" borderId="11" xfId="0" applyFont="1" applyBorder="1"/>
    <xf numFmtId="0" fontId="6" fillId="0" borderId="11" xfId="0" applyFont="1" applyBorder="1"/>
    <xf numFmtId="0" fontId="0" fillId="0" borderId="12" xfId="0" applyBorder="1"/>
    <xf numFmtId="0" fontId="5" fillId="0" borderId="1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4" fillId="0" borderId="10" xfId="0" applyFont="1" applyBorder="1"/>
    <xf numFmtId="0" fontId="5" fillId="0" borderId="15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0" xfId="0" applyNumberFormat="1"/>
    <xf numFmtId="165" fontId="0" fillId="0" borderId="6" xfId="0" applyNumberFormat="1" applyBorder="1"/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5" xfId="0" applyNumberFormat="1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16" xfId="0" applyFont="1" applyBorder="1"/>
    <xf numFmtId="0" fontId="2" fillId="0" borderId="16" xfId="0" applyFont="1" applyBorder="1"/>
    <xf numFmtId="0" fontId="4" fillId="0" borderId="1" xfId="0" applyFont="1" applyBorder="1"/>
    <xf numFmtId="0" fontId="0" fillId="0" borderId="1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7" xfId="0" applyFont="1" applyBorder="1"/>
    <xf numFmtId="0" fontId="0" fillId="0" borderId="5" xfId="0" quotePrefix="1" applyBorder="1"/>
    <xf numFmtId="14" fontId="0" fillId="0" borderId="5" xfId="0" applyNumberFormat="1" applyBorder="1"/>
    <xf numFmtId="10" fontId="0" fillId="0" borderId="5" xfId="1" applyNumberFormat="1" applyFont="1" applyBorder="1"/>
    <xf numFmtId="2" fontId="0" fillId="0" borderId="6" xfId="0" applyNumberFormat="1" applyBorder="1"/>
    <xf numFmtId="2" fontId="0" fillId="0" borderId="0" xfId="0" applyNumberFormat="1"/>
    <xf numFmtId="164" fontId="0" fillId="0" borderId="7" xfId="0" applyNumberFormat="1" applyBorder="1"/>
    <xf numFmtId="0" fontId="8" fillId="0" borderId="5" xfId="0" applyFont="1" applyBorder="1"/>
    <xf numFmtId="2" fontId="0" fillId="0" borderId="5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6" xfId="0" applyNumberFormat="1" applyBorder="1" applyAlignment="1">
      <alignment horizontal="center"/>
    </xf>
    <xf numFmtId="164" fontId="5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0" fontId="0" fillId="0" borderId="15" xfId="0" applyBorder="1"/>
    <xf numFmtId="0" fontId="0" fillId="0" borderId="14" xfId="0" applyBorder="1"/>
    <xf numFmtId="0" fontId="0" fillId="0" borderId="11" xfId="0" quotePrefix="1" applyBorder="1"/>
    <xf numFmtId="0" fontId="5" fillId="0" borderId="12" xfId="0" applyFont="1" applyBorder="1"/>
    <xf numFmtId="0" fontId="5" fillId="0" borderId="26" xfId="0" applyFont="1" applyBorder="1"/>
    <xf numFmtId="0" fontId="5" fillId="0" borderId="15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164" fontId="0" fillId="0" borderId="5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5" fillId="0" borderId="17" xfId="0" applyNumberFormat="1" applyFont="1" applyBorder="1" applyAlignment="1">
      <alignment horizontal="center"/>
    </xf>
    <xf numFmtId="164" fontId="5" fillId="0" borderId="18" xfId="0" applyNumberFormat="1" applyFont="1" applyBorder="1" applyAlignment="1">
      <alignment horizontal="center"/>
    </xf>
    <xf numFmtId="164" fontId="5" fillId="0" borderId="19" xfId="0" applyNumberFormat="1" applyFont="1" applyBorder="1" applyAlignment="1">
      <alignment horizontal="center"/>
    </xf>
    <xf numFmtId="164" fontId="5" fillId="0" borderId="22" xfId="0" applyNumberFormat="1" applyFont="1" applyBorder="1" applyAlignment="1">
      <alignment horizontal="center"/>
    </xf>
    <xf numFmtId="164" fontId="5" fillId="0" borderId="20" xfId="0" applyNumberFormat="1" applyFont="1" applyBorder="1" applyAlignment="1">
      <alignment horizontal="center"/>
    </xf>
    <xf numFmtId="164" fontId="5" fillId="0" borderId="23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0" fontId="10" fillId="0" borderId="5" xfId="0" applyNumberFormat="1" applyFon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2" fontId="0" fillId="0" borderId="13" xfId="0" applyNumberFormat="1" applyBorder="1"/>
    <xf numFmtId="2" fontId="0" fillId="0" borderId="14" xfId="0" applyNumberFormat="1" applyBorder="1"/>
    <xf numFmtId="10" fontId="0" fillId="0" borderId="0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0" borderId="8" xfId="1" applyNumberFormat="1" applyFont="1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164" fontId="0" fillId="0" borderId="13" xfId="0" applyNumberFormat="1" applyBorder="1"/>
    <xf numFmtId="164" fontId="0" fillId="0" borderId="14" xfId="0" applyNumberFormat="1" applyBorder="1"/>
    <xf numFmtId="2" fontId="0" fillId="0" borderId="5" xfId="3" applyNumberFormat="1" applyFont="1" applyBorder="1" applyAlignment="1">
      <alignment horizontal="center"/>
    </xf>
    <xf numFmtId="2" fontId="0" fillId="0" borderId="0" xfId="3" applyNumberFormat="1" applyFont="1" applyAlignment="1">
      <alignment horizontal="center"/>
    </xf>
    <xf numFmtId="2" fontId="0" fillId="0" borderId="6" xfId="3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6" xfId="0" applyNumberFormat="1" applyBorder="1" applyAlignment="1">
      <alignment horizontal="center"/>
    </xf>
    <xf numFmtId="0" fontId="5" fillId="0" borderId="0" xfId="0" applyFont="1" applyAlignment="1">
      <alignment vertical="center" textRotation="90"/>
    </xf>
    <xf numFmtId="10" fontId="5" fillId="0" borderId="0" xfId="0" applyNumberFormat="1" applyFont="1" applyAlignment="1">
      <alignment horizontal="center"/>
    </xf>
    <xf numFmtId="10" fontId="0" fillId="3" borderId="11" xfId="0" applyNumberFormat="1" applyFill="1" applyBorder="1"/>
    <xf numFmtId="164" fontId="0" fillId="3" borderId="1" xfId="0" applyNumberFormat="1" applyFill="1" applyBorder="1"/>
    <xf numFmtId="10" fontId="0" fillId="3" borderId="13" xfId="0" applyNumberFormat="1" applyFill="1" applyBorder="1"/>
    <xf numFmtId="10" fontId="0" fillId="3" borderId="14" xfId="0" applyNumberFormat="1" applyFill="1" applyBorder="1"/>
    <xf numFmtId="2" fontId="0" fillId="0" borderId="0" xfId="3" applyNumberFormat="1" applyFont="1" applyBorder="1" applyAlignment="1">
      <alignment horizontal="center"/>
    </xf>
    <xf numFmtId="16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  <xf numFmtId="10" fontId="0" fillId="3" borderId="12" xfId="0" applyNumberFormat="1" applyFill="1" applyBorder="1"/>
    <xf numFmtId="10" fontId="0" fillId="0" borderId="5" xfId="0" applyNumberFormat="1" applyBorder="1"/>
    <xf numFmtId="2" fontId="0" fillId="0" borderId="5" xfId="0" applyNumberFormat="1" applyBorder="1"/>
    <xf numFmtId="10" fontId="0" fillId="0" borderId="18" xfId="0" applyNumberFormat="1" applyBorder="1" applyAlignment="1">
      <alignment horizontal="center"/>
    </xf>
    <xf numFmtId="10" fontId="0" fillId="0" borderId="19" xfId="0" applyNumberFormat="1" applyBorder="1" applyAlignment="1">
      <alignment horizontal="center"/>
    </xf>
    <xf numFmtId="2" fontId="0" fillId="2" borderId="0" xfId="0" applyNumberFormat="1" applyFill="1"/>
    <xf numFmtId="2" fontId="0" fillId="2" borderId="24" xfId="0" applyNumberFormat="1" applyFill="1" applyBorder="1"/>
    <xf numFmtId="2" fontId="0" fillId="2" borderId="6" xfId="0" applyNumberFormat="1" applyFill="1" applyBorder="1"/>
    <xf numFmtId="2" fontId="0" fillId="2" borderId="21" xfId="0" applyNumberFormat="1" applyFill="1" applyBorder="1"/>
    <xf numFmtId="2" fontId="0" fillId="2" borderId="22" xfId="0" applyNumberFormat="1" applyFill="1" applyBorder="1"/>
    <xf numFmtId="2" fontId="0" fillId="2" borderId="20" xfId="0" applyNumberFormat="1" applyFill="1" applyBorder="1"/>
    <xf numFmtId="2" fontId="0" fillId="2" borderId="1" xfId="0" applyNumberFormat="1" applyFill="1" applyBorder="1"/>
    <xf numFmtId="2" fontId="0" fillId="2" borderId="23" xfId="0" applyNumberFormat="1" applyFill="1" applyBorder="1"/>
    <xf numFmtId="2" fontId="0" fillId="2" borderId="8" xfId="0" applyNumberFormat="1" applyFill="1" applyBorder="1"/>
    <xf numFmtId="2" fontId="0" fillId="2" borderId="25" xfId="0" applyNumberFormat="1" applyFill="1" applyBorder="1"/>
    <xf numFmtId="2" fontId="0" fillId="2" borderId="9" xfId="0" applyNumberFormat="1" applyFill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8" xfId="1" applyNumberFormat="1" applyFont="1" applyBorder="1"/>
    <xf numFmtId="10" fontId="0" fillId="0" borderId="9" xfId="1" applyNumberFormat="1" applyFont="1" applyBorder="1"/>
    <xf numFmtId="10" fontId="0" fillId="0" borderId="0" xfId="1" applyNumberFormat="1" applyFont="1" applyBorder="1"/>
    <xf numFmtId="10" fontId="0" fillId="0" borderId="6" xfId="1" applyNumberFormat="1" applyFont="1" applyBorder="1"/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/>
    <xf numFmtId="0" fontId="0" fillId="0" borderId="6" xfId="0" applyBorder="1"/>
    <xf numFmtId="10" fontId="0" fillId="0" borderId="0" xfId="0" applyNumberFormat="1"/>
    <xf numFmtId="10" fontId="0" fillId="0" borderId="6" xfId="0" applyNumberFormat="1" applyBorder="1"/>
    <xf numFmtId="164" fontId="9" fillId="0" borderId="0" xfId="0" applyNumberFormat="1" applyFont="1"/>
    <xf numFmtId="164" fontId="9" fillId="0" borderId="6" xfId="0" applyNumberFormat="1" applyFont="1" applyBorder="1"/>
    <xf numFmtId="164" fontId="0" fillId="0" borderId="0" xfId="0" applyNumberFormat="1"/>
    <xf numFmtId="164" fontId="0" fillId="0" borderId="6" xfId="0" applyNumberFormat="1" applyBorder="1"/>
    <xf numFmtId="10" fontId="0" fillId="0" borderId="8" xfId="0" applyNumberFormat="1" applyBorder="1"/>
    <xf numFmtId="10" fontId="0" fillId="0" borderId="9" xfId="0" applyNumberFormat="1" applyBorder="1"/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textRotation="90"/>
    </xf>
    <xf numFmtId="0" fontId="0" fillId="0" borderId="11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2" fontId="0" fillId="0" borderId="0" xfId="0" applyNumberFormat="1"/>
    <xf numFmtId="2" fontId="0" fillId="0" borderId="6" xfId="0" applyNumberFormat="1" applyBorder="1"/>
    <xf numFmtId="166" fontId="0" fillId="0" borderId="3" xfId="0" applyNumberFormat="1" applyBorder="1" applyAlignment="1">
      <alignment horizontal="right"/>
    </xf>
    <xf numFmtId="166" fontId="0" fillId="0" borderId="4" xfId="0" applyNumberFormat="1" applyBorder="1" applyAlignment="1">
      <alignment horizontal="right"/>
    </xf>
  </cellXfs>
  <cellStyles count="4">
    <cellStyle name="Currency" xfId="3" builtinId="4"/>
    <cellStyle name="Normal" xfId="0" builtinId="0"/>
    <cellStyle name="Normal 2" xfId="2" xr:uid="{4EEC1480-9E79-764F-929C-72956910D8E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A6B0-D32A-BB48-8A53-AB195C6D3F7C}">
  <dimension ref="A1:J50"/>
  <sheetViews>
    <sheetView zoomScale="150" workbookViewId="0">
      <pane xSplit="1" topLeftCell="B1" activePane="topRight" state="frozen"/>
      <selection activeCell="A17" sqref="A17"/>
      <selection pane="topRight" activeCell="H45" sqref="H45"/>
    </sheetView>
  </sheetViews>
  <sheetFormatPr baseColWidth="10" defaultRowHeight="16" x14ac:dyDescent="0.2"/>
  <cols>
    <col min="1" max="1" width="44" customWidth="1"/>
    <col min="2" max="2" width="12.6640625" bestFit="1" customWidth="1"/>
    <col min="3" max="6" width="11" bestFit="1" customWidth="1"/>
    <col min="7" max="10" width="11.1640625" bestFit="1" customWidth="1"/>
  </cols>
  <sheetData>
    <row r="1" spans="1:10" ht="23" thickBot="1" x14ac:dyDescent="0.35">
      <c r="A1" s="17" t="s">
        <v>29</v>
      </c>
      <c r="B1" s="19"/>
      <c r="C1" s="20"/>
      <c r="D1" s="20"/>
      <c r="E1" s="20"/>
      <c r="F1" s="19"/>
      <c r="G1" s="20"/>
      <c r="H1" s="20"/>
      <c r="I1" s="20"/>
      <c r="J1" s="21"/>
    </row>
    <row r="2" spans="1:10" ht="17" thickBot="1" x14ac:dyDescent="0.25">
      <c r="A2" s="31" t="s">
        <v>28</v>
      </c>
      <c r="B2" s="3"/>
      <c r="F2" s="3"/>
      <c r="J2" s="5"/>
    </row>
    <row r="3" spans="1:10" ht="17" thickBot="1" x14ac:dyDescent="0.25">
      <c r="A3" s="10"/>
      <c r="B3" s="125" t="s">
        <v>23</v>
      </c>
      <c r="C3" s="123"/>
      <c r="D3" s="123"/>
      <c r="E3" s="123"/>
      <c r="F3" s="125" t="s">
        <v>24</v>
      </c>
      <c r="G3" s="123"/>
      <c r="H3" s="123"/>
      <c r="I3" s="123"/>
      <c r="J3" s="124"/>
    </row>
    <row r="4" spans="1:10" ht="17" thickBot="1" x14ac:dyDescent="0.25">
      <c r="A4" s="14" t="s">
        <v>30</v>
      </c>
      <c r="B4" s="18">
        <v>2019</v>
      </c>
      <c r="C4" s="15">
        <v>2020</v>
      </c>
      <c r="D4" s="15">
        <v>2021</v>
      </c>
      <c r="E4" s="15">
        <v>2022</v>
      </c>
      <c r="F4" s="18">
        <v>2023</v>
      </c>
      <c r="G4" s="15">
        <v>2024</v>
      </c>
      <c r="H4" s="15">
        <v>2025</v>
      </c>
      <c r="I4" s="15">
        <v>2026</v>
      </c>
      <c r="J4" s="16">
        <v>2027</v>
      </c>
    </row>
    <row r="5" spans="1:10" x14ac:dyDescent="0.2">
      <c r="A5" s="10"/>
      <c r="B5" s="3"/>
      <c r="F5" s="3"/>
      <c r="J5" s="5"/>
    </row>
    <row r="6" spans="1:10" x14ac:dyDescent="0.2">
      <c r="A6" s="11" t="s">
        <v>0</v>
      </c>
      <c r="B6" s="3"/>
      <c r="F6" s="30"/>
      <c r="G6" s="22"/>
      <c r="H6" s="22"/>
      <c r="I6" s="22"/>
      <c r="J6" s="23"/>
    </row>
    <row r="7" spans="1:10" x14ac:dyDescent="0.2">
      <c r="A7" s="10" t="s">
        <v>1</v>
      </c>
      <c r="B7" s="28">
        <v>24578</v>
      </c>
      <c r="C7" s="26">
        <v>31536</v>
      </c>
      <c r="D7" s="26">
        <v>52826</v>
      </c>
      <c r="E7" s="26">
        <v>81462</v>
      </c>
      <c r="F7" s="28">
        <f>E7*(1+F39)</f>
        <v>97347.090000000011</v>
      </c>
      <c r="G7" s="26">
        <f>F7*(1+G39)</f>
        <v>120028.96197000002</v>
      </c>
      <c r="H7" s="26">
        <f>G7*(1+H39)</f>
        <v>149436.05765265002</v>
      </c>
      <c r="I7" s="26">
        <f>H7*(1+I39)</f>
        <v>170357.10572402104</v>
      </c>
      <c r="J7" s="27">
        <f>I7*(1+J39)</f>
        <v>187392.81629642315</v>
      </c>
    </row>
    <row r="8" spans="1:10" x14ac:dyDescent="0.2">
      <c r="A8" s="10" t="s">
        <v>2</v>
      </c>
      <c r="B8" s="28">
        <v>4069</v>
      </c>
      <c r="C8" s="26">
        <v>6630</v>
      </c>
      <c r="D8" s="26">
        <v>13606</v>
      </c>
      <c r="E8" s="26">
        <v>20853</v>
      </c>
      <c r="F8" s="28">
        <f>F7*F40</f>
        <v>18009.211650000001</v>
      </c>
      <c r="G8" s="26">
        <f>G7*G40</f>
        <v>24365.879279910005</v>
      </c>
      <c r="H8" s="26">
        <f>H7*H40</f>
        <v>33324.240856540957</v>
      </c>
      <c r="I8" s="26">
        <f>I7*I40</f>
        <v>41737.490902385151</v>
      </c>
      <c r="J8" s="27">
        <f>J7*J40</f>
        <v>46848.204074105786</v>
      </c>
    </row>
    <row r="9" spans="1:10" x14ac:dyDescent="0.2">
      <c r="A9" s="10" t="s">
        <v>3</v>
      </c>
      <c r="B9" s="28">
        <v>2172</v>
      </c>
      <c r="C9" s="26">
        <v>4273</v>
      </c>
      <c r="D9" s="26">
        <v>9434</v>
      </c>
      <c r="E9" s="26">
        <v>17439</v>
      </c>
      <c r="F9" s="28">
        <f>F7*F41</f>
        <v>15575.534400000002</v>
      </c>
      <c r="G9" s="26">
        <f>G7*G41</f>
        <v>20164.865610960005</v>
      </c>
      <c r="H9" s="26">
        <f>H7*H41</f>
        <v>31829.880280014455</v>
      </c>
      <c r="I9" s="26">
        <f>I7*I41</f>
        <v>39011.777210800821</v>
      </c>
      <c r="J9" s="27">
        <f>J7*J41</f>
        <v>44037.311829659433</v>
      </c>
    </row>
    <row r="10" spans="1:10" x14ac:dyDescent="0.2">
      <c r="A10" s="10" t="s">
        <v>4</v>
      </c>
      <c r="B10" s="28">
        <v>80</v>
      </c>
      <c r="C10" s="26">
        <v>1951</v>
      </c>
      <c r="D10" s="26">
        <v>6523</v>
      </c>
      <c r="E10" s="26">
        <v>13692</v>
      </c>
      <c r="F10" s="28">
        <f>F7*F42</f>
        <v>11000.221170000001</v>
      </c>
      <c r="G10" s="26">
        <f>G7*G42</f>
        <v>14883.591284280003</v>
      </c>
      <c r="H10" s="26">
        <f>H7*H42</f>
        <v>25852.437973908451</v>
      </c>
      <c r="I10" s="26">
        <f>I7*I42</f>
        <v>32027.135876115954</v>
      </c>
      <c r="J10" s="27">
        <f>J7*J42</f>
        <v>36166.813545209669</v>
      </c>
    </row>
    <row r="11" spans="1:10" x14ac:dyDescent="0.2">
      <c r="A11" s="10" t="s">
        <v>5</v>
      </c>
      <c r="B11" s="28">
        <v>-862</v>
      </c>
      <c r="C11" s="26">
        <v>721</v>
      </c>
      <c r="D11" s="26">
        <v>5519</v>
      </c>
      <c r="E11" s="26">
        <v>12556</v>
      </c>
      <c r="F11" s="28">
        <f>F7*F44</f>
        <v>9247.9735500000006</v>
      </c>
      <c r="G11" s="26">
        <f>G7*G44</f>
        <v>13083.156854730001</v>
      </c>
      <c r="H11" s="26">
        <f>H7*H44</f>
        <v>19127.815379539203</v>
      </c>
      <c r="I11" s="26">
        <f>I7*I44</f>
        <v>21464.995321226652</v>
      </c>
      <c r="J11" s="27">
        <f>J7*J44</f>
        <v>24361.066118535011</v>
      </c>
    </row>
    <row r="12" spans="1:10" x14ac:dyDescent="0.2">
      <c r="A12" s="10" t="s">
        <v>6</v>
      </c>
      <c r="B12" s="28">
        <v>-0.33</v>
      </c>
      <c r="C12" s="26">
        <v>0.21</v>
      </c>
      <c r="D12" s="26">
        <v>1.63</v>
      </c>
      <c r="E12" s="26">
        <v>3.62</v>
      </c>
      <c r="F12" s="69">
        <f>F11/'DCF Analysis'!$P$16</f>
        <v>2.6153752286891878</v>
      </c>
      <c r="G12" s="70">
        <f>G11/'DCF Analysis'!$P$16</f>
        <v>3.6999851011593767</v>
      </c>
      <c r="H12" s="70">
        <f>H11/'DCF Analysis'!$P$16</f>
        <v>5.4094461075298934</v>
      </c>
      <c r="I12" s="70">
        <f>I11/'DCF Analysis'!$P$16</f>
        <v>6.0704128037937028</v>
      </c>
      <c r="J12" s="71">
        <f>J11/'DCF Analysis'!$P$16</f>
        <v>6.8894367535119008</v>
      </c>
    </row>
    <row r="13" spans="1:10" x14ac:dyDescent="0.2">
      <c r="A13" s="10" t="s">
        <v>7</v>
      </c>
      <c r="B13" s="24" t="s">
        <v>25</v>
      </c>
      <c r="C13" s="25" t="s">
        <v>25</v>
      </c>
      <c r="D13" s="85">
        <v>6.7809999999999997</v>
      </c>
      <c r="E13" s="85">
        <v>1.216</v>
      </c>
      <c r="F13" s="86">
        <f>F12/E12-1</f>
        <v>-0.27752065505823542</v>
      </c>
      <c r="G13" s="85">
        <f t="shared" ref="G13:J13" si="0">G12/F12-1</f>
        <v>0.41470526315789469</v>
      </c>
      <c r="H13" s="85">
        <f t="shared" si="0"/>
        <v>0.46201834862385338</v>
      </c>
      <c r="I13" s="85">
        <f t="shared" si="0"/>
        <v>0.12218750000000012</v>
      </c>
      <c r="J13" s="87">
        <f t="shared" si="0"/>
        <v>0.13492063492063489</v>
      </c>
    </row>
    <row r="14" spans="1:10" x14ac:dyDescent="0.2">
      <c r="A14" s="10"/>
      <c r="B14" s="29"/>
      <c r="C14" s="6"/>
      <c r="D14" s="6"/>
      <c r="E14" s="6"/>
      <c r="F14" s="29"/>
      <c r="G14" s="6"/>
      <c r="H14" s="6"/>
      <c r="I14" s="6"/>
      <c r="J14" s="7"/>
    </row>
    <row r="15" spans="1:10" x14ac:dyDescent="0.2">
      <c r="A15" s="12" t="s">
        <v>8</v>
      </c>
      <c r="B15" s="29"/>
      <c r="C15" s="6"/>
      <c r="D15" s="6"/>
      <c r="E15" s="6"/>
      <c r="F15" s="29"/>
      <c r="G15" s="6"/>
      <c r="H15" s="6"/>
      <c r="I15" s="6"/>
      <c r="J15" s="7"/>
    </row>
    <row r="16" spans="1:10" x14ac:dyDescent="0.2">
      <c r="A16" s="10" t="s">
        <v>9</v>
      </c>
      <c r="B16" s="86">
        <v>0.14499999999999999</v>
      </c>
      <c r="C16" s="85">
        <v>0.28299999999999997</v>
      </c>
      <c r="D16" s="85">
        <v>0.70699999999999996</v>
      </c>
      <c r="E16" s="85">
        <v>0.51400000000000001</v>
      </c>
      <c r="F16" s="86">
        <f>F7/E7-1</f>
        <v>0.19500000000000006</v>
      </c>
      <c r="G16" s="85">
        <f t="shared" ref="G16:J16" si="1">G7/F7-1</f>
        <v>0.2330000000000001</v>
      </c>
      <c r="H16" s="85">
        <f t="shared" si="1"/>
        <v>0.24500000000000011</v>
      </c>
      <c r="I16" s="85">
        <f t="shared" si="1"/>
        <v>0.14000000000000012</v>
      </c>
      <c r="J16" s="87">
        <f t="shared" si="1"/>
        <v>0.10000000000000009</v>
      </c>
    </row>
    <row r="17" spans="1:10" x14ac:dyDescent="0.2">
      <c r="A17" s="10" t="s">
        <v>10</v>
      </c>
      <c r="B17" s="86">
        <v>0.16600000000000001</v>
      </c>
      <c r="C17" s="85">
        <v>0.21</v>
      </c>
      <c r="D17" s="85">
        <v>0.253</v>
      </c>
      <c r="E17" s="85">
        <v>0.25600000000000001</v>
      </c>
      <c r="F17" s="86">
        <f>F8/$F$7</f>
        <v>0.185</v>
      </c>
      <c r="G17" s="85">
        <f t="shared" ref="G17:J17" si="2">G8/$F$7</f>
        <v>0.25029899999999999</v>
      </c>
      <c r="H17" s="85">
        <f t="shared" si="2"/>
        <v>0.34232395500000001</v>
      </c>
      <c r="I17" s="85">
        <f t="shared" si="2"/>
        <v>0.42874924050000002</v>
      </c>
      <c r="J17" s="87">
        <f t="shared" si="2"/>
        <v>0.48124914750000009</v>
      </c>
    </row>
    <row r="18" spans="1:10" x14ac:dyDescent="0.2">
      <c r="A18" s="10" t="s">
        <v>11</v>
      </c>
      <c r="B18" s="86">
        <v>8.7999999999999995E-2</v>
      </c>
      <c r="C18" s="85">
        <v>0.13500000000000001</v>
      </c>
      <c r="D18" s="85">
        <v>0.17499999999999999</v>
      </c>
      <c r="E18" s="85">
        <v>0.214</v>
      </c>
      <c r="F18" s="86">
        <f>F9/$F$7</f>
        <v>0.16</v>
      </c>
      <c r="G18" s="85">
        <f t="shared" ref="G18:J18" si="3">G9/$F$7</f>
        <v>0.20714400000000002</v>
      </c>
      <c r="H18" s="85">
        <f t="shared" si="3"/>
        <v>0.32697310499999999</v>
      </c>
      <c r="I18" s="85">
        <f t="shared" si="3"/>
        <v>0.4007492901000001</v>
      </c>
      <c r="J18" s="87">
        <f t="shared" si="3"/>
        <v>0.45237419865</v>
      </c>
    </row>
    <row r="19" spans="1:10" x14ac:dyDescent="0.2">
      <c r="A19" s="10" t="s">
        <v>12</v>
      </c>
      <c r="B19" s="86">
        <v>3.0000000000000001E-3</v>
      </c>
      <c r="C19" s="85">
        <v>6.2E-2</v>
      </c>
      <c r="D19" s="85">
        <v>0.121</v>
      </c>
      <c r="E19" s="85">
        <v>0.16800000000000001</v>
      </c>
      <c r="F19" s="86">
        <f>F10/$F$7</f>
        <v>0.11299999999999999</v>
      </c>
      <c r="G19" s="85">
        <f t="shared" ref="G19:J19" si="4">G10/$F$7</f>
        <v>0.152892</v>
      </c>
      <c r="H19" s="85">
        <f t="shared" si="4"/>
        <v>0.26556970499999999</v>
      </c>
      <c r="I19" s="85">
        <f t="shared" si="4"/>
        <v>0.32899941720000003</v>
      </c>
      <c r="J19" s="87">
        <f t="shared" si="4"/>
        <v>0.37152434187000005</v>
      </c>
    </row>
    <row r="20" spans="1:10" x14ac:dyDescent="0.2">
      <c r="A20" s="10" t="s">
        <v>13</v>
      </c>
      <c r="B20" s="86" t="s">
        <v>25</v>
      </c>
      <c r="C20" s="85">
        <v>0.253</v>
      </c>
      <c r="D20" s="85">
        <v>0.11</v>
      </c>
      <c r="E20" s="85">
        <v>8.3000000000000004E-2</v>
      </c>
      <c r="F20" s="86">
        <f>F43</f>
        <v>0.18</v>
      </c>
      <c r="G20" s="85">
        <f>G43</f>
        <v>0.189</v>
      </c>
      <c r="H20" s="85">
        <f>H43</f>
        <v>0.19800000000000001</v>
      </c>
      <c r="I20" s="85">
        <f>I43</f>
        <v>0.20699999999999999</v>
      </c>
      <c r="J20" s="87">
        <f>J43</f>
        <v>0.216</v>
      </c>
    </row>
    <row r="21" spans="1:10" x14ac:dyDescent="0.2">
      <c r="A21" s="10" t="s">
        <v>14</v>
      </c>
      <c r="B21" s="86">
        <v>-3.5000000000000003E-2</v>
      </c>
      <c r="C21" s="85">
        <v>2.3E-2</v>
      </c>
      <c r="D21" s="85">
        <v>0.10299999999999999</v>
      </c>
      <c r="E21" s="85">
        <v>0.154</v>
      </c>
      <c r="F21" s="86">
        <f>F11/$F$7</f>
        <v>9.5000000000000001E-2</v>
      </c>
      <c r="G21" s="85">
        <f t="shared" ref="G21:J21" si="5">G11/$F$7</f>
        <v>0.13439699999999999</v>
      </c>
      <c r="H21" s="85">
        <f t="shared" si="5"/>
        <v>0.19649088000000001</v>
      </c>
      <c r="I21" s="85">
        <f t="shared" si="5"/>
        <v>0.22049960940000005</v>
      </c>
      <c r="J21" s="87">
        <f t="shared" si="5"/>
        <v>0.25024955670000004</v>
      </c>
    </row>
    <row r="22" spans="1:10" x14ac:dyDescent="0.2">
      <c r="A22" s="10"/>
      <c r="B22" s="29"/>
      <c r="C22" s="6"/>
      <c r="D22" s="6"/>
      <c r="E22" s="6"/>
      <c r="F22" s="29"/>
      <c r="G22" s="6"/>
      <c r="H22" s="6"/>
      <c r="I22" s="6"/>
      <c r="J22" s="7"/>
    </row>
    <row r="23" spans="1:10" x14ac:dyDescent="0.2">
      <c r="A23" s="37" t="s">
        <v>15</v>
      </c>
      <c r="B23" s="34"/>
      <c r="C23" s="35"/>
      <c r="D23" s="35"/>
      <c r="E23" s="35"/>
      <c r="F23" s="34"/>
      <c r="G23" s="35"/>
      <c r="H23" s="35"/>
      <c r="I23" s="35"/>
      <c r="J23" s="36"/>
    </row>
    <row r="24" spans="1:10" x14ac:dyDescent="0.2">
      <c r="A24" s="10" t="s">
        <v>16</v>
      </c>
      <c r="B24" s="28">
        <v>25062</v>
      </c>
      <c r="C24" s="26">
        <v>29893</v>
      </c>
      <c r="D24" s="26">
        <v>39867</v>
      </c>
      <c r="E24" s="26">
        <v>48134</v>
      </c>
      <c r="F24" s="28">
        <f>E24+F25</f>
        <v>56700.543919999996</v>
      </c>
      <c r="G24" s="26">
        <f t="shared" ref="G24:J24" si="6">F24+G25</f>
        <v>65702.716067749992</v>
      </c>
      <c r="H24" s="26">
        <f t="shared" si="6"/>
        <v>75565.495872824889</v>
      </c>
      <c r="I24" s="26">
        <f t="shared" si="6"/>
        <v>87831.207484954401</v>
      </c>
      <c r="J24" s="27">
        <f t="shared" si="6"/>
        <v>97388.241116071978</v>
      </c>
    </row>
    <row r="25" spans="1:10" x14ac:dyDescent="0.2">
      <c r="A25" s="10" t="s">
        <v>17</v>
      </c>
      <c r="B25" s="28">
        <v>1432</v>
      </c>
      <c r="C25" s="26">
        <v>3232</v>
      </c>
      <c r="D25" s="26">
        <v>6514</v>
      </c>
      <c r="E25" s="26">
        <v>7163</v>
      </c>
      <c r="F25" s="28">
        <f>F7*F48</f>
        <v>8566.5439200000001</v>
      </c>
      <c r="G25" s="26">
        <f>G7*G48</f>
        <v>9002.1721477500014</v>
      </c>
      <c r="H25" s="26">
        <f>H7*H48</f>
        <v>9862.7798050749025</v>
      </c>
      <c r="I25" s="26">
        <f>I7*I48</f>
        <v>12265.711612129513</v>
      </c>
      <c r="J25" s="27">
        <f>J7*J48</f>
        <v>9557.0336311175797</v>
      </c>
    </row>
    <row r="26" spans="1:10" x14ac:dyDescent="0.2">
      <c r="A26" s="10" t="s">
        <v>21</v>
      </c>
      <c r="B26" s="29" t="s">
        <v>26</v>
      </c>
      <c r="C26" s="6">
        <v>1678</v>
      </c>
      <c r="D26" s="6">
        <v>-3858</v>
      </c>
      <c r="E26" s="6">
        <v>2365</v>
      </c>
      <c r="F26" s="52">
        <f>(F7-E7)*F50</f>
        <v>1588.5090000000012</v>
      </c>
      <c r="G26" s="53">
        <f>(G7-F7)*G50</f>
        <v>2268.1871970000007</v>
      </c>
      <c r="H26" s="53">
        <f>(H7-G7)*H50</f>
        <v>2940.7095682650006</v>
      </c>
      <c r="I26" s="53">
        <f>(I7-H7)*I50</f>
        <v>2092.1048071371015</v>
      </c>
      <c r="J26" s="54">
        <f>(J7-I7)*J50</f>
        <v>1703.5710572402111</v>
      </c>
    </row>
    <row r="27" spans="1:10" x14ac:dyDescent="0.2">
      <c r="A27" s="10" t="s">
        <v>18</v>
      </c>
      <c r="B27" s="28">
        <v>2092</v>
      </c>
      <c r="C27" s="26">
        <v>2322</v>
      </c>
      <c r="D27" s="26">
        <v>2911</v>
      </c>
      <c r="E27" s="26">
        <v>3747</v>
      </c>
      <c r="F27" s="28">
        <f>F24*F49</f>
        <v>4536.0435135999996</v>
      </c>
      <c r="G27" s="26">
        <f>G24*G49</f>
        <v>5256.2172854199998</v>
      </c>
      <c r="H27" s="26">
        <f>H24*H49</f>
        <v>6045.2396698259909</v>
      </c>
      <c r="I27" s="26">
        <f>I24*I49</f>
        <v>7026.4965987963524</v>
      </c>
      <c r="J27" s="27">
        <f>J24*J49</f>
        <v>7791.0592892857585</v>
      </c>
    </row>
    <row r="28" spans="1:10" x14ac:dyDescent="0.2">
      <c r="A28" s="10"/>
      <c r="B28" s="29"/>
      <c r="C28" s="6"/>
      <c r="D28" s="6"/>
      <c r="E28" s="6"/>
      <c r="F28" s="29"/>
      <c r="G28" s="6"/>
      <c r="H28" s="6"/>
      <c r="I28" s="6"/>
      <c r="J28" s="7"/>
    </row>
    <row r="29" spans="1:10" x14ac:dyDescent="0.2">
      <c r="A29" s="12" t="s">
        <v>8</v>
      </c>
      <c r="B29" s="29"/>
      <c r="C29" s="6"/>
      <c r="D29" s="6"/>
      <c r="E29" s="6"/>
      <c r="F29" s="29"/>
      <c r="G29" s="6"/>
      <c r="H29" s="6"/>
      <c r="I29" s="6"/>
      <c r="J29" s="7"/>
    </row>
    <row r="30" spans="1:10" x14ac:dyDescent="0.2">
      <c r="A30" s="10" t="s">
        <v>19</v>
      </c>
      <c r="B30" s="86">
        <v>5.8299999999999998E-2</v>
      </c>
      <c r="C30" s="85">
        <v>0.10249999999999999</v>
      </c>
      <c r="D30" s="85">
        <v>0.121</v>
      </c>
      <c r="E30" s="85">
        <v>8.7900000000000006E-2</v>
      </c>
      <c r="F30" s="86">
        <f>F25/F7</f>
        <v>8.7999999999999995E-2</v>
      </c>
      <c r="G30" s="85">
        <f t="shared" ref="G30:J30" si="7">G25/G7</f>
        <v>7.4999999999999997E-2</v>
      </c>
      <c r="H30" s="85">
        <f t="shared" si="7"/>
        <v>6.6000000000000003E-2</v>
      </c>
      <c r="I30" s="85">
        <f t="shared" si="7"/>
        <v>7.1999999999999995E-2</v>
      </c>
      <c r="J30" s="87">
        <f t="shared" si="7"/>
        <v>5.0999999999999997E-2</v>
      </c>
    </row>
    <row r="31" spans="1:10" x14ac:dyDescent="0.2">
      <c r="A31" s="10" t="s">
        <v>20</v>
      </c>
      <c r="B31" s="86">
        <v>8.3000000000000004E-2</v>
      </c>
      <c r="C31" s="85">
        <v>7.8E-2</v>
      </c>
      <c r="D31" s="85">
        <v>7.2999999999999995E-2</v>
      </c>
      <c r="E31" s="85">
        <v>7.8E-2</v>
      </c>
      <c r="F31" s="86">
        <f>F27/F24</f>
        <v>0.08</v>
      </c>
      <c r="G31" s="85">
        <f t="shared" ref="G31:J31" si="8">G27/G24</f>
        <v>0.08</v>
      </c>
      <c r="H31" s="85">
        <f t="shared" si="8"/>
        <v>0.08</v>
      </c>
      <c r="I31" s="85">
        <f t="shared" si="8"/>
        <v>0.08</v>
      </c>
      <c r="J31" s="87">
        <f t="shared" si="8"/>
        <v>0.08</v>
      </c>
    </row>
    <row r="32" spans="1:10" ht="17" thickBot="1" x14ac:dyDescent="0.25">
      <c r="A32" s="13" t="s">
        <v>22</v>
      </c>
      <c r="B32" s="88" t="s">
        <v>25</v>
      </c>
      <c r="C32" s="89">
        <v>0.24099999999999999</v>
      </c>
      <c r="D32" s="89" t="s">
        <v>25</v>
      </c>
      <c r="E32" s="89">
        <v>8.5999999999999993E-2</v>
      </c>
      <c r="F32" s="88">
        <f>F26/(F7-E7)</f>
        <v>0.1</v>
      </c>
      <c r="G32" s="89">
        <f t="shared" ref="G32:J32" si="9">G26/(G7-F7)</f>
        <v>9.9999999999999992E-2</v>
      </c>
      <c r="H32" s="89">
        <f t="shared" si="9"/>
        <v>0.1</v>
      </c>
      <c r="I32" s="89">
        <f t="shared" si="9"/>
        <v>0.1</v>
      </c>
      <c r="J32" s="90">
        <f t="shared" si="9"/>
        <v>0.1</v>
      </c>
    </row>
    <row r="34" spans="1:10" ht="17" thickBot="1" x14ac:dyDescent="0.25"/>
    <row r="35" spans="1:10" ht="17" thickBot="1" x14ac:dyDescent="0.25">
      <c r="A35" s="63" t="s">
        <v>27</v>
      </c>
      <c r="B35" s="18"/>
      <c r="C35" s="15"/>
      <c r="D35" s="15"/>
      <c r="E35" s="15"/>
      <c r="F35" s="123" t="s">
        <v>24</v>
      </c>
      <c r="G35" s="123"/>
      <c r="H35" s="123"/>
      <c r="I35" s="123"/>
      <c r="J35" s="124"/>
    </row>
    <row r="36" spans="1:10" ht="17" thickBot="1" x14ac:dyDescent="0.25">
      <c r="A36" s="10"/>
      <c r="B36" s="18">
        <v>2019</v>
      </c>
      <c r="C36" s="15">
        <v>2020</v>
      </c>
      <c r="D36" s="15">
        <v>2021</v>
      </c>
      <c r="E36" s="15">
        <v>2022</v>
      </c>
      <c r="F36" s="64">
        <v>2023</v>
      </c>
      <c r="G36" s="64">
        <v>2024</v>
      </c>
      <c r="H36" s="64">
        <v>2025</v>
      </c>
      <c r="I36" s="64">
        <v>2026</v>
      </c>
      <c r="J36" s="65">
        <v>2027</v>
      </c>
    </row>
    <row r="37" spans="1:10" x14ac:dyDescent="0.2">
      <c r="A37" s="11" t="s">
        <v>0</v>
      </c>
      <c r="B37" s="3"/>
      <c r="E37" s="5"/>
      <c r="J37" s="5"/>
    </row>
    <row r="38" spans="1:10" x14ac:dyDescent="0.2">
      <c r="A38" s="12" t="s">
        <v>8</v>
      </c>
      <c r="B38" s="3"/>
      <c r="E38" s="5"/>
      <c r="J38" s="5"/>
    </row>
    <row r="39" spans="1:10" x14ac:dyDescent="0.2">
      <c r="A39" s="10" t="s">
        <v>9</v>
      </c>
      <c r="B39" s="3"/>
      <c r="E39" s="5"/>
      <c r="F39" s="85">
        <v>0.19500000000000001</v>
      </c>
      <c r="G39" s="85">
        <v>0.23300000000000001</v>
      </c>
      <c r="H39" s="85">
        <v>0.245</v>
      </c>
      <c r="I39" s="85">
        <v>0.14000000000000001</v>
      </c>
      <c r="J39" s="87">
        <v>0.1</v>
      </c>
    </row>
    <row r="40" spans="1:10" x14ac:dyDescent="0.2">
      <c r="A40" s="10" t="s">
        <v>10</v>
      </c>
      <c r="B40" s="3"/>
      <c r="E40" s="5"/>
      <c r="F40" s="85">
        <v>0.185</v>
      </c>
      <c r="G40" s="85">
        <v>0.20300000000000001</v>
      </c>
      <c r="H40" s="85">
        <v>0.223</v>
      </c>
      <c r="I40" s="85">
        <v>0.245</v>
      </c>
      <c r="J40" s="87">
        <v>0.25</v>
      </c>
    </row>
    <row r="41" spans="1:10" x14ac:dyDescent="0.2">
      <c r="A41" s="10" t="s">
        <v>11</v>
      </c>
      <c r="B41" s="3"/>
      <c r="E41" s="5"/>
      <c r="F41" s="85">
        <v>0.16</v>
      </c>
      <c r="G41" s="85">
        <v>0.16800000000000001</v>
      </c>
      <c r="H41" s="85">
        <v>0.21299999999999999</v>
      </c>
      <c r="I41" s="85">
        <v>0.22900000000000001</v>
      </c>
      <c r="J41" s="87">
        <v>0.23499999999999999</v>
      </c>
    </row>
    <row r="42" spans="1:10" x14ac:dyDescent="0.2">
      <c r="A42" s="10" t="s">
        <v>12</v>
      </c>
      <c r="B42" s="3"/>
      <c r="E42" s="5"/>
      <c r="F42" s="85">
        <v>0.113</v>
      </c>
      <c r="G42" s="85">
        <v>0.124</v>
      </c>
      <c r="H42" s="85">
        <v>0.17299999999999999</v>
      </c>
      <c r="I42" s="85">
        <v>0.188</v>
      </c>
      <c r="J42" s="87">
        <v>0.193</v>
      </c>
    </row>
    <row r="43" spans="1:10" x14ac:dyDescent="0.2">
      <c r="A43" s="10" t="s">
        <v>13</v>
      </c>
      <c r="B43" s="3"/>
      <c r="E43" s="5"/>
      <c r="F43" s="85">
        <v>0.18</v>
      </c>
      <c r="G43" s="85">
        <v>0.189</v>
      </c>
      <c r="H43" s="85">
        <v>0.19800000000000001</v>
      </c>
      <c r="I43" s="85">
        <v>0.20699999999999999</v>
      </c>
      <c r="J43" s="87">
        <v>0.216</v>
      </c>
    </row>
    <row r="44" spans="1:10" x14ac:dyDescent="0.2">
      <c r="A44" s="10" t="s">
        <v>14</v>
      </c>
      <c r="B44" s="3"/>
      <c r="E44" s="5"/>
      <c r="F44" s="85">
        <v>9.5000000000000001E-2</v>
      </c>
      <c r="G44" s="85">
        <v>0.109</v>
      </c>
      <c r="H44" s="85">
        <v>0.128</v>
      </c>
      <c r="I44" s="85">
        <v>0.126</v>
      </c>
      <c r="J44" s="87">
        <v>0.13</v>
      </c>
    </row>
    <row r="45" spans="1:10" x14ac:dyDescent="0.2">
      <c r="A45" s="10"/>
      <c r="B45" s="66"/>
      <c r="C45" s="67"/>
      <c r="D45" s="67"/>
      <c r="E45" s="68"/>
      <c r="F45" s="96"/>
      <c r="G45" s="96"/>
      <c r="H45" s="96"/>
      <c r="I45" s="96"/>
      <c r="J45" s="97"/>
    </row>
    <row r="46" spans="1:10" x14ac:dyDescent="0.2">
      <c r="A46" s="38" t="s">
        <v>15</v>
      </c>
      <c r="B46" s="3"/>
      <c r="E46" s="5"/>
      <c r="F46" s="110"/>
      <c r="G46" s="110"/>
      <c r="H46" s="110"/>
      <c r="I46" s="110"/>
      <c r="J46" s="111"/>
    </row>
    <row r="47" spans="1:10" x14ac:dyDescent="0.2">
      <c r="A47" s="12" t="s">
        <v>8</v>
      </c>
      <c r="B47" s="3"/>
      <c r="E47" s="5"/>
      <c r="F47" s="96"/>
      <c r="G47" s="96"/>
      <c r="H47" s="96"/>
      <c r="I47" s="96"/>
      <c r="J47" s="97"/>
    </row>
    <row r="48" spans="1:10" x14ac:dyDescent="0.2">
      <c r="A48" s="10" t="s">
        <v>19</v>
      </c>
      <c r="B48" s="3"/>
      <c r="E48" s="5"/>
      <c r="F48" s="85">
        <v>8.7999999999999995E-2</v>
      </c>
      <c r="G48" s="85">
        <v>7.4999999999999997E-2</v>
      </c>
      <c r="H48" s="85">
        <v>6.6000000000000003E-2</v>
      </c>
      <c r="I48" s="85">
        <v>7.1999999999999995E-2</v>
      </c>
      <c r="J48" s="87">
        <v>5.0999999999999997E-2</v>
      </c>
    </row>
    <row r="49" spans="1:10" x14ac:dyDescent="0.2">
      <c r="A49" s="10" t="s">
        <v>20</v>
      </c>
      <c r="B49" s="3"/>
      <c r="E49" s="5"/>
      <c r="F49" s="85">
        <v>0.08</v>
      </c>
      <c r="G49" s="85">
        <v>0.08</v>
      </c>
      <c r="H49" s="85">
        <v>0.08</v>
      </c>
      <c r="I49" s="85">
        <v>0.08</v>
      </c>
      <c r="J49" s="87">
        <v>0.08</v>
      </c>
    </row>
    <row r="50" spans="1:10" ht="17" thickBot="1" x14ac:dyDescent="0.25">
      <c r="A50" s="13" t="s">
        <v>22</v>
      </c>
      <c r="B50" s="9"/>
      <c r="C50" s="32"/>
      <c r="D50" s="32"/>
      <c r="E50" s="33"/>
      <c r="F50" s="89">
        <v>0.1</v>
      </c>
      <c r="G50" s="89">
        <v>0.1</v>
      </c>
      <c r="H50" s="89">
        <v>0.1</v>
      </c>
      <c r="I50" s="89">
        <v>0.1</v>
      </c>
      <c r="J50" s="90">
        <v>0.1</v>
      </c>
    </row>
  </sheetData>
  <mergeCells count="3">
    <mergeCell ref="F35:J35"/>
    <mergeCell ref="B3:E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0A1E-5F65-F74C-A96D-9EE1F85F0AB6}">
  <dimension ref="A1:S57"/>
  <sheetViews>
    <sheetView tabSelected="1" topLeftCell="A23" zoomScale="93" workbookViewId="0">
      <selection activeCell="I31" sqref="I31"/>
    </sheetView>
  </sheetViews>
  <sheetFormatPr baseColWidth="10" defaultRowHeight="16" x14ac:dyDescent="0.2"/>
  <cols>
    <col min="1" max="1" width="38" customWidth="1"/>
    <col min="2" max="2" width="11.6640625" bestFit="1" customWidth="1"/>
    <col min="3" max="3" width="13.33203125" bestFit="1" customWidth="1"/>
    <col min="4" max="7" width="13.6640625" bestFit="1" customWidth="1"/>
    <col min="8" max="8" width="14.6640625" bestFit="1" customWidth="1"/>
    <col min="9" max="10" width="13.33203125" bestFit="1" customWidth="1"/>
    <col min="12" max="12" width="27.6640625" customWidth="1"/>
    <col min="13" max="13" width="9.83203125" customWidth="1"/>
    <col min="14" max="14" width="10.5" customWidth="1"/>
    <col min="16" max="16" width="15" customWidth="1"/>
    <col min="17" max="17" width="28.33203125" customWidth="1"/>
    <col min="18" max="18" width="21.83203125" customWidth="1"/>
    <col min="19" max="19" width="14.6640625" customWidth="1"/>
  </cols>
  <sheetData>
    <row r="1" spans="1:17" ht="23" thickBot="1" x14ac:dyDescent="0.35">
      <c r="A1" s="39" t="s">
        <v>29</v>
      </c>
    </row>
    <row r="3" spans="1:17" ht="17" thickBot="1" x14ac:dyDescent="0.25"/>
    <row r="4" spans="1:17" ht="17" thickBot="1" x14ac:dyDescent="0.25">
      <c r="A4" s="14" t="s">
        <v>31</v>
      </c>
      <c r="B4" s="125" t="s">
        <v>23</v>
      </c>
      <c r="C4" s="123"/>
      <c r="D4" s="123"/>
      <c r="E4" s="123"/>
      <c r="F4" s="125" t="s">
        <v>24</v>
      </c>
      <c r="G4" s="123"/>
      <c r="H4" s="123"/>
      <c r="I4" s="123"/>
      <c r="J4" s="124"/>
      <c r="L4" s="125" t="s">
        <v>35</v>
      </c>
      <c r="M4" s="123"/>
      <c r="N4" s="124"/>
      <c r="P4" s="125" t="s">
        <v>56</v>
      </c>
      <c r="Q4" s="124"/>
    </row>
    <row r="5" spans="1:17" ht="17" thickBot="1" x14ac:dyDescent="0.25">
      <c r="A5" s="14" t="s">
        <v>30</v>
      </c>
      <c r="B5" s="18">
        <v>2019</v>
      </c>
      <c r="C5" s="15">
        <v>2020</v>
      </c>
      <c r="D5" s="15">
        <v>2021</v>
      </c>
      <c r="E5" s="15">
        <v>2022</v>
      </c>
      <c r="F5" s="18">
        <v>2023</v>
      </c>
      <c r="G5" s="15">
        <v>2024</v>
      </c>
      <c r="H5" s="15">
        <v>2025</v>
      </c>
      <c r="I5" s="15">
        <v>2026</v>
      </c>
      <c r="J5" s="16">
        <v>2027</v>
      </c>
      <c r="L5" s="3"/>
      <c r="N5" s="5"/>
      <c r="P5" s="3"/>
      <c r="Q5" s="5"/>
    </row>
    <row r="6" spans="1:17" x14ac:dyDescent="0.2">
      <c r="A6" s="10"/>
      <c r="B6" s="19"/>
      <c r="C6" s="20"/>
      <c r="D6" s="20"/>
      <c r="E6" s="21"/>
      <c r="F6" s="3"/>
      <c r="J6" s="5"/>
      <c r="L6" s="4" t="s">
        <v>36</v>
      </c>
      <c r="M6" s="133">
        <f>J16*(1+P10)/(F18-P10)</f>
        <v>295248.56769933295</v>
      </c>
      <c r="N6" s="129"/>
      <c r="P6" s="47">
        <f>(P7-P8)/365</f>
        <v>0.18356164383561643</v>
      </c>
      <c r="Q6" s="5" t="s">
        <v>57</v>
      </c>
    </row>
    <row r="7" spans="1:17" x14ac:dyDescent="0.2">
      <c r="A7" s="10" t="s">
        <v>1</v>
      </c>
      <c r="B7" s="28">
        <f>Assumptions!B7</f>
        <v>24578</v>
      </c>
      <c r="C7" s="26">
        <f>Assumptions!C7</f>
        <v>31536</v>
      </c>
      <c r="D7" s="26">
        <f>Assumptions!D7</f>
        <v>52826</v>
      </c>
      <c r="E7" s="27">
        <f>Assumptions!E7</f>
        <v>81462</v>
      </c>
      <c r="F7" s="28">
        <f>Assumptions!F7*P6</f>
        <v>17869.191863013701</v>
      </c>
      <c r="G7" s="26">
        <f>Assumptions!G7</f>
        <v>120028.96197000002</v>
      </c>
      <c r="H7" s="26">
        <f>Assumptions!H7</f>
        <v>149436.05765265002</v>
      </c>
      <c r="I7" s="26">
        <f>Assumptions!I7</f>
        <v>170357.10572402104</v>
      </c>
      <c r="J7" s="27">
        <f>Assumptions!J7</f>
        <v>187392.81629642315</v>
      </c>
      <c r="L7" s="3" t="s">
        <v>40</v>
      </c>
      <c r="M7" s="139">
        <f>J17</f>
        <v>4.1835616438356169</v>
      </c>
      <c r="N7" s="129"/>
      <c r="P7" s="46">
        <v>45291</v>
      </c>
      <c r="Q7" s="5" t="s">
        <v>58</v>
      </c>
    </row>
    <row r="8" spans="1:17" x14ac:dyDescent="0.2">
      <c r="A8" s="10" t="s">
        <v>4</v>
      </c>
      <c r="B8" s="28">
        <f>Assumptions!B10</f>
        <v>80</v>
      </c>
      <c r="C8" s="26">
        <f>Assumptions!C10</f>
        <v>1951</v>
      </c>
      <c r="D8" s="26">
        <f>Assumptions!D10</f>
        <v>6523</v>
      </c>
      <c r="E8" s="27">
        <f>Assumptions!E10</f>
        <v>13692</v>
      </c>
      <c r="F8" s="28">
        <f>Assumptions!F10*P6</f>
        <v>2019.2186805205481</v>
      </c>
      <c r="G8" s="26">
        <f>Assumptions!G10</f>
        <v>14883.591284280003</v>
      </c>
      <c r="H8" s="26">
        <f>Assumptions!H10</f>
        <v>25852.437973908451</v>
      </c>
      <c r="I8" s="26">
        <f>Assumptions!I10</f>
        <v>32027.135876115954</v>
      </c>
      <c r="J8" s="27">
        <f>Assumptions!J10</f>
        <v>36166.813545209669</v>
      </c>
      <c r="L8" s="3" t="s">
        <v>41</v>
      </c>
      <c r="M8" s="140">
        <f>J18</f>
        <v>0.13850000000000001</v>
      </c>
      <c r="N8" s="141"/>
      <c r="P8" s="46">
        <v>45224</v>
      </c>
      <c r="Q8" s="5" t="s">
        <v>59</v>
      </c>
    </row>
    <row r="9" spans="1:17" ht="17" thickBot="1" x14ac:dyDescent="0.25">
      <c r="A9" s="10" t="s">
        <v>50</v>
      </c>
      <c r="B9" s="28">
        <v>0</v>
      </c>
      <c r="C9" s="26">
        <f>-C8*Assumptions!C20</f>
        <v>-493.60300000000001</v>
      </c>
      <c r="D9" s="26">
        <f>-D8*Assumptions!D20</f>
        <v>-717.53</v>
      </c>
      <c r="E9" s="27">
        <f>-E8*Assumptions!E20</f>
        <v>-1136.4360000000001</v>
      </c>
      <c r="F9" s="28">
        <f>-F8*Assumptions!F20</f>
        <v>-363.45936249369862</v>
      </c>
      <c r="G9" s="26">
        <f>-G8*Assumptions!G20</f>
        <v>-2812.9987527289204</v>
      </c>
      <c r="H9" s="26">
        <f>-H8*Assumptions!H20</f>
        <v>-5118.7827188338733</v>
      </c>
      <c r="I9" s="26">
        <f>-I8*Assumptions!I20</f>
        <v>-6629.6171263560018</v>
      </c>
      <c r="J9" s="27">
        <f>-J8*Assumptions!J20</f>
        <v>-7812.0317257652887</v>
      </c>
      <c r="L9" s="44" t="s">
        <v>37</v>
      </c>
      <c r="M9" s="126">
        <f>M6/(1+M8)^M7</f>
        <v>171599.12742688879</v>
      </c>
      <c r="N9" s="142"/>
      <c r="P9" s="3"/>
      <c r="Q9" s="5"/>
    </row>
    <row r="10" spans="1:17" x14ac:dyDescent="0.2">
      <c r="A10" s="37" t="s">
        <v>32</v>
      </c>
      <c r="B10" s="72">
        <f>B8+B9</f>
        <v>80</v>
      </c>
      <c r="C10" s="73">
        <f t="shared" ref="C10:E10" si="0">C8+C9</f>
        <v>1457.3969999999999</v>
      </c>
      <c r="D10" s="73">
        <f t="shared" si="0"/>
        <v>5805.47</v>
      </c>
      <c r="E10" s="74">
        <f t="shared" si="0"/>
        <v>12555.564</v>
      </c>
      <c r="F10" s="72">
        <f>F8+F9</f>
        <v>1655.7593180268495</v>
      </c>
      <c r="G10" s="73">
        <f t="shared" ref="G10:J10" si="1">G8+G9</f>
        <v>12070.592531551083</v>
      </c>
      <c r="H10" s="73">
        <f t="shared" si="1"/>
        <v>20733.655255074576</v>
      </c>
      <c r="I10" s="73">
        <f t="shared" si="1"/>
        <v>25397.518749759951</v>
      </c>
      <c r="J10" s="74">
        <f t="shared" si="1"/>
        <v>28354.781819444379</v>
      </c>
      <c r="P10" s="108">
        <v>0.05</v>
      </c>
      <c r="Q10" s="5" t="s">
        <v>60</v>
      </c>
    </row>
    <row r="11" spans="1:17" ht="17" thickBot="1" x14ac:dyDescent="0.25">
      <c r="A11" s="60" t="s">
        <v>47</v>
      </c>
      <c r="B11" s="93">
        <f>-Assumptions!B25</f>
        <v>-1432</v>
      </c>
      <c r="C11" s="94">
        <f>-Assumptions!C25</f>
        <v>-3232</v>
      </c>
      <c r="D11" s="94">
        <f>-Assumptions!D25</f>
        <v>-6514</v>
      </c>
      <c r="E11" s="95">
        <f>-Assumptions!E25</f>
        <v>-7163</v>
      </c>
      <c r="F11" s="93">
        <f>-Assumptions!F25*P6</f>
        <v>-1572.4888839452055</v>
      </c>
      <c r="G11" s="104">
        <f>-Assumptions!G25</f>
        <v>-9002.1721477500014</v>
      </c>
      <c r="H11" s="104">
        <f>-Assumptions!H25</f>
        <v>-9862.7798050749025</v>
      </c>
      <c r="I11" s="104">
        <f>-Assumptions!I25</f>
        <v>-12265.711612129513</v>
      </c>
      <c r="J11" s="95">
        <f>-Assumptions!J25</f>
        <v>-9557.0336311175797</v>
      </c>
      <c r="P11" s="108"/>
      <c r="Q11" s="5"/>
    </row>
    <row r="12" spans="1:17" ht="17" thickBot="1" x14ac:dyDescent="0.25">
      <c r="A12" s="60" t="s">
        <v>48</v>
      </c>
      <c r="B12" s="28">
        <v>0</v>
      </c>
      <c r="C12" s="26">
        <f>-Assumptions!C26</f>
        <v>-1678</v>
      </c>
      <c r="D12" s="26">
        <f>-Assumptions!D26</f>
        <v>3858</v>
      </c>
      <c r="E12" s="27">
        <f>-Assumptions!E26</f>
        <v>-2365</v>
      </c>
      <c r="F12" s="28">
        <f>-Assumptions!F26*P6</f>
        <v>-291.58932328767145</v>
      </c>
      <c r="G12" s="26">
        <f>-Assumptions!G26</f>
        <v>-2268.1871970000007</v>
      </c>
      <c r="H12" s="26">
        <f>-Assumptions!H26</f>
        <v>-2940.7095682650006</v>
      </c>
      <c r="I12" s="26">
        <f>-Assumptions!I26</f>
        <v>-2092.1048071371015</v>
      </c>
      <c r="J12" s="27">
        <f>-Assumptions!J26</f>
        <v>-1703.5710572402111</v>
      </c>
      <c r="L12" s="125" t="s">
        <v>38</v>
      </c>
      <c r="M12" s="123"/>
      <c r="N12" s="124"/>
      <c r="P12" s="108">
        <v>0.01</v>
      </c>
      <c r="Q12" s="5" t="s">
        <v>61</v>
      </c>
    </row>
    <row r="13" spans="1:17" x14ac:dyDescent="0.2">
      <c r="A13" s="60" t="s">
        <v>49</v>
      </c>
      <c r="B13" s="28">
        <f>Assumptions!B27</f>
        <v>2092</v>
      </c>
      <c r="C13" s="26">
        <f>Assumptions!C27</f>
        <v>2322</v>
      </c>
      <c r="D13" s="26">
        <f>Assumptions!D27</f>
        <v>2911</v>
      </c>
      <c r="E13" s="27">
        <f>Assumptions!E27</f>
        <v>3747</v>
      </c>
      <c r="F13" s="28">
        <f>Assumptions!F27*P6</f>
        <v>832.64360386630131</v>
      </c>
      <c r="G13" s="26">
        <f>Assumptions!G27</f>
        <v>5256.2172854199998</v>
      </c>
      <c r="H13" s="26">
        <f>Assumptions!H27</f>
        <v>6045.2396698259909</v>
      </c>
      <c r="I13" s="26">
        <f>Assumptions!I27</f>
        <v>7026.4965987963524</v>
      </c>
      <c r="J13" s="27">
        <f>Assumptions!J27</f>
        <v>7791.0592892857585</v>
      </c>
      <c r="L13" s="3"/>
      <c r="N13" s="5"/>
      <c r="P13" s="108">
        <v>0.01</v>
      </c>
      <c r="Q13" s="5" t="s">
        <v>62</v>
      </c>
    </row>
    <row r="14" spans="1:17" ht="17" thickBot="1" x14ac:dyDescent="0.25">
      <c r="A14" s="62" t="s">
        <v>93</v>
      </c>
      <c r="B14" s="75">
        <f>SUM(B11:B13)</f>
        <v>660</v>
      </c>
      <c r="C14" s="76">
        <f t="shared" ref="C14:E14" si="2">SUM(C11:C13)</f>
        <v>-2588</v>
      </c>
      <c r="D14" s="76">
        <f t="shared" si="2"/>
        <v>255</v>
      </c>
      <c r="E14" s="77">
        <f t="shared" si="2"/>
        <v>-5781</v>
      </c>
      <c r="F14" s="75">
        <f>SUM(F11:F13)</f>
        <v>-1031.4346033665756</v>
      </c>
      <c r="G14" s="76">
        <f t="shared" ref="G14:J14" si="3">SUM(G11:G13)</f>
        <v>-6014.1420593300027</v>
      </c>
      <c r="H14" s="76">
        <f>SUM(H11:H13)</f>
        <v>-6758.2497035139131</v>
      </c>
      <c r="I14" s="76">
        <f t="shared" si="3"/>
        <v>-7331.319820470263</v>
      </c>
      <c r="J14" s="77">
        <f t="shared" si="3"/>
        <v>-3469.5453990720325</v>
      </c>
      <c r="L14" s="9" t="s">
        <v>39</v>
      </c>
      <c r="M14" s="126">
        <f>SUM(F19:J19)</f>
        <v>42750.169024055111</v>
      </c>
      <c r="N14" s="142"/>
      <c r="P14" s="3"/>
      <c r="Q14" s="5"/>
    </row>
    <row r="15" spans="1:17" x14ac:dyDescent="0.2">
      <c r="A15" s="10"/>
      <c r="B15" s="28"/>
      <c r="C15" s="26"/>
      <c r="D15" s="26"/>
      <c r="E15" s="27"/>
      <c r="F15" s="28"/>
      <c r="G15" s="26"/>
      <c r="H15" s="26"/>
      <c r="I15" s="26"/>
      <c r="J15" s="27"/>
      <c r="P15" s="109">
        <v>3178.9</v>
      </c>
      <c r="Q15" s="5" t="s">
        <v>63</v>
      </c>
    </row>
    <row r="16" spans="1:17" ht="17" thickBot="1" x14ac:dyDescent="0.25">
      <c r="A16" s="11" t="s">
        <v>33</v>
      </c>
      <c r="B16" s="78">
        <f>B14+B10</f>
        <v>740</v>
      </c>
      <c r="C16" s="79">
        <f t="shared" ref="C16:E16" si="4">C14+C10</f>
        <v>-1130.6030000000001</v>
      </c>
      <c r="D16" s="79">
        <f t="shared" si="4"/>
        <v>6060.47</v>
      </c>
      <c r="E16" s="80">
        <f t="shared" si="4"/>
        <v>6774.5640000000003</v>
      </c>
      <c r="F16" s="78">
        <f>F10+F14</f>
        <v>624.32471466027391</v>
      </c>
      <c r="G16" s="79">
        <f t="shared" ref="G16:I16" si="5">G10+G14</f>
        <v>6056.4504722210804</v>
      </c>
      <c r="H16" s="79">
        <f>H10+H14</f>
        <v>13975.405551560663</v>
      </c>
      <c r="I16" s="79">
        <f t="shared" si="5"/>
        <v>18066.198929289687</v>
      </c>
      <c r="J16" s="80">
        <f>J10+J14</f>
        <v>24885.236420372348</v>
      </c>
      <c r="P16" s="109">
        <f>P15+S36+S44</f>
        <v>3536.002577586175</v>
      </c>
      <c r="Q16" s="5" t="s">
        <v>64</v>
      </c>
    </row>
    <row r="17" spans="1:19" ht="17" thickBot="1" x14ac:dyDescent="0.25">
      <c r="A17" s="10" t="s">
        <v>40</v>
      </c>
      <c r="B17" s="29"/>
      <c r="C17" s="6"/>
      <c r="D17" s="6"/>
      <c r="E17" s="7"/>
      <c r="F17" s="52">
        <f>P6</f>
        <v>0.18356164383561643</v>
      </c>
      <c r="G17" s="105">
        <f>F17+1</f>
        <v>1.1835616438356165</v>
      </c>
      <c r="H17" s="53">
        <f t="shared" ref="H17:J17" si="6">G17+1</f>
        <v>2.1835616438356165</v>
      </c>
      <c r="I17" s="53">
        <f t="shared" si="6"/>
        <v>3.1835616438356165</v>
      </c>
      <c r="J17" s="54">
        <f t="shared" si="6"/>
        <v>4.1835616438356169</v>
      </c>
      <c r="L17" s="125" t="s">
        <v>42</v>
      </c>
      <c r="M17" s="123"/>
      <c r="N17" s="124"/>
      <c r="P17" s="3"/>
      <c r="Q17" s="5"/>
    </row>
    <row r="18" spans="1:19" ht="17" thickBot="1" x14ac:dyDescent="0.25">
      <c r="A18" s="10" t="s">
        <v>41</v>
      </c>
      <c r="B18" s="29"/>
      <c r="C18" s="6"/>
      <c r="D18" s="6"/>
      <c r="E18" s="7"/>
      <c r="F18" s="81">
        <v>0.13850000000000001</v>
      </c>
      <c r="G18" s="106">
        <f>F18</f>
        <v>0.13850000000000001</v>
      </c>
      <c r="H18" s="106">
        <f t="shared" ref="H18:J18" si="7">G18</f>
        <v>0.13850000000000001</v>
      </c>
      <c r="I18" s="106">
        <f t="shared" si="7"/>
        <v>0.13850000000000001</v>
      </c>
      <c r="J18" s="82">
        <f t="shared" si="7"/>
        <v>0.13850000000000001</v>
      </c>
      <c r="L18" s="3"/>
      <c r="N18" s="5"/>
      <c r="P18" s="50">
        <v>212.43</v>
      </c>
      <c r="Q18" s="33" t="s">
        <v>65</v>
      </c>
    </row>
    <row r="19" spans="1:19" ht="17" thickBot="1" x14ac:dyDescent="0.25">
      <c r="A19" s="61" t="s">
        <v>34</v>
      </c>
      <c r="B19" s="41"/>
      <c r="C19" s="42"/>
      <c r="D19" s="42"/>
      <c r="E19" s="43"/>
      <c r="F19" s="55">
        <f>F16/(1+F18)^F17</f>
        <v>609.63507068034107</v>
      </c>
      <c r="G19" s="56">
        <f>G16/(1+G18)^G17</f>
        <v>5194.5095685356691</v>
      </c>
      <c r="H19" s="56">
        <f>H16/(1+H18)^H17</f>
        <v>10528.288208637785</v>
      </c>
      <c r="I19" s="56">
        <f t="shared" ref="I19:J19" si="8">I16/(1+I18)^I17</f>
        <v>11954.381150220685</v>
      </c>
      <c r="J19" s="57">
        <f t="shared" si="8"/>
        <v>14463.355025980627</v>
      </c>
      <c r="L19" s="3" t="s">
        <v>43</v>
      </c>
      <c r="M19" s="137">
        <f>M14/M26</f>
        <v>0.19944161110805855</v>
      </c>
      <c r="N19" s="138"/>
    </row>
    <row r="20" spans="1:19" x14ac:dyDescent="0.2">
      <c r="L20" s="3" t="s">
        <v>44</v>
      </c>
      <c r="M20" s="137">
        <f>M9/M26</f>
        <v>0.80055838889194142</v>
      </c>
      <c r="N20" s="138"/>
    </row>
    <row r="21" spans="1:19" ht="17" thickBot="1" x14ac:dyDescent="0.25">
      <c r="L21" s="9" t="s">
        <v>45</v>
      </c>
      <c r="M21" s="135">
        <f>M19+M20</f>
        <v>1</v>
      </c>
      <c r="N21" s="136"/>
    </row>
    <row r="23" spans="1:19" ht="17" thickBot="1" x14ac:dyDescent="0.25">
      <c r="P23" s="1"/>
    </row>
    <row r="24" spans="1:19" ht="17" thickBot="1" x14ac:dyDescent="0.25">
      <c r="C24" s="2"/>
      <c r="D24" s="2"/>
      <c r="E24" s="2"/>
      <c r="F24" s="2"/>
      <c r="G24" s="2"/>
      <c r="H24" s="2"/>
      <c r="L24" s="130" t="s">
        <v>95</v>
      </c>
      <c r="M24" s="131"/>
      <c r="N24" s="132"/>
    </row>
    <row r="25" spans="1:19" ht="16" customHeight="1" x14ac:dyDescent="0.2">
      <c r="B25" s="98"/>
      <c r="C25" s="26"/>
      <c r="D25" s="99"/>
      <c r="E25" s="99"/>
      <c r="F25" s="99"/>
      <c r="G25" s="99"/>
      <c r="H25" s="99"/>
      <c r="L25" s="3"/>
      <c r="N25" s="5"/>
    </row>
    <row r="26" spans="1:19" x14ac:dyDescent="0.2">
      <c r="B26" s="98"/>
      <c r="C26" s="99"/>
      <c r="D26" s="6"/>
      <c r="E26" s="6"/>
      <c r="F26" s="6"/>
      <c r="G26" s="6"/>
      <c r="H26" s="6"/>
      <c r="L26" s="4" t="s">
        <v>46</v>
      </c>
      <c r="M26" s="133">
        <f>M9+M14</f>
        <v>214349.29645094392</v>
      </c>
      <c r="N26" s="129"/>
    </row>
    <row r="27" spans="1:19" x14ac:dyDescent="0.2">
      <c r="B27" s="98"/>
      <c r="C27" s="99"/>
      <c r="D27" s="6"/>
      <c r="E27" s="6"/>
      <c r="F27" s="6"/>
      <c r="G27" s="6"/>
      <c r="H27" s="6"/>
      <c r="L27" s="45" t="s">
        <v>51</v>
      </c>
      <c r="M27" s="133">
        <f>-M46</f>
        <v>-8187</v>
      </c>
      <c r="N27" s="134"/>
    </row>
    <row r="28" spans="1:19" ht="17" thickBot="1" x14ac:dyDescent="0.25">
      <c r="B28" s="98"/>
      <c r="C28" s="99"/>
      <c r="D28" s="6"/>
      <c r="E28" s="6"/>
      <c r="F28" s="79"/>
      <c r="G28" s="6"/>
      <c r="H28" s="6"/>
      <c r="L28" s="45" t="s">
        <v>96</v>
      </c>
      <c r="M28" s="128">
        <v>0</v>
      </c>
      <c r="N28" s="129"/>
    </row>
    <row r="29" spans="1:19" ht="17" thickBot="1" x14ac:dyDescent="0.25">
      <c r="A29" s="2" t="s">
        <v>77</v>
      </c>
      <c r="B29" s="98"/>
      <c r="C29" s="99"/>
      <c r="D29" s="6"/>
      <c r="E29" s="6"/>
      <c r="F29" s="6"/>
      <c r="G29" s="6"/>
      <c r="H29" s="6"/>
      <c r="L29" s="45" t="s">
        <v>52</v>
      </c>
      <c r="M29" s="133">
        <f>-1029</f>
        <v>-1029</v>
      </c>
      <c r="N29" s="134"/>
      <c r="P29" s="125" t="s">
        <v>66</v>
      </c>
      <c r="Q29" s="123"/>
      <c r="R29" s="123"/>
      <c r="S29" s="124"/>
    </row>
    <row r="30" spans="1:19" ht="17" thickBot="1" x14ac:dyDescent="0.25">
      <c r="B30" s="98"/>
      <c r="C30" s="99"/>
      <c r="D30" s="6"/>
      <c r="E30" s="6"/>
      <c r="F30" s="6"/>
      <c r="G30" s="6"/>
      <c r="H30" s="6"/>
      <c r="L30" s="45" t="s">
        <v>53</v>
      </c>
      <c r="M30" s="133">
        <v>26077</v>
      </c>
      <c r="N30" s="134"/>
      <c r="P30" s="19"/>
      <c r="Q30" s="20"/>
      <c r="R30" s="20"/>
      <c r="S30" s="21"/>
    </row>
    <row r="31" spans="1:19" ht="17" thickBot="1" x14ac:dyDescent="0.25">
      <c r="C31" s="153" t="s">
        <v>94</v>
      </c>
      <c r="D31" s="154"/>
      <c r="E31" s="154"/>
      <c r="F31" s="154"/>
      <c r="G31" s="154"/>
      <c r="H31" s="155"/>
      <c r="L31" s="3"/>
      <c r="M31" s="26"/>
      <c r="N31" s="7"/>
      <c r="P31" s="3"/>
      <c r="S31" s="5"/>
    </row>
    <row r="32" spans="1:19" ht="17" thickBot="1" x14ac:dyDescent="0.25">
      <c r="B32" s="156" t="s">
        <v>97</v>
      </c>
      <c r="C32" s="101">
        <f>M33</f>
        <v>65.387479612296502</v>
      </c>
      <c r="D32" s="102">
        <f t="shared" ref="D32" si="9">E32-$P$12</f>
        <v>0.03</v>
      </c>
      <c r="E32" s="102">
        <f>F32-$P$12</f>
        <v>0.04</v>
      </c>
      <c r="F32" s="102">
        <v>0.05</v>
      </c>
      <c r="G32" s="102">
        <f>F32+$P$12</f>
        <v>6.0000000000000005E-2</v>
      </c>
      <c r="H32" s="103">
        <f t="shared" ref="H32" si="10">G32+$P$12</f>
        <v>7.0000000000000007E-2</v>
      </c>
      <c r="L32" s="4" t="s">
        <v>54</v>
      </c>
      <c r="M32" s="133">
        <f>SUM(M26:N30)</f>
        <v>231210.29645094392</v>
      </c>
      <c r="N32" s="134"/>
      <c r="P32" s="58" t="s">
        <v>67</v>
      </c>
      <c r="Q32" s="40" t="s">
        <v>73</v>
      </c>
      <c r="R32" s="40" t="s">
        <v>74</v>
      </c>
      <c r="S32" s="59" t="s">
        <v>66</v>
      </c>
    </row>
    <row r="33" spans="2:19" ht="17" thickBot="1" x14ac:dyDescent="0.25">
      <c r="B33" s="157"/>
      <c r="C33" s="100">
        <f t="shared" ref="C33" si="11">C34-$P$13</f>
        <v>0.11850000000000001</v>
      </c>
      <c r="D33" s="112">
        <f t="dataTable" ref="D33:H37" dt2D="1" dtr="1" r1="P10" r2="F18"/>
        <v>68.787182371566757</v>
      </c>
      <c r="E33" s="112">
        <v>75.87937631674356</v>
      </c>
      <c r="F33" s="113">
        <v>85.042283822555945</v>
      </c>
      <c r="G33" s="112">
        <v>97.337809279073426</v>
      </c>
      <c r="H33" s="114">
        <v>114.70365451147441</v>
      </c>
      <c r="L33" s="44" t="s">
        <v>55</v>
      </c>
      <c r="M33" s="126">
        <f>M32/P16</f>
        <v>65.387479612296502</v>
      </c>
      <c r="N33" s="127"/>
      <c r="P33" s="3" t="s">
        <v>68</v>
      </c>
      <c r="Q33" s="49">
        <v>304.89999999999998</v>
      </c>
      <c r="R33" s="49">
        <v>25.68</v>
      </c>
      <c r="S33" s="48">
        <f>Q33-(Q33*R33)/P18</f>
        <v>268.04159017087977</v>
      </c>
    </row>
    <row r="34" spans="2:19" ht="17" thickBot="1" x14ac:dyDescent="0.25">
      <c r="B34" s="157"/>
      <c r="C34" s="100">
        <f>C35-$P$13</f>
        <v>0.1285</v>
      </c>
      <c r="D34" s="112">
        <v>61.56198552716851</v>
      </c>
      <c r="E34" s="112">
        <v>67.056226881339057</v>
      </c>
      <c r="F34" s="115">
        <v>73.950274949947968</v>
      </c>
      <c r="G34" s="112">
        <v>82.857183768515654</v>
      </c>
      <c r="H34" s="114">
        <v>94.809189619072342</v>
      </c>
      <c r="P34" s="3" t="s">
        <v>69</v>
      </c>
      <c r="Q34" s="49">
        <v>0</v>
      </c>
      <c r="R34" s="49">
        <v>0</v>
      </c>
      <c r="S34" s="48">
        <v>0</v>
      </c>
    </row>
    <row r="35" spans="2:19" ht="17" thickBot="1" x14ac:dyDescent="0.25">
      <c r="B35" s="157"/>
      <c r="C35" s="100">
        <v>0.13850000000000001</v>
      </c>
      <c r="D35" s="116">
        <v>55.68804330363858</v>
      </c>
      <c r="E35" s="117">
        <v>60.045404284939224</v>
      </c>
      <c r="F35" s="118">
        <v>65.387479612296502</v>
      </c>
      <c r="G35" s="117">
        <v>72.090593239617419</v>
      </c>
      <c r="H35" s="119">
        <v>80.750820334769273</v>
      </c>
      <c r="P35" s="3" t="s">
        <v>70</v>
      </c>
      <c r="Q35" s="49">
        <v>0</v>
      </c>
      <c r="R35" s="49">
        <v>0</v>
      </c>
      <c r="S35" s="48">
        <v>0</v>
      </c>
    </row>
    <row r="36" spans="2:19" ht="17" thickBot="1" x14ac:dyDescent="0.25">
      <c r="B36" s="157"/>
      <c r="C36" s="100">
        <f>C35+$P$13</f>
        <v>0.14850000000000002</v>
      </c>
      <c r="D36" s="112">
        <v>50.822562182225035</v>
      </c>
      <c r="E36" s="112">
        <v>54.345057024826339</v>
      </c>
      <c r="F36" s="115">
        <v>58.582779246636029</v>
      </c>
      <c r="G36" s="112">
        <v>63.778178806707771</v>
      </c>
      <c r="H36" s="114">
        <v>70.297247044504843</v>
      </c>
      <c r="P36" s="58" t="s">
        <v>71</v>
      </c>
      <c r="Q36" s="91">
        <f>SUM(Q33:Q35)</f>
        <v>304.89999999999998</v>
      </c>
      <c r="R36" s="91">
        <f>SUM(R33:R35)</f>
        <v>25.68</v>
      </c>
      <c r="S36" s="92">
        <f>SUM(S33:S35)</f>
        <v>268.04159017087977</v>
      </c>
    </row>
    <row r="37" spans="2:19" ht="17" thickBot="1" x14ac:dyDescent="0.25">
      <c r="B37" s="158"/>
      <c r="C37" s="107">
        <f t="shared" ref="C37" si="12">C36+$P$13</f>
        <v>0.15850000000000003</v>
      </c>
      <c r="D37" s="120">
        <v>46.729486602019854</v>
      </c>
      <c r="E37" s="120">
        <v>49.622768460866467</v>
      </c>
      <c r="F37" s="121">
        <v>53.049374164661771</v>
      </c>
      <c r="G37" s="120">
        <v>57.171737371765751</v>
      </c>
      <c r="H37" s="122">
        <v>62.22570808330002</v>
      </c>
      <c r="L37" s="125" t="s">
        <v>80</v>
      </c>
      <c r="M37" s="123"/>
      <c r="N37" s="124"/>
      <c r="P37" s="3"/>
      <c r="Q37" s="49"/>
      <c r="R37" s="49"/>
      <c r="S37" s="48"/>
    </row>
    <row r="38" spans="2:19" x14ac:dyDescent="0.2">
      <c r="L38" s="19"/>
      <c r="M38" s="163"/>
      <c r="N38" s="164"/>
      <c r="P38" s="3"/>
      <c r="Q38" s="49"/>
      <c r="R38" s="49"/>
      <c r="S38" s="48"/>
    </row>
    <row r="39" spans="2:19" ht="17" thickBot="1" x14ac:dyDescent="0.25">
      <c r="L39" s="3"/>
      <c r="M39" s="159"/>
      <c r="N39" s="160"/>
      <c r="P39" s="3"/>
      <c r="Q39" s="49"/>
      <c r="R39" s="49"/>
      <c r="S39" s="48"/>
    </row>
    <row r="40" spans="2:19" ht="17" thickBot="1" x14ac:dyDescent="0.25">
      <c r="L40" s="3" t="s">
        <v>78</v>
      </c>
      <c r="M40" s="161">
        <v>1.61</v>
      </c>
      <c r="N40" s="162"/>
      <c r="P40" s="58" t="s">
        <v>72</v>
      </c>
      <c r="Q40" s="83" t="s">
        <v>75</v>
      </c>
      <c r="R40" s="83" t="s">
        <v>76</v>
      </c>
      <c r="S40" s="84" t="s">
        <v>66</v>
      </c>
    </row>
    <row r="41" spans="2:19" x14ac:dyDescent="0.2">
      <c r="L41" s="3" t="s">
        <v>79</v>
      </c>
      <c r="M41" s="145">
        <v>4.9500000000000002E-2</v>
      </c>
      <c r="N41" s="146"/>
      <c r="P41" s="3" t="s">
        <v>68</v>
      </c>
      <c r="Q41" s="49">
        <v>1840</v>
      </c>
      <c r="R41" s="49">
        <v>20.66</v>
      </c>
      <c r="S41" s="48">
        <f>Q41/R41</f>
        <v>89.060987415295259</v>
      </c>
    </row>
    <row r="42" spans="2:19" x14ac:dyDescent="0.2">
      <c r="L42" s="3" t="s">
        <v>81</v>
      </c>
      <c r="M42" s="137">
        <v>5.6000000000000001E-2</v>
      </c>
      <c r="N42" s="138"/>
      <c r="P42" s="3" t="s">
        <v>69</v>
      </c>
      <c r="Q42" s="49">
        <v>0</v>
      </c>
      <c r="R42" s="49">
        <v>0</v>
      </c>
      <c r="S42" s="48">
        <v>0</v>
      </c>
    </row>
    <row r="43" spans="2:19" ht="17" thickBot="1" x14ac:dyDescent="0.25">
      <c r="L43" s="4" t="s">
        <v>82</v>
      </c>
      <c r="M43" s="145">
        <f>M41 + (M40*M42)</f>
        <v>0.13966000000000001</v>
      </c>
      <c r="N43" s="146"/>
      <c r="P43" s="3" t="s">
        <v>70</v>
      </c>
      <c r="Q43" s="49">
        <v>0</v>
      </c>
      <c r="R43" s="49">
        <v>0</v>
      </c>
      <c r="S43" s="48">
        <v>0</v>
      </c>
    </row>
    <row r="44" spans="2:19" ht="17" thickBot="1" x14ac:dyDescent="0.25">
      <c r="L44" s="3"/>
      <c r="M44" s="143"/>
      <c r="N44" s="144"/>
      <c r="P44" s="58" t="s">
        <v>71</v>
      </c>
      <c r="Q44" s="91">
        <f>SUM(Q41:Q43)</f>
        <v>1840</v>
      </c>
      <c r="R44" s="91">
        <f>SUM(R41:R43)</f>
        <v>20.66</v>
      </c>
      <c r="S44" s="92">
        <f>SUM(S41:S43)</f>
        <v>89.060987415295259</v>
      </c>
    </row>
    <row r="45" spans="2:19" x14ac:dyDescent="0.2">
      <c r="L45" s="51" t="s">
        <v>83</v>
      </c>
      <c r="M45" s="143"/>
      <c r="N45" s="144"/>
    </row>
    <row r="46" spans="2:19" x14ac:dyDescent="0.2">
      <c r="L46" s="3" t="s">
        <v>84</v>
      </c>
      <c r="M46" s="147">
        <v>8187</v>
      </c>
      <c r="N46" s="148"/>
    </row>
    <row r="47" spans="2:19" x14ac:dyDescent="0.2">
      <c r="L47" s="3" t="s">
        <v>85</v>
      </c>
      <c r="M47" s="149">
        <f>P15*P18</f>
        <v>675293.72700000007</v>
      </c>
      <c r="N47" s="150"/>
    </row>
    <row r="48" spans="2:19" x14ac:dyDescent="0.2">
      <c r="L48" s="4" t="s">
        <v>91</v>
      </c>
      <c r="M48" s="149">
        <f>M46+M47</f>
        <v>683480.72700000007</v>
      </c>
      <c r="N48" s="150"/>
    </row>
    <row r="49" spans="12:14" x14ac:dyDescent="0.2">
      <c r="L49" s="3"/>
      <c r="M49" s="143"/>
      <c r="N49" s="144"/>
    </row>
    <row r="50" spans="12:14" x14ac:dyDescent="0.2">
      <c r="L50" s="8" t="s">
        <v>86</v>
      </c>
      <c r="M50" s="143"/>
      <c r="N50" s="144"/>
    </row>
    <row r="51" spans="12:14" x14ac:dyDescent="0.2">
      <c r="L51" s="3" t="s">
        <v>87</v>
      </c>
      <c r="M51" s="137">
        <f>M46/M48</f>
        <v>1.1978391893997032E-2</v>
      </c>
      <c r="N51" s="138"/>
    </row>
    <row r="52" spans="12:14" x14ac:dyDescent="0.2">
      <c r="L52" s="3" t="s">
        <v>88</v>
      </c>
      <c r="M52" s="137">
        <f>M47/M48</f>
        <v>0.98802160810600292</v>
      </c>
      <c r="N52" s="138"/>
    </row>
    <row r="53" spans="12:14" x14ac:dyDescent="0.2">
      <c r="L53" s="3"/>
      <c r="M53" s="143"/>
      <c r="N53" s="144"/>
    </row>
    <row r="54" spans="12:14" x14ac:dyDescent="0.2">
      <c r="L54" s="51" t="s">
        <v>89</v>
      </c>
      <c r="M54" s="143"/>
      <c r="N54" s="144"/>
    </row>
    <row r="55" spans="12:14" x14ac:dyDescent="0.2">
      <c r="L55" s="3" t="s">
        <v>90</v>
      </c>
      <c r="M55" s="145">
        <f>4.45%*M51</f>
        <v>5.33038439282868E-4</v>
      </c>
      <c r="N55" s="146"/>
    </row>
    <row r="56" spans="12:14" x14ac:dyDescent="0.2">
      <c r="L56" s="3" t="s">
        <v>82</v>
      </c>
      <c r="M56" s="145">
        <f>M52*M43</f>
        <v>0.13798709778808438</v>
      </c>
      <c r="N56" s="146"/>
    </row>
    <row r="57" spans="12:14" ht="17" thickBot="1" x14ac:dyDescent="0.25">
      <c r="L57" s="44" t="s">
        <v>92</v>
      </c>
      <c r="M57" s="151">
        <f>SUM(M55:N56)</f>
        <v>0.13852013622736725</v>
      </c>
      <c r="N57" s="152"/>
    </row>
  </sheetData>
  <mergeCells count="46">
    <mergeCell ref="M42:N42"/>
    <mergeCell ref="M32:N32"/>
    <mergeCell ref="M29:N29"/>
    <mergeCell ref="C31:H31"/>
    <mergeCell ref="B32:B37"/>
    <mergeCell ref="L37:N37"/>
    <mergeCell ref="M39:N39"/>
    <mergeCell ref="M40:N40"/>
    <mergeCell ref="M38:N38"/>
    <mergeCell ref="M41:N41"/>
    <mergeCell ref="M55:N55"/>
    <mergeCell ref="M56:N56"/>
    <mergeCell ref="M57:N57"/>
    <mergeCell ref="M52:N52"/>
    <mergeCell ref="M53:N53"/>
    <mergeCell ref="M54:N54"/>
    <mergeCell ref="M49:N49"/>
    <mergeCell ref="M50:N50"/>
    <mergeCell ref="M51:N51"/>
    <mergeCell ref="M43:N43"/>
    <mergeCell ref="M44:N44"/>
    <mergeCell ref="M45:N45"/>
    <mergeCell ref="M46:N46"/>
    <mergeCell ref="M47:N47"/>
    <mergeCell ref="M48:N48"/>
    <mergeCell ref="P4:Q4"/>
    <mergeCell ref="P29:S29"/>
    <mergeCell ref="M21:N21"/>
    <mergeCell ref="M26:N26"/>
    <mergeCell ref="M27:N27"/>
    <mergeCell ref="M19:N19"/>
    <mergeCell ref="M20:N20"/>
    <mergeCell ref="M6:N6"/>
    <mergeCell ref="M7:N7"/>
    <mergeCell ref="M8:N8"/>
    <mergeCell ref="M9:N9"/>
    <mergeCell ref="M14:N14"/>
    <mergeCell ref="B4:E4"/>
    <mergeCell ref="F4:J4"/>
    <mergeCell ref="L4:N4"/>
    <mergeCell ref="L12:N12"/>
    <mergeCell ref="M33:N33"/>
    <mergeCell ref="M28:N28"/>
    <mergeCell ref="L17:N17"/>
    <mergeCell ref="L24:N24"/>
    <mergeCell ref="M30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</vt:lpstr>
      <vt:lpstr>DCF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Khamitkar</dc:creator>
  <cp:lastModifiedBy>Sonia Khamitkar</cp:lastModifiedBy>
  <dcterms:created xsi:type="dcterms:W3CDTF">2025-03-06T18:55:05Z</dcterms:created>
  <dcterms:modified xsi:type="dcterms:W3CDTF">2025-03-12T19:34:50Z</dcterms:modified>
</cp:coreProperties>
</file>